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9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drawings/drawing14.xml" ContentType="application/vnd.openxmlformats-officedocument.drawing+xml"/>
  <Override PartName="/xl/comments14.xml" ContentType="application/vnd.openxmlformats-officedocument.spreadsheetml.comments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drawings/drawing15.xml" ContentType="application/vnd.openxmlformats-officedocument.drawing+xml"/>
  <Override PartName="/xl/comments15.xml" ContentType="application/vnd.openxmlformats-officedocument.spreadsheetml.comments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drawings/drawing16.xml" ContentType="application/vnd.openxmlformats-officedocument.drawing+xml"/>
  <Override PartName="/xl/comments16.xml" ContentType="application/vnd.openxmlformats-officedocument.spreadsheetml.comments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drawings/drawing17.xml" ContentType="application/vnd.openxmlformats-officedocument.drawing+xml"/>
  <Override PartName="/xl/comments17.xml" ContentType="application/vnd.openxmlformats-officedocument.spreadsheetml.comments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18.xml" ContentType="application/vnd.openxmlformats-officedocument.drawing+xml"/>
  <Override PartName="/xl/comments18.xml" ContentType="application/vnd.openxmlformats-officedocument.spreadsheetml.comments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drawings/drawing19.xml" ContentType="application/vnd.openxmlformats-officedocument.drawing+xml"/>
  <Override PartName="/xl/comments19.xml" ContentType="application/vnd.openxmlformats-officedocument.spreadsheetml.comments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drawings/drawing20.xml" ContentType="application/vnd.openxmlformats-officedocument.drawing+xml"/>
  <Override PartName="/xl/comments20.xml" ContentType="application/vnd.openxmlformats-officedocument.spreadsheetml.comments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drawings/drawing21.xml" ContentType="application/vnd.openxmlformats-officedocument.drawing+xml"/>
  <Override PartName="/xl/comments21.xml" ContentType="application/vnd.openxmlformats-officedocument.spreadsheetml.comments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drawings/drawing22.xml" ContentType="application/vnd.openxmlformats-officedocument.drawing+xml"/>
  <Override PartName="/xl/comments22.xml" ContentType="application/vnd.openxmlformats-officedocument.spreadsheetml.comments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drawings/drawing23.xml" ContentType="application/vnd.openxmlformats-officedocument.drawing+xml"/>
  <Override PartName="/xl/comments23.xml" ContentType="application/vnd.openxmlformats-officedocument.spreadsheetml.comments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drawings/drawing24.xml" ContentType="application/vnd.openxmlformats-officedocument.drawing+xml"/>
  <Override PartName="/xl/comments24.xml" ContentType="application/vnd.openxmlformats-officedocument.spreadsheetml.comments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25.xml" ContentType="application/vnd.openxmlformats-officedocument.drawing+xml"/>
  <Override PartName="/xl/comments25.xml" ContentType="application/vnd.openxmlformats-officedocument.spreadsheetml.comments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drawings/drawing26.xml" ContentType="application/vnd.openxmlformats-officedocument.drawing+xml"/>
  <Override PartName="/xl/comments26.xml" ContentType="application/vnd.openxmlformats-officedocument.spreadsheetml.comments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drawings/drawing27.xml" ContentType="application/vnd.openxmlformats-officedocument.drawing+xml"/>
  <Override PartName="/xl/comments27.xml" ContentType="application/vnd.openxmlformats-officedocument.spreadsheetml.comments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drawings/drawing28.xml" ContentType="application/vnd.openxmlformats-officedocument.drawing+xml"/>
  <Override PartName="/xl/comments28.xml" ContentType="application/vnd.openxmlformats-officedocument.spreadsheetml.comments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drawings/drawing29.xml" ContentType="application/vnd.openxmlformats-officedocument.drawing+xml"/>
  <Override PartName="/xl/comments29.xml" ContentType="application/vnd.openxmlformats-officedocument.spreadsheetml.comments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drawings/drawing30.xml" ContentType="application/vnd.openxmlformats-officedocument.drawing+xml"/>
  <Override PartName="/xl/comments30.xml" ContentType="application/vnd.openxmlformats-officedocument.spreadsheetml.comments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drawings/drawing31.xml" ContentType="application/vnd.openxmlformats-officedocument.drawing+xml"/>
  <Override PartName="/xl/comments31.xml" ContentType="application/vnd.openxmlformats-officedocument.spreadsheetml.comments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drawings/drawing3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D:\DATA\0 Data_Collection 75\Daily_Log_Sheets\Log Sheet 2080\"/>
    </mc:Choice>
  </mc:AlternateContent>
  <xr:revisionPtr revIDLastSave="0" documentId="13_ncr:1_{E9A28790-4F51-4A8B-85A3-D2A8BAA787A9}" xr6:coauthVersionLast="47" xr6:coauthVersionMax="47" xr10:uidLastSave="{00000000-0000-0000-0000-000000000000}"/>
  <bookViews>
    <workbookView xWindow="-120" yWindow="-120" windowWidth="29040" windowHeight="15720" tabRatio="880" activeTab="4" xr2:uid="{B37134F1-3819-4264-B908-035369E0179C}"/>
  </bookViews>
  <sheets>
    <sheet name="1" sheetId="38" r:id="rId1"/>
    <sheet name="2" sheetId="39" r:id="rId2"/>
    <sheet name="3" sheetId="40" r:id="rId3"/>
    <sheet name="4" sheetId="41" r:id="rId4"/>
    <sheet name="5" sheetId="42" r:id="rId5"/>
    <sheet name="6" sheetId="44" r:id="rId6"/>
    <sheet name="7" sheetId="45" r:id="rId7"/>
    <sheet name="8" sheetId="46" r:id="rId8"/>
    <sheet name="9" sheetId="47" r:id="rId9"/>
    <sheet name="10" sheetId="48" r:id="rId10"/>
    <sheet name="11" sheetId="49" r:id="rId11"/>
    <sheet name="12" sheetId="50" r:id="rId12"/>
    <sheet name="13" sheetId="51" r:id="rId13"/>
    <sheet name="14" sheetId="52" r:id="rId14"/>
    <sheet name="15" sheetId="53" r:id="rId15"/>
    <sheet name="16" sheetId="54" r:id="rId16"/>
    <sheet name="17" sheetId="55" r:id="rId17"/>
    <sheet name="18" sheetId="56" r:id="rId18"/>
    <sheet name="19" sheetId="57" r:id="rId19"/>
    <sheet name="20" sheetId="58" r:id="rId20"/>
    <sheet name="21" sheetId="59" r:id="rId21"/>
    <sheet name="22" sheetId="61" r:id="rId22"/>
    <sheet name="23" sheetId="62" r:id="rId23"/>
    <sheet name="24" sheetId="63" r:id="rId24"/>
    <sheet name="25" sheetId="64" r:id="rId25"/>
    <sheet name="26" sheetId="65" r:id="rId26"/>
    <sheet name="27" sheetId="66" r:id="rId27"/>
    <sheet name="28" sheetId="67" r:id="rId28"/>
    <sheet name="29" sheetId="68" r:id="rId29"/>
    <sheet name="30" sheetId="69" r:id="rId30"/>
    <sheet name="NSample" sheetId="16" r:id="rId31"/>
    <sheet name="Sheet4" sheetId="29" r:id="rId32"/>
    <sheet name="Sheet1" sheetId="4" r:id="rId33"/>
    <sheet name="Praveen" sheetId="18" r:id="rId34"/>
    <sheet name="Total Industrial Load 2080" sheetId="60" r:id="rId35"/>
    <sheet name="Sheet2" sheetId="21" r:id="rId36"/>
  </sheets>
  <externalReferences>
    <externalReference r:id="rId37"/>
  </externalReferences>
  <definedNames>
    <definedName name="IPP" localSheetId="0">#REF!</definedName>
    <definedName name="IPP" localSheetId="9">#REF!</definedName>
    <definedName name="IPP" localSheetId="10">#REF!</definedName>
    <definedName name="IPP" localSheetId="11">#REF!</definedName>
    <definedName name="IPP" localSheetId="12">#REF!</definedName>
    <definedName name="IPP" localSheetId="13">#REF!</definedName>
    <definedName name="IPP" localSheetId="14">#REF!</definedName>
    <definedName name="IPP" localSheetId="15">#REF!</definedName>
    <definedName name="IPP" localSheetId="16">#REF!</definedName>
    <definedName name="IPP" localSheetId="17">#REF!</definedName>
    <definedName name="IPP" localSheetId="18">#REF!</definedName>
    <definedName name="IPP" localSheetId="1">#REF!</definedName>
    <definedName name="IPP" localSheetId="19">#REF!</definedName>
    <definedName name="IPP" localSheetId="20">#REF!</definedName>
    <definedName name="IPP" localSheetId="21">#REF!</definedName>
    <definedName name="IPP" localSheetId="22">#REF!</definedName>
    <definedName name="IPP" localSheetId="23">#REF!</definedName>
    <definedName name="IPP" localSheetId="24">#REF!</definedName>
    <definedName name="IPP" localSheetId="25">#REF!</definedName>
    <definedName name="IPP" localSheetId="26">#REF!</definedName>
    <definedName name="IPP" localSheetId="27">#REF!</definedName>
    <definedName name="IPP" localSheetId="28">#REF!</definedName>
    <definedName name="IPP" localSheetId="2">#REF!</definedName>
    <definedName name="IPP" localSheetId="29">#REF!</definedName>
    <definedName name="IPP" localSheetId="3">#REF!</definedName>
    <definedName name="IPP" localSheetId="4">#REF!</definedName>
    <definedName name="IPP" localSheetId="5">#REF!</definedName>
    <definedName name="IPP" localSheetId="6">#REF!</definedName>
    <definedName name="IPP" localSheetId="7">#REF!</definedName>
    <definedName name="IPP" localSheetId="8">#REF!</definedName>
    <definedName name="IPP" localSheetId="30">#REF!</definedName>
    <definedName name="IPP">#REF!</definedName>
    <definedName name="ippp" localSheetId="0">#REF!</definedName>
    <definedName name="ippp" localSheetId="9">#REF!</definedName>
    <definedName name="ippp" localSheetId="10">#REF!</definedName>
    <definedName name="ippp" localSheetId="11">#REF!</definedName>
    <definedName name="ippp" localSheetId="12">#REF!</definedName>
    <definedName name="ippp" localSheetId="13">#REF!</definedName>
    <definedName name="ippp" localSheetId="14">#REF!</definedName>
    <definedName name="ippp" localSheetId="15">#REF!</definedName>
    <definedName name="ippp" localSheetId="16">#REF!</definedName>
    <definedName name="ippp" localSheetId="17">#REF!</definedName>
    <definedName name="ippp" localSheetId="18">#REF!</definedName>
    <definedName name="ippp" localSheetId="1">#REF!</definedName>
    <definedName name="ippp" localSheetId="19">#REF!</definedName>
    <definedName name="ippp" localSheetId="20">#REF!</definedName>
    <definedName name="ippp" localSheetId="21">#REF!</definedName>
    <definedName name="ippp" localSheetId="22">#REF!</definedName>
    <definedName name="ippp" localSheetId="23">#REF!</definedName>
    <definedName name="ippp" localSheetId="24">#REF!</definedName>
    <definedName name="ippp" localSheetId="25">#REF!</definedName>
    <definedName name="ippp" localSheetId="26">#REF!</definedName>
    <definedName name="ippp" localSheetId="27">#REF!</definedName>
    <definedName name="ippp" localSheetId="28">#REF!</definedName>
    <definedName name="ippp" localSheetId="2">#REF!</definedName>
    <definedName name="ippp" localSheetId="29">#REF!</definedName>
    <definedName name="ippp" localSheetId="3">#REF!</definedName>
    <definedName name="ippp" localSheetId="4">#REF!</definedName>
    <definedName name="ippp" localSheetId="5">#REF!</definedName>
    <definedName name="ippp" localSheetId="6">#REF!</definedName>
    <definedName name="ippp" localSheetId="7">#REF!</definedName>
    <definedName name="ippp" localSheetId="8">#REF!</definedName>
    <definedName name="ippp" localSheetId="30">#REF!</definedName>
    <definedName name="ippp">#REF!</definedName>
    <definedName name="_xlnm.Print_Area" localSheetId="34">'Total Industrial Load 2080'!$A$2:$E$140</definedName>
    <definedName name="sdasdf" localSheetId="0">#REF!</definedName>
    <definedName name="sdasdf" localSheetId="9">#REF!</definedName>
    <definedName name="sdasdf" localSheetId="10">#REF!</definedName>
    <definedName name="sdasdf" localSheetId="11">#REF!</definedName>
    <definedName name="sdasdf" localSheetId="12">#REF!</definedName>
    <definedName name="sdasdf" localSheetId="13">#REF!</definedName>
    <definedName name="sdasdf" localSheetId="14">#REF!</definedName>
    <definedName name="sdasdf" localSheetId="15">#REF!</definedName>
    <definedName name="sdasdf" localSheetId="16">#REF!</definedName>
    <definedName name="sdasdf" localSheetId="17">#REF!</definedName>
    <definedName name="sdasdf" localSheetId="18">#REF!</definedName>
    <definedName name="sdasdf" localSheetId="1">#REF!</definedName>
    <definedName name="sdasdf" localSheetId="19">#REF!</definedName>
    <definedName name="sdasdf" localSheetId="20">#REF!</definedName>
    <definedName name="sdasdf" localSheetId="21">#REF!</definedName>
    <definedName name="sdasdf" localSheetId="22">#REF!</definedName>
    <definedName name="sdasdf" localSheetId="23">#REF!</definedName>
    <definedName name="sdasdf" localSheetId="24">#REF!</definedName>
    <definedName name="sdasdf" localSheetId="25">#REF!</definedName>
    <definedName name="sdasdf" localSheetId="26">#REF!</definedName>
    <definedName name="sdasdf" localSheetId="27">#REF!</definedName>
    <definedName name="sdasdf" localSheetId="28">#REF!</definedName>
    <definedName name="sdasdf" localSheetId="2">#REF!</definedName>
    <definedName name="sdasdf" localSheetId="29">#REF!</definedName>
    <definedName name="sdasdf" localSheetId="3">#REF!</definedName>
    <definedName name="sdasdf" localSheetId="4">#REF!</definedName>
    <definedName name="sdasdf" localSheetId="5">#REF!</definedName>
    <definedName name="sdasdf" localSheetId="6">#REF!</definedName>
    <definedName name="sdasdf" localSheetId="7">#REF!</definedName>
    <definedName name="sdasdf" localSheetId="8">#REF!</definedName>
    <definedName name="sdasdf" localSheetId="30">#REF!</definedName>
    <definedName name="sdasdf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W73" i="64" l="1"/>
  <c r="BW80" i="64" s="1"/>
  <c r="BV73" i="64"/>
  <c r="BV80" i="64" s="1"/>
  <c r="BU73" i="64"/>
  <c r="BU80" i="64" s="1"/>
  <c r="BT73" i="64"/>
  <c r="BT80" i="64" s="1"/>
  <c r="BS73" i="64"/>
  <c r="BS80" i="64" s="1"/>
  <c r="BR73" i="64"/>
  <c r="BR80" i="64" s="1"/>
  <c r="BQ73" i="64"/>
  <c r="BQ80" i="64" s="1"/>
  <c r="BP73" i="64"/>
  <c r="BP80" i="64" s="1"/>
  <c r="BO73" i="64"/>
  <c r="BO80" i="64" s="1"/>
  <c r="BN73" i="64"/>
  <c r="BN80" i="64" s="1"/>
  <c r="BM73" i="64"/>
  <c r="BM80" i="64" s="1"/>
  <c r="BL73" i="64"/>
  <c r="BL80" i="64" s="1"/>
  <c r="BK73" i="64"/>
  <c r="BK80" i="64" s="1"/>
  <c r="BJ73" i="64"/>
  <c r="BJ80" i="64" s="1"/>
  <c r="BI73" i="64"/>
  <c r="BI80" i="64" s="1"/>
  <c r="BH73" i="64"/>
  <c r="BH80" i="64" s="1"/>
  <c r="BG73" i="64"/>
  <c r="BG80" i="64" s="1"/>
  <c r="BF73" i="64"/>
  <c r="BF80" i="64" s="1"/>
  <c r="BE73" i="64"/>
  <c r="BE80" i="64" s="1"/>
  <c r="BD73" i="64"/>
  <c r="BD80" i="64" s="1"/>
  <c r="BC73" i="64"/>
  <c r="BC80" i="64" s="1"/>
  <c r="BB73" i="64"/>
  <c r="BB80" i="64" s="1"/>
  <c r="BA73" i="64"/>
  <c r="BA80" i="64" s="1"/>
  <c r="AZ73" i="64"/>
  <c r="AZ80" i="64" s="1"/>
  <c r="BW72" i="64"/>
  <c r="BW79" i="64" s="1"/>
  <c r="BV72" i="64"/>
  <c r="BV79" i="64" s="1"/>
  <c r="BU72" i="64"/>
  <c r="BU79" i="64" s="1"/>
  <c r="BT72" i="64"/>
  <c r="BT79" i="64" s="1"/>
  <c r="BS72" i="64"/>
  <c r="BS79" i="64" s="1"/>
  <c r="BR72" i="64"/>
  <c r="BR79" i="64" s="1"/>
  <c r="BQ72" i="64"/>
  <c r="BQ79" i="64" s="1"/>
  <c r="BP72" i="64"/>
  <c r="BP79" i="64" s="1"/>
  <c r="BO72" i="64"/>
  <c r="BO79" i="64" s="1"/>
  <c r="BN72" i="64"/>
  <c r="BN79" i="64" s="1"/>
  <c r="BM72" i="64"/>
  <c r="BM79" i="64" s="1"/>
  <c r="BL72" i="64"/>
  <c r="BL79" i="64" s="1"/>
  <c r="BK72" i="64"/>
  <c r="BK79" i="64" s="1"/>
  <c r="BJ72" i="64"/>
  <c r="BJ79" i="64" s="1"/>
  <c r="BI72" i="64"/>
  <c r="BI79" i="64" s="1"/>
  <c r="BH72" i="64"/>
  <c r="BH79" i="64" s="1"/>
  <c r="BG72" i="64"/>
  <c r="BG79" i="64" s="1"/>
  <c r="BF72" i="64"/>
  <c r="BF79" i="64" s="1"/>
  <c r="BE72" i="64"/>
  <c r="BE79" i="64" s="1"/>
  <c r="BD72" i="64"/>
  <c r="BD79" i="64" s="1"/>
  <c r="BC72" i="64"/>
  <c r="BC79" i="64" s="1"/>
  <c r="BB72" i="64"/>
  <c r="BB79" i="64" s="1"/>
  <c r="BA72" i="64"/>
  <c r="BA79" i="64" s="1"/>
  <c r="AZ72" i="64"/>
  <c r="AZ79" i="64" s="1"/>
  <c r="BW71" i="64"/>
  <c r="BW78" i="64" s="1"/>
  <c r="BV71" i="64"/>
  <c r="BV78" i="64" s="1"/>
  <c r="BU71" i="64"/>
  <c r="BU78" i="64" s="1"/>
  <c r="BT71" i="64"/>
  <c r="BT78" i="64" s="1"/>
  <c r="BS71" i="64"/>
  <c r="BS78" i="64" s="1"/>
  <c r="BR71" i="64"/>
  <c r="BR78" i="64" s="1"/>
  <c r="BQ71" i="64"/>
  <c r="BQ78" i="64" s="1"/>
  <c r="BP71" i="64"/>
  <c r="BP78" i="64" s="1"/>
  <c r="BO71" i="64"/>
  <c r="BO78" i="64" s="1"/>
  <c r="BN71" i="64"/>
  <c r="BN78" i="64" s="1"/>
  <c r="BM71" i="64"/>
  <c r="BM78" i="64" s="1"/>
  <c r="BL71" i="64"/>
  <c r="BL78" i="64" s="1"/>
  <c r="BK71" i="64"/>
  <c r="BK78" i="64" s="1"/>
  <c r="BJ71" i="64"/>
  <c r="BJ78" i="64" s="1"/>
  <c r="BI71" i="64"/>
  <c r="BI78" i="64" s="1"/>
  <c r="BH71" i="64"/>
  <c r="BH78" i="64" s="1"/>
  <c r="BG71" i="64"/>
  <c r="BG78" i="64" s="1"/>
  <c r="BF71" i="64"/>
  <c r="BF78" i="64" s="1"/>
  <c r="BE71" i="64"/>
  <c r="BE78" i="64" s="1"/>
  <c r="BD71" i="64"/>
  <c r="BD78" i="64" s="1"/>
  <c r="BC71" i="64"/>
  <c r="BC78" i="64" s="1"/>
  <c r="BB71" i="64"/>
  <c r="BB78" i="64" s="1"/>
  <c r="BA71" i="64"/>
  <c r="BA78" i="64" s="1"/>
  <c r="AZ71" i="64"/>
  <c r="AZ78" i="64" s="1"/>
  <c r="BW70" i="64"/>
  <c r="BW77" i="64" s="1"/>
  <c r="BV70" i="64"/>
  <c r="BV77" i="64" s="1"/>
  <c r="BU70" i="64"/>
  <c r="BU77" i="64" s="1"/>
  <c r="BT70" i="64"/>
  <c r="BT77" i="64" s="1"/>
  <c r="BS70" i="64"/>
  <c r="BS77" i="64" s="1"/>
  <c r="BR70" i="64"/>
  <c r="BR77" i="64" s="1"/>
  <c r="BQ70" i="64"/>
  <c r="BQ77" i="64" s="1"/>
  <c r="BP70" i="64"/>
  <c r="BP77" i="64" s="1"/>
  <c r="BO70" i="64"/>
  <c r="BO77" i="64" s="1"/>
  <c r="BN70" i="64"/>
  <c r="BN77" i="64" s="1"/>
  <c r="BM70" i="64"/>
  <c r="BM77" i="64" s="1"/>
  <c r="BL70" i="64"/>
  <c r="BL77" i="64" s="1"/>
  <c r="BK70" i="64"/>
  <c r="BK77" i="64" s="1"/>
  <c r="BJ70" i="64"/>
  <c r="BJ77" i="64" s="1"/>
  <c r="BI70" i="64"/>
  <c r="BI77" i="64" s="1"/>
  <c r="BH70" i="64"/>
  <c r="BH77" i="64" s="1"/>
  <c r="BG70" i="64"/>
  <c r="BG77" i="64" s="1"/>
  <c r="BF70" i="64"/>
  <c r="BF77" i="64" s="1"/>
  <c r="BE70" i="64"/>
  <c r="BE77" i="64" s="1"/>
  <c r="BD70" i="64"/>
  <c r="BD77" i="64" s="1"/>
  <c r="BC70" i="64"/>
  <c r="BC77" i="64" s="1"/>
  <c r="BB70" i="64"/>
  <c r="BB77" i="64" s="1"/>
  <c r="BA70" i="64"/>
  <c r="BA77" i="64" s="1"/>
  <c r="AZ70" i="64"/>
  <c r="AZ77" i="64" s="1"/>
  <c r="BW69" i="64"/>
  <c r="BW76" i="64" s="1"/>
  <c r="BV69" i="64"/>
  <c r="BV76" i="64" s="1"/>
  <c r="BU69" i="64"/>
  <c r="BU76" i="64" s="1"/>
  <c r="BT69" i="64"/>
  <c r="BT76" i="64" s="1"/>
  <c r="BS69" i="64"/>
  <c r="BS76" i="64" s="1"/>
  <c r="BR69" i="64"/>
  <c r="BR76" i="64" s="1"/>
  <c r="BQ69" i="64"/>
  <c r="BQ76" i="64" s="1"/>
  <c r="BP69" i="64"/>
  <c r="BP76" i="64" s="1"/>
  <c r="BO69" i="64"/>
  <c r="BO76" i="64" s="1"/>
  <c r="BN69" i="64"/>
  <c r="BN76" i="64" s="1"/>
  <c r="BM69" i="64"/>
  <c r="BM76" i="64" s="1"/>
  <c r="BL69" i="64"/>
  <c r="BL76" i="64" s="1"/>
  <c r="BK69" i="64"/>
  <c r="BK76" i="64" s="1"/>
  <c r="BJ69" i="64"/>
  <c r="BJ76" i="64" s="1"/>
  <c r="BI69" i="64"/>
  <c r="BI76" i="64" s="1"/>
  <c r="BH69" i="64"/>
  <c r="BH76" i="64" s="1"/>
  <c r="BG69" i="64"/>
  <c r="BG76" i="64" s="1"/>
  <c r="BF69" i="64"/>
  <c r="BF76" i="64" s="1"/>
  <c r="BE69" i="64"/>
  <c r="BE76" i="64" s="1"/>
  <c r="BD69" i="64"/>
  <c r="BD76" i="64" s="1"/>
  <c r="BC69" i="64"/>
  <c r="BC76" i="64" s="1"/>
  <c r="BB69" i="64"/>
  <c r="BB76" i="64" s="1"/>
  <c r="BA69" i="64"/>
  <c r="BA76" i="64" s="1"/>
  <c r="AZ69" i="64"/>
  <c r="AZ76" i="64" s="1"/>
  <c r="BW68" i="64"/>
  <c r="BW75" i="64" s="1"/>
  <c r="BV68" i="64"/>
  <c r="BV75" i="64" s="1"/>
  <c r="BU68" i="64"/>
  <c r="BU75" i="64" s="1"/>
  <c r="BT68" i="64"/>
  <c r="BT75" i="64" s="1"/>
  <c r="BS68" i="64"/>
  <c r="BS75" i="64" s="1"/>
  <c r="BR68" i="64"/>
  <c r="BR75" i="64" s="1"/>
  <c r="BQ68" i="64"/>
  <c r="BQ75" i="64" s="1"/>
  <c r="BP68" i="64"/>
  <c r="BP75" i="64" s="1"/>
  <c r="BO68" i="64"/>
  <c r="BO75" i="64" s="1"/>
  <c r="BN68" i="64"/>
  <c r="BN75" i="64" s="1"/>
  <c r="BM68" i="64"/>
  <c r="BM75" i="64" s="1"/>
  <c r="BL68" i="64"/>
  <c r="BL75" i="64" s="1"/>
  <c r="BK68" i="64"/>
  <c r="BK75" i="64" s="1"/>
  <c r="BJ68" i="64"/>
  <c r="BJ75" i="64" s="1"/>
  <c r="BI68" i="64"/>
  <c r="BI75" i="64" s="1"/>
  <c r="BH68" i="64"/>
  <c r="BH75" i="64" s="1"/>
  <c r="BG68" i="64"/>
  <c r="BG75" i="64" s="1"/>
  <c r="BF68" i="64"/>
  <c r="BF75" i="64" s="1"/>
  <c r="BE68" i="64"/>
  <c r="BE75" i="64" s="1"/>
  <c r="BD68" i="64"/>
  <c r="BD75" i="64" s="1"/>
  <c r="BC68" i="64"/>
  <c r="BC75" i="64" s="1"/>
  <c r="BB68" i="64"/>
  <c r="BB75" i="64" s="1"/>
  <c r="BA68" i="64"/>
  <c r="BA75" i="64" s="1"/>
  <c r="AZ68" i="64"/>
  <c r="BG84" i="64" s="1" a="1"/>
  <c r="BB80" i="42"/>
  <c r="BW73" i="42"/>
  <c r="BW80" i="42" s="1"/>
  <c r="BV73" i="42"/>
  <c r="BV80" i="42" s="1"/>
  <c r="BU73" i="42"/>
  <c r="BU80" i="42" s="1"/>
  <c r="BT73" i="42"/>
  <c r="BT80" i="42" s="1"/>
  <c r="BS73" i="42"/>
  <c r="BS80" i="42" s="1"/>
  <c r="BR73" i="42"/>
  <c r="BR80" i="42" s="1"/>
  <c r="BQ73" i="42"/>
  <c r="BQ80" i="42" s="1"/>
  <c r="BP73" i="42"/>
  <c r="BP80" i="42" s="1"/>
  <c r="BO73" i="42"/>
  <c r="BO80" i="42" s="1"/>
  <c r="BN73" i="42"/>
  <c r="BN80" i="42" s="1"/>
  <c r="BM73" i="42"/>
  <c r="BM80" i="42" s="1"/>
  <c r="BL73" i="42"/>
  <c r="BL80" i="42" s="1"/>
  <c r="BK73" i="42"/>
  <c r="BK80" i="42" s="1"/>
  <c r="BJ73" i="42"/>
  <c r="BJ80" i="42" s="1"/>
  <c r="BI73" i="42"/>
  <c r="BI80" i="42" s="1"/>
  <c r="BH73" i="42"/>
  <c r="BH80" i="42" s="1"/>
  <c r="BG73" i="42"/>
  <c r="BG80" i="42" s="1"/>
  <c r="BF73" i="42"/>
  <c r="BF80" i="42" s="1"/>
  <c r="BE73" i="42"/>
  <c r="BE80" i="42" s="1"/>
  <c r="BD73" i="42"/>
  <c r="BD80" i="42" s="1"/>
  <c r="BC73" i="42"/>
  <c r="BC80" i="42" s="1"/>
  <c r="BB73" i="42"/>
  <c r="BA73" i="42"/>
  <c r="BA80" i="42" s="1"/>
  <c r="AZ73" i="42"/>
  <c r="AZ80" i="42" s="1"/>
  <c r="BW72" i="42"/>
  <c r="BW79" i="42" s="1"/>
  <c r="BV72" i="42"/>
  <c r="BV79" i="42" s="1"/>
  <c r="BU72" i="42"/>
  <c r="BU79" i="42" s="1"/>
  <c r="BT72" i="42"/>
  <c r="BT79" i="42" s="1"/>
  <c r="BS72" i="42"/>
  <c r="BS79" i="42" s="1"/>
  <c r="BR72" i="42"/>
  <c r="BR79" i="42" s="1"/>
  <c r="BQ72" i="42"/>
  <c r="BQ79" i="42" s="1"/>
  <c r="BP72" i="42"/>
  <c r="BP79" i="42" s="1"/>
  <c r="BO72" i="42"/>
  <c r="BO79" i="42" s="1"/>
  <c r="BN72" i="42"/>
  <c r="BN79" i="42" s="1"/>
  <c r="BM72" i="42"/>
  <c r="BM79" i="42" s="1"/>
  <c r="BL72" i="42"/>
  <c r="BL79" i="42" s="1"/>
  <c r="BK72" i="42"/>
  <c r="BK79" i="42" s="1"/>
  <c r="BJ72" i="42"/>
  <c r="BJ79" i="42" s="1"/>
  <c r="BI72" i="42"/>
  <c r="BI79" i="42" s="1"/>
  <c r="BH72" i="42"/>
  <c r="BH79" i="42" s="1"/>
  <c r="BG72" i="42"/>
  <c r="BG79" i="42" s="1"/>
  <c r="BF72" i="42"/>
  <c r="BF79" i="42" s="1"/>
  <c r="BE72" i="42"/>
  <c r="BE79" i="42" s="1"/>
  <c r="BD72" i="42"/>
  <c r="BD79" i="42" s="1"/>
  <c r="BC72" i="42"/>
  <c r="BC79" i="42" s="1"/>
  <c r="BB72" i="42"/>
  <c r="BB79" i="42" s="1"/>
  <c r="BA72" i="42"/>
  <c r="BA79" i="42" s="1"/>
  <c r="AZ72" i="42"/>
  <c r="AZ79" i="42" s="1"/>
  <c r="BW71" i="42"/>
  <c r="BW78" i="42" s="1"/>
  <c r="BV71" i="42"/>
  <c r="BV78" i="42" s="1"/>
  <c r="BU71" i="42"/>
  <c r="BU78" i="42" s="1"/>
  <c r="BT71" i="42"/>
  <c r="BT78" i="42" s="1"/>
  <c r="BS71" i="42"/>
  <c r="BS78" i="42" s="1"/>
  <c r="BR71" i="42"/>
  <c r="BR78" i="42" s="1"/>
  <c r="BQ71" i="42"/>
  <c r="BQ78" i="42" s="1"/>
  <c r="BP71" i="42"/>
  <c r="BP78" i="42" s="1"/>
  <c r="BO71" i="42"/>
  <c r="BO78" i="42" s="1"/>
  <c r="BN71" i="42"/>
  <c r="BN78" i="42" s="1"/>
  <c r="BM71" i="42"/>
  <c r="BM78" i="42" s="1"/>
  <c r="BL71" i="42"/>
  <c r="BL78" i="42" s="1"/>
  <c r="BK71" i="42"/>
  <c r="BK78" i="42" s="1"/>
  <c r="BJ71" i="42"/>
  <c r="BJ78" i="42" s="1"/>
  <c r="BI71" i="42"/>
  <c r="BI78" i="42" s="1"/>
  <c r="BH71" i="42"/>
  <c r="BH78" i="42" s="1"/>
  <c r="BG71" i="42"/>
  <c r="BG78" i="42" s="1"/>
  <c r="BF71" i="42"/>
  <c r="BF78" i="42" s="1"/>
  <c r="BE71" i="42"/>
  <c r="BE78" i="42" s="1"/>
  <c r="BD71" i="42"/>
  <c r="BD78" i="42" s="1"/>
  <c r="BC71" i="42"/>
  <c r="BC78" i="42" s="1"/>
  <c r="BB71" i="42"/>
  <c r="BB78" i="42" s="1"/>
  <c r="BA71" i="42"/>
  <c r="BA78" i="42" s="1"/>
  <c r="AZ71" i="42"/>
  <c r="AZ78" i="42" s="1"/>
  <c r="BW70" i="42"/>
  <c r="BW77" i="42" s="1"/>
  <c r="BV70" i="42"/>
  <c r="BV77" i="42" s="1"/>
  <c r="BU70" i="42"/>
  <c r="BU77" i="42" s="1"/>
  <c r="BT70" i="42"/>
  <c r="BT77" i="42" s="1"/>
  <c r="BS70" i="42"/>
  <c r="BS77" i="42" s="1"/>
  <c r="BR70" i="42"/>
  <c r="BR77" i="42" s="1"/>
  <c r="BQ70" i="42"/>
  <c r="BQ77" i="42" s="1"/>
  <c r="BP70" i="42"/>
  <c r="BP77" i="42" s="1"/>
  <c r="BO70" i="42"/>
  <c r="BO77" i="42" s="1"/>
  <c r="BN70" i="42"/>
  <c r="BN77" i="42" s="1"/>
  <c r="BM70" i="42"/>
  <c r="BM77" i="42" s="1"/>
  <c r="BL70" i="42"/>
  <c r="BL77" i="42" s="1"/>
  <c r="BK70" i="42"/>
  <c r="BK77" i="42" s="1"/>
  <c r="BJ70" i="42"/>
  <c r="BJ77" i="42" s="1"/>
  <c r="BI70" i="42"/>
  <c r="BI77" i="42" s="1"/>
  <c r="BH70" i="42"/>
  <c r="BH77" i="42" s="1"/>
  <c r="BG70" i="42"/>
  <c r="BG77" i="42" s="1"/>
  <c r="BF70" i="42"/>
  <c r="BF77" i="42" s="1"/>
  <c r="BE70" i="42"/>
  <c r="BE77" i="42" s="1"/>
  <c r="BD70" i="42"/>
  <c r="BD77" i="42" s="1"/>
  <c r="BC70" i="42"/>
  <c r="BC77" i="42" s="1"/>
  <c r="BB70" i="42"/>
  <c r="BB77" i="42" s="1"/>
  <c r="BA70" i="42"/>
  <c r="BA77" i="42" s="1"/>
  <c r="AZ70" i="42"/>
  <c r="AZ77" i="42" s="1"/>
  <c r="BW69" i="42"/>
  <c r="BW76" i="42" s="1"/>
  <c r="BV69" i="42"/>
  <c r="BV76" i="42" s="1"/>
  <c r="BU69" i="42"/>
  <c r="BU76" i="42" s="1"/>
  <c r="BT69" i="42"/>
  <c r="BT76" i="42" s="1"/>
  <c r="BS69" i="42"/>
  <c r="BS76" i="42" s="1"/>
  <c r="BR69" i="42"/>
  <c r="BR76" i="42" s="1"/>
  <c r="BQ69" i="42"/>
  <c r="BQ76" i="42" s="1"/>
  <c r="BP69" i="42"/>
  <c r="BP76" i="42" s="1"/>
  <c r="BO69" i="42"/>
  <c r="BO76" i="42" s="1"/>
  <c r="BN69" i="42"/>
  <c r="BN76" i="42" s="1"/>
  <c r="BM69" i="42"/>
  <c r="BM76" i="42" s="1"/>
  <c r="BL69" i="42"/>
  <c r="BL76" i="42" s="1"/>
  <c r="BK69" i="42"/>
  <c r="BK76" i="42" s="1"/>
  <c r="BJ69" i="42"/>
  <c r="BJ76" i="42" s="1"/>
  <c r="BI69" i="42"/>
  <c r="BI76" i="42" s="1"/>
  <c r="BH69" i="42"/>
  <c r="BH76" i="42" s="1"/>
  <c r="BG69" i="42"/>
  <c r="BG76" i="42" s="1"/>
  <c r="BF69" i="42"/>
  <c r="BF76" i="42" s="1"/>
  <c r="BE69" i="42"/>
  <c r="BE76" i="42" s="1"/>
  <c r="BD69" i="42"/>
  <c r="BD76" i="42" s="1"/>
  <c r="BC69" i="42"/>
  <c r="BC76" i="42" s="1"/>
  <c r="BB69" i="42"/>
  <c r="BB76" i="42" s="1"/>
  <c r="BA69" i="42"/>
  <c r="BA76" i="42" s="1"/>
  <c r="AZ69" i="42"/>
  <c r="AZ76" i="42" s="1"/>
  <c r="BW68" i="42"/>
  <c r="BW75" i="42" s="1"/>
  <c r="BV68" i="42"/>
  <c r="BV75" i="42" s="1"/>
  <c r="BU68" i="42"/>
  <c r="BU75" i="42" s="1"/>
  <c r="BT68" i="42"/>
  <c r="BT75" i="42" s="1"/>
  <c r="BS68" i="42"/>
  <c r="BS75" i="42" s="1"/>
  <c r="BR68" i="42"/>
  <c r="BR75" i="42" s="1"/>
  <c r="BQ68" i="42"/>
  <c r="BQ75" i="42" s="1"/>
  <c r="BP68" i="42"/>
  <c r="BP75" i="42" s="1"/>
  <c r="BO68" i="42"/>
  <c r="BO75" i="42" s="1"/>
  <c r="BN68" i="42"/>
  <c r="BN75" i="42" s="1"/>
  <c r="BM68" i="42"/>
  <c r="BM75" i="42" s="1"/>
  <c r="BL68" i="42"/>
  <c r="BL75" i="42" s="1"/>
  <c r="BK68" i="42"/>
  <c r="BK75" i="42" s="1"/>
  <c r="BJ68" i="42"/>
  <c r="BJ75" i="42" s="1"/>
  <c r="BI68" i="42"/>
  <c r="BI75" i="42" s="1"/>
  <c r="BH68" i="42"/>
  <c r="BH75" i="42" s="1"/>
  <c r="BG68" i="42"/>
  <c r="BG75" i="42" s="1"/>
  <c r="BF68" i="42"/>
  <c r="BF75" i="42" s="1"/>
  <c r="BE68" i="42"/>
  <c r="BE75" i="42" s="1"/>
  <c r="BD68" i="42"/>
  <c r="BD75" i="42" s="1"/>
  <c r="BC68" i="42"/>
  <c r="BC75" i="42" s="1"/>
  <c r="BB68" i="42"/>
  <c r="BB75" i="42" s="1"/>
  <c r="BA68" i="42"/>
  <c r="BA75" i="42" s="1"/>
  <c r="AZ68" i="42"/>
  <c r="BG84" i="42" s="1" a="1"/>
  <c r="BJ80" i="48"/>
  <c r="BB80" i="48"/>
  <c r="BR77" i="48"/>
  <c r="BJ77" i="48"/>
  <c r="BB75" i="48"/>
  <c r="BW73" i="48"/>
  <c r="BW80" i="48" s="1"/>
  <c r="BV73" i="48"/>
  <c r="BV80" i="48" s="1"/>
  <c r="BU73" i="48"/>
  <c r="BU80" i="48" s="1"/>
  <c r="BT73" i="48"/>
  <c r="BT80" i="48" s="1"/>
  <c r="BS73" i="48"/>
  <c r="BS80" i="48" s="1"/>
  <c r="BR73" i="48"/>
  <c r="BR80" i="48" s="1"/>
  <c r="BQ73" i="48"/>
  <c r="BQ80" i="48" s="1"/>
  <c r="BP73" i="48"/>
  <c r="BP80" i="48" s="1"/>
  <c r="BO73" i="48"/>
  <c r="BO80" i="48" s="1"/>
  <c r="BN73" i="48"/>
  <c r="BN80" i="48" s="1"/>
  <c r="BM73" i="48"/>
  <c r="BM80" i="48" s="1"/>
  <c r="BL73" i="48"/>
  <c r="BL80" i="48" s="1"/>
  <c r="BK73" i="48"/>
  <c r="BK80" i="48" s="1"/>
  <c r="BJ73" i="48"/>
  <c r="BI73" i="48"/>
  <c r="BI80" i="48" s="1"/>
  <c r="BH73" i="48"/>
  <c r="BH80" i="48" s="1"/>
  <c r="BG73" i="48"/>
  <c r="BG80" i="48" s="1"/>
  <c r="BF73" i="48"/>
  <c r="BF80" i="48" s="1"/>
  <c r="BE73" i="48"/>
  <c r="BE80" i="48" s="1"/>
  <c r="BD73" i="48"/>
  <c r="BD80" i="48" s="1"/>
  <c r="BC73" i="48"/>
  <c r="BC80" i="48" s="1"/>
  <c r="BB73" i="48"/>
  <c r="BA73" i="48"/>
  <c r="BA80" i="48" s="1"/>
  <c r="AZ73" i="48"/>
  <c r="AZ80" i="48" s="1"/>
  <c r="BW72" i="48"/>
  <c r="BW79" i="48" s="1"/>
  <c r="BV72" i="48"/>
  <c r="BV79" i="48" s="1"/>
  <c r="BU72" i="48"/>
  <c r="BU79" i="48" s="1"/>
  <c r="BT72" i="48"/>
  <c r="BT79" i="48" s="1"/>
  <c r="BS72" i="48"/>
  <c r="BS79" i="48" s="1"/>
  <c r="BR72" i="48"/>
  <c r="BR79" i="48" s="1"/>
  <c r="BQ72" i="48"/>
  <c r="BQ79" i="48" s="1"/>
  <c r="BP72" i="48"/>
  <c r="BP79" i="48" s="1"/>
  <c r="BO72" i="48"/>
  <c r="BO79" i="48" s="1"/>
  <c r="BN72" i="48"/>
  <c r="BN79" i="48" s="1"/>
  <c r="BM72" i="48"/>
  <c r="BM79" i="48" s="1"/>
  <c r="BL72" i="48"/>
  <c r="BL79" i="48" s="1"/>
  <c r="BK72" i="48"/>
  <c r="BK79" i="48" s="1"/>
  <c r="BJ72" i="48"/>
  <c r="BJ79" i="48" s="1"/>
  <c r="BI72" i="48"/>
  <c r="BI79" i="48" s="1"/>
  <c r="BH72" i="48"/>
  <c r="BH79" i="48" s="1"/>
  <c r="BG72" i="48"/>
  <c r="BG79" i="48" s="1"/>
  <c r="BF72" i="48"/>
  <c r="BF79" i="48" s="1"/>
  <c r="BE72" i="48"/>
  <c r="BE79" i="48" s="1"/>
  <c r="BD72" i="48"/>
  <c r="BD79" i="48" s="1"/>
  <c r="BC72" i="48"/>
  <c r="BC79" i="48" s="1"/>
  <c r="BB72" i="48"/>
  <c r="BB79" i="48" s="1"/>
  <c r="BA72" i="48"/>
  <c r="BA79" i="48" s="1"/>
  <c r="AZ72" i="48"/>
  <c r="AZ79" i="48" s="1"/>
  <c r="BW71" i="48"/>
  <c r="BW78" i="48" s="1"/>
  <c r="BV71" i="48"/>
  <c r="BV78" i="48" s="1"/>
  <c r="BU71" i="48"/>
  <c r="BU78" i="48" s="1"/>
  <c r="BT71" i="48"/>
  <c r="BT78" i="48" s="1"/>
  <c r="BS71" i="48"/>
  <c r="BS78" i="48" s="1"/>
  <c r="BR71" i="48"/>
  <c r="BR78" i="48" s="1"/>
  <c r="BQ71" i="48"/>
  <c r="BQ78" i="48" s="1"/>
  <c r="BP71" i="48"/>
  <c r="BP78" i="48" s="1"/>
  <c r="BO71" i="48"/>
  <c r="BO78" i="48" s="1"/>
  <c r="BN71" i="48"/>
  <c r="BN78" i="48" s="1"/>
  <c r="BM71" i="48"/>
  <c r="BM78" i="48" s="1"/>
  <c r="BL71" i="48"/>
  <c r="BL78" i="48" s="1"/>
  <c r="BK71" i="48"/>
  <c r="BK78" i="48" s="1"/>
  <c r="BJ71" i="48"/>
  <c r="BJ78" i="48" s="1"/>
  <c r="BI71" i="48"/>
  <c r="BI78" i="48" s="1"/>
  <c r="BH71" i="48"/>
  <c r="BH78" i="48" s="1"/>
  <c r="BG71" i="48"/>
  <c r="BG78" i="48" s="1"/>
  <c r="BF71" i="48"/>
  <c r="BF78" i="48" s="1"/>
  <c r="BE71" i="48"/>
  <c r="BE78" i="48" s="1"/>
  <c r="BD71" i="48"/>
  <c r="BD78" i="48" s="1"/>
  <c r="BC71" i="48"/>
  <c r="BC78" i="48" s="1"/>
  <c r="BB71" i="48"/>
  <c r="BB78" i="48" s="1"/>
  <c r="BA71" i="48"/>
  <c r="BA78" i="48" s="1"/>
  <c r="AZ71" i="48"/>
  <c r="AZ78" i="48" s="1"/>
  <c r="BW70" i="48"/>
  <c r="BW77" i="48" s="1"/>
  <c r="BV70" i="48"/>
  <c r="BV77" i="48" s="1"/>
  <c r="BU70" i="48"/>
  <c r="BU77" i="48" s="1"/>
  <c r="BT70" i="48"/>
  <c r="BT77" i="48" s="1"/>
  <c r="BS70" i="48"/>
  <c r="BS77" i="48" s="1"/>
  <c r="BR70" i="48"/>
  <c r="BQ70" i="48"/>
  <c r="BQ77" i="48" s="1"/>
  <c r="BP70" i="48"/>
  <c r="BP77" i="48" s="1"/>
  <c r="BO70" i="48"/>
  <c r="BO77" i="48" s="1"/>
  <c r="BN70" i="48"/>
  <c r="BN77" i="48" s="1"/>
  <c r="BM70" i="48"/>
  <c r="BM77" i="48" s="1"/>
  <c r="BL70" i="48"/>
  <c r="BL77" i="48" s="1"/>
  <c r="BK70" i="48"/>
  <c r="BK77" i="48" s="1"/>
  <c r="BJ70" i="48"/>
  <c r="BI70" i="48"/>
  <c r="BI77" i="48" s="1"/>
  <c r="BH70" i="48"/>
  <c r="BH77" i="48" s="1"/>
  <c r="BG70" i="48"/>
  <c r="BG77" i="48" s="1"/>
  <c r="BF70" i="48"/>
  <c r="BF77" i="48" s="1"/>
  <c r="BE70" i="48"/>
  <c r="BE77" i="48" s="1"/>
  <c r="BD70" i="48"/>
  <c r="BD77" i="48" s="1"/>
  <c r="BC70" i="48"/>
  <c r="BC77" i="48" s="1"/>
  <c r="BB70" i="48"/>
  <c r="BB77" i="48" s="1"/>
  <c r="BA70" i="48"/>
  <c r="BA77" i="48" s="1"/>
  <c r="AZ70" i="48"/>
  <c r="AZ77" i="48" s="1"/>
  <c r="BW69" i="48"/>
  <c r="BW76" i="48" s="1"/>
  <c r="BV69" i="48"/>
  <c r="BV76" i="48" s="1"/>
  <c r="BU69" i="48"/>
  <c r="BU76" i="48" s="1"/>
  <c r="BT69" i="48"/>
  <c r="BT76" i="48" s="1"/>
  <c r="BS69" i="48"/>
  <c r="BS76" i="48" s="1"/>
  <c r="BR69" i="48"/>
  <c r="BR76" i="48" s="1"/>
  <c r="BQ69" i="48"/>
  <c r="BQ76" i="48" s="1"/>
  <c r="BP69" i="48"/>
  <c r="BP76" i="48" s="1"/>
  <c r="BO69" i="48"/>
  <c r="BO76" i="48" s="1"/>
  <c r="BN69" i="48"/>
  <c r="BN76" i="48" s="1"/>
  <c r="BM69" i="48"/>
  <c r="BM76" i="48" s="1"/>
  <c r="BL69" i="48"/>
  <c r="BL76" i="48" s="1"/>
  <c r="BK69" i="48"/>
  <c r="BK76" i="48" s="1"/>
  <c r="BJ69" i="48"/>
  <c r="BJ76" i="48" s="1"/>
  <c r="BI69" i="48"/>
  <c r="BI76" i="48" s="1"/>
  <c r="BH69" i="48"/>
  <c r="BH76" i="48" s="1"/>
  <c r="BG69" i="48"/>
  <c r="BG76" i="48" s="1"/>
  <c r="BF69" i="48"/>
  <c r="BF76" i="48" s="1"/>
  <c r="BE69" i="48"/>
  <c r="BE76" i="48" s="1"/>
  <c r="BD69" i="48"/>
  <c r="BD76" i="48" s="1"/>
  <c r="BC69" i="48"/>
  <c r="BC76" i="48" s="1"/>
  <c r="BB69" i="48"/>
  <c r="BB76" i="48" s="1"/>
  <c r="BA69" i="48"/>
  <c r="BA76" i="48" s="1"/>
  <c r="AZ69" i="48"/>
  <c r="AZ76" i="48" s="1"/>
  <c r="BW68" i="48"/>
  <c r="BW75" i="48" s="1"/>
  <c r="BV68" i="48"/>
  <c r="BV75" i="48" s="1"/>
  <c r="BU68" i="48"/>
  <c r="BU75" i="48" s="1"/>
  <c r="BT68" i="48"/>
  <c r="BT75" i="48" s="1"/>
  <c r="BS68" i="48"/>
  <c r="BS75" i="48" s="1"/>
  <c r="BR68" i="48"/>
  <c r="BR75" i="48" s="1"/>
  <c r="BQ68" i="48"/>
  <c r="BQ75" i="48" s="1"/>
  <c r="BP68" i="48"/>
  <c r="BP75" i="48" s="1"/>
  <c r="BO68" i="48"/>
  <c r="BO75" i="48" s="1"/>
  <c r="BN68" i="48"/>
  <c r="BN75" i="48" s="1"/>
  <c r="BM68" i="48"/>
  <c r="BM75" i="48" s="1"/>
  <c r="BL68" i="48"/>
  <c r="BL75" i="48" s="1"/>
  <c r="BK68" i="48"/>
  <c r="BK75" i="48" s="1"/>
  <c r="BJ68" i="48"/>
  <c r="BJ75" i="48" s="1"/>
  <c r="BI68" i="48"/>
  <c r="BI75" i="48" s="1"/>
  <c r="BH68" i="48"/>
  <c r="BH75" i="48" s="1"/>
  <c r="BG68" i="48"/>
  <c r="BG75" i="48" s="1"/>
  <c r="BF68" i="48"/>
  <c r="BF75" i="48" s="1"/>
  <c r="BE68" i="48"/>
  <c r="BE75" i="48" s="1"/>
  <c r="BD68" i="48"/>
  <c r="BD75" i="48" s="1"/>
  <c r="BC68" i="48"/>
  <c r="BC75" i="48" s="1"/>
  <c r="BB68" i="48"/>
  <c r="BA68" i="48"/>
  <c r="BA75" i="48" s="1"/>
  <c r="AZ68" i="48"/>
  <c r="BG84" i="48" s="1" a="1"/>
  <c r="BJ77" i="53"/>
  <c r="BW73" i="53"/>
  <c r="BW80" i="53" s="1"/>
  <c r="BV73" i="53"/>
  <c r="BV80" i="53" s="1"/>
  <c r="BU73" i="53"/>
  <c r="BU80" i="53" s="1"/>
  <c r="BT73" i="53"/>
  <c r="BT80" i="53" s="1"/>
  <c r="BS73" i="53"/>
  <c r="BS80" i="53" s="1"/>
  <c r="BR73" i="53"/>
  <c r="BR80" i="53" s="1"/>
  <c r="BQ73" i="53"/>
  <c r="BQ80" i="53" s="1"/>
  <c r="BP73" i="53"/>
  <c r="BP80" i="53" s="1"/>
  <c r="BO73" i="53"/>
  <c r="BO80" i="53" s="1"/>
  <c r="BN73" i="53"/>
  <c r="BN80" i="53" s="1"/>
  <c r="BM73" i="53"/>
  <c r="BM80" i="53" s="1"/>
  <c r="BL73" i="53"/>
  <c r="BL80" i="53" s="1"/>
  <c r="BK73" i="53"/>
  <c r="BK80" i="53" s="1"/>
  <c r="BJ73" i="53"/>
  <c r="BJ80" i="53" s="1"/>
  <c r="BI73" i="53"/>
  <c r="BI80" i="53" s="1"/>
  <c r="BH73" i="53"/>
  <c r="BH80" i="53" s="1"/>
  <c r="BG73" i="53"/>
  <c r="BG80" i="53" s="1"/>
  <c r="BF73" i="53"/>
  <c r="BF80" i="53" s="1"/>
  <c r="BE73" i="53"/>
  <c r="BE80" i="53" s="1"/>
  <c r="BD73" i="53"/>
  <c r="BD80" i="53" s="1"/>
  <c r="BC73" i="53"/>
  <c r="BC80" i="53" s="1"/>
  <c r="BB73" i="53"/>
  <c r="BB80" i="53" s="1"/>
  <c r="BA73" i="53"/>
  <c r="BA80" i="53" s="1"/>
  <c r="AZ73" i="53"/>
  <c r="AZ80" i="53" s="1"/>
  <c r="BW72" i="53"/>
  <c r="BW79" i="53" s="1"/>
  <c r="BV72" i="53"/>
  <c r="BV79" i="53" s="1"/>
  <c r="BU72" i="53"/>
  <c r="BU79" i="53" s="1"/>
  <c r="BT72" i="53"/>
  <c r="BT79" i="53" s="1"/>
  <c r="BS72" i="53"/>
  <c r="BS79" i="53" s="1"/>
  <c r="BR72" i="53"/>
  <c r="BR79" i="53" s="1"/>
  <c r="BQ72" i="53"/>
  <c r="BQ79" i="53" s="1"/>
  <c r="BP72" i="53"/>
  <c r="BP79" i="53" s="1"/>
  <c r="BO72" i="53"/>
  <c r="BO79" i="53" s="1"/>
  <c r="BN72" i="53"/>
  <c r="BN79" i="53" s="1"/>
  <c r="BM72" i="53"/>
  <c r="BM79" i="53" s="1"/>
  <c r="BL72" i="53"/>
  <c r="BL79" i="53" s="1"/>
  <c r="BK72" i="53"/>
  <c r="BK79" i="53" s="1"/>
  <c r="BJ72" i="53"/>
  <c r="BJ79" i="53" s="1"/>
  <c r="BI72" i="53"/>
  <c r="BI79" i="53" s="1"/>
  <c r="BH72" i="53"/>
  <c r="BH79" i="53" s="1"/>
  <c r="BG72" i="53"/>
  <c r="BG79" i="53" s="1"/>
  <c r="BF72" i="53"/>
  <c r="BF79" i="53" s="1"/>
  <c r="BE72" i="53"/>
  <c r="BE79" i="53" s="1"/>
  <c r="BD72" i="53"/>
  <c r="BD79" i="53" s="1"/>
  <c r="BC72" i="53"/>
  <c r="BC79" i="53" s="1"/>
  <c r="BB72" i="53"/>
  <c r="BB79" i="53" s="1"/>
  <c r="BA72" i="53"/>
  <c r="BA79" i="53" s="1"/>
  <c r="AZ72" i="53"/>
  <c r="AZ79" i="53" s="1"/>
  <c r="BW71" i="53"/>
  <c r="BW78" i="53" s="1"/>
  <c r="BV71" i="53"/>
  <c r="BV78" i="53" s="1"/>
  <c r="BU71" i="53"/>
  <c r="BU78" i="53" s="1"/>
  <c r="BT71" i="53"/>
  <c r="BT78" i="53" s="1"/>
  <c r="BS71" i="53"/>
  <c r="BS78" i="53" s="1"/>
  <c r="BR71" i="53"/>
  <c r="BR78" i="53" s="1"/>
  <c r="BQ71" i="53"/>
  <c r="BQ78" i="53" s="1"/>
  <c r="BP71" i="53"/>
  <c r="BP78" i="53" s="1"/>
  <c r="BO71" i="53"/>
  <c r="BO78" i="53" s="1"/>
  <c r="BN71" i="53"/>
  <c r="BN78" i="53" s="1"/>
  <c r="BM71" i="53"/>
  <c r="BM78" i="53" s="1"/>
  <c r="BL71" i="53"/>
  <c r="BL78" i="53" s="1"/>
  <c r="BK71" i="53"/>
  <c r="BK78" i="53" s="1"/>
  <c r="BJ71" i="53"/>
  <c r="BJ78" i="53" s="1"/>
  <c r="BI71" i="53"/>
  <c r="BI78" i="53" s="1"/>
  <c r="BH71" i="53"/>
  <c r="BH78" i="53" s="1"/>
  <c r="BG71" i="53"/>
  <c r="BG78" i="53" s="1"/>
  <c r="BF71" i="53"/>
  <c r="BF78" i="53" s="1"/>
  <c r="BE71" i="53"/>
  <c r="BE78" i="53" s="1"/>
  <c r="BD71" i="53"/>
  <c r="BD78" i="53" s="1"/>
  <c r="BC71" i="53"/>
  <c r="BC78" i="53" s="1"/>
  <c r="BB71" i="53"/>
  <c r="BB78" i="53" s="1"/>
  <c r="BA71" i="53"/>
  <c r="BA78" i="53" s="1"/>
  <c r="AZ71" i="53"/>
  <c r="AZ78" i="53" s="1"/>
  <c r="BW70" i="53"/>
  <c r="BW77" i="53" s="1"/>
  <c r="BV70" i="53"/>
  <c r="BV77" i="53" s="1"/>
  <c r="BU70" i="53"/>
  <c r="BU77" i="53" s="1"/>
  <c r="BT70" i="53"/>
  <c r="BT77" i="53" s="1"/>
  <c r="BS70" i="53"/>
  <c r="BS77" i="53" s="1"/>
  <c r="BR70" i="53"/>
  <c r="BR77" i="53" s="1"/>
  <c r="BQ70" i="53"/>
  <c r="BQ77" i="53" s="1"/>
  <c r="BP70" i="53"/>
  <c r="BP77" i="53" s="1"/>
  <c r="BO70" i="53"/>
  <c r="BO77" i="53" s="1"/>
  <c r="BN70" i="53"/>
  <c r="BN77" i="53" s="1"/>
  <c r="BM70" i="53"/>
  <c r="BM77" i="53" s="1"/>
  <c r="BL70" i="53"/>
  <c r="BL77" i="53" s="1"/>
  <c r="BK70" i="53"/>
  <c r="BK77" i="53" s="1"/>
  <c r="BJ70" i="53"/>
  <c r="BI70" i="53"/>
  <c r="BI77" i="53" s="1"/>
  <c r="BH70" i="53"/>
  <c r="BH77" i="53" s="1"/>
  <c r="BG70" i="53"/>
  <c r="BG77" i="53" s="1"/>
  <c r="BF70" i="53"/>
  <c r="BF77" i="53" s="1"/>
  <c r="BE70" i="53"/>
  <c r="BE77" i="53" s="1"/>
  <c r="BD70" i="53"/>
  <c r="BD77" i="53" s="1"/>
  <c r="BC70" i="53"/>
  <c r="BC77" i="53" s="1"/>
  <c r="BB70" i="53"/>
  <c r="BB77" i="53" s="1"/>
  <c r="BA70" i="53"/>
  <c r="BA77" i="53" s="1"/>
  <c r="AZ70" i="53"/>
  <c r="AZ77" i="53" s="1"/>
  <c r="BW69" i="53"/>
  <c r="BW76" i="53" s="1"/>
  <c r="BV69" i="53"/>
  <c r="BV76" i="53" s="1"/>
  <c r="BU69" i="53"/>
  <c r="BU76" i="53" s="1"/>
  <c r="BT69" i="53"/>
  <c r="BT76" i="53" s="1"/>
  <c r="BS69" i="53"/>
  <c r="BS76" i="53" s="1"/>
  <c r="BR69" i="53"/>
  <c r="BR76" i="53" s="1"/>
  <c r="BQ69" i="53"/>
  <c r="BQ76" i="53" s="1"/>
  <c r="BP69" i="53"/>
  <c r="BP76" i="53" s="1"/>
  <c r="BO69" i="53"/>
  <c r="BO76" i="53" s="1"/>
  <c r="BN69" i="53"/>
  <c r="BN76" i="53" s="1"/>
  <c r="BM69" i="53"/>
  <c r="BM76" i="53" s="1"/>
  <c r="BL69" i="53"/>
  <c r="BL76" i="53" s="1"/>
  <c r="BK69" i="53"/>
  <c r="BK76" i="53" s="1"/>
  <c r="BJ69" i="53"/>
  <c r="BJ76" i="53" s="1"/>
  <c r="BI69" i="53"/>
  <c r="BI76" i="53" s="1"/>
  <c r="BH69" i="53"/>
  <c r="BH76" i="53" s="1"/>
  <c r="BG69" i="53"/>
  <c r="BG76" i="53" s="1"/>
  <c r="BF69" i="53"/>
  <c r="BF76" i="53" s="1"/>
  <c r="BE69" i="53"/>
  <c r="BE76" i="53" s="1"/>
  <c r="BD69" i="53"/>
  <c r="BD76" i="53" s="1"/>
  <c r="BC69" i="53"/>
  <c r="BC76" i="53" s="1"/>
  <c r="BB69" i="53"/>
  <c r="BB76" i="53" s="1"/>
  <c r="BA69" i="53"/>
  <c r="BA76" i="53" s="1"/>
  <c r="AZ69" i="53"/>
  <c r="AZ76" i="53" s="1"/>
  <c r="BW68" i="53"/>
  <c r="BW75" i="53" s="1"/>
  <c r="BV68" i="53"/>
  <c r="BV75" i="53" s="1"/>
  <c r="BU68" i="53"/>
  <c r="BU75" i="53" s="1"/>
  <c r="BT68" i="53"/>
  <c r="BT75" i="53" s="1"/>
  <c r="BS68" i="53"/>
  <c r="BS75" i="53" s="1"/>
  <c r="BR68" i="53"/>
  <c r="BR75" i="53" s="1"/>
  <c r="BQ68" i="53"/>
  <c r="BQ75" i="53" s="1"/>
  <c r="BP68" i="53"/>
  <c r="BP75" i="53" s="1"/>
  <c r="BO68" i="53"/>
  <c r="BO75" i="53" s="1"/>
  <c r="BN68" i="53"/>
  <c r="BN75" i="53" s="1"/>
  <c r="BM68" i="53"/>
  <c r="BM75" i="53" s="1"/>
  <c r="BL68" i="53"/>
  <c r="BL75" i="53" s="1"/>
  <c r="BK68" i="53"/>
  <c r="BK75" i="53" s="1"/>
  <c r="BJ68" i="53"/>
  <c r="BJ75" i="53" s="1"/>
  <c r="BI68" i="53"/>
  <c r="BI75" i="53" s="1"/>
  <c r="BH68" i="53"/>
  <c r="BH75" i="53" s="1"/>
  <c r="BG68" i="53"/>
  <c r="BG75" i="53" s="1"/>
  <c r="BF68" i="53"/>
  <c r="BF75" i="53" s="1"/>
  <c r="BE68" i="53"/>
  <c r="BE75" i="53" s="1"/>
  <c r="BD68" i="53"/>
  <c r="BD75" i="53" s="1"/>
  <c r="BC68" i="53"/>
  <c r="BC75" i="53" s="1"/>
  <c r="BB68" i="53"/>
  <c r="BB75" i="53" s="1"/>
  <c r="BA68" i="53"/>
  <c r="BA75" i="53" s="1"/>
  <c r="AZ68" i="53"/>
  <c r="BG84" i="53" s="1" a="1"/>
  <c r="BW73" i="58"/>
  <c r="BW80" i="58" s="1"/>
  <c r="BV73" i="58"/>
  <c r="BV80" i="58" s="1"/>
  <c r="BU73" i="58"/>
  <c r="BU80" i="58" s="1"/>
  <c r="BT73" i="58"/>
  <c r="BT80" i="58" s="1"/>
  <c r="BS73" i="58"/>
  <c r="BS80" i="58" s="1"/>
  <c r="BR73" i="58"/>
  <c r="BR80" i="58" s="1"/>
  <c r="BQ73" i="58"/>
  <c r="BQ80" i="58" s="1"/>
  <c r="BP73" i="58"/>
  <c r="BP80" i="58" s="1"/>
  <c r="BO73" i="58"/>
  <c r="BO80" i="58" s="1"/>
  <c r="BN73" i="58"/>
  <c r="BN80" i="58" s="1"/>
  <c r="BM73" i="58"/>
  <c r="BM80" i="58" s="1"/>
  <c r="BL73" i="58"/>
  <c r="BL80" i="58" s="1"/>
  <c r="BK73" i="58"/>
  <c r="BK80" i="58" s="1"/>
  <c r="BJ73" i="58"/>
  <c r="BJ80" i="58" s="1"/>
  <c r="BI73" i="58"/>
  <c r="BI80" i="58" s="1"/>
  <c r="BH73" i="58"/>
  <c r="BH80" i="58" s="1"/>
  <c r="BG73" i="58"/>
  <c r="BG80" i="58" s="1"/>
  <c r="BF73" i="58"/>
  <c r="BF80" i="58" s="1"/>
  <c r="BE73" i="58"/>
  <c r="BE80" i="58" s="1"/>
  <c r="BD73" i="58"/>
  <c r="BD80" i="58" s="1"/>
  <c r="BC73" i="58"/>
  <c r="BC80" i="58" s="1"/>
  <c r="BB73" i="58"/>
  <c r="BB80" i="58" s="1"/>
  <c r="BA73" i="58"/>
  <c r="BA80" i="58" s="1"/>
  <c r="AZ73" i="58"/>
  <c r="AZ80" i="58" s="1"/>
  <c r="BW72" i="58"/>
  <c r="BW79" i="58" s="1"/>
  <c r="BV72" i="58"/>
  <c r="BV79" i="58" s="1"/>
  <c r="BU72" i="58"/>
  <c r="BU79" i="58" s="1"/>
  <c r="BT72" i="58"/>
  <c r="BT79" i="58" s="1"/>
  <c r="BS72" i="58"/>
  <c r="BS79" i="58" s="1"/>
  <c r="BR72" i="58"/>
  <c r="BR79" i="58" s="1"/>
  <c r="BQ72" i="58"/>
  <c r="BQ79" i="58" s="1"/>
  <c r="BP72" i="58"/>
  <c r="BP79" i="58" s="1"/>
  <c r="BO72" i="58"/>
  <c r="BO79" i="58" s="1"/>
  <c r="BN72" i="58"/>
  <c r="BN79" i="58" s="1"/>
  <c r="BM72" i="58"/>
  <c r="BM79" i="58" s="1"/>
  <c r="BL72" i="58"/>
  <c r="BL79" i="58" s="1"/>
  <c r="BK72" i="58"/>
  <c r="BK79" i="58" s="1"/>
  <c r="BJ72" i="58"/>
  <c r="BJ79" i="58" s="1"/>
  <c r="BI72" i="58"/>
  <c r="BI79" i="58" s="1"/>
  <c r="BH72" i="58"/>
  <c r="BH79" i="58" s="1"/>
  <c r="BG72" i="58"/>
  <c r="BG79" i="58" s="1"/>
  <c r="BF72" i="58"/>
  <c r="BF79" i="58" s="1"/>
  <c r="BE72" i="58"/>
  <c r="BE79" i="58" s="1"/>
  <c r="BD72" i="58"/>
  <c r="BD79" i="58" s="1"/>
  <c r="BC72" i="58"/>
  <c r="BC79" i="58" s="1"/>
  <c r="BB72" i="58"/>
  <c r="BB79" i="58" s="1"/>
  <c r="BA72" i="58"/>
  <c r="BA79" i="58" s="1"/>
  <c r="AZ72" i="58"/>
  <c r="AZ79" i="58" s="1"/>
  <c r="BW71" i="58"/>
  <c r="BW78" i="58" s="1"/>
  <c r="BV71" i="58"/>
  <c r="BV78" i="58" s="1"/>
  <c r="BU71" i="58"/>
  <c r="BU78" i="58" s="1"/>
  <c r="BT71" i="58"/>
  <c r="BT78" i="58" s="1"/>
  <c r="BS71" i="58"/>
  <c r="BS78" i="58" s="1"/>
  <c r="BR71" i="58"/>
  <c r="BR78" i="58" s="1"/>
  <c r="BQ71" i="58"/>
  <c r="BQ78" i="58" s="1"/>
  <c r="BP71" i="58"/>
  <c r="BP78" i="58" s="1"/>
  <c r="BO71" i="58"/>
  <c r="BO78" i="58" s="1"/>
  <c r="BN71" i="58"/>
  <c r="BN78" i="58" s="1"/>
  <c r="BM71" i="58"/>
  <c r="BM78" i="58" s="1"/>
  <c r="BL71" i="58"/>
  <c r="BL78" i="58" s="1"/>
  <c r="BK71" i="58"/>
  <c r="BK78" i="58" s="1"/>
  <c r="BJ71" i="58"/>
  <c r="BJ78" i="58" s="1"/>
  <c r="BI71" i="58"/>
  <c r="BI78" i="58" s="1"/>
  <c r="BH71" i="58"/>
  <c r="BH78" i="58" s="1"/>
  <c r="BG71" i="58"/>
  <c r="BG78" i="58" s="1"/>
  <c r="BF71" i="58"/>
  <c r="BF78" i="58" s="1"/>
  <c r="BE71" i="58"/>
  <c r="BE78" i="58" s="1"/>
  <c r="BD71" i="58"/>
  <c r="BD78" i="58" s="1"/>
  <c r="BC71" i="58"/>
  <c r="BC78" i="58" s="1"/>
  <c r="BB71" i="58"/>
  <c r="BB78" i="58" s="1"/>
  <c r="BA71" i="58"/>
  <c r="BA78" i="58" s="1"/>
  <c r="AZ71" i="58"/>
  <c r="AZ78" i="58" s="1"/>
  <c r="BW70" i="58"/>
  <c r="BW77" i="58" s="1"/>
  <c r="BV70" i="58"/>
  <c r="BV77" i="58" s="1"/>
  <c r="BU70" i="58"/>
  <c r="BU77" i="58" s="1"/>
  <c r="BT70" i="58"/>
  <c r="BT77" i="58" s="1"/>
  <c r="BS70" i="58"/>
  <c r="BS77" i="58" s="1"/>
  <c r="BR70" i="58"/>
  <c r="BR77" i="58" s="1"/>
  <c r="BQ70" i="58"/>
  <c r="BQ77" i="58" s="1"/>
  <c r="BP70" i="58"/>
  <c r="BP77" i="58" s="1"/>
  <c r="BO70" i="58"/>
  <c r="BO77" i="58" s="1"/>
  <c r="BN70" i="58"/>
  <c r="BN77" i="58" s="1"/>
  <c r="BM70" i="58"/>
  <c r="BM77" i="58" s="1"/>
  <c r="BL70" i="58"/>
  <c r="BL77" i="58" s="1"/>
  <c r="BK70" i="58"/>
  <c r="BK77" i="58" s="1"/>
  <c r="BJ70" i="58"/>
  <c r="BJ77" i="58" s="1"/>
  <c r="BI70" i="58"/>
  <c r="BI77" i="58" s="1"/>
  <c r="BH70" i="58"/>
  <c r="BH77" i="58" s="1"/>
  <c r="BG70" i="58"/>
  <c r="BG77" i="58" s="1"/>
  <c r="BF70" i="58"/>
  <c r="BF77" i="58" s="1"/>
  <c r="BE70" i="58"/>
  <c r="BE77" i="58" s="1"/>
  <c r="BD70" i="58"/>
  <c r="BD77" i="58" s="1"/>
  <c r="BC70" i="58"/>
  <c r="BC77" i="58" s="1"/>
  <c r="BB70" i="58"/>
  <c r="BB77" i="58" s="1"/>
  <c r="BA70" i="58"/>
  <c r="BA77" i="58" s="1"/>
  <c r="AZ70" i="58"/>
  <c r="AZ77" i="58" s="1"/>
  <c r="BW69" i="58"/>
  <c r="BW76" i="58" s="1"/>
  <c r="BV69" i="58"/>
  <c r="BV76" i="58" s="1"/>
  <c r="BU69" i="58"/>
  <c r="BU76" i="58" s="1"/>
  <c r="BT69" i="58"/>
  <c r="BT76" i="58" s="1"/>
  <c r="BS69" i="58"/>
  <c r="BS76" i="58" s="1"/>
  <c r="BR69" i="58"/>
  <c r="BR76" i="58" s="1"/>
  <c r="BQ69" i="58"/>
  <c r="BQ76" i="58" s="1"/>
  <c r="BP69" i="58"/>
  <c r="BP76" i="58" s="1"/>
  <c r="BO69" i="58"/>
  <c r="BO76" i="58" s="1"/>
  <c r="BN69" i="58"/>
  <c r="BN76" i="58" s="1"/>
  <c r="BM69" i="58"/>
  <c r="BM76" i="58" s="1"/>
  <c r="BL69" i="58"/>
  <c r="BL76" i="58" s="1"/>
  <c r="BK69" i="58"/>
  <c r="BK76" i="58" s="1"/>
  <c r="BJ69" i="58"/>
  <c r="BJ76" i="58" s="1"/>
  <c r="BI69" i="58"/>
  <c r="BI76" i="58" s="1"/>
  <c r="BH69" i="58"/>
  <c r="BH76" i="58" s="1"/>
  <c r="BG69" i="58"/>
  <c r="BG76" i="58" s="1"/>
  <c r="BF69" i="58"/>
  <c r="BF76" i="58" s="1"/>
  <c r="BE69" i="58"/>
  <c r="BE76" i="58" s="1"/>
  <c r="BD69" i="58"/>
  <c r="BD76" i="58" s="1"/>
  <c r="BC69" i="58"/>
  <c r="BC76" i="58" s="1"/>
  <c r="BB69" i="58"/>
  <c r="BB76" i="58" s="1"/>
  <c r="BA69" i="58"/>
  <c r="BA76" i="58" s="1"/>
  <c r="AZ69" i="58"/>
  <c r="AZ76" i="58" s="1"/>
  <c r="BW68" i="58"/>
  <c r="BW75" i="58" s="1"/>
  <c r="BV68" i="58"/>
  <c r="BV75" i="58" s="1"/>
  <c r="BU68" i="58"/>
  <c r="BU75" i="58" s="1"/>
  <c r="BT68" i="58"/>
  <c r="BT75" i="58" s="1"/>
  <c r="BS68" i="58"/>
  <c r="BS75" i="58" s="1"/>
  <c r="BR68" i="58"/>
  <c r="BR75" i="58" s="1"/>
  <c r="BQ68" i="58"/>
  <c r="BQ75" i="58" s="1"/>
  <c r="BP68" i="58"/>
  <c r="BP75" i="58" s="1"/>
  <c r="BO68" i="58"/>
  <c r="BO75" i="58" s="1"/>
  <c r="BN68" i="58"/>
  <c r="BN75" i="58" s="1"/>
  <c r="BM68" i="58"/>
  <c r="BM75" i="58" s="1"/>
  <c r="BL68" i="58"/>
  <c r="BL75" i="58" s="1"/>
  <c r="BK68" i="58"/>
  <c r="BK75" i="58" s="1"/>
  <c r="BJ68" i="58"/>
  <c r="BJ75" i="58" s="1"/>
  <c r="BI68" i="58"/>
  <c r="BI75" i="58" s="1"/>
  <c r="BH68" i="58"/>
  <c r="BH75" i="58" s="1"/>
  <c r="BG68" i="58"/>
  <c r="BG75" i="58" s="1"/>
  <c r="BF68" i="58"/>
  <c r="BF75" i="58" s="1"/>
  <c r="BE68" i="58"/>
  <c r="BE75" i="58" s="1"/>
  <c r="BD68" i="58"/>
  <c r="BD75" i="58" s="1"/>
  <c r="BC68" i="58"/>
  <c r="BC75" i="58" s="1"/>
  <c r="BB68" i="58"/>
  <c r="BB75" i="58" s="1"/>
  <c r="BA68" i="58"/>
  <c r="BA75" i="58" s="1"/>
  <c r="AZ68" i="58"/>
  <c r="BG84" i="58" s="1" a="1"/>
  <c r="BG84" i="59" a="1"/>
  <c r="BG84" i="59" s="1"/>
  <c r="BW73" i="59"/>
  <c r="BW80" i="59" s="1"/>
  <c r="BV73" i="59"/>
  <c r="BV80" i="59" s="1"/>
  <c r="BU73" i="59"/>
  <c r="BU80" i="59" s="1"/>
  <c r="BT73" i="59"/>
  <c r="BT80" i="59" s="1"/>
  <c r="BS73" i="59"/>
  <c r="BS80" i="59" s="1"/>
  <c r="BR73" i="59"/>
  <c r="BR80" i="59" s="1"/>
  <c r="BQ73" i="59"/>
  <c r="BQ80" i="59" s="1"/>
  <c r="BP73" i="59"/>
  <c r="BP80" i="59" s="1"/>
  <c r="BO73" i="59"/>
  <c r="BO80" i="59" s="1"/>
  <c r="BN73" i="59"/>
  <c r="BN80" i="59" s="1"/>
  <c r="BM73" i="59"/>
  <c r="BM80" i="59" s="1"/>
  <c r="BL73" i="59"/>
  <c r="BL80" i="59" s="1"/>
  <c r="BK73" i="59"/>
  <c r="BK80" i="59" s="1"/>
  <c r="BJ73" i="59"/>
  <c r="BJ80" i="59" s="1"/>
  <c r="BI73" i="59"/>
  <c r="BI80" i="59" s="1"/>
  <c r="BH73" i="59"/>
  <c r="BH80" i="59" s="1"/>
  <c r="BG73" i="59"/>
  <c r="BG80" i="59" s="1"/>
  <c r="BF73" i="59"/>
  <c r="BF80" i="59" s="1"/>
  <c r="BE73" i="59"/>
  <c r="BE80" i="59" s="1"/>
  <c r="BD73" i="59"/>
  <c r="BD80" i="59" s="1"/>
  <c r="BC73" i="59"/>
  <c r="BC80" i="59" s="1"/>
  <c r="BB73" i="59"/>
  <c r="BB80" i="59" s="1"/>
  <c r="BA73" i="59"/>
  <c r="BA80" i="59" s="1"/>
  <c r="AZ73" i="59"/>
  <c r="AZ80" i="59" s="1"/>
  <c r="BW72" i="59"/>
  <c r="BW79" i="59" s="1"/>
  <c r="BV72" i="59"/>
  <c r="BV79" i="59" s="1"/>
  <c r="BU72" i="59"/>
  <c r="BU79" i="59" s="1"/>
  <c r="BT72" i="59"/>
  <c r="BT79" i="59" s="1"/>
  <c r="BS72" i="59"/>
  <c r="BS79" i="59" s="1"/>
  <c r="BR72" i="59"/>
  <c r="BR79" i="59" s="1"/>
  <c r="BQ72" i="59"/>
  <c r="BQ79" i="59" s="1"/>
  <c r="BP72" i="59"/>
  <c r="BP79" i="59" s="1"/>
  <c r="BO72" i="59"/>
  <c r="BO79" i="59" s="1"/>
  <c r="BN72" i="59"/>
  <c r="BN79" i="59" s="1"/>
  <c r="BM72" i="59"/>
  <c r="BM79" i="59" s="1"/>
  <c r="BL72" i="59"/>
  <c r="BL79" i="59" s="1"/>
  <c r="BK72" i="59"/>
  <c r="BK79" i="59" s="1"/>
  <c r="BJ72" i="59"/>
  <c r="BJ79" i="59" s="1"/>
  <c r="BI72" i="59"/>
  <c r="BI79" i="59" s="1"/>
  <c r="BH72" i="59"/>
  <c r="BH79" i="59" s="1"/>
  <c r="BG72" i="59"/>
  <c r="BG79" i="59" s="1"/>
  <c r="BF72" i="59"/>
  <c r="BF79" i="59" s="1"/>
  <c r="BE72" i="59"/>
  <c r="BE79" i="59" s="1"/>
  <c r="BD72" i="59"/>
  <c r="BD79" i="59" s="1"/>
  <c r="BC72" i="59"/>
  <c r="BC79" i="59" s="1"/>
  <c r="BB72" i="59"/>
  <c r="BB79" i="59" s="1"/>
  <c r="BA72" i="59"/>
  <c r="BA79" i="59" s="1"/>
  <c r="AZ72" i="59"/>
  <c r="AZ79" i="59" s="1"/>
  <c r="BW71" i="59"/>
  <c r="BW78" i="59" s="1"/>
  <c r="BV71" i="59"/>
  <c r="BV78" i="59" s="1"/>
  <c r="BU71" i="59"/>
  <c r="BU78" i="59" s="1"/>
  <c r="BT71" i="59"/>
  <c r="BT78" i="59" s="1"/>
  <c r="BS71" i="59"/>
  <c r="BS78" i="59" s="1"/>
  <c r="BR71" i="59"/>
  <c r="BR78" i="59" s="1"/>
  <c r="BQ71" i="59"/>
  <c r="BQ78" i="59" s="1"/>
  <c r="BP71" i="59"/>
  <c r="BP78" i="59" s="1"/>
  <c r="BO71" i="59"/>
  <c r="BO78" i="59" s="1"/>
  <c r="BN71" i="59"/>
  <c r="BN78" i="59" s="1"/>
  <c r="BM71" i="59"/>
  <c r="BM78" i="59" s="1"/>
  <c r="BL71" i="59"/>
  <c r="BL78" i="59" s="1"/>
  <c r="BK71" i="59"/>
  <c r="BK78" i="59" s="1"/>
  <c r="BJ71" i="59"/>
  <c r="BJ78" i="59" s="1"/>
  <c r="BI71" i="59"/>
  <c r="BI78" i="59" s="1"/>
  <c r="BH71" i="59"/>
  <c r="BH78" i="59" s="1"/>
  <c r="BG71" i="59"/>
  <c r="BG78" i="59" s="1"/>
  <c r="BF71" i="59"/>
  <c r="BF78" i="59" s="1"/>
  <c r="BE71" i="59"/>
  <c r="BE78" i="59" s="1"/>
  <c r="BD71" i="59"/>
  <c r="BD78" i="59" s="1"/>
  <c r="BC71" i="59"/>
  <c r="BC78" i="59" s="1"/>
  <c r="BB71" i="59"/>
  <c r="BB78" i="59" s="1"/>
  <c r="BA71" i="59"/>
  <c r="BA78" i="59" s="1"/>
  <c r="AZ71" i="59"/>
  <c r="AZ78" i="59" s="1"/>
  <c r="BW70" i="59"/>
  <c r="BW77" i="59" s="1"/>
  <c r="BV70" i="59"/>
  <c r="BV77" i="59" s="1"/>
  <c r="BU70" i="59"/>
  <c r="BU77" i="59" s="1"/>
  <c r="BT70" i="59"/>
  <c r="BT77" i="59" s="1"/>
  <c r="BS70" i="59"/>
  <c r="BS77" i="59" s="1"/>
  <c r="BR70" i="59"/>
  <c r="BR77" i="59" s="1"/>
  <c r="BQ70" i="59"/>
  <c r="BQ77" i="59" s="1"/>
  <c r="BP70" i="59"/>
  <c r="BP77" i="59" s="1"/>
  <c r="BO70" i="59"/>
  <c r="BO77" i="59" s="1"/>
  <c r="BN70" i="59"/>
  <c r="BN77" i="59" s="1"/>
  <c r="BM70" i="59"/>
  <c r="BM77" i="59" s="1"/>
  <c r="BL70" i="59"/>
  <c r="BL77" i="59" s="1"/>
  <c r="BK70" i="59"/>
  <c r="BK77" i="59" s="1"/>
  <c r="BJ70" i="59"/>
  <c r="BJ77" i="59" s="1"/>
  <c r="BI70" i="59"/>
  <c r="BI77" i="59" s="1"/>
  <c r="BH70" i="59"/>
  <c r="BH77" i="59" s="1"/>
  <c r="BG70" i="59"/>
  <c r="BG77" i="59" s="1"/>
  <c r="BF70" i="59"/>
  <c r="BF77" i="59" s="1"/>
  <c r="BE70" i="59"/>
  <c r="BE77" i="59" s="1"/>
  <c r="BD70" i="59"/>
  <c r="BD77" i="59" s="1"/>
  <c r="BC70" i="59"/>
  <c r="BC77" i="59" s="1"/>
  <c r="BB70" i="59"/>
  <c r="BB77" i="59" s="1"/>
  <c r="BA70" i="59"/>
  <c r="BA77" i="59" s="1"/>
  <c r="AZ70" i="59"/>
  <c r="AZ77" i="59" s="1"/>
  <c r="BW69" i="59"/>
  <c r="BW76" i="59" s="1"/>
  <c r="BV69" i="59"/>
  <c r="BV76" i="59" s="1"/>
  <c r="BU69" i="59"/>
  <c r="BU76" i="59" s="1"/>
  <c r="BT69" i="59"/>
  <c r="BT76" i="59" s="1"/>
  <c r="BS69" i="59"/>
  <c r="BS76" i="59" s="1"/>
  <c r="BR69" i="59"/>
  <c r="BR76" i="59" s="1"/>
  <c r="BQ69" i="59"/>
  <c r="BQ76" i="59" s="1"/>
  <c r="BP69" i="59"/>
  <c r="BP76" i="59" s="1"/>
  <c r="BO69" i="59"/>
  <c r="BO76" i="59" s="1"/>
  <c r="BN69" i="59"/>
  <c r="BN76" i="59" s="1"/>
  <c r="BM69" i="59"/>
  <c r="BM76" i="59" s="1"/>
  <c r="BL69" i="59"/>
  <c r="BL76" i="59" s="1"/>
  <c r="BK69" i="59"/>
  <c r="BK76" i="59" s="1"/>
  <c r="BJ69" i="59"/>
  <c r="BJ76" i="59" s="1"/>
  <c r="BI69" i="59"/>
  <c r="BI76" i="59" s="1"/>
  <c r="BH69" i="59"/>
  <c r="BH76" i="59" s="1"/>
  <c r="BG69" i="59"/>
  <c r="BG76" i="59" s="1"/>
  <c r="BF69" i="59"/>
  <c r="BF76" i="59" s="1"/>
  <c r="BE69" i="59"/>
  <c r="BE76" i="59" s="1"/>
  <c r="BD69" i="59"/>
  <c r="BD76" i="59" s="1"/>
  <c r="BC69" i="59"/>
  <c r="BC76" i="59" s="1"/>
  <c r="BB69" i="59"/>
  <c r="BB76" i="59" s="1"/>
  <c r="BA69" i="59"/>
  <c r="BA76" i="59" s="1"/>
  <c r="AZ69" i="59"/>
  <c r="AZ76" i="59" s="1"/>
  <c r="BW68" i="59"/>
  <c r="BW75" i="59" s="1"/>
  <c r="BV68" i="59"/>
  <c r="BV75" i="59" s="1"/>
  <c r="BU68" i="59"/>
  <c r="BU75" i="59" s="1"/>
  <c r="BT68" i="59"/>
  <c r="BT75" i="59" s="1"/>
  <c r="BS68" i="59"/>
  <c r="BS75" i="59" s="1"/>
  <c r="BR68" i="59"/>
  <c r="BR75" i="59" s="1"/>
  <c r="BQ68" i="59"/>
  <c r="BQ75" i="59" s="1"/>
  <c r="BP68" i="59"/>
  <c r="BP75" i="59" s="1"/>
  <c r="BO68" i="59"/>
  <c r="BO75" i="59" s="1"/>
  <c r="BN68" i="59"/>
  <c r="BN75" i="59" s="1"/>
  <c r="BM68" i="59"/>
  <c r="BM75" i="59" s="1"/>
  <c r="BL68" i="59"/>
  <c r="BL75" i="59" s="1"/>
  <c r="BK68" i="59"/>
  <c r="BK75" i="59" s="1"/>
  <c r="BJ68" i="59"/>
  <c r="BJ75" i="59" s="1"/>
  <c r="BI68" i="59"/>
  <c r="BI75" i="59" s="1"/>
  <c r="BH68" i="59"/>
  <c r="BH75" i="59" s="1"/>
  <c r="BG68" i="59"/>
  <c r="BG75" i="59" s="1"/>
  <c r="BF68" i="59"/>
  <c r="BF75" i="59" s="1"/>
  <c r="BE68" i="59"/>
  <c r="BE75" i="59" s="1"/>
  <c r="BD68" i="59"/>
  <c r="BD75" i="59" s="1"/>
  <c r="BC68" i="59"/>
  <c r="BC75" i="59" s="1"/>
  <c r="BB68" i="59"/>
  <c r="BB75" i="59" s="1"/>
  <c r="BA68" i="59"/>
  <c r="BA75" i="59" s="1"/>
  <c r="AZ68" i="59"/>
  <c r="AZ75" i="59" s="1"/>
  <c r="BL76" i="61"/>
  <c r="BP76" i="61"/>
  <c r="BT76" i="61"/>
  <c r="AZ77" i="61"/>
  <c r="BD77" i="61"/>
  <c r="BH77" i="61"/>
  <c r="BL77" i="61"/>
  <c r="BP77" i="61"/>
  <c r="BT77" i="61"/>
  <c r="AZ78" i="61"/>
  <c r="BD78" i="61"/>
  <c r="BH78" i="61"/>
  <c r="BL78" i="61"/>
  <c r="BP78" i="61"/>
  <c r="BT78" i="61"/>
  <c r="AZ79" i="61"/>
  <c r="BD79" i="61"/>
  <c r="BH79" i="61"/>
  <c r="BL79" i="61"/>
  <c r="BP79" i="61"/>
  <c r="BT79" i="61"/>
  <c r="AZ80" i="61"/>
  <c r="BD80" i="61"/>
  <c r="BH80" i="61"/>
  <c r="BL80" i="61"/>
  <c r="BP80" i="61"/>
  <c r="BT80" i="61"/>
  <c r="BB75" i="61"/>
  <c r="BE75" i="61"/>
  <c r="BJ75" i="61"/>
  <c r="BM75" i="61"/>
  <c r="BR75" i="61"/>
  <c r="BU75" i="61"/>
  <c r="BW73" i="61"/>
  <c r="BW80" i="61" s="1"/>
  <c r="BV73" i="61"/>
  <c r="BV80" i="61" s="1"/>
  <c r="BU73" i="61"/>
  <c r="BU80" i="61" s="1"/>
  <c r="BT73" i="61"/>
  <c r="BS73" i="61"/>
  <c r="BS80" i="61" s="1"/>
  <c r="BR73" i="61"/>
  <c r="BR80" i="61" s="1"/>
  <c r="BQ73" i="61"/>
  <c r="BQ80" i="61" s="1"/>
  <c r="BP73" i="61"/>
  <c r="BO73" i="61"/>
  <c r="BO80" i="61" s="1"/>
  <c r="BN73" i="61"/>
  <c r="BN80" i="61" s="1"/>
  <c r="BM73" i="61"/>
  <c r="BM80" i="61" s="1"/>
  <c r="BL73" i="61"/>
  <c r="BK73" i="61"/>
  <c r="BK80" i="61" s="1"/>
  <c r="BJ73" i="61"/>
  <c r="BJ80" i="61" s="1"/>
  <c r="BI73" i="61"/>
  <c r="BI80" i="61" s="1"/>
  <c r="BH73" i="61"/>
  <c r="BG73" i="61"/>
  <c r="BG80" i="61" s="1"/>
  <c r="BF73" i="61"/>
  <c r="BF80" i="61" s="1"/>
  <c r="BE73" i="61"/>
  <c r="BE80" i="61" s="1"/>
  <c r="BD73" i="61"/>
  <c r="BC73" i="61"/>
  <c r="BC80" i="61" s="1"/>
  <c r="BB73" i="61"/>
  <c r="BB80" i="61" s="1"/>
  <c r="BA73" i="61"/>
  <c r="BA80" i="61" s="1"/>
  <c r="AZ73" i="61"/>
  <c r="BW72" i="61"/>
  <c r="BW79" i="61" s="1"/>
  <c r="BV72" i="61"/>
  <c r="BV79" i="61" s="1"/>
  <c r="BU72" i="61"/>
  <c r="BU79" i="61" s="1"/>
  <c r="BT72" i="61"/>
  <c r="BS72" i="61"/>
  <c r="BS79" i="61" s="1"/>
  <c r="BR72" i="61"/>
  <c r="BR79" i="61" s="1"/>
  <c r="BQ72" i="61"/>
  <c r="BQ79" i="61" s="1"/>
  <c r="BP72" i="61"/>
  <c r="BO72" i="61"/>
  <c r="BO79" i="61" s="1"/>
  <c r="BN72" i="61"/>
  <c r="BN79" i="61" s="1"/>
  <c r="BM72" i="61"/>
  <c r="BM79" i="61" s="1"/>
  <c r="BL72" i="61"/>
  <c r="BK72" i="61"/>
  <c r="BK79" i="61" s="1"/>
  <c r="BJ72" i="61"/>
  <c r="BJ79" i="61" s="1"/>
  <c r="BI72" i="61"/>
  <c r="BI79" i="61" s="1"/>
  <c r="BH72" i="61"/>
  <c r="BG72" i="61"/>
  <c r="BG79" i="61" s="1"/>
  <c r="BF72" i="61"/>
  <c r="BF79" i="61" s="1"/>
  <c r="BE72" i="61"/>
  <c r="BE79" i="61" s="1"/>
  <c r="BD72" i="61"/>
  <c r="BC72" i="61"/>
  <c r="BC79" i="61" s="1"/>
  <c r="BB72" i="61"/>
  <c r="BB79" i="61" s="1"/>
  <c r="BA72" i="61"/>
  <c r="BA79" i="61" s="1"/>
  <c r="AZ72" i="61"/>
  <c r="BW71" i="61"/>
  <c r="BW78" i="61" s="1"/>
  <c r="BV71" i="61"/>
  <c r="BV78" i="61" s="1"/>
  <c r="BU71" i="61"/>
  <c r="BU78" i="61" s="1"/>
  <c r="BT71" i="61"/>
  <c r="BS71" i="61"/>
  <c r="BS78" i="61" s="1"/>
  <c r="BR71" i="61"/>
  <c r="BR78" i="61" s="1"/>
  <c r="BQ71" i="61"/>
  <c r="BQ78" i="61" s="1"/>
  <c r="BP71" i="61"/>
  <c r="BO71" i="61"/>
  <c r="BO78" i="61" s="1"/>
  <c r="BN71" i="61"/>
  <c r="BN78" i="61" s="1"/>
  <c r="BM71" i="61"/>
  <c r="BM78" i="61" s="1"/>
  <c r="BL71" i="61"/>
  <c r="BK71" i="61"/>
  <c r="BK78" i="61" s="1"/>
  <c r="BJ71" i="61"/>
  <c r="BJ78" i="61" s="1"/>
  <c r="BI71" i="61"/>
  <c r="BI78" i="61" s="1"/>
  <c r="BH71" i="61"/>
  <c r="BG71" i="61"/>
  <c r="BG78" i="61" s="1"/>
  <c r="BF71" i="61"/>
  <c r="BF78" i="61" s="1"/>
  <c r="BE71" i="61"/>
  <c r="BE78" i="61" s="1"/>
  <c r="BD71" i="61"/>
  <c r="BC71" i="61"/>
  <c r="BC78" i="61" s="1"/>
  <c r="BB71" i="61"/>
  <c r="BB78" i="61" s="1"/>
  <c r="BA71" i="61"/>
  <c r="BA78" i="61" s="1"/>
  <c r="AZ71" i="61"/>
  <c r="BW70" i="61"/>
  <c r="BW77" i="61" s="1"/>
  <c r="BV70" i="61"/>
  <c r="BV77" i="61" s="1"/>
  <c r="BU70" i="61"/>
  <c r="BU77" i="61" s="1"/>
  <c r="BT70" i="61"/>
  <c r="BS70" i="61"/>
  <c r="BS77" i="61" s="1"/>
  <c r="BR70" i="61"/>
  <c r="BR77" i="61" s="1"/>
  <c r="BQ70" i="61"/>
  <c r="BQ77" i="61" s="1"/>
  <c r="BP70" i="61"/>
  <c r="BO70" i="61"/>
  <c r="BO77" i="61" s="1"/>
  <c r="BN70" i="61"/>
  <c r="BN77" i="61" s="1"/>
  <c r="BM70" i="61"/>
  <c r="BM77" i="61" s="1"/>
  <c r="BL70" i="61"/>
  <c r="BK70" i="61"/>
  <c r="BK77" i="61" s="1"/>
  <c r="BJ70" i="61"/>
  <c r="BJ77" i="61" s="1"/>
  <c r="BI70" i="61"/>
  <c r="BI77" i="61" s="1"/>
  <c r="BH70" i="61"/>
  <c r="BG70" i="61"/>
  <c r="BG77" i="61" s="1"/>
  <c r="BF70" i="61"/>
  <c r="BF77" i="61" s="1"/>
  <c r="BE70" i="61"/>
  <c r="BE77" i="61" s="1"/>
  <c r="BD70" i="61"/>
  <c r="BC70" i="61"/>
  <c r="BC77" i="61" s="1"/>
  <c r="BB70" i="61"/>
  <c r="BB77" i="61" s="1"/>
  <c r="BA70" i="61"/>
  <c r="BA77" i="61" s="1"/>
  <c r="AZ70" i="61"/>
  <c r="BW69" i="61"/>
  <c r="BW76" i="61" s="1"/>
  <c r="BV69" i="61"/>
  <c r="BV76" i="61" s="1"/>
  <c r="BU69" i="61"/>
  <c r="BU76" i="61" s="1"/>
  <c r="BT69" i="61"/>
  <c r="BS69" i="61"/>
  <c r="BS76" i="61" s="1"/>
  <c r="BR69" i="61"/>
  <c r="BR76" i="61" s="1"/>
  <c r="BQ69" i="61"/>
  <c r="BQ76" i="61" s="1"/>
  <c r="BP69" i="61"/>
  <c r="BO69" i="61"/>
  <c r="BO76" i="61" s="1"/>
  <c r="BN69" i="61"/>
  <c r="BN76" i="61" s="1"/>
  <c r="BM69" i="61"/>
  <c r="BM76" i="61" s="1"/>
  <c r="BL69" i="61"/>
  <c r="BK69" i="61"/>
  <c r="BK76" i="61" s="1"/>
  <c r="BJ69" i="61"/>
  <c r="BJ76" i="61" s="1"/>
  <c r="BI69" i="61"/>
  <c r="BI76" i="61" s="1"/>
  <c r="BH69" i="61"/>
  <c r="BH76" i="61" s="1"/>
  <c r="BG69" i="61"/>
  <c r="BG76" i="61" s="1"/>
  <c r="BF69" i="61"/>
  <c r="BF76" i="61" s="1"/>
  <c r="BE69" i="61"/>
  <c r="BE76" i="61" s="1"/>
  <c r="BD69" i="61"/>
  <c r="BD76" i="61" s="1"/>
  <c r="BC69" i="61"/>
  <c r="BC76" i="61" s="1"/>
  <c r="BB69" i="61"/>
  <c r="BB76" i="61" s="1"/>
  <c r="BA69" i="61"/>
  <c r="BA76" i="61" s="1"/>
  <c r="AZ69" i="61"/>
  <c r="AZ76" i="61" s="1"/>
  <c r="BW68" i="61"/>
  <c r="BW75" i="61" s="1"/>
  <c r="BV68" i="61"/>
  <c r="BV75" i="61" s="1"/>
  <c r="BU68" i="61"/>
  <c r="BT68" i="61"/>
  <c r="BT75" i="61" s="1"/>
  <c r="BS68" i="61"/>
  <c r="BS75" i="61" s="1"/>
  <c r="BR68" i="61"/>
  <c r="BQ68" i="61"/>
  <c r="BQ75" i="61" s="1"/>
  <c r="BP68" i="61"/>
  <c r="BP75" i="61" s="1"/>
  <c r="BO68" i="61"/>
  <c r="BO75" i="61" s="1"/>
  <c r="BN68" i="61"/>
  <c r="BN75" i="61" s="1"/>
  <c r="BM68" i="61"/>
  <c r="BL68" i="61"/>
  <c r="BL75" i="61" s="1"/>
  <c r="BK68" i="61"/>
  <c r="BK75" i="61" s="1"/>
  <c r="BJ68" i="61"/>
  <c r="BI68" i="61"/>
  <c r="BI75" i="61" s="1"/>
  <c r="BH68" i="61"/>
  <c r="BH75" i="61" s="1"/>
  <c r="BG68" i="61"/>
  <c r="BG75" i="61" s="1"/>
  <c r="BF68" i="61"/>
  <c r="BF75" i="61" s="1"/>
  <c r="BE68" i="61"/>
  <c r="BD68" i="61"/>
  <c r="BD75" i="61" s="1"/>
  <c r="BC68" i="61"/>
  <c r="BC75" i="61" s="1"/>
  <c r="BB68" i="61"/>
  <c r="BA68" i="61"/>
  <c r="BA75" i="61" s="1"/>
  <c r="AZ68" i="61"/>
  <c r="AZ75" i="61" s="1"/>
  <c r="AI86" i="59"/>
  <c r="AH86" i="59"/>
  <c r="F123" i="69"/>
  <c r="E123" i="69"/>
  <c r="BL107" i="64" l="1"/>
  <c r="BJ106" i="64"/>
  <c r="BH105" i="64"/>
  <c r="BL103" i="64"/>
  <c r="BJ102" i="64"/>
  <c r="BH101" i="64"/>
  <c r="BL99" i="64"/>
  <c r="BJ98" i="64"/>
  <c r="BH97" i="64"/>
  <c r="BL95" i="64"/>
  <c r="BJ94" i="64"/>
  <c r="BH93" i="64"/>
  <c r="BL91" i="64"/>
  <c r="BJ90" i="64"/>
  <c r="BH89" i="64"/>
  <c r="BL87" i="64"/>
  <c r="BJ86" i="64"/>
  <c r="BH85" i="64"/>
  <c r="BK107" i="64"/>
  <c r="BI106" i="64"/>
  <c r="BG105" i="64"/>
  <c r="BK103" i="64"/>
  <c r="BI102" i="64"/>
  <c r="BG101" i="64"/>
  <c r="BK99" i="64"/>
  <c r="BI98" i="64"/>
  <c r="BG97" i="64"/>
  <c r="BK95" i="64"/>
  <c r="BI94" i="64"/>
  <c r="BG93" i="64"/>
  <c r="BK91" i="64"/>
  <c r="BI90" i="64"/>
  <c r="BG89" i="64"/>
  <c r="BK87" i="64"/>
  <c r="BI86" i="64"/>
  <c r="BG85" i="64"/>
  <c r="BJ107" i="64"/>
  <c r="BH106" i="64"/>
  <c r="BL104" i="64"/>
  <c r="BJ103" i="64"/>
  <c r="BH102" i="64"/>
  <c r="BL100" i="64"/>
  <c r="BJ99" i="64"/>
  <c r="BH98" i="64"/>
  <c r="BL96" i="64"/>
  <c r="BJ95" i="64"/>
  <c r="BH94" i="64"/>
  <c r="BL92" i="64"/>
  <c r="BJ91" i="64"/>
  <c r="BH90" i="64"/>
  <c r="BL88" i="64"/>
  <c r="BJ87" i="64"/>
  <c r="BH86" i="64"/>
  <c r="BL84" i="64"/>
  <c r="BI107" i="64"/>
  <c r="BG106" i="64"/>
  <c r="BK104" i="64"/>
  <c r="BI103" i="64"/>
  <c r="BG102" i="64"/>
  <c r="BK100" i="64"/>
  <c r="BI99" i="64"/>
  <c r="BG98" i="64"/>
  <c r="BK96" i="64"/>
  <c r="BI95" i="64"/>
  <c r="BG94" i="64"/>
  <c r="BK92" i="64"/>
  <c r="BI91" i="64"/>
  <c r="BG90" i="64"/>
  <c r="BK88" i="64"/>
  <c r="BI87" i="64"/>
  <c r="BG86" i="64"/>
  <c r="BK84" i="64"/>
  <c r="BH107" i="64"/>
  <c r="BL105" i="64"/>
  <c r="BJ104" i="64"/>
  <c r="BH103" i="64"/>
  <c r="BL101" i="64"/>
  <c r="BJ100" i="64"/>
  <c r="BH99" i="64"/>
  <c r="BL97" i="64"/>
  <c r="BJ96" i="64"/>
  <c r="BH95" i="64"/>
  <c r="BL93" i="64"/>
  <c r="BJ92" i="64"/>
  <c r="BH91" i="64"/>
  <c r="BL89" i="64"/>
  <c r="BJ88" i="64"/>
  <c r="BH87" i="64"/>
  <c r="BL85" i="64"/>
  <c r="BJ84" i="64"/>
  <c r="BG107" i="64"/>
  <c r="BK105" i="64"/>
  <c r="BI104" i="64"/>
  <c r="BG103" i="64"/>
  <c r="BK101" i="64"/>
  <c r="BI100" i="64"/>
  <c r="BG99" i="64"/>
  <c r="BK97" i="64"/>
  <c r="BI96" i="64"/>
  <c r="BG95" i="64"/>
  <c r="BK93" i="64"/>
  <c r="BI92" i="64"/>
  <c r="BG91" i="64"/>
  <c r="BK89" i="64"/>
  <c r="BI88" i="64"/>
  <c r="BG87" i="64"/>
  <c r="BK85" i="64"/>
  <c r="BI84" i="64"/>
  <c r="BG104" i="64"/>
  <c r="BL106" i="64"/>
  <c r="BJ105" i="64"/>
  <c r="BH104" i="64"/>
  <c r="BL102" i="64"/>
  <c r="BJ101" i="64"/>
  <c r="BH100" i="64"/>
  <c r="BL98" i="64"/>
  <c r="BJ97" i="64"/>
  <c r="BH96" i="64"/>
  <c r="BL94" i="64"/>
  <c r="BJ93" i="64"/>
  <c r="BH92" i="64"/>
  <c r="BL90" i="64"/>
  <c r="BJ89" i="64"/>
  <c r="BH88" i="64"/>
  <c r="BL86" i="64"/>
  <c r="BJ85" i="64"/>
  <c r="BH84" i="64"/>
  <c r="BK106" i="64"/>
  <c r="BI105" i="64"/>
  <c r="BK102" i="64"/>
  <c r="BI101" i="64"/>
  <c r="BG100" i="64"/>
  <c r="BK98" i="64"/>
  <c r="BI97" i="64"/>
  <c r="BG96" i="64"/>
  <c r="BK94" i="64"/>
  <c r="BI93" i="64"/>
  <c r="BG92" i="64"/>
  <c r="BK90" i="64"/>
  <c r="BI89" i="64"/>
  <c r="BG88" i="64"/>
  <c r="BK86" i="64"/>
  <c r="BI85" i="64"/>
  <c r="BG84" i="64"/>
  <c r="AZ75" i="64"/>
  <c r="BL107" i="42"/>
  <c r="BJ106" i="42"/>
  <c r="BH105" i="42"/>
  <c r="BL103" i="42"/>
  <c r="BJ102" i="42"/>
  <c r="BH101" i="42"/>
  <c r="BL99" i="42"/>
  <c r="BJ98" i="42"/>
  <c r="BH97" i="42"/>
  <c r="BL95" i="42"/>
  <c r="BJ94" i="42"/>
  <c r="BH93" i="42"/>
  <c r="BL91" i="42"/>
  <c r="BJ90" i="42"/>
  <c r="BH89" i="42"/>
  <c r="BL87" i="42"/>
  <c r="BJ86" i="42"/>
  <c r="BH85" i="42"/>
  <c r="BH104" i="42"/>
  <c r="BK107" i="42"/>
  <c r="BI106" i="42"/>
  <c r="BG105" i="42"/>
  <c r="BK103" i="42"/>
  <c r="BI102" i="42"/>
  <c r="BG101" i="42"/>
  <c r="BK99" i="42"/>
  <c r="BI98" i="42"/>
  <c r="BG97" i="42"/>
  <c r="BK95" i="42"/>
  <c r="BI94" i="42"/>
  <c r="BG93" i="42"/>
  <c r="BK91" i="42"/>
  <c r="BI90" i="42"/>
  <c r="BG89" i="42"/>
  <c r="BK87" i="42"/>
  <c r="BI86" i="42"/>
  <c r="BG85" i="42"/>
  <c r="BJ107" i="42"/>
  <c r="BH106" i="42"/>
  <c r="BL104" i="42"/>
  <c r="BJ103" i="42"/>
  <c r="BH102" i="42"/>
  <c r="BL100" i="42"/>
  <c r="BJ99" i="42"/>
  <c r="BH98" i="42"/>
  <c r="BL96" i="42"/>
  <c r="BJ95" i="42"/>
  <c r="BH94" i="42"/>
  <c r="BL92" i="42"/>
  <c r="BJ91" i="42"/>
  <c r="BH90" i="42"/>
  <c r="BL88" i="42"/>
  <c r="BJ87" i="42"/>
  <c r="BH86" i="42"/>
  <c r="BL84" i="42"/>
  <c r="BI107" i="42"/>
  <c r="BG106" i="42"/>
  <c r="BK104" i="42"/>
  <c r="BI103" i="42"/>
  <c r="BG102" i="42"/>
  <c r="BK100" i="42"/>
  <c r="BI99" i="42"/>
  <c r="BG98" i="42"/>
  <c r="BK96" i="42"/>
  <c r="BI95" i="42"/>
  <c r="BG94" i="42"/>
  <c r="BK92" i="42"/>
  <c r="BI91" i="42"/>
  <c r="BG90" i="42"/>
  <c r="BK88" i="42"/>
  <c r="BI87" i="42"/>
  <c r="BG86" i="42"/>
  <c r="BK84" i="42"/>
  <c r="BG107" i="42"/>
  <c r="BI104" i="42"/>
  <c r="BG103" i="42"/>
  <c r="BG99" i="42"/>
  <c r="BK97" i="42"/>
  <c r="BG95" i="42"/>
  <c r="BK93" i="42"/>
  <c r="BG91" i="42"/>
  <c r="BI88" i="42"/>
  <c r="BK85" i="42"/>
  <c r="BJ105" i="42"/>
  <c r="BJ101" i="42"/>
  <c r="BL98" i="42"/>
  <c r="BH96" i="42"/>
  <c r="BJ93" i="42"/>
  <c r="BL90" i="42"/>
  <c r="BH88" i="42"/>
  <c r="BJ85" i="42"/>
  <c r="BH107" i="42"/>
  <c r="BL105" i="42"/>
  <c r="BJ104" i="42"/>
  <c r="BH103" i="42"/>
  <c r="BL101" i="42"/>
  <c r="BJ100" i="42"/>
  <c r="BH99" i="42"/>
  <c r="BL97" i="42"/>
  <c r="BJ96" i="42"/>
  <c r="BH95" i="42"/>
  <c r="BL93" i="42"/>
  <c r="BJ92" i="42"/>
  <c r="BH91" i="42"/>
  <c r="BL89" i="42"/>
  <c r="BJ88" i="42"/>
  <c r="BH87" i="42"/>
  <c r="BL85" i="42"/>
  <c r="BJ84" i="42"/>
  <c r="BK105" i="42"/>
  <c r="BK101" i="42"/>
  <c r="BI100" i="42"/>
  <c r="BI96" i="42"/>
  <c r="BI92" i="42"/>
  <c r="BK89" i="42"/>
  <c r="BG87" i="42"/>
  <c r="BI84" i="42"/>
  <c r="BL102" i="42"/>
  <c r="BK106" i="42"/>
  <c r="BI105" i="42"/>
  <c r="BG104" i="42"/>
  <c r="BK102" i="42"/>
  <c r="BI101" i="42"/>
  <c r="BG100" i="42"/>
  <c r="BK98" i="42"/>
  <c r="BI97" i="42"/>
  <c r="BG96" i="42"/>
  <c r="BK94" i="42"/>
  <c r="BI93" i="42"/>
  <c r="BG92" i="42"/>
  <c r="BK90" i="42"/>
  <c r="BI89" i="42"/>
  <c r="BG88" i="42"/>
  <c r="BK86" i="42"/>
  <c r="BI85" i="42"/>
  <c r="BG84" i="42"/>
  <c r="BL106" i="42"/>
  <c r="BH100" i="42"/>
  <c r="BJ97" i="42"/>
  <c r="BL94" i="42"/>
  <c r="BH92" i="42"/>
  <c r="BJ89" i="42"/>
  <c r="BL86" i="42"/>
  <c r="BH84" i="42"/>
  <c r="AZ75" i="42"/>
  <c r="BL107" i="48"/>
  <c r="BJ106" i="48"/>
  <c r="BH105" i="48"/>
  <c r="BL103" i="48"/>
  <c r="BJ102" i="48"/>
  <c r="BH101" i="48"/>
  <c r="BL99" i="48"/>
  <c r="BJ98" i="48"/>
  <c r="BH97" i="48"/>
  <c r="BL95" i="48"/>
  <c r="BJ94" i="48"/>
  <c r="BH93" i="48"/>
  <c r="BL91" i="48"/>
  <c r="BJ90" i="48"/>
  <c r="BH89" i="48"/>
  <c r="BL87" i="48"/>
  <c r="BJ86" i="48"/>
  <c r="BH85" i="48"/>
  <c r="BK107" i="48"/>
  <c r="BI106" i="48"/>
  <c r="BG105" i="48"/>
  <c r="BK103" i="48"/>
  <c r="BI102" i="48"/>
  <c r="BG101" i="48"/>
  <c r="BK99" i="48"/>
  <c r="BI98" i="48"/>
  <c r="BG97" i="48"/>
  <c r="BK95" i="48"/>
  <c r="BI94" i="48"/>
  <c r="BG93" i="48"/>
  <c r="BK91" i="48"/>
  <c r="BI90" i="48"/>
  <c r="BG89" i="48"/>
  <c r="BK87" i="48"/>
  <c r="BI86" i="48"/>
  <c r="BG85" i="48"/>
  <c r="BJ107" i="48"/>
  <c r="BH106" i="48"/>
  <c r="BL104" i="48"/>
  <c r="BJ103" i="48"/>
  <c r="BH102" i="48"/>
  <c r="BL100" i="48"/>
  <c r="BJ99" i="48"/>
  <c r="BH98" i="48"/>
  <c r="BL96" i="48"/>
  <c r="BJ95" i="48"/>
  <c r="BH94" i="48"/>
  <c r="BL92" i="48"/>
  <c r="BJ91" i="48"/>
  <c r="BH90" i="48"/>
  <c r="BL88" i="48"/>
  <c r="BJ87" i="48"/>
  <c r="BH86" i="48"/>
  <c r="BL84" i="48"/>
  <c r="BI107" i="48"/>
  <c r="BG106" i="48"/>
  <c r="BK104" i="48"/>
  <c r="BI103" i="48"/>
  <c r="BG102" i="48"/>
  <c r="BK100" i="48"/>
  <c r="BI99" i="48"/>
  <c r="BG98" i="48"/>
  <c r="BK96" i="48"/>
  <c r="BI95" i="48"/>
  <c r="BG94" i="48"/>
  <c r="BK92" i="48"/>
  <c r="BI91" i="48"/>
  <c r="BG90" i="48"/>
  <c r="BK88" i="48"/>
  <c r="BI87" i="48"/>
  <c r="BG86" i="48"/>
  <c r="BK84" i="48"/>
  <c r="BH107" i="48"/>
  <c r="BL105" i="48"/>
  <c r="BJ104" i="48"/>
  <c r="BH103" i="48"/>
  <c r="BL101" i="48"/>
  <c r="BJ100" i="48"/>
  <c r="BH99" i="48"/>
  <c r="BL97" i="48"/>
  <c r="BJ96" i="48"/>
  <c r="BH95" i="48"/>
  <c r="BL93" i="48"/>
  <c r="BJ92" i="48"/>
  <c r="BH91" i="48"/>
  <c r="BL89" i="48"/>
  <c r="BJ88" i="48"/>
  <c r="BH87" i="48"/>
  <c r="BL85" i="48"/>
  <c r="BJ84" i="48"/>
  <c r="BG107" i="48"/>
  <c r="BK105" i="48"/>
  <c r="BI104" i="48"/>
  <c r="BG103" i="48"/>
  <c r="BK101" i="48"/>
  <c r="BI100" i="48"/>
  <c r="BG99" i="48"/>
  <c r="BK97" i="48"/>
  <c r="BI96" i="48"/>
  <c r="BG95" i="48"/>
  <c r="BK93" i="48"/>
  <c r="BI92" i="48"/>
  <c r="BG91" i="48"/>
  <c r="BK89" i="48"/>
  <c r="BI88" i="48"/>
  <c r="BG87" i="48"/>
  <c r="BK85" i="48"/>
  <c r="BI84" i="48"/>
  <c r="BL106" i="48"/>
  <c r="BH104" i="48"/>
  <c r="BL102" i="48"/>
  <c r="BJ101" i="48"/>
  <c r="BH100" i="48"/>
  <c r="BL98" i="48"/>
  <c r="BJ97" i="48"/>
  <c r="BH96" i="48"/>
  <c r="BL94" i="48"/>
  <c r="BJ93" i="48"/>
  <c r="BH92" i="48"/>
  <c r="BL90" i="48"/>
  <c r="BJ89" i="48"/>
  <c r="BH88" i="48"/>
  <c r="BK106" i="48"/>
  <c r="BI105" i="48"/>
  <c r="BG104" i="48"/>
  <c r="BK102" i="48"/>
  <c r="BI101" i="48"/>
  <c r="BG100" i="48"/>
  <c r="BK98" i="48"/>
  <c r="BI97" i="48"/>
  <c r="BG96" i="48"/>
  <c r="BK94" i="48"/>
  <c r="BI93" i="48"/>
  <c r="BG92" i="48"/>
  <c r="BK90" i="48"/>
  <c r="BI89" i="48"/>
  <c r="BG88" i="48"/>
  <c r="BK86" i="48"/>
  <c r="BI85" i="48"/>
  <c r="BG84" i="48"/>
  <c r="BH84" i="48"/>
  <c r="BJ85" i="48"/>
  <c r="BL86" i="48"/>
  <c r="BJ105" i="48"/>
  <c r="AZ75" i="48"/>
  <c r="BL107" i="53"/>
  <c r="BJ106" i="53"/>
  <c r="BH105" i="53"/>
  <c r="BL103" i="53"/>
  <c r="BJ102" i="53"/>
  <c r="BH101" i="53"/>
  <c r="BL99" i="53"/>
  <c r="BJ98" i="53"/>
  <c r="BH97" i="53"/>
  <c r="BL95" i="53"/>
  <c r="BJ94" i="53"/>
  <c r="BH93" i="53"/>
  <c r="BL91" i="53"/>
  <c r="BJ90" i="53"/>
  <c r="BH89" i="53"/>
  <c r="BL87" i="53"/>
  <c r="BJ86" i="53"/>
  <c r="BH85" i="53"/>
  <c r="BK107" i="53"/>
  <c r="BI106" i="53"/>
  <c r="BG105" i="53"/>
  <c r="BK103" i="53"/>
  <c r="BI102" i="53"/>
  <c r="BG101" i="53"/>
  <c r="BK99" i="53"/>
  <c r="BI98" i="53"/>
  <c r="BG97" i="53"/>
  <c r="BK95" i="53"/>
  <c r="BI94" i="53"/>
  <c r="BG93" i="53"/>
  <c r="BK91" i="53"/>
  <c r="BI90" i="53"/>
  <c r="BG89" i="53"/>
  <c r="BK87" i="53"/>
  <c r="BI86" i="53"/>
  <c r="BG85" i="53"/>
  <c r="BJ105" i="53"/>
  <c r="BH92" i="53"/>
  <c r="BJ85" i="53"/>
  <c r="BJ107" i="53"/>
  <c r="BH106" i="53"/>
  <c r="BL104" i="53"/>
  <c r="BJ103" i="53"/>
  <c r="BH102" i="53"/>
  <c r="BL100" i="53"/>
  <c r="BJ99" i="53"/>
  <c r="BH98" i="53"/>
  <c r="BL96" i="53"/>
  <c r="BJ95" i="53"/>
  <c r="BH94" i="53"/>
  <c r="BL92" i="53"/>
  <c r="BJ91" i="53"/>
  <c r="BH90" i="53"/>
  <c r="BL88" i="53"/>
  <c r="BJ87" i="53"/>
  <c r="BH86" i="53"/>
  <c r="BL84" i="53"/>
  <c r="BL106" i="53"/>
  <c r="BJ101" i="53"/>
  <c r="BH100" i="53"/>
  <c r="BL98" i="53"/>
  <c r="BJ97" i="53"/>
  <c r="BH96" i="53"/>
  <c r="BL94" i="53"/>
  <c r="BJ93" i="53"/>
  <c r="BJ89" i="53"/>
  <c r="BH88" i="53"/>
  <c r="BL86" i="53"/>
  <c r="BI107" i="53"/>
  <c r="BG106" i="53"/>
  <c r="BK104" i="53"/>
  <c r="BI103" i="53"/>
  <c r="BG102" i="53"/>
  <c r="BK100" i="53"/>
  <c r="BI99" i="53"/>
  <c r="BG98" i="53"/>
  <c r="BK96" i="53"/>
  <c r="BI95" i="53"/>
  <c r="BG94" i="53"/>
  <c r="BK92" i="53"/>
  <c r="BI91" i="53"/>
  <c r="BG90" i="53"/>
  <c r="BK88" i="53"/>
  <c r="BI87" i="53"/>
  <c r="BG86" i="53"/>
  <c r="BK84" i="53"/>
  <c r="BH104" i="53"/>
  <c r="BL90" i="53"/>
  <c r="BH84" i="53"/>
  <c r="BH107" i="53"/>
  <c r="BL105" i="53"/>
  <c r="BJ104" i="53"/>
  <c r="BH103" i="53"/>
  <c r="BL101" i="53"/>
  <c r="BJ100" i="53"/>
  <c r="BH99" i="53"/>
  <c r="BL97" i="53"/>
  <c r="BJ96" i="53"/>
  <c r="BH95" i="53"/>
  <c r="BL93" i="53"/>
  <c r="BJ92" i="53"/>
  <c r="BH91" i="53"/>
  <c r="BL89" i="53"/>
  <c r="BJ88" i="53"/>
  <c r="BH87" i="53"/>
  <c r="BL85" i="53"/>
  <c r="BJ84" i="53"/>
  <c r="BL102" i="53"/>
  <c r="BG107" i="53"/>
  <c r="BK105" i="53"/>
  <c r="BI104" i="53"/>
  <c r="BG103" i="53"/>
  <c r="BK101" i="53"/>
  <c r="BI100" i="53"/>
  <c r="BG99" i="53"/>
  <c r="BK97" i="53"/>
  <c r="BI96" i="53"/>
  <c r="BG95" i="53"/>
  <c r="BK93" i="53"/>
  <c r="BI92" i="53"/>
  <c r="BG91" i="53"/>
  <c r="BK89" i="53"/>
  <c r="BI88" i="53"/>
  <c r="BG87" i="53"/>
  <c r="BK85" i="53"/>
  <c r="BI84" i="53"/>
  <c r="BK106" i="53"/>
  <c r="BI105" i="53"/>
  <c r="BG104" i="53"/>
  <c r="BK102" i="53"/>
  <c r="BI101" i="53"/>
  <c r="BG100" i="53"/>
  <c r="BK98" i="53"/>
  <c r="BI97" i="53"/>
  <c r="BG96" i="53"/>
  <c r="BK94" i="53"/>
  <c r="BI93" i="53"/>
  <c r="BG92" i="53"/>
  <c r="BK90" i="53"/>
  <c r="BI89" i="53"/>
  <c r="BG88" i="53"/>
  <c r="BK86" i="53"/>
  <c r="BI85" i="53"/>
  <c r="BG84" i="53"/>
  <c r="AZ75" i="53"/>
  <c r="BL107" i="58"/>
  <c r="BJ106" i="58"/>
  <c r="BH105" i="58"/>
  <c r="BL103" i="58"/>
  <c r="BJ102" i="58"/>
  <c r="BH101" i="58"/>
  <c r="BL99" i="58"/>
  <c r="BJ98" i="58"/>
  <c r="BH97" i="58"/>
  <c r="BL95" i="58"/>
  <c r="BJ94" i="58"/>
  <c r="BH93" i="58"/>
  <c r="BL91" i="58"/>
  <c r="BJ90" i="58"/>
  <c r="BH89" i="58"/>
  <c r="BL87" i="58"/>
  <c r="BJ86" i="58"/>
  <c r="BH85" i="58"/>
  <c r="BJ105" i="58"/>
  <c r="BL102" i="58"/>
  <c r="BJ101" i="58"/>
  <c r="BH100" i="58"/>
  <c r="BJ97" i="58"/>
  <c r="BH96" i="58"/>
  <c r="BJ93" i="58"/>
  <c r="BL90" i="58"/>
  <c r="BL86" i="58"/>
  <c r="BH84" i="58"/>
  <c r="BK106" i="58"/>
  <c r="BI101" i="58"/>
  <c r="BK98" i="58"/>
  <c r="BG96" i="58"/>
  <c r="BI93" i="58"/>
  <c r="BK90" i="58"/>
  <c r="BG88" i="58"/>
  <c r="BI85" i="58"/>
  <c r="BK107" i="58"/>
  <c r="BI106" i="58"/>
  <c r="BG105" i="58"/>
  <c r="BK103" i="58"/>
  <c r="BI102" i="58"/>
  <c r="BG101" i="58"/>
  <c r="BK99" i="58"/>
  <c r="BI98" i="58"/>
  <c r="BG97" i="58"/>
  <c r="BK95" i="58"/>
  <c r="BI94" i="58"/>
  <c r="BG93" i="58"/>
  <c r="BK91" i="58"/>
  <c r="BI90" i="58"/>
  <c r="BG89" i="58"/>
  <c r="BK87" i="58"/>
  <c r="BI86" i="58"/>
  <c r="BG85" i="58"/>
  <c r="BH88" i="58"/>
  <c r="BK102" i="58"/>
  <c r="BJ107" i="58"/>
  <c r="BH106" i="58"/>
  <c r="BL104" i="58"/>
  <c r="BJ103" i="58"/>
  <c r="BH102" i="58"/>
  <c r="BL100" i="58"/>
  <c r="BJ99" i="58"/>
  <c r="BH98" i="58"/>
  <c r="BL96" i="58"/>
  <c r="BJ95" i="58"/>
  <c r="BH94" i="58"/>
  <c r="BL92" i="58"/>
  <c r="BJ91" i="58"/>
  <c r="BH90" i="58"/>
  <c r="BL88" i="58"/>
  <c r="BJ87" i="58"/>
  <c r="BH86" i="58"/>
  <c r="BL84" i="58"/>
  <c r="BL106" i="58"/>
  <c r="BL98" i="58"/>
  <c r="BL94" i="58"/>
  <c r="BH92" i="58"/>
  <c r="BJ89" i="58"/>
  <c r="BJ85" i="58"/>
  <c r="BI105" i="58"/>
  <c r="BG100" i="58"/>
  <c r="BI97" i="58"/>
  <c r="BK94" i="58"/>
  <c r="BG92" i="58"/>
  <c r="BI89" i="58"/>
  <c r="BK86" i="58"/>
  <c r="BG84" i="58"/>
  <c r="BI107" i="58"/>
  <c r="BG106" i="58"/>
  <c r="BK104" i="58"/>
  <c r="BI103" i="58"/>
  <c r="BG102" i="58"/>
  <c r="BK100" i="58"/>
  <c r="BI99" i="58"/>
  <c r="BG98" i="58"/>
  <c r="BK96" i="58"/>
  <c r="BI95" i="58"/>
  <c r="BG94" i="58"/>
  <c r="BK92" i="58"/>
  <c r="BI91" i="58"/>
  <c r="BG90" i="58"/>
  <c r="BK88" i="58"/>
  <c r="BI87" i="58"/>
  <c r="BG86" i="58"/>
  <c r="BK84" i="58"/>
  <c r="BH104" i="58"/>
  <c r="BG104" i="58"/>
  <c r="BH107" i="58"/>
  <c r="BL105" i="58"/>
  <c r="BJ104" i="58"/>
  <c r="BH103" i="58"/>
  <c r="BL101" i="58"/>
  <c r="BJ100" i="58"/>
  <c r="BH99" i="58"/>
  <c r="BL97" i="58"/>
  <c r="BJ96" i="58"/>
  <c r="BH95" i="58"/>
  <c r="BL93" i="58"/>
  <c r="BJ92" i="58"/>
  <c r="BH91" i="58"/>
  <c r="BL89" i="58"/>
  <c r="BJ88" i="58"/>
  <c r="BH87" i="58"/>
  <c r="BL85" i="58"/>
  <c r="BJ84" i="58"/>
  <c r="BG107" i="58"/>
  <c r="BK105" i="58"/>
  <c r="BI104" i="58"/>
  <c r="BG103" i="58"/>
  <c r="BK101" i="58"/>
  <c r="BI100" i="58"/>
  <c r="BG99" i="58"/>
  <c r="BK97" i="58"/>
  <c r="BI96" i="58"/>
  <c r="BG95" i="58"/>
  <c r="BK93" i="58"/>
  <c r="BI92" i="58"/>
  <c r="BG91" i="58"/>
  <c r="BK89" i="58"/>
  <c r="BI88" i="58"/>
  <c r="BG87" i="58"/>
  <c r="BK85" i="58"/>
  <c r="BI84" i="58"/>
  <c r="AZ75" i="58"/>
  <c r="BJ106" i="59"/>
  <c r="BL103" i="59"/>
  <c r="BJ102" i="59"/>
  <c r="BL99" i="59"/>
  <c r="BH97" i="59"/>
  <c r="BH93" i="59"/>
  <c r="BJ90" i="59"/>
  <c r="BL87" i="59"/>
  <c r="BH85" i="59"/>
  <c r="BK107" i="59"/>
  <c r="BI106" i="59"/>
  <c r="BG105" i="59"/>
  <c r="BK103" i="59"/>
  <c r="BI102" i="59"/>
  <c r="BG101" i="59"/>
  <c r="BK99" i="59"/>
  <c r="BI98" i="59"/>
  <c r="BG97" i="59"/>
  <c r="BK95" i="59"/>
  <c r="BI94" i="59"/>
  <c r="BG93" i="59"/>
  <c r="BK91" i="59"/>
  <c r="BI90" i="59"/>
  <c r="BG89" i="59"/>
  <c r="BK87" i="59"/>
  <c r="BI86" i="59"/>
  <c r="BG85" i="59"/>
  <c r="BL107" i="59"/>
  <c r="BH105" i="59"/>
  <c r="BH101" i="59"/>
  <c r="BJ98" i="59"/>
  <c r="BL95" i="59"/>
  <c r="BJ94" i="59"/>
  <c r="BL91" i="59"/>
  <c r="BH89" i="59"/>
  <c r="BJ86" i="59"/>
  <c r="BJ107" i="59"/>
  <c r="BH106" i="59"/>
  <c r="BL104" i="59"/>
  <c r="BJ103" i="59"/>
  <c r="BH102" i="59"/>
  <c r="BL100" i="59"/>
  <c r="BJ99" i="59"/>
  <c r="BH98" i="59"/>
  <c r="BL96" i="59"/>
  <c r="BJ95" i="59"/>
  <c r="BH94" i="59"/>
  <c r="BL92" i="59"/>
  <c r="BJ91" i="59"/>
  <c r="BH90" i="59"/>
  <c r="BL88" i="59"/>
  <c r="BJ87" i="59"/>
  <c r="BH86" i="59"/>
  <c r="BL84" i="59"/>
  <c r="BK84" i="59"/>
  <c r="BG106" i="59"/>
  <c r="BK100" i="59"/>
  <c r="BK88" i="59"/>
  <c r="BH107" i="59"/>
  <c r="BL105" i="59"/>
  <c r="BJ104" i="59"/>
  <c r="BH103" i="59"/>
  <c r="BL101" i="59"/>
  <c r="BJ100" i="59"/>
  <c r="BH99" i="59"/>
  <c r="BL97" i="59"/>
  <c r="BJ96" i="59"/>
  <c r="BH95" i="59"/>
  <c r="BL93" i="59"/>
  <c r="BJ92" i="59"/>
  <c r="BH91" i="59"/>
  <c r="BL89" i="59"/>
  <c r="BJ88" i="59"/>
  <c r="BH87" i="59"/>
  <c r="BL85" i="59"/>
  <c r="BJ84" i="59"/>
  <c r="BK104" i="59"/>
  <c r="BG102" i="59"/>
  <c r="BG98" i="59"/>
  <c r="BI95" i="59"/>
  <c r="BI91" i="59"/>
  <c r="BG86" i="59"/>
  <c r="BG107" i="59"/>
  <c r="BK105" i="59"/>
  <c r="BI104" i="59"/>
  <c r="BG103" i="59"/>
  <c r="BK101" i="59"/>
  <c r="BI100" i="59"/>
  <c r="BG99" i="59"/>
  <c r="BK97" i="59"/>
  <c r="BI96" i="59"/>
  <c r="BG95" i="59"/>
  <c r="BK93" i="59"/>
  <c r="BI92" i="59"/>
  <c r="BG91" i="59"/>
  <c r="BK89" i="59"/>
  <c r="BI88" i="59"/>
  <c r="BG87" i="59"/>
  <c r="BK85" i="59"/>
  <c r="BI84" i="59"/>
  <c r="BI107" i="59"/>
  <c r="BI103" i="59"/>
  <c r="BI99" i="59"/>
  <c r="BK96" i="59"/>
  <c r="BG94" i="59"/>
  <c r="BK92" i="59"/>
  <c r="BG90" i="59"/>
  <c r="BI87" i="59"/>
  <c r="BL106" i="59"/>
  <c r="BJ105" i="59"/>
  <c r="BH104" i="59"/>
  <c r="BL102" i="59"/>
  <c r="BJ101" i="59"/>
  <c r="BH100" i="59"/>
  <c r="BL98" i="59"/>
  <c r="BJ97" i="59"/>
  <c r="BH96" i="59"/>
  <c r="BL94" i="59"/>
  <c r="BJ93" i="59"/>
  <c r="BH92" i="59"/>
  <c r="BL90" i="59"/>
  <c r="BJ89" i="59"/>
  <c r="BH88" i="59"/>
  <c r="BL86" i="59"/>
  <c r="BJ85" i="59"/>
  <c r="BH84" i="59"/>
  <c r="BK106" i="59"/>
  <c r="BI105" i="59"/>
  <c r="BG104" i="59"/>
  <c r="BK102" i="59"/>
  <c r="BI101" i="59"/>
  <c r="BG100" i="59"/>
  <c r="BK98" i="59"/>
  <c r="BI97" i="59"/>
  <c r="BG96" i="59"/>
  <c r="BK94" i="59"/>
  <c r="BI93" i="59"/>
  <c r="BG92" i="59"/>
  <c r="BK90" i="59"/>
  <c r="BI89" i="59"/>
  <c r="BG88" i="59"/>
  <c r="BK86" i="59"/>
  <c r="BI85" i="59"/>
  <c r="AH125" i="69"/>
  <c r="AI125" i="69"/>
  <c r="AH124" i="69"/>
  <c r="AI124" i="69"/>
  <c r="AF286" i="69"/>
  <c r="AE286" i="69"/>
  <c r="AD286" i="69"/>
  <c r="AC286" i="69"/>
  <c r="AB286" i="69"/>
  <c r="AA286" i="69"/>
  <c r="Z286" i="69"/>
  <c r="Y286" i="69"/>
  <c r="X286" i="69"/>
  <c r="W286" i="69"/>
  <c r="V286" i="69"/>
  <c r="U286" i="69"/>
  <c r="T286" i="69"/>
  <c r="S286" i="69"/>
  <c r="R286" i="69"/>
  <c r="Q286" i="69"/>
  <c r="P286" i="69"/>
  <c r="O286" i="69"/>
  <c r="N286" i="69"/>
  <c r="M286" i="69"/>
  <c r="L286" i="69"/>
  <c r="K286" i="69"/>
  <c r="J286" i="69"/>
  <c r="I286" i="69"/>
  <c r="H286" i="69"/>
  <c r="G286" i="69"/>
  <c r="F286" i="69"/>
  <c r="E286" i="69"/>
  <c r="D286" i="69"/>
  <c r="C286" i="69"/>
  <c r="B286" i="69"/>
  <c r="A286" i="69"/>
  <c r="AF285" i="69"/>
  <c r="AE285" i="69"/>
  <c r="AD285" i="69"/>
  <c r="AC285" i="69"/>
  <c r="AB285" i="69"/>
  <c r="AA285" i="69"/>
  <c r="Z285" i="69"/>
  <c r="Y285" i="69"/>
  <c r="X285" i="69"/>
  <c r="W285" i="69"/>
  <c r="V285" i="69"/>
  <c r="U285" i="69"/>
  <c r="T285" i="69"/>
  <c r="S285" i="69"/>
  <c r="R285" i="69"/>
  <c r="Q285" i="69"/>
  <c r="P285" i="69"/>
  <c r="O285" i="69"/>
  <c r="N285" i="69"/>
  <c r="M285" i="69"/>
  <c r="L285" i="69"/>
  <c r="K285" i="69"/>
  <c r="J285" i="69"/>
  <c r="I285" i="69"/>
  <c r="H285" i="69"/>
  <c r="G285" i="69"/>
  <c r="F285" i="69"/>
  <c r="E285" i="69"/>
  <c r="D285" i="69"/>
  <c r="C285" i="69"/>
  <c r="B285" i="69"/>
  <c r="A285" i="69"/>
  <c r="AF284" i="69"/>
  <c r="AE284" i="69"/>
  <c r="AD284" i="69"/>
  <c r="AC284" i="69"/>
  <c r="AB284" i="69"/>
  <c r="AA284" i="69"/>
  <c r="Z284" i="69"/>
  <c r="Y284" i="69"/>
  <c r="X284" i="69"/>
  <c r="W284" i="69"/>
  <c r="V284" i="69"/>
  <c r="U284" i="69"/>
  <c r="T284" i="69"/>
  <c r="S284" i="69"/>
  <c r="R284" i="69"/>
  <c r="Q284" i="69"/>
  <c r="P284" i="69"/>
  <c r="O284" i="69"/>
  <c r="N284" i="69"/>
  <c r="M284" i="69"/>
  <c r="L284" i="69"/>
  <c r="K284" i="69"/>
  <c r="J284" i="69"/>
  <c r="I284" i="69"/>
  <c r="H284" i="69"/>
  <c r="G284" i="69"/>
  <c r="F284" i="69"/>
  <c r="E284" i="69"/>
  <c r="D284" i="69"/>
  <c r="C284" i="69"/>
  <c r="B284" i="69"/>
  <c r="A284" i="69"/>
  <c r="AF283" i="69"/>
  <c r="AE283" i="69"/>
  <c r="AD283" i="69"/>
  <c r="AC283" i="69"/>
  <c r="AB283" i="69"/>
  <c r="AA283" i="69"/>
  <c r="Z283" i="69"/>
  <c r="Y283" i="69"/>
  <c r="X283" i="69"/>
  <c r="W283" i="69"/>
  <c r="V283" i="69"/>
  <c r="U283" i="69"/>
  <c r="T283" i="69"/>
  <c r="S283" i="69"/>
  <c r="R283" i="69"/>
  <c r="Q283" i="69"/>
  <c r="P283" i="69"/>
  <c r="O283" i="69"/>
  <c r="N283" i="69"/>
  <c r="M283" i="69"/>
  <c r="L283" i="69"/>
  <c r="K283" i="69"/>
  <c r="J283" i="69"/>
  <c r="I283" i="69"/>
  <c r="H283" i="69"/>
  <c r="G283" i="69"/>
  <c r="F283" i="69"/>
  <c r="E283" i="69"/>
  <c r="D283" i="69"/>
  <c r="C283" i="69"/>
  <c r="B283" i="69"/>
  <c r="A283" i="69"/>
  <c r="B282" i="69"/>
  <c r="Z261" i="69"/>
  <c r="S257" i="69"/>
  <c r="AG252" i="69"/>
  <c r="C252" i="69"/>
  <c r="D251" i="69"/>
  <c r="D250" i="69"/>
  <c r="E250" i="69" s="1"/>
  <c r="F250" i="69" s="1"/>
  <c r="G250" i="69" s="1"/>
  <c r="H250" i="69" s="1"/>
  <c r="I250" i="69" s="1"/>
  <c r="J250" i="69" s="1"/>
  <c r="K250" i="69" s="1"/>
  <c r="L250" i="69" s="1"/>
  <c r="M250" i="69" s="1"/>
  <c r="N250" i="69" s="1"/>
  <c r="O250" i="69" s="1"/>
  <c r="P250" i="69" s="1"/>
  <c r="Q250" i="69" s="1"/>
  <c r="R250" i="69" s="1"/>
  <c r="S250" i="69" s="1"/>
  <c r="T250" i="69" s="1"/>
  <c r="U250" i="69" s="1"/>
  <c r="V250" i="69" s="1"/>
  <c r="W250" i="69" s="1"/>
  <c r="X250" i="69" s="1"/>
  <c r="Y250" i="69" s="1"/>
  <c r="Z250" i="69" s="1"/>
  <c r="AA250" i="69" s="1"/>
  <c r="AB250" i="69" s="1"/>
  <c r="AC250" i="69" s="1"/>
  <c r="AD250" i="69" s="1"/>
  <c r="AE250" i="69" s="1"/>
  <c r="AF250" i="69" s="1"/>
  <c r="B250" i="69" s="1"/>
  <c r="D249" i="69"/>
  <c r="E249" i="69" s="1"/>
  <c r="F249" i="69" s="1"/>
  <c r="G249" i="69" s="1"/>
  <c r="H249" i="69" s="1"/>
  <c r="I249" i="69" s="1"/>
  <c r="J249" i="69" s="1"/>
  <c r="K249" i="69" s="1"/>
  <c r="L249" i="69" s="1"/>
  <c r="M249" i="69" s="1"/>
  <c r="N249" i="69" s="1"/>
  <c r="O249" i="69" s="1"/>
  <c r="P249" i="69" s="1"/>
  <c r="Q249" i="69" s="1"/>
  <c r="R249" i="69" s="1"/>
  <c r="S249" i="69" s="1"/>
  <c r="T249" i="69" s="1"/>
  <c r="U249" i="69" s="1"/>
  <c r="V249" i="69" s="1"/>
  <c r="W249" i="69" s="1"/>
  <c r="X249" i="69" s="1"/>
  <c r="Y249" i="69" s="1"/>
  <c r="Z249" i="69" s="1"/>
  <c r="AA249" i="69" s="1"/>
  <c r="AB249" i="69" s="1"/>
  <c r="AC249" i="69" s="1"/>
  <c r="AD249" i="69" s="1"/>
  <c r="AE249" i="69" s="1"/>
  <c r="AF249" i="69" s="1"/>
  <c r="B249" i="69" s="1"/>
  <c r="N248" i="69"/>
  <c r="O248" i="69" s="1"/>
  <c r="P248" i="69" s="1"/>
  <c r="Q248" i="69" s="1"/>
  <c r="R248" i="69" s="1"/>
  <c r="S248" i="69" s="1"/>
  <c r="T248" i="69" s="1"/>
  <c r="U248" i="69" s="1"/>
  <c r="V248" i="69" s="1"/>
  <c r="W248" i="69" s="1"/>
  <c r="X248" i="69" s="1"/>
  <c r="Y248" i="69" s="1"/>
  <c r="Z248" i="69" s="1"/>
  <c r="AA248" i="69" s="1"/>
  <c r="AB248" i="69" s="1"/>
  <c r="AC248" i="69" s="1"/>
  <c r="AD248" i="69" s="1"/>
  <c r="AE248" i="69" s="1"/>
  <c r="AF248" i="69" s="1"/>
  <c r="B248" i="69" s="1"/>
  <c r="F248" i="69"/>
  <c r="G248" i="69" s="1"/>
  <c r="H248" i="69" s="1"/>
  <c r="I248" i="69" s="1"/>
  <c r="J248" i="69" s="1"/>
  <c r="K248" i="69" s="1"/>
  <c r="L248" i="69" s="1"/>
  <c r="M248" i="69" s="1"/>
  <c r="E248" i="69"/>
  <c r="D248" i="69"/>
  <c r="D247" i="69"/>
  <c r="D246" i="69"/>
  <c r="E246" i="69" s="1"/>
  <c r="AG244" i="69"/>
  <c r="AF244" i="69"/>
  <c r="AE244" i="69"/>
  <c r="AD244" i="69"/>
  <c r="AC244" i="69"/>
  <c r="AB244" i="69"/>
  <c r="AA244" i="69"/>
  <c r="Z244" i="69"/>
  <c r="Y244" i="69"/>
  <c r="Y118" i="69" s="1"/>
  <c r="X244" i="69"/>
  <c r="W244" i="69"/>
  <c r="V244" i="69"/>
  <c r="U244" i="69"/>
  <c r="T244" i="69"/>
  <c r="S244" i="69"/>
  <c r="R244" i="69"/>
  <c r="Q244" i="69"/>
  <c r="P244" i="69"/>
  <c r="O244" i="69"/>
  <c r="N244" i="69"/>
  <c r="M244" i="69"/>
  <c r="L244" i="69"/>
  <c r="K244" i="69"/>
  <c r="J244" i="69"/>
  <c r="I244" i="69"/>
  <c r="H244" i="69"/>
  <c r="G244" i="69"/>
  <c r="F244" i="69"/>
  <c r="E244" i="69"/>
  <c r="D244" i="69"/>
  <c r="C244" i="69"/>
  <c r="B244" i="69"/>
  <c r="AI130" i="69"/>
  <c r="AH130" i="69"/>
  <c r="AI129" i="69"/>
  <c r="AH129" i="69"/>
  <c r="AI128" i="69"/>
  <c r="AH128" i="69"/>
  <c r="AI127" i="69"/>
  <c r="AH127" i="69"/>
  <c r="AI126" i="69"/>
  <c r="AH126" i="69"/>
  <c r="AI123" i="69"/>
  <c r="AH123" i="69"/>
  <c r="AI122" i="69"/>
  <c r="AH122" i="69"/>
  <c r="AI121" i="69"/>
  <c r="AH121" i="69"/>
  <c r="AI120" i="69"/>
  <c r="AH120" i="69"/>
  <c r="AI119" i="69"/>
  <c r="AH119" i="69"/>
  <c r="Z118" i="69"/>
  <c r="D118" i="69"/>
  <c r="C118" i="69"/>
  <c r="AI117" i="69"/>
  <c r="AH117" i="69"/>
  <c r="AI116" i="69"/>
  <c r="AH116" i="69"/>
  <c r="AI115" i="69"/>
  <c r="AH115" i="69"/>
  <c r="AI114" i="69"/>
  <c r="AH114" i="69"/>
  <c r="AI113" i="69"/>
  <c r="AH113" i="69"/>
  <c r="AI112" i="69"/>
  <c r="AH112" i="69"/>
  <c r="AI111" i="69"/>
  <c r="AH111" i="69"/>
  <c r="AI110" i="69"/>
  <c r="AH110" i="69"/>
  <c r="AI109" i="69"/>
  <c r="AH109" i="69"/>
  <c r="AE108" i="69"/>
  <c r="AF107" i="69"/>
  <c r="X107" i="69"/>
  <c r="P107" i="69"/>
  <c r="H107" i="69"/>
  <c r="AI106" i="69"/>
  <c r="AH106" i="69"/>
  <c r="AF105" i="69"/>
  <c r="AE105" i="69"/>
  <c r="AD105" i="69"/>
  <c r="AC105" i="69"/>
  <c r="AB105" i="69"/>
  <c r="AA105" i="69"/>
  <c r="AA107" i="69" s="1"/>
  <c r="Z105" i="69"/>
  <c r="Y105" i="69"/>
  <c r="X105" i="69"/>
  <c r="W105" i="69"/>
  <c r="V105" i="69"/>
  <c r="U105" i="69"/>
  <c r="T105" i="69"/>
  <c r="S105" i="69"/>
  <c r="S107" i="69" s="1"/>
  <c r="R105" i="69"/>
  <c r="Q105" i="69"/>
  <c r="P105" i="69"/>
  <c r="O105" i="69"/>
  <c r="N105" i="69"/>
  <c r="M105" i="69"/>
  <c r="L105" i="69"/>
  <c r="K105" i="69"/>
  <c r="K107" i="69" s="1"/>
  <c r="J105" i="69"/>
  <c r="I105" i="69"/>
  <c r="H105" i="69"/>
  <c r="G105" i="69"/>
  <c r="F105" i="69"/>
  <c r="E105" i="69"/>
  <c r="D105" i="69"/>
  <c r="C105" i="69"/>
  <c r="B105" i="69"/>
  <c r="AF104" i="69"/>
  <c r="AE104" i="69"/>
  <c r="AD104" i="69"/>
  <c r="AC104" i="69"/>
  <c r="AB104" i="69"/>
  <c r="AA104" i="69"/>
  <c r="Z104" i="69"/>
  <c r="Y104" i="69"/>
  <c r="X104" i="69"/>
  <c r="W104" i="69"/>
  <c r="V104" i="69"/>
  <c r="U104" i="69"/>
  <c r="T104" i="69"/>
  <c r="S104" i="69"/>
  <c r="R104" i="69"/>
  <c r="Q104" i="69"/>
  <c r="P104" i="69"/>
  <c r="O104" i="69"/>
  <c r="N104" i="69"/>
  <c r="M104" i="69"/>
  <c r="L104" i="69"/>
  <c r="K104" i="69"/>
  <c r="J104" i="69"/>
  <c r="I104" i="69"/>
  <c r="H104" i="69"/>
  <c r="G104" i="69"/>
  <c r="F104" i="69"/>
  <c r="E104" i="69"/>
  <c r="D104" i="69"/>
  <c r="C104" i="69"/>
  <c r="B104" i="69"/>
  <c r="AF103" i="69"/>
  <c r="AE103" i="69"/>
  <c r="AD103" i="69"/>
  <c r="AC103" i="69"/>
  <c r="AB103" i="69"/>
  <c r="AA103" i="69"/>
  <c r="Z103" i="69"/>
  <c r="Y103" i="69"/>
  <c r="X103" i="69"/>
  <c r="W103" i="69"/>
  <c r="V103" i="69"/>
  <c r="U103" i="69"/>
  <c r="T103" i="69"/>
  <c r="S103" i="69"/>
  <c r="R103" i="69"/>
  <c r="Q103" i="69"/>
  <c r="P103" i="69"/>
  <c r="O103" i="69"/>
  <c r="N103" i="69"/>
  <c r="M103" i="69"/>
  <c r="L103" i="69"/>
  <c r="K103" i="69"/>
  <c r="J103" i="69"/>
  <c r="I103" i="69"/>
  <c r="H103" i="69"/>
  <c r="G103" i="69"/>
  <c r="F103" i="69"/>
  <c r="E103" i="69"/>
  <c r="D103" i="69"/>
  <c r="C103" i="69"/>
  <c r="B103" i="69"/>
  <c r="AF102" i="69"/>
  <c r="AE102" i="69"/>
  <c r="AD102" i="69"/>
  <c r="AC102" i="69"/>
  <c r="AB102" i="69"/>
  <c r="AB107" i="69" s="1"/>
  <c r="AA102" i="69"/>
  <c r="Z102" i="69"/>
  <c r="Y102" i="69"/>
  <c r="X102" i="69"/>
  <c r="W102" i="69"/>
  <c r="V102" i="69"/>
  <c r="U102" i="69"/>
  <c r="T102" i="69"/>
  <c r="T107" i="69" s="1"/>
  <c r="S102" i="69"/>
  <c r="R102" i="69"/>
  <c r="Q102" i="69"/>
  <c r="P102" i="69"/>
  <c r="O102" i="69"/>
  <c r="N102" i="69"/>
  <c r="M102" i="69"/>
  <c r="L102" i="69"/>
  <c r="L107" i="69" s="1"/>
  <c r="K102" i="69"/>
  <c r="J102" i="69"/>
  <c r="I102" i="69"/>
  <c r="H102" i="69"/>
  <c r="G102" i="69"/>
  <c r="F102" i="69"/>
  <c r="AH102" i="69" s="1"/>
  <c r="E102" i="69"/>
  <c r="D102" i="69"/>
  <c r="C102" i="69"/>
  <c r="B102" i="69"/>
  <c r="AI102" i="69" s="1"/>
  <c r="AF101" i="69"/>
  <c r="AE101" i="69"/>
  <c r="AE107" i="69" s="1"/>
  <c r="AD101" i="69"/>
  <c r="AD107" i="69" s="1"/>
  <c r="AC101" i="69"/>
  <c r="AB101" i="69"/>
  <c r="AA101" i="69"/>
  <c r="Z101" i="69"/>
  <c r="Z107" i="69" s="1"/>
  <c r="Z108" i="69" s="1"/>
  <c r="Y101" i="69"/>
  <c r="Y107" i="69" s="1"/>
  <c r="X101" i="69"/>
  <c r="W101" i="69"/>
  <c r="W107" i="69" s="1"/>
  <c r="W108" i="69" s="1"/>
  <c r="V101" i="69"/>
  <c r="V107" i="69" s="1"/>
  <c r="U101" i="69"/>
  <c r="T101" i="69"/>
  <c r="S101" i="69"/>
  <c r="R101" i="69"/>
  <c r="R107" i="69" s="1"/>
  <c r="R108" i="69" s="1"/>
  <c r="Q101" i="69"/>
  <c r="Q107" i="69" s="1"/>
  <c r="P101" i="69"/>
  <c r="O101" i="69"/>
  <c r="O107" i="69" s="1"/>
  <c r="O108" i="69" s="1"/>
  <c r="N101" i="69"/>
  <c r="N107" i="69" s="1"/>
  <c r="M101" i="69"/>
  <c r="L101" i="69"/>
  <c r="K101" i="69"/>
  <c r="J101" i="69"/>
  <c r="J107" i="69" s="1"/>
  <c r="J108" i="69" s="1"/>
  <c r="I101" i="69"/>
  <c r="I107" i="69" s="1"/>
  <c r="H101" i="69"/>
  <c r="G101" i="69"/>
  <c r="G107" i="69" s="1"/>
  <c r="G108" i="69" s="1"/>
  <c r="F101" i="69"/>
  <c r="E101" i="69"/>
  <c r="D101" i="69"/>
  <c r="C101" i="69"/>
  <c r="B101" i="69"/>
  <c r="H100" i="69"/>
  <c r="H7" i="69" s="1"/>
  <c r="R99" i="69"/>
  <c r="AI98" i="69"/>
  <c r="AH98" i="69"/>
  <c r="AD97" i="69"/>
  <c r="AD99" i="69" s="1"/>
  <c r="AI96" i="69"/>
  <c r="AH96" i="69"/>
  <c r="AG96" i="69"/>
  <c r="AI95" i="69"/>
  <c r="AH95" i="69"/>
  <c r="AI94" i="69"/>
  <c r="AH94" i="69"/>
  <c r="AI93" i="69"/>
  <c r="AH93" i="69"/>
  <c r="AG92" i="69"/>
  <c r="AF92" i="69"/>
  <c r="AF108" i="69" s="1"/>
  <c r="AE92" i="69"/>
  <c r="AD5" i="69" s="1"/>
  <c r="AD92" i="69"/>
  <c r="AD108" i="69" s="1"/>
  <c r="AC92" i="69"/>
  <c r="AB92" i="69"/>
  <c r="AA92" i="69"/>
  <c r="Z5" i="69" s="1"/>
  <c r="Z92" i="69"/>
  <c r="Y92" i="69"/>
  <c r="Y108" i="69" s="1"/>
  <c r="X92" i="69"/>
  <c r="X108" i="69" s="1"/>
  <c r="W92" i="69"/>
  <c r="V5" i="69" s="1"/>
  <c r="V92" i="69"/>
  <c r="V108" i="69" s="1"/>
  <c r="U92" i="69"/>
  <c r="T92" i="69"/>
  <c r="S92" i="69"/>
  <c r="R5" i="69" s="1"/>
  <c r="R92" i="69"/>
  <c r="Q92" i="69"/>
  <c r="Q108" i="69" s="1"/>
  <c r="P92" i="69"/>
  <c r="P108" i="69" s="1"/>
  <c r="O92" i="69"/>
  <c r="N5" i="69" s="1"/>
  <c r="N92" i="69"/>
  <c r="N108" i="69" s="1"/>
  <c r="M92" i="69"/>
  <c r="L92" i="69"/>
  <c r="K92" i="69"/>
  <c r="J5" i="69" s="1"/>
  <c r="J92" i="69"/>
  <c r="I92" i="69"/>
  <c r="I108" i="69" s="1"/>
  <c r="H92" i="69"/>
  <c r="H108" i="69" s="1"/>
  <c r="G92" i="69"/>
  <c r="F5" i="69" s="1"/>
  <c r="F92" i="69"/>
  <c r="E5" i="69" s="1"/>
  <c r="E92" i="69"/>
  <c r="D5" i="69" s="1"/>
  <c r="D92" i="69"/>
  <c r="C5" i="69" s="1"/>
  <c r="C92" i="69"/>
  <c r="B5" i="69" s="1"/>
  <c r="B92" i="69"/>
  <c r="AI91" i="69"/>
  <c r="AH91" i="69"/>
  <c r="AI90" i="69"/>
  <c r="AH90" i="69"/>
  <c r="AI89" i="69"/>
  <c r="AH89" i="69"/>
  <c r="AI88" i="69"/>
  <c r="AH88" i="69"/>
  <c r="AI87" i="69"/>
  <c r="AH87" i="69"/>
  <c r="AI86" i="69"/>
  <c r="AH86" i="69"/>
  <c r="AI85" i="69"/>
  <c r="AH85" i="69"/>
  <c r="AI84" i="69"/>
  <c r="AH84" i="69"/>
  <c r="AI83" i="69"/>
  <c r="AH83" i="69"/>
  <c r="AI82" i="69"/>
  <c r="AH82" i="69"/>
  <c r="AI81" i="69"/>
  <c r="AH81" i="69"/>
  <c r="AG80" i="69"/>
  <c r="AG4" i="69" s="1"/>
  <c r="AF80" i="69"/>
  <c r="AE80" i="69"/>
  <c r="AD80" i="69"/>
  <c r="AC80" i="69"/>
  <c r="AB80" i="69"/>
  <c r="AA80" i="69"/>
  <c r="Z80" i="69"/>
  <c r="Y80" i="69"/>
  <c r="X80" i="69"/>
  <c r="W80" i="69"/>
  <c r="V80" i="69"/>
  <c r="U80" i="69"/>
  <c r="T80" i="69"/>
  <c r="S80" i="69"/>
  <c r="R80" i="69"/>
  <c r="Q80" i="69"/>
  <c r="P80" i="69"/>
  <c r="O80" i="69"/>
  <c r="N80" i="69"/>
  <c r="M80" i="69"/>
  <c r="L80" i="69"/>
  <c r="K80" i="69"/>
  <c r="J80" i="69"/>
  <c r="I80" i="69"/>
  <c r="H80" i="69"/>
  <c r="G80" i="69"/>
  <c r="F80" i="69"/>
  <c r="E80" i="69"/>
  <c r="D80" i="69"/>
  <c r="C80" i="69"/>
  <c r="B80" i="69"/>
  <c r="AI79" i="69"/>
  <c r="AH79" i="69"/>
  <c r="AI78" i="69"/>
  <c r="AH78" i="69"/>
  <c r="AI77" i="69"/>
  <c r="AH77" i="69"/>
  <c r="AG76" i="69"/>
  <c r="AG3" i="69" s="1"/>
  <c r="AF76" i="69"/>
  <c r="AE76" i="69"/>
  <c r="AD76" i="69"/>
  <c r="AC76" i="69"/>
  <c r="AB76" i="69"/>
  <c r="AA76" i="69"/>
  <c r="Z76" i="69"/>
  <c r="Y76" i="69"/>
  <c r="X76" i="69"/>
  <c r="W76" i="69"/>
  <c r="V76" i="69"/>
  <c r="U76" i="69"/>
  <c r="T76" i="69"/>
  <c r="S76" i="69"/>
  <c r="R76" i="69"/>
  <c r="Q76" i="69"/>
  <c r="P76" i="69"/>
  <c r="O76" i="69"/>
  <c r="N76" i="69"/>
  <c r="M76" i="69"/>
  <c r="L76" i="69"/>
  <c r="K76" i="69"/>
  <c r="J76" i="69"/>
  <c r="I76" i="69"/>
  <c r="H76" i="69"/>
  <c r="G76" i="69"/>
  <c r="F76" i="69"/>
  <c r="E76" i="69"/>
  <c r="D76" i="69"/>
  <c r="C76" i="69"/>
  <c r="B76" i="69"/>
  <c r="AI75" i="69"/>
  <c r="AH75" i="69"/>
  <c r="AG75" i="69"/>
  <c r="AI74" i="69"/>
  <c r="AH74" i="69"/>
  <c r="AI73" i="69"/>
  <c r="AH73" i="69"/>
  <c r="AI72" i="69"/>
  <c r="AH72" i="69"/>
  <c r="AI71" i="69"/>
  <c r="AH71" i="69"/>
  <c r="AI70" i="69"/>
  <c r="AH70" i="69"/>
  <c r="AI69" i="69"/>
  <c r="AH69" i="69"/>
  <c r="AI68" i="69"/>
  <c r="AH68" i="69"/>
  <c r="AI67" i="69"/>
  <c r="AH67" i="69"/>
  <c r="AI66" i="69"/>
  <c r="AH66" i="69"/>
  <c r="AI65" i="69"/>
  <c r="AH65" i="69"/>
  <c r="AI64" i="69"/>
  <c r="AH64" i="69"/>
  <c r="AI63" i="69"/>
  <c r="AH63" i="69"/>
  <c r="AG62" i="69"/>
  <c r="AF62" i="69"/>
  <c r="AE62" i="69"/>
  <c r="AD62" i="69"/>
  <c r="AC62" i="69"/>
  <c r="AB62" i="69"/>
  <c r="AA62" i="69"/>
  <c r="Z62" i="69"/>
  <c r="Y62" i="69"/>
  <c r="X62" i="69"/>
  <c r="W62" i="69"/>
  <c r="V62" i="69"/>
  <c r="U62" i="69"/>
  <c r="T62" i="69"/>
  <c r="S62" i="69"/>
  <c r="R62" i="69"/>
  <c r="Q62" i="69"/>
  <c r="P62" i="69"/>
  <c r="O62" i="69"/>
  <c r="N62" i="69"/>
  <c r="M62" i="69"/>
  <c r="L62" i="69"/>
  <c r="K62" i="69"/>
  <c r="J62" i="69"/>
  <c r="I62" i="69"/>
  <c r="H62" i="69"/>
  <c r="G62" i="69"/>
  <c r="F62" i="69"/>
  <c r="E62" i="69"/>
  <c r="D62" i="69"/>
  <c r="C62" i="69"/>
  <c r="B62" i="69"/>
  <c r="AI61" i="69"/>
  <c r="AH61" i="69"/>
  <c r="AI60" i="69"/>
  <c r="AH60" i="69"/>
  <c r="AI59" i="69"/>
  <c r="AH59" i="69"/>
  <c r="AG58" i="69"/>
  <c r="AF58" i="69"/>
  <c r="AF97" i="69" s="1"/>
  <c r="AF99" i="69" s="1"/>
  <c r="AX261" i="69" s="1"/>
  <c r="AE58" i="69"/>
  <c r="AE97" i="69" s="1"/>
  <c r="AE99" i="69" s="1"/>
  <c r="AD58" i="69"/>
  <c r="AC58" i="69"/>
  <c r="AC97" i="69" s="1"/>
  <c r="AC99" i="69" s="1"/>
  <c r="AB58" i="69"/>
  <c r="AA58" i="69"/>
  <c r="AA97" i="69" s="1"/>
  <c r="AA99" i="69" s="1"/>
  <c r="Z58" i="69"/>
  <c r="Z97" i="69" s="1"/>
  <c r="Z99" i="69" s="1"/>
  <c r="Y58" i="69"/>
  <c r="X58" i="69"/>
  <c r="X97" i="69" s="1"/>
  <c r="X99" i="69" s="1"/>
  <c r="X100" i="69" s="1"/>
  <c r="X7" i="69" s="1"/>
  <c r="W58" i="69"/>
  <c r="W97" i="69" s="1"/>
  <c r="W99" i="69" s="1"/>
  <c r="V58" i="69"/>
  <c r="V97" i="69" s="1"/>
  <c r="V99" i="69" s="1"/>
  <c r="U58" i="69"/>
  <c r="U97" i="69" s="1"/>
  <c r="U99" i="69" s="1"/>
  <c r="T58" i="69"/>
  <c r="S58" i="69"/>
  <c r="S97" i="69" s="1"/>
  <c r="S99" i="69" s="1"/>
  <c r="R58" i="69"/>
  <c r="R97" i="69" s="1"/>
  <c r="Q58" i="69"/>
  <c r="P58" i="69"/>
  <c r="P97" i="69" s="1"/>
  <c r="P99" i="69" s="1"/>
  <c r="AH261" i="69" s="1"/>
  <c r="O58" i="69"/>
  <c r="O97" i="69" s="1"/>
  <c r="O99" i="69" s="1"/>
  <c r="N58" i="69"/>
  <c r="N97" i="69" s="1"/>
  <c r="N99" i="69" s="1"/>
  <c r="M58" i="69"/>
  <c r="M97" i="69" s="1"/>
  <c r="M99" i="69" s="1"/>
  <c r="L58" i="69"/>
  <c r="K58" i="69"/>
  <c r="K97" i="69" s="1"/>
  <c r="K99" i="69" s="1"/>
  <c r="J58" i="69"/>
  <c r="J97" i="69" s="1"/>
  <c r="J99" i="69" s="1"/>
  <c r="I58" i="69"/>
  <c r="H58" i="69"/>
  <c r="H97" i="69" s="1"/>
  <c r="H99" i="69" s="1"/>
  <c r="G58" i="69"/>
  <c r="G97" i="69" s="1"/>
  <c r="G99" i="69" s="1"/>
  <c r="F58" i="69"/>
  <c r="E58" i="69"/>
  <c r="D58" i="69"/>
  <c r="C58" i="69"/>
  <c r="B58" i="69"/>
  <c r="AI57" i="69"/>
  <c r="AH57" i="69"/>
  <c r="AI56" i="69"/>
  <c r="AH56" i="69"/>
  <c r="AI55" i="69"/>
  <c r="AH55" i="69"/>
  <c r="AI54" i="69"/>
  <c r="AH54" i="69"/>
  <c r="AI53" i="69"/>
  <c r="AH53" i="69"/>
  <c r="AI52" i="69"/>
  <c r="AH52" i="69"/>
  <c r="AI51" i="69"/>
  <c r="AH51" i="69"/>
  <c r="AI50" i="69"/>
  <c r="AH50" i="69"/>
  <c r="AI49" i="69"/>
  <c r="AH49" i="69"/>
  <c r="AI48" i="69"/>
  <c r="AH48" i="69"/>
  <c r="AI47" i="69"/>
  <c r="AH47" i="69"/>
  <c r="AI46" i="69"/>
  <c r="AH46" i="69"/>
  <c r="AI45" i="69"/>
  <c r="AH45" i="69"/>
  <c r="AI44" i="69"/>
  <c r="AH44" i="69"/>
  <c r="AI43" i="69"/>
  <c r="AH43" i="69"/>
  <c r="AI42" i="69"/>
  <c r="AH42" i="69"/>
  <c r="AI41" i="69"/>
  <c r="AH41" i="69"/>
  <c r="AI40" i="69"/>
  <c r="AH40" i="69"/>
  <c r="AI39" i="69"/>
  <c r="AH39" i="69"/>
  <c r="AI38" i="69"/>
  <c r="AH38" i="69"/>
  <c r="AI37" i="69"/>
  <c r="AH37" i="69"/>
  <c r="AI36" i="69"/>
  <c r="AH36" i="69"/>
  <c r="AI35" i="69"/>
  <c r="AH35" i="69"/>
  <c r="AI34" i="69"/>
  <c r="AH34" i="69"/>
  <c r="AI33" i="69"/>
  <c r="AH33" i="69"/>
  <c r="AI32" i="69"/>
  <c r="AH32" i="69"/>
  <c r="AI31" i="69"/>
  <c r="AH31" i="69"/>
  <c r="AI30" i="69"/>
  <c r="AH30" i="69"/>
  <c r="AI29" i="69"/>
  <c r="AH29" i="69"/>
  <c r="AI28" i="69"/>
  <c r="AH28" i="69"/>
  <c r="AI27" i="69"/>
  <c r="AH27" i="69"/>
  <c r="AI26" i="69"/>
  <c r="AH26" i="69"/>
  <c r="AI25" i="69"/>
  <c r="AH25" i="69"/>
  <c r="AI24" i="69"/>
  <c r="AH24" i="69"/>
  <c r="AI23" i="69"/>
  <c r="AH23" i="69"/>
  <c r="AI22" i="69"/>
  <c r="AH22" i="69"/>
  <c r="AI21" i="69"/>
  <c r="AH21" i="69"/>
  <c r="AI20" i="69"/>
  <c r="AH20" i="69"/>
  <c r="AI19" i="69"/>
  <c r="AH19" i="69"/>
  <c r="AI18" i="69"/>
  <c r="AH18" i="69"/>
  <c r="AI17" i="69"/>
  <c r="AH17" i="69"/>
  <c r="AI16" i="69"/>
  <c r="AH16" i="69"/>
  <c r="AI15" i="69"/>
  <c r="AH15" i="69"/>
  <c r="AI14" i="69"/>
  <c r="AH14" i="69"/>
  <c r="AI13" i="69"/>
  <c r="AH13" i="69"/>
  <c r="AI12" i="69"/>
  <c r="AH12" i="69"/>
  <c r="AI11" i="69"/>
  <c r="AH11" i="69"/>
  <c r="AE5" i="69"/>
  <c r="AC5" i="69"/>
  <c r="AB5" i="69"/>
  <c r="AA5" i="69"/>
  <c r="Y5" i="69"/>
  <c r="X5" i="69"/>
  <c r="W5" i="69"/>
  <c r="U5" i="69"/>
  <c r="T5" i="69"/>
  <c r="S5" i="69"/>
  <c r="Q5" i="69"/>
  <c r="P5" i="69"/>
  <c r="O5" i="69"/>
  <c r="M5" i="69"/>
  <c r="L5" i="69"/>
  <c r="K5" i="69"/>
  <c r="I5" i="69"/>
  <c r="H5" i="69"/>
  <c r="G5" i="69"/>
  <c r="K4" i="69"/>
  <c r="E4" i="69"/>
  <c r="H4" i="69" s="1"/>
  <c r="B4" i="69"/>
  <c r="S258" i="69" s="1"/>
  <c r="AG2" i="69"/>
  <c r="AG6" i="69" s="1"/>
  <c r="AE118" i="68"/>
  <c r="AF118" i="68"/>
  <c r="AD118" i="68"/>
  <c r="AB123" i="68"/>
  <c r="AA123" i="68"/>
  <c r="Z123" i="68"/>
  <c r="Z58" i="68"/>
  <c r="Z62" i="68"/>
  <c r="Z76" i="68"/>
  <c r="Z80" i="68"/>
  <c r="Z92" i="68"/>
  <c r="Z97" i="68" s="1"/>
  <c r="Z99" i="68" s="1"/>
  <c r="Z100" i="68" s="1"/>
  <c r="Z101" i="68"/>
  <c r="Z102" i="68"/>
  <c r="Z103" i="68"/>
  <c r="Z104" i="68"/>
  <c r="Z105" i="68"/>
  <c r="Z118" i="68"/>
  <c r="Y123" i="68"/>
  <c r="Y118" i="68"/>
  <c r="Y105" i="68"/>
  <c r="Y104" i="68"/>
  <c r="Y103" i="68"/>
  <c r="Y102" i="68"/>
  <c r="Y101" i="68"/>
  <c r="Y92" i="68"/>
  <c r="Y108" i="68" s="1"/>
  <c r="Y80" i="68"/>
  <c r="Y76" i="68"/>
  <c r="Y62" i="68"/>
  <c r="Y58" i="68"/>
  <c r="X123" i="68"/>
  <c r="X58" i="68"/>
  <c r="X62" i="68"/>
  <c r="X76" i="68"/>
  <c r="X80" i="68"/>
  <c r="X92" i="68"/>
  <c r="X101" i="68"/>
  <c r="X102" i="68"/>
  <c r="X103" i="68"/>
  <c r="X104" i="68"/>
  <c r="X105" i="68"/>
  <c r="X118" i="68"/>
  <c r="W123" i="68"/>
  <c r="W58" i="68"/>
  <c r="W62" i="68"/>
  <c r="W76" i="68"/>
  <c r="W80" i="68"/>
  <c r="W92" i="68"/>
  <c r="W101" i="68"/>
  <c r="W102" i="68"/>
  <c r="W103" i="68"/>
  <c r="W104" i="68"/>
  <c r="W105" i="68"/>
  <c r="W118" i="68"/>
  <c r="V123" i="68"/>
  <c r="V58" i="68"/>
  <c r="V62" i="68"/>
  <c r="V76" i="68"/>
  <c r="V80" i="68"/>
  <c r="V92" i="68"/>
  <c r="V101" i="68"/>
  <c r="V102" i="68"/>
  <c r="V103" i="68"/>
  <c r="V104" i="68"/>
  <c r="V105" i="68"/>
  <c r="V118" i="68"/>
  <c r="U123" i="68"/>
  <c r="U58" i="68"/>
  <c r="U62" i="68"/>
  <c r="U76" i="68"/>
  <c r="U80" i="68"/>
  <c r="U103" i="68"/>
  <c r="U92" i="68"/>
  <c r="U101" i="68"/>
  <c r="U102" i="68"/>
  <c r="U104" i="68"/>
  <c r="U105" i="68"/>
  <c r="U118" i="68"/>
  <c r="AI103" i="69" l="1"/>
  <c r="F107" i="69"/>
  <c r="F108" i="69"/>
  <c r="AH76" i="69"/>
  <c r="F97" i="69"/>
  <c r="F99" i="69" s="1"/>
  <c r="X261" i="69" s="1"/>
  <c r="E97" i="69"/>
  <c r="E99" i="69" s="1"/>
  <c r="D107" i="69"/>
  <c r="AI104" i="69"/>
  <c r="C97" i="69"/>
  <c r="C99" i="69" s="1"/>
  <c r="AH92" i="69"/>
  <c r="AI105" i="69"/>
  <c r="AF5" i="69"/>
  <c r="AI76" i="69"/>
  <c r="AN261" i="69"/>
  <c r="V100" i="69"/>
  <c r="V7" i="69" s="1"/>
  <c r="AB261" i="69"/>
  <c r="J100" i="69"/>
  <c r="J7" i="69" s="1"/>
  <c r="AR261" i="69"/>
  <c r="Z100" i="69"/>
  <c r="Z7" i="69" s="1"/>
  <c r="AF261" i="69"/>
  <c r="N100" i="69"/>
  <c r="N7" i="69" s="1"/>
  <c r="K100" i="69"/>
  <c r="K7" i="69" s="1"/>
  <c r="AC261" i="69"/>
  <c r="AV261" i="69"/>
  <c r="AD100" i="69"/>
  <c r="AD7" i="69" s="1"/>
  <c r="T97" i="69"/>
  <c r="T99" i="69" s="1"/>
  <c r="AB97" i="69"/>
  <c r="AB99" i="69" s="1"/>
  <c r="P100" i="69"/>
  <c r="P7" i="69" s="1"/>
  <c r="AH105" i="69"/>
  <c r="C107" i="69"/>
  <c r="C108" i="69" s="1"/>
  <c r="D252" i="69"/>
  <c r="E247" i="69"/>
  <c r="AM261" i="69"/>
  <c r="U100" i="69"/>
  <c r="U7" i="69" s="1"/>
  <c r="AP261" i="69"/>
  <c r="AE261" i="69"/>
  <c r="AU261" i="69"/>
  <c r="AG99" i="69"/>
  <c r="AF100" i="69"/>
  <c r="AF7" i="69" s="1"/>
  <c r="AH103" i="69"/>
  <c r="D97" i="69"/>
  <c r="D99" i="69" s="1"/>
  <c r="W261" i="69"/>
  <c r="Y261" i="69"/>
  <c r="G100" i="69"/>
  <c r="G7" i="69" s="1"/>
  <c r="AG261" i="69"/>
  <c r="O100" i="69"/>
  <c r="O7" i="69" s="1"/>
  <c r="AO261" i="69"/>
  <c r="W100" i="69"/>
  <c r="W7" i="69" s="1"/>
  <c r="AW261" i="69"/>
  <c r="AE100" i="69"/>
  <c r="AE7" i="69" s="1"/>
  <c r="AI101" i="69"/>
  <c r="C282" i="69"/>
  <c r="E251" i="69"/>
  <c r="AJ261" i="69"/>
  <c r="R100" i="69"/>
  <c r="R7" i="69" s="1"/>
  <c r="F246" i="69"/>
  <c r="E118" i="69"/>
  <c r="AA100" i="69"/>
  <c r="AA7" i="69" s="1"/>
  <c r="AS261" i="69"/>
  <c r="I97" i="69"/>
  <c r="I99" i="69" s="1"/>
  <c r="Q97" i="69"/>
  <c r="Q99" i="69" s="1"/>
  <c r="Y97" i="69"/>
  <c r="Y99" i="69" s="1"/>
  <c r="AG97" i="69"/>
  <c r="AH80" i="69"/>
  <c r="D108" i="69"/>
  <c r="L108" i="69"/>
  <c r="T108" i="69"/>
  <c r="AB108" i="69"/>
  <c r="S100" i="69"/>
  <c r="S7" i="69" s="1"/>
  <c r="AK261" i="69"/>
  <c r="L97" i="69"/>
  <c r="L99" i="69" s="1"/>
  <c r="AI62" i="69"/>
  <c r="AI58" i="69"/>
  <c r="AI80" i="69"/>
  <c r="E108" i="69"/>
  <c r="M108" i="69"/>
  <c r="E107" i="69"/>
  <c r="M107" i="69"/>
  <c r="M100" i="69" s="1"/>
  <c r="M7" i="69" s="1"/>
  <c r="U107" i="69"/>
  <c r="U108" i="69" s="1"/>
  <c r="AC107" i="69"/>
  <c r="AC108" i="69" s="1"/>
  <c r="D258" i="69"/>
  <c r="AI92" i="69"/>
  <c r="AH101" i="69"/>
  <c r="B107" i="69"/>
  <c r="AH58" i="69"/>
  <c r="AH62" i="69"/>
  <c r="B97" i="69"/>
  <c r="K108" i="69"/>
  <c r="S108" i="69"/>
  <c r="AA108" i="69"/>
  <c r="AH104" i="69"/>
  <c r="Z108" i="68"/>
  <c r="Y97" i="68"/>
  <c r="Y99" i="68" s="1"/>
  <c r="Y100" i="68" s="1"/>
  <c r="X97" i="68"/>
  <c r="X99" i="68" s="1"/>
  <c r="X100" i="68" s="1"/>
  <c r="X108" i="68"/>
  <c r="W97" i="68"/>
  <c r="W99" i="68" s="1"/>
  <c r="W100" i="68" s="1"/>
  <c r="W108" i="68"/>
  <c r="V97" i="68"/>
  <c r="V99" i="68" s="1"/>
  <c r="V100" i="68" s="1"/>
  <c r="V108" i="68"/>
  <c r="U108" i="68"/>
  <c r="U97" i="68"/>
  <c r="U99" i="68" s="1"/>
  <c r="U100" i="68" s="1"/>
  <c r="U153" i="68"/>
  <c r="U152" i="68"/>
  <c r="U151" i="68"/>
  <c r="U150" i="68"/>
  <c r="U149" i="68"/>
  <c r="U148" i="68"/>
  <c r="T149" i="68"/>
  <c r="T148" i="68"/>
  <c r="T123" i="68"/>
  <c r="T85" i="68"/>
  <c r="T58" i="68"/>
  <c r="T62" i="68"/>
  <c r="T76" i="68"/>
  <c r="T80" i="68"/>
  <c r="T103" i="68"/>
  <c r="T92" i="68"/>
  <c r="T101" i="68"/>
  <c r="T102" i="68"/>
  <c r="T104" i="68"/>
  <c r="T105" i="68"/>
  <c r="T118" i="68"/>
  <c r="F100" i="69" l="1"/>
  <c r="F7" i="69" s="1"/>
  <c r="E100" i="69"/>
  <c r="E7" i="69" s="1"/>
  <c r="C100" i="69"/>
  <c r="C7" i="69" s="1"/>
  <c r="U261" i="69"/>
  <c r="AL261" i="69"/>
  <c r="T100" i="69"/>
  <c r="T7" i="69" s="1"/>
  <c r="F247" i="69"/>
  <c r="G247" i="69" s="1"/>
  <c r="H247" i="69" s="1"/>
  <c r="I247" i="69" s="1"/>
  <c r="J247" i="69" s="1"/>
  <c r="K247" i="69" s="1"/>
  <c r="L247" i="69" s="1"/>
  <c r="M247" i="69" s="1"/>
  <c r="N247" i="69" s="1"/>
  <c r="O247" i="69" s="1"/>
  <c r="P247" i="69" s="1"/>
  <c r="Q247" i="69" s="1"/>
  <c r="R247" i="69" s="1"/>
  <c r="S247" i="69" s="1"/>
  <c r="T247" i="69" s="1"/>
  <c r="U247" i="69" s="1"/>
  <c r="V247" i="69" s="1"/>
  <c r="W247" i="69" s="1"/>
  <c r="X247" i="69" s="1"/>
  <c r="Y247" i="69" s="1"/>
  <c r="Z247" i="69" s="1"/>
  <c r="AA247" i="69" s="1"/>
  <c r="AB247" i="69" s="1"/>
  <c r="AC247" i="69" s="1"/>
  <c r="AD247" i="69" s="1"/>
  <c r="AE247" i="69" s="1"/>
  <c r="AF247" i="69" s="1"/>
  <c r="B247" i="69" s="1"/>
  <c r="E252" i="69"/>
  <c r="AA261" i="69"/>
  <c r="I100" i="69"/>
  <c r="I7" i="69" s="1"/>
  <c r="AI97" i="69"/>
  <c r="AH97" i="69"/>
  <c r="B99" i="69"/>
  <c r="G246" i="69"/>
  <c r="AC100" i="69"/>
  <c r="AC7" i="69" s="1"/>
  <c r="AD261" i="69"/>
  <c r="L100" i="69"/>
  <c r="L7" i="69" s="1"/>
  <c r="B256" i="69"/>
  <c r="K6" i="69" s="1"/>
  <c r="C256" i="69"/>
  <c r="B108" i="69"/>
  <c r="AI107" i="69"/>
  <c r="AH107" i="69"/>
  <c r="AQ261" i="69"/>
  <c r="Y100" i="69"/>
  <c r="Y7" i="69" s="1"/>
  <c r="V261" i="69"/>
  <c r="D100" i="69"/>
  <c r="D7" i="69" s="1"/>
  <c r="AT261" i="69"/>
  <c r="AB100" i="69"/>
  <c r="AB7" i="69" s="1"/>
  <c r="AI261" i="69"/>
  <c r="Q100" i="69"/>
  <c r="Q7" i="69" s="1"/>
  <c r="D282" i="69"/>
  <c r="F251" i="69"/>
  <c r="T107" i="68"/>
  <c r="T108" i="68" s="1"/>
  <c r="T97" i="68"/>
  <c r="T99" i="68" s="1"/>
  <c r="T100" i="68" s="1"/>
  <c r="S123" i="68"/>
  <c r="S85" i="68"/>
  <c r="S58" i="68"/>
  <c r="S62" i="68"/>
  <c r="S76" i="68"/>
  <c r="S80" i="68"/>
  <c r="S92" i="68"/>
  <c r="S101" i="68"/>
  <c r="S102" i="68"/>
  <c r="S103" i="68"/>
  <c r="S104" i="68"/>
  <c r="S105" i="68"/>
  <c r="S118" i="68"/>
  <c r="R123" i="68"/>
  <c r="R121" i="68"/>
  <c r="R57" i="68"/>
  <c r="R58" i="68"/>
  <c r="R62" i="68"/>
  <c r="R76" i="68"/>
  <c r="R80" i="68"/>
  <c r="Q123" i="68"/>
  <c r="Q121" i="68"/>
  <c r="Q57" i="68"/>
  <c r="P123" i="68"/>
  <c r="P121" i="68"/>
  <c r="P57" i="68"/>
  <c r="O123" i="68"/>
  <c r="O121" i="68"/>
  <c r="O57" i="68"/>
  <c r="AI111" i="68"/>
  <c r="N123" i="68"/>
  <c r="N121" i="68"/>
  <c r="N57" i="68"/>
  <c r="M123" i="68"/>
  <c r="M121" i="68"/>
  <c r="M57" i="68"/>
  <c r="M58" i="68"/>
  <c r="M62" i="68"/>
  <c r="M76" i="68"/>
  <c r="M80" i="68"/>
  <c r="D123" i="68"/>
  <c r="C123" i="68"/>
  <c r="AI123" i="68" s="1"/>
  <c r="B123" i="68"/>
  <c r="AF286" i="68"/>
  <c r="AE286" i="68"/>
  <c r="AD286" i="68"/>
  <c r="AC286" i="68"/>
  <c r="AB286" i="68"/>
  <c r="AA286" i="68"/>
  <c r="Z286" i="68"/>
  <c r="Y286" i="68"/>
  <c r="X286" i="68"/>
  <c r="W286" i="68"/>
  <c r="V286" i="68"/>
  <c r="U286" i="68"/>
  <c r="T286" i="68"/>
  <c r="S286" i="68"/>
  <c r="R286" i="68"/>
  <c r="Q286" i="68"/>
  <c r="P286" i="68"/>
  <c r="O286" i="68"/>
  <c r="N286" i="68"/>
  <c r="M286" i="68"/>
  <c r="L286" i="68"/>
  <c r="K286" i="68"/>
  <c r="J286" i="68"/>
  <c r="I286" i="68"/>
  <c r="H286" i="68"/>
  <c r="G286" i="68"/>
  <c r="F286" i="68"/>
  <c r="E286" i="68"/>
  <c r="D286" i="68"/>
  <c r="C286" i="68"/>
  <c r="B286" i="68"/>
  <c r="A286" i="68"/>
  <c r="AF285" i="68"/>
  <c r="AE285" i="68"/>
  <c r="AD285" i="68"/>
  <c r="AC285" i="68"/>
  <c r="AB285" i="68"/>
  <c r="AA285" i="68"/>
  <c r="Z285" i="68"/>
  <c r="Y285" i="68"/>
  <c r="X285" i="68"/>
  <c r="W285" i="68"/>
  <c r="V285" i="68"/>
  <c r="U285" i="68"/>
  <c r="T285" i="68"/>
  <c r="S285" i="68"/>
  <c r="R285" i="68"/>
  <c r="Q285" i="68"/>
  <c r="P285" i="68"/>
  <c r="O285" i="68"/>
  <c r="N285" i="68"/>
  <c r="M285" i="68"/>
  <c r="L285" i="68"/>
  <c r="K285" i="68"/>
  <c r="J285" i="68"/>
  <c r="I285" i="68"/>
  <c r="H285" i="68"/>
  <c r="G285" i="68"/>
  <c r="F285" i="68"/>
  <c r="E285" i="68"/>
  <c r="D285" i="68"/>
  <c r="C285" i="68"/>
  <c r="B285" i="68"/>
  <c r="A285" i="68"/>
  <c r="AF284" i="68"/>
  <c r="AE284" i="68"/>
  <c r="AD284" i="68"/>
  <c r="AC284" i="68"/>
  <c r="AB284" i="68"/>
  <c r="AA284" i="68"/>
  <c r="Z284" i="68"/>
  <c r="Y284" i="68"/>
  <c r="X284" i="68"/>
  <c r="W284" i="68"/>
  <c r="V284" i="68"/>
  <c r="U284" i="68"/>
  <c r="T284" i="68"/>
  <c r="S284" i="68"/>
  <c r="R284" i="68"/>
  <c r="Q284" i="68"/>
  <c r="P284" i="68"/>
  <c r="O284" i="68"/>
  <c r="N284" i="68"/>
  <c r="M284" i="68"/>
  <c r="L284" i="68"/>
  <c r="K284" i="68"/>
  <c r="J284" i="68"/>
  <c r="I284" i="68"/>
  <c r="H284" i="68"/>
  <c r="G284" i="68"/>
  <c r="F284" i="68"/>
  <c r="E284" i="68"/>
  <c r="D284" i="68"/>
  <c r="C284" i="68"/>
  <c r="B284" i="68"/>
  <c r="A284" i="68"/>
  <c r="AF283" i="68"/>
  <c r="AE283" i="68"/>
  <c r="AD283" i="68"/>
  <c r="AC283" i="68"/>
  <c r="AB283" i="68"/>
  <c r="AA283" i="68"/>
  <c r="Z283" i="68"/>
  <c r="Y283" i="68"/>
  <c r="X283" i="68"/>
  <c r="W283" i="68"/>
  <c r="V283" i="68"/>
  <c r="U283" i="68"/>
  <c r="T283" i="68"/>
  <c r="S283" i="68"/>
  <c r="R283" i="68"/>
  <c r="Q283" i="68"/>
  <c r="P283" i="68"/>
  <c r="O283" i="68"/>
  <c r="N283" i="68"/>
  <c r="M283" i="68"/>
  <c r="L283" i="68"/>
  <c r="K283" i="68"/>
  <c r="J283" i="68"/>
  <c r="I283" i="68"/>
  <c r="H283" i="68"/>
  <c r="G283" i="68"/>
  <c r="F283" i="68"/>
  <c r="E283" i="68"/>
  <c r="D283" i="68"/>
  <c r="C283" i="68"/>
  <c r="B283" i="68"/>
  <c r="A283" i="68"/>
  <c r="B282" i="68"/>
  <c r="S257" i="68"/>
  <c r="AG252" i="68"/>
  <c r="C252" i="68"/>
  <c r="D251" i="68"/>
  <c r="C282" i="68" s="1"/>
  <c r="E250" i="68"/>
  <c r="F250" i="68" s="1"/>
  <c r="G250" i="68" s="1"/>
  <c r="H250" i="68" s="1"/>
  <c r="I250" i="68" s="1"/>
  <c r="J250" i="68" s="1"/>
  <c r="K250" i="68" s="1"/>
  <c r="L250" i="68" s="1"/>
  <c r="M250" i="68" s="1"/>
  <c r="N250" i="68" s="1"/>
  <c r="O250" i="68" s="1"/>
  <c r="P250" i="68" s="1"/>
  <c r="Q250" i="68" s="1"/>
  <c r="R250" i="68" s="1"/>
  <c r="S250" i="68" s="1"/>
  <c r="T250" i="68" s="1"/>
  <c r="U250" i="68" s="1"/>
  <c r="V250" i="68" s="1"/>
  <c r="W250" i="68" s="1"/>
  <c r="X250" i="68" s="1"/>
  <c r="Y250" i="68" s="1"/>
  <c r="Z250" i="68" s="1"/>
  <c r="AA250" i="68" s="1"/>
  <c r="AB250" i="68" s="1"/>
  <c r="AC250" i="68" s="1"/>
  <c r="AD250" i="68" s="1"/>
  <c r="AE250" i="68" s="1"/>
  <c r="AF250" i="68" s="1"/>
  <c r="B250" i="68" s="1"/>
  <c r="D250" i="68"/>
  <c r="H249" i="68"/>
  <c r="I249" i="68" s="1"/>
  <c r="J249" i="68" s="1"/>
  <c r="K249" i="68" s="1"/>
  <c r="L249" i="68" s="1"/>
  <c r="M249" i="68" s="1"/>
  <c r="N249" i="68" s="1"/>
  <c r="O249" i="68" s="1"/>
  <c r="P249" i="68" s="1"/>
  <c r="Q249" i="68" s="1"/>
  <c r="R249" i="68" s="1"/>
  <c r="S249" i="68" s="1"/>
  <c r="T249" i="68" s="1"/>
  <c r="U249" i="68" s="1"/>
  <c r="V249" i="68" s="1"/>
  <c r="W249" i="68" s="1"/>
  <c r="X249" i="68" s="1"/>
  <c r="Y249" i="68" s="1"/>
  <c r="Z249" i="68" s="1"/>
  <c r="AA249" i="68" s="1"/>
  <c r="AB249" i="68" s="1"/>
  <c r="AC249" i="68" s="1"/>
  <c r="AD249" i="68" s="1"/>
  <c r="AE249" i="68" s="1"/>
  <c r="AF249" i="68" s="1"/>
  <c r="B249" i="68" s="1"/>
  <c r="D249" i="68"/>
  <c r="E249" i="68" s="1"/>
  <c r="F249" i="68" s="1"/>
  <c r="G249" i="68" s="1"/>
  <c r="D248" i="68"/>
  <c r="E248" i="68" s="1"/>
  <c r="F248" i="68" s="1"/>
  <c r="G248" i="68" s="1"/>
  <c r="H248" i="68" s="1"/>
  <c r="I248" i="68" s="1"/>
  <c r="J248" i="68" s="1"/>
  <c r="K248" i="68" s="1"/>
  <c r="L248" i="68" s="1"/>
  <c r="M248" i="68" s="1"/>
  <c r="N248" i="68" s="1"/>
  <c r="O248" i="68" s="1"/>
  <c r="P248" i="68" s="1"/>
  <c r="Q248" i="68" s="1"/>
  <c r="R248" i="68" s="1"/>
  <c r="S248" i="68" s="1"/>
  <c r="T248" i="68" s="1"/>
  <c r="U248" i="68" s="1"/>
  <c r="V248" i="68" s="1"/>
  <c r="W248" i="68" s="1"/>
  <c r="X248" i="68" s="1"/>
  <c r="Y248" i="68" s="1"/>
  <c r="Z248" i="68" s="1"/>
  <c r="AA248" i="68" s="1"/>
  <c r="AB248" i="68" s="1"/>
  <c r="AC248" i="68" s="1"/>
  <c r="AD248" i="68" s="1"/>
  <c r="AE248" i="68" s="1"/>
  <c r="AF248" i="68" s="1"/>
  <c r="B248" i="68" s="1"/>
  <c r="D247" i="68"/>
  <c r="D252" i="68" s="1"/>
  <c r="E246" i="68"/>
  <c r="F246" i="68" s="1"/>
  <c r="D246" i="68"/>
  <c r="AG244" i="68"/>
  <c r="AF244" i="68"/>
  <c r="AE244" i="68"/>
  <c r="AD244" i="68"/>
  <c r="AC244" i="68"/>
  <c r="AB244" i="68"/>
  <c r="AA244" i="68"/>
  <c r="Z244" i="68"/>
  <c r="Y244" i="68"/>
  <c r="X244" i="68"/>
  <c r="W244" i="68"/>
  <c r="V244" i="68"/>
  <c r="U244" i="68"/>
  <c r="T244" i="68"/>
  <c r="S244" i="68"/>
  <c r="R244" i="68"/>
  <c r="Q244" i="68"/>
  <c r="P244" i="68"/>
  <c r="O244" i="68"/>
  <c r="N244" i="68"/>
  <c r="M244" i="68"/>
  <c r="L244" i="68"/>
  <c r="K244" i="68"/>
  <c r="J244" i="68"/>
  <c r="I244" i="68"/>
  <c r="H244" i="68"/>
  <c r="G244" i="68"/>
  <c r="F244" i="68"/>
  <c r="E244" i="68"/>
  <c r="D244" i="68"/>
  <c r="C244" i="68"/>
  <c r="B244" i="68"/>
  <c r="AI130" i="68"/>
  <c r="AH130" i="68"/>
  <c r="AI129" i="68"/>
  <c r="AH129" i="68"/>
  <c r="AI128" i="68"/>
  <c r="AH128" i="68"/>
  <c r="AI127" i="68"/>
  <c r="AH127" i="68"/>
  <c r="AI126" i="68"/>
  <c r="AH126" i="68"/>
  <c r="AI122" i="68"/>
  <c r="AH122" i="68"/>
  <c r="AI121" i="68"/>
  <c r="AH121" i="68"/>
  <c r="AI120" i="68"/>
  <c r="AH120" i="68"/>
  <c r="AI119" i="68"/>
  <c r="AH119" i="68"/>
  <c r="C118" i="68"/>
  <c r="AI117" i="68"/>
  <c r="AH117" i="68"/>
  <c r="AI116" i="68"/>
  <c r="AH116" i="68"/>
  <c r="AI115" i="68"/>
  <c r="AH115" i="68"/>
  <c r="AI114" i="68"/>
  <c r="AH114" i="68"/>
  <c r="AI113" i="68"/>
  <c r="AH113" i="68"/>
  <c r="AI112" i="68"/>
  <c r="AH112" i="68"/>
  <c r="AH111" i="68"/>
  <c r="AI110" i="68"/>
  <c r="AH110" i="68"/>
  <c r="AI109" i="68"/>
  <c r="AH109" i="68"/>
  <c r="AA107" i="68"/>
  <c r="AI106" i="68"/>
  <c r="AH106" i="68"/>
  <c r="AF105" i="68"/>
  <c r="AE105" i="68"/>
  <c r="AD105" i="68"/>
  <c r="AC105" i="68"/>
  <c r="AB105" i="68"/>
  <c r="AA105" i="68"/>
  <c r="R105" i="68"/>
  <c r="Q105" i="68"/>
  <c r="P105" i="68"/>
  <c r="O105" i="68"/>
  <c r="N105" i="68"/>
  <c r="M105" i="68"/>
  <c r="L105" i="68"/>
  <c r="K105" i="68"/>
  <c r="J105" i="68"/>
  <c r="I105" i="68"/>
  <c r="H105" i="68"/>
  <c r="G105" i="68"/>
  <c r="F105" i="68"/>
  <c r="E105" i="68"/>
  <c r="D105" i="68"/>
  <c r="C105" i="68"/>
  <c r="B105" i="68"/>
  <c r="AF104" i="68"/>
  <c r="AE104" i="68"/>
  <c r="AD104" i="68"/>
  <c r="AC104" i="68"/>
  <c r="AB104" i="68"/>
  <c r="AA104" i="68"/>
  <c r="R104" i="68"/>
  <c r="Q104" i="68"/>
  <c r="P104" i="68"/>
  <c r="O104" i="68"/>
  <c r="N104" i="68"/>
  <c r="M104" i="68"/>
  <c r="L104" i="68"/>
  <c r="K104" i="68"/>
  <c r="J104" i="68"/>
  <c r="I104" i="68"/>
  <c r="H104" i="68"/>
  <c r="G104" i="68"/>
  <c r="F104" i="68"/>
  <c r="E104" i="68"/>
  <c r="D104" i="68"/>
  <c r="C104" i="68"/>
  <c r="B104" i="68"/>
  <c r="AF103" i="68"/>
  <c r="AE103" i="68"/>
  <c r="AD103" i="68"/>
  <c r="AC103" i="68"/>
  <c r="AB103" i="68"/>
  <c r="AA103" i="68"/>
  <c r="R103" i="68"/>
  <c r="Q103" i="68"/>
  <c r="P103" i="68"/>
  <c r="O103" i="68"/>
  <c r="N103" i="68"/>
  <c r="M103" i="68"/>
  <c r="L103" i="68"/>
  <c r="K103" i="68"/>
  <c r="J103" i="68"/>
  <c r="I103" i="68"/>
  <c r="H103" i="68"/>
  <c r="G103" i="68"/>
  <c r="F103" i="68"/>
  <c r="E103" i="68"/>
  <c r="D103" i="68"/>
  <c r="C103" i="68"/>
  <c r="B103" i="68"/>
  <c r="AF102" i="68"/>
  <c r="AE102" i="68"/>
  <c r="AD102" i="68"/>
  <c r="AC102" i="68"/>
  <c r="AB102" i="68"/>
  <c r="AA102" i="68"/>
  <c r="R102" i="68"/>
  <c r="Q102" i="68"/>
  <c r="P102" i="68"/>
  <c r="O102" i="68"/>
  <c r="N102" i="68"/>
  <c r="M102" i="68"/>
  <c r="L102" i="68"/>
  <c r="K102" i="68"/>
  <c r="J102" i="68"/>
  <c r="I102" i="68"/>
  <c r="H102" i="68"/>
  <c r="G102" i="68"/>
  <c r="F102" i="68"/>
  <c r="E102" i="68"/>
  <c r="D102" i="68"/>
  <c r="C102" i="68"/>
  <c r="B102" i="68"/>
  <c r="AF101" i="68"/>
  <c r="AE101" i="68"/>
  <c r="AE107" i="68" s="1"/>
  <c r="AD101" i="68"/>
  <c r="AC101" i="68"/>
  <c r="AC107" i="68" s="1"/>
  <c r="AB101" i="68"/>
  <c r="AA101" i="68"/>
  <c r="R101" i="68"/>
  <c r="Q101" i="68"/>
  <c r="P101" i="68"/>
  <c r="O101" i="68"/>
  <c r="O107" i="68" s="1"/>
  <c r="N101" i="68"/>
  <c r="M101" i="68"/>
  <c r="L101" i="68"/>
  <c r="K101" i="68"/>
  <c r="J101" i="68"/>
  <c r="J107" i="68" s="1"/>
  <c r="I101" i="68"/>
  <c r="H101" i="68"/>
  <c r="G101" i="68"/>
  <c r="F101" i="68"/>
  <c r="E101" i="68"/>
  <c r="D101" i="68"/>
  <c r="C101" i="68"/>
  <c r="B101" i="68"/>
  <c r="AI98" i="68"/>
  <c r="AH98" i="68"/>
  <c r="AI96" i="68"/>
  <c r="AH96" i="68"/>
  <c r="AG96" i="68"/>
  <c r="AG99" i="68" s="1"/>
  <c r="AI95" i="68"/>
  <c r="AH95" i="68"/>
  <c r="AI94" i="68"/>
  <c r="AH94" i="68"/>
  <c r="AI93" i="68"/>
  <c r="AH93" i="68"/>
  <c r="AG92" i="68"/>
  <c r="AF92" i="68"/>
  <c r="AE5" i="68" s="1"/>
  <c r="AE92" i="68"/>
  <c r="AD5" i="68" s="1"/>
  <c r="AD92" i="68"/>
  <c r="AC5" i="68" s="1"/>
  <c r="AC92" i="68"/>
  <c r="AB5" i="68" s="1"/>
  <c r="AB92" i="68"/>
  <c r="AA5" i="68" s="1"/>
  <c r="AA92" i="68"/>
  <c r="Z5" i="68" s="1"/>
  <c r="Y5" i="68"/>
  <c r="S5" i="68"/>
  <c r="R92" i="68"/>
  <c r="Q5" i="68" s="1"/>
  <c r="Q92" i="68"/>
  <c r="P5" i="68" s="1"/>
  <c r="P92" i="68"/>
  <c r="O5" i="68" s="1"/>
  <c r="O92" i="68"/>
  <c r="N5" i="68" s="1"/>
  <c r="N92" i="68"/>
  <c r="M5" i="68" s="1"/>
  <c r="M92" i="68"/>
  <c r="L5" i="68" s="1"/>
  <c r="L92" i="68"/>
  <c r="K5" i="68" s="1"/>
  <c r="K92" i="68"/>
  <c r="J5" i="68" s="1"/>
  <c r="J92" i="68"/>
  <c r="I5" i="68" s="1"/>
  <c r="I92" i="68"/>
  <c r="H92" i="68"/>
  <c r="G5" i="68" s="1"/>
  <c r="G92" i="68"/>
  <c r="F5" i="68" s="1"/>
  <c r="F92" i="68"/>
  <c r="E92" i="68"/>
  <c r="D5" i="68" s="1"/>
  <c r="D92" i="68"/>
  <c r="C92" i="68"/>
  <c r="B5" i="68" s="1"/>
  <c r="B92" i="68"/>
  <c r="AI91" i="68"/>
  <c r="AH91" i="68"/>
  <c r="AI90" i="68"/>
  <c r="AH90" i="68"/>
  <c r="AI89" i="68"/>
  <c r="AH89" i="68"/>
  <c r="AI88" i="68"/>
  <c r="AH88" i="68"/>
  <c r="AI87" i="68"/>
  <c r="AH87" i="68"/>
  <c r="AI86" i="68"/>
  <c r="AH86" i="68"/>
  <c r="AI85" i="68"/>
  <c r="AH85" i="68"/>
  <c r="AI84" i="68"/>
  <c r="AH84" i="68"/>
  <c r="AI83" i="68"/>
  <c r="AH83" i="68"/>
  <c r="AI82" i="68"/>
  <c r="AH82" i="68"/>
  <c r="AI81" i="68"/>
  <c r="AH81" i="68"/>
  <c r="AG80" i="68"/>
  <c r="AG4" i="68" s="1"/>
  <c r="AF80" i="68"/>
  <c r="AE80" i="68"/>
  <c r="AD80" i="68"/>
  <c r="AC80" i="68"/>
  <c r="AB80" i="68"/>
  <c r="AA80" i="68"/>
  <c r="Q80" i="68"/>
  <c r="P80" i="68"/>
  <c r="O80" i="68"/>
  <c r="N80" i="68"/>
  <c r="L80" i="68"/>
  <c r="K80" i="68"/>
  <c r="J80" i="68"/>
  <c r="I80" i="68"/>
  <c r="H80" i="68"/>
  <c r="G80" i="68"/>
  <c r="F80" i="68"/>
  <c r="E80" i="68"/>
  <c r="D80" i="68"/>
  <c r="C80" i="68"/>
  <c r="B80" i="68"/>
  <c r="AI79" i="68"/>
  <c r="AH79" i="68"/>
  <c r="AI78" i="68"/>
  <c r="AH78" i="68"/>
  <c r="AI77" i="68"/>
  <c r="AH77" i="68"/>
  <c r="AG76" i="68"/>
  <c r="AG3" i="68" s="1"/>
  <c r="AF76" i="68"/>
  <c r="AE76" i="68"/>
  <c r="AD76" i="68"/>
  <c r="AC76" i="68"/>
  <c r="AB76" i="68"/>
  <c r="AA76" i="68"/>
  <c r="Q76" i="68"/>
  <c r="P76" i="68"/>
  <c r="O76" i="68"/>
  <c r="N76" i="68"/>
  <c r="L76" i="68"/>
  <c r="K76" i="68"/>
  <c r="J76" i="68"/>
  <c r="I76" i="68"/>
  <c r="H76" i="68"/>
  <c r="G76" i="68"/>
  <c r="F76" i="68"/>
  <c r="E76" i="68"/>
  <c r="D76" i="68"/>
  <c r="C76" i="68"/>
  <c r="B76" i="68"/>
  <c r="AI75" i="68"/>
  <c r="AH75" i="68"/>
  <c r="AG75" i="68"/>
  <c r="AI74" i="68"/>
  <c r="AH74" i="68"/>
  <c r="AI73" i="68"/>
  <c r="AH73" i="68"/>
  <c r="AI72" i="68"/>
  <c r="AH72" i="68"/>
  <c r="AI71" i="68"/>
  <c r="AH71" i="68"/>
  <c r="AI70" i="68"/>
  <c r="AH70" i="68"/>
  <c r="AI69" i="68"/>
  <c r="AH69" i="68"/>
  <c r="AI68" i="68"/>
  <c r="AH68" i="68"/>
  <c r="AI67" i="68"/>
  <c r="AH67" i="68"/>
  <c r="AI66" i="68"/>
  <c r="AH66" i="68"/>
  <c r="AI65" i="68"/>
  <c r="AH65" i="68"/>
  <c r="AI64" i="68"/>
  <c r="AH64" i="68"/>
  <c r="AI63" i="68"/>
  <c r="AH63" i="68"/>
  <c r="AG62" i="68"/>
  <c r="AF62" i="68"/>
  <c r="AE62" i="68"/>
  <c r="AD62" i="68"/>
  <c r="AC62" i="68"/>
  <c r="AB62" i="68"/>
  <c r="AA62" i="68"/>
  <c r="Q62" i="68"/>
  <c r="P62" i="68"/>
  <c r="O62" i="68"/>
  <c r="N62" i="68"/>
  <c r="L62" i="68"/>
  <c r="K62" i="68"/>
  <c r="J62" i="68"/>
  <c r="I62" i="68"/>
  <c r="H62" i="68"/>
  <c r="G62" i="68"/>
  <c r="F62" i="68"/>
  <c r="E62" i="68"/>
  <c r="D62" i="68"/>
  <c r="C62" i="68"/>
  <c r="B62" i="68"/>
  <c r="AI61" i="68"/>
  <c r="AH61" i="68"/>
  <c r="AI60" i="68"/>
  <c r="AH60" i="68"/>
  <c r="AI59" i="68"/>
  <c r="AH59" i="68"/>
  <c r="AG58" i="68"/>
  <c r="AG2" i="68" s="1"/>
  <c r="AG6" i="68" s="1"/>
  <c r="AF58" i="68"/>
  <c r="AE58" i="68"/>
  <c r="AD58" i="68"/>
  <c r="AC58" i="68"/>
  <c r="AB58" i="68"/>
  <c r="AA58" i="68"/>
  <c r="Q58" i="68"/>
  <c r="P58" i="68"/>
  <c r="O58" i="68"/>
  <c r="N58" i="68"/>
  <c r="L58" i="68"/>
  <c r="K58" i="68"/>
  <c r="J58" i="68"/>
  <c r="I58" i="68"/>
  <c r="H58" i="68"/>
  <c r="G58" i="68"/>
  <c r="F58" i="68"/>
  <c r="E58" i="68"/>
  <c r="D58" i="68"/>
  <c r="C58" i="68"/>
  <c r="B58" i="68"/>
  <c r="AI57" i="68"/>
  <c r="AH57" i="68"/>
  <c r="AI56" i="68"/>
  <c r="AH56" i="68"/>
  <c r="AI55" i="68"/>
  <c r="AH55" i="68"/>
  <c r="AI54" i="68"/>
  <c r="AH54" i="68"/>
  <c r="AI53" i="68"/>
  <c r="AH53" i="68"/>
  <c r="AI52" i="68"/>
  <c r="AH52" i="68"/>
  <c r="AI51" i="68"/>
  <c r="AH51" i="68"/>
  <c r="AI50" i="68"/>
  <c r="AH50" i="68"/>
  <c r="AI49" i="68"/>
  <c r="AH49" i="68"/>
  <c r="AI48" i="68"/>
  <c r="AH48" i="68"/>
  <c r="AI47" i="68"/>
  <c r="AH47" i="68"/>
  <c r="AI46" i="68"/>
  <c r="AH46" i="68"/>
  <c r="AI45" i="68"/>
  <c r="AH45" i="68"/>
  <c r="AI44" i="68"/>
  <c r="AH44" i="68"/>
  <c r="AI43" i="68"/>
  <c r="AH43" i="68"/>
  <c r="AI42" i="68"/>
  <c r="AH42" i="68"/>
  <c r="AI41" i="68"/>
  <c r="AH41" i="68"/>
  <c r="AI40" i="68"/>
  <c r="AH40" i="68"/>
  <c r="AI39" i="68"/>
  <c r="AH39" i="68"/>
  <c r="AI38" i="68"/>
  <c r="AH38" i="68"/>
  <c r="AI37" i="68"/>
  <c r="AH37" i="68"/>
  <c r="AI36" i="68"/>
  <c r="AH36" i="68"/>
  <c r="AI35" i="68"/>
  <c r="AH35" i="68"/>
  <c r="AI34" i="68"/>
  <c r="AH34" i="68"/>
  <c r="AI33" i="68"/>
  <c r="AH33" i="68"/>
  <c r="AI32" i="68"/>
  <c r="AH32" i="68"/>
  <c r="AI31" i="68"/>
  <c r="AH31" i="68"/>
  <c r="AI30" i="68"/>
  <c r="AH30" i="68"/>
  <c r="AI29" i="68"/>
  <c r="AH29" i="68"/>
  <c r="AI28" i="68"/>
  <c r="AH28" i="68"/>
  <c r="AI27" i="68"/>
  <c r="AH27" i="68"/>
  <c r="AI26" i="68"/>
  <c r="AH26" i="68"/>
  <c r="AI25" i="68"/>
  <c r="AH25" i="68"/>
  <c r="AI24" i="68"/>
  <c r="AH24" i="68"/>
  <c r="AI23" i="68"/>
  <c r="AH23" i="68"/>
  <c r="AI22" i="68"/>
  <c r="AH22" i="68"/>
  <c r="AI21" i="68"/>
  <c r="AH21" i="68"/>
  <c r="AI20" i="68"/>
  <c r="AH20" i="68"/>
  <c r="AI19" i="68"/>
  <c r="AH19" i="68"/>
  <c r="AI18" i="68"/>
  <c r="AH18" i="68"/>
  <c r="AI17" i="68"/>
  <c r="AH17" i="68"/>
  <c r="AI16" i="68"/>
  <c r="AH16" i="68"/>
  <c r="AI15" i="68"/>
  <c r="AH15" i="68"/>
  <c r="AI14" i="68"/>
  <c r="AH14" i="68"/>
  <c r="AI13" i="68"/>
  <c r="AH13" i="68"/>
  <c r="AI12" i="68"/>
  <c r="AH12" i="68"/>
  <c r="AI11" i="68"/>
  <c r="AH11" i="68"/>
  <c r="W5" i="68"/>
  <c r="V5" i="68"/>
  <c r="U5" i="68"/>
  <c r="T5" i="68"/>
  <c r="R5" i="68"/>
  <c r="K4" i="68"/>
  <c r="E4" i="68"/>
  <c r="H4" i="68" s="1"/>
  <c r="B4" i="68"/>
  <c r="S258" i="68" s="1"/>
  <c r="E282" i="69" l="1"/>
  <c r="G251" i="69"/>
  <c r="F252" i="69"/>
  <c r="F118" i="69"/>
  <c r="AI108" i="69"/>
  <c r="AH108" i="69"/>
  <c r="H246" i="69"/>
  <c r="G118" i="69"/>
  <c r="T261" i="69"/>
  <c r="B100" i="69"/>
  <c r="AI99" i="69"/>
  <c r="AH99" i="69"/>
  <c r="AF97" i="68"/>
  <c r="AF99" i="68" s="1"/>
  <c r="AX261" i="68" s="1"/>
  <c r="AF107" i="68"/>
  <c r="AF108" i="68" s="1"/>
  <c r="AE108" i="68"/>
  <c r="AE97" i="68"/>
  <c r="AE99" i="68" s="1"/>
  <c r="AE100" i="68" s="1"/>
  <c r="AE7" i="68" s="1"/>
  <c r="AD97" i="68"/>
  <c r="AD99" i="68" s="1"/>
  <c r="AV261" i="68" s="1"/>
  <c r="AC108" i="68"/>
  <c r="AC97" i="68"/>
  <c r="AC99" i="68" s="1"/>
  <c r="AU261" i="68" s="1"/>
  <c r="AA97" i="68"/>
  <c r="AA99" i="68" s="1"/>
  <c r="S97" i="68"/>
  <c r="S99" i="68" s="1"/>
  <c r="S107" i="68"/>
  <c r="S108" i="68" s="1"/>
  <c r="R107" i="68"/>
  <c r="Q107" i="68"/>
  <c r="P107" i="68"/>
  <c r="P108" i="68" s="1"/>
  <c r="P97" i="68"/>
  <c r="P99" i="68" s="1"/>
  <c r="O108" i="68"/>
  <c r="O97" i="68"/>
  <c r="O99" i="68" s="1"/>
  <c r="N107" i="68"/>
  <c r="N108" i="68" s="1"/>
  <c r="N97" i="68"/>
  <c r="N99" i="68" s="1"/>
  <c r="M97" i="68"/>
  <c r="M99" i="68" s="1"/>
  <c r="M100" i="68" s="1"/>
  <c r="M7" i="68" s="1"/>
  <c r="M107" i="68"/>
  <c r="M108" i="68" s="1"/>
  <c r="K107" i="68"/>
  <c r="K108" i="68" s="1"/>
  <c r="AI101" i="68"/>
  <c r="I107" i="68"/>
  <c r="I108" i="68" s="1"/>
  <c r="H107" i="68"/>
  <c r="H108" i="68" s="1"/>
  <c r="AI105" i="68"/>
  <c r="G107" i="68"/>
  <c r="G108" i="68" s="1"/>
  <c r="F107" i="68"/>
  <c r="F108" i="68" s="1"/>
  <c r="G97" i="68"/>
  <c r="G99" i="68" s="1"/>
  <c r="E5" i="68"/>
  <c r="E107" i="68"/>
  <c r="E108" i="68" s="1"/>
  <c r="K97" i="68"/>
  <c r="K99" i="68" s="1"/>
  <c r="AC261" i="68" s="1"/>
  <c r="H97" i="68"/>
  <c r="H99" i="68" s="1"/>
  <c r="Z261" i="68" s="1"/>
  <c r="E97" i="68"/>
  <c r="E99" i="68" s="1"/>
  <c r="W261" i="68" s="1"/>
  <c r="F97" i="68"/>
  <c r="F99" i="68" s="1"/>
  <c r="I97" i="68"/>
  <c r="I99" i="68" s="1"/>
  <c r="AH123" i="68"/>
  <c r="AH92" i="68"/>
  <c r="AI76" i="68"/>
  <c r="AI62" i="68"/>
  <c r="C97" i="68"/>
  <c r="C99" i="68" s="1"/>
  <c r="U261" i="68" s="1"/>
  <c r="AH102" i="68"/>
  <c r="AF261" i="68"/>
  <c r="N100" i="68"/>
  <c r="N7" i="68" s="1"/>
  <c r="P100" i="68"/>
  <c r="P7" i="68" s="1"/>
  <c r="X7" i="68"/>
  <c r="AG261" i="68"/>
  <c r="O100" i="68"/>
  <c r="O7" i="68" s="1"/>
  <c r="AQ261" i="68"/>
  <c r="Y7" i="68"/>
  <c r="AS261" i="68"/>
  <c r="AA100" i="68"/>
  <c r="AA7" i="68" s="1"/>
  <c r="AO261" i="68"/>
  <c r="W7" i="68"/>
  <c r="H5" i="68"/>
  <c r="AN261" i="68"/>
  <c r="V7" i="68"/>
  <c r="AM261" i="68"/>
  <c r="U7" i="68"/>
  <c r="J108" i="68"/>
  <c r="AH261" i="68"/>
  <c r="AI58" i="68"/>
  <c r="J97" i="68"/>
  <c r="J99" i="68" s="1"/>
  <c r="R97" i="68"/>
  <c r="R99" i="68" s="1"/>
  <c r="AI80" i="68"/>
  <c r="AH80" i="68"/>
  <c r="AA108" i="68"/>
  <c r="AI104" i="68"/>
  <c r="AH105" i="68"/>
  <c r="C107" i="68"/>
  <c r="C108" i="68" s="1"/>
  <c r="E247" i="68"/>
  <c r="F247" i="68" s="1"/>
  <c r="G247" i="68" s="1"/>
  <c r="H247" i="68" s="1"/>
  <c r="I247" i="68" s="1"/>
  <c r="J247" i="68" s="1"/>
  <c r="K247" i="68" s="1"/>
  <c r="L247" i="68" s="1"/>
  <c r="M247" i="68" s="1"/>
  <c r="N247" i="68" s="1"/>
  <c r="O247" i="68" s="1"/>
  <c r="P247" i="68" s="1"/>
  <c r="Q247" i="68" s="1"/>
  <c r="R247" i="68" s="1"/>
  <c r="S247" i="68" s="1"/>
  <c r="T247" i="68" s="1"/>
  <c r="U247" i="68" s="1"/>
  <c r="V247" i="68" s="1"/>
  <c r="W247" i="68" s="1"/>
  <c r="X247" i="68" s="1"/>
  <c r="Y247" i="68" s="1"/>
  <c r="Z247" i="68" s="1"/>
  <c r="AA247" i="68" s="1"/>
  <c r="AB247" i="68" s="1"/>
  <c r="AC247" i="68" s="1"/>
  <c r="AD247" i="68" s="1"/>
  <c r="AE247" i="68" s="1"/>
  <c r="AF247" i="68" s="1"/>
  <c r="B247" i="68" s="1"/>
  <c r="AP261" i="68"/>
  <c r="B107" i="68"/>
  <c r="AH101" i="68"/>
  <c r="AI102" i="68"/>
  <c r="AI103" i="68"/>
  <c r="L97" i="68"/>
  <c r="L99" i="68" s="1"/>
  <c r="AH103" i="68"/>
  <c r="R108" i="68"/>
  <c r="E251" i="68"/>
  <c r="E252" i="68"/>
  <c r="Q108" i="68"/>
  <c r="Q97" i="68"/>
  <c r="Q99" i="68" s="1"/>
  <c r="AH76" i="68"/>
  <c r="C5" i="68"/>
  <c r="D97" i="68"/>
  <c r="D99" i="68" s="1"/>
  <c r="AB97" i="68"/>
  <c r="AB99" i="68" s="1"/>
  <c r="D107" i="68"/>
  <c r="D108" i="68" s="1"/>
  <c r="L107" i="68"/>
  <c r="L108" i="68" s="1"/>
  <c r="AB107" i="68"/>
  <c r="AB108" i="68" s="1"/>
  <c r="AI92" i="68"/>
  <c r="AF5" i="68"/>
  <c r="AG97" i="68"/>
  <c r="D118" i="68"/>
  <c r="D258" i="68"/>
  <c r="G246" i="68"/>
  <c r="X5" i="68"/>
  <c r="AD107" i="68"/>
  <c r="AD108" i="68" s="1"/>
  <c r="E118" i="68"/>
  <c r="AH58" i="68"/>
  <c r="AH62" i="68"/>
  <c r="B97" i="68"/>
  <c r="AH104" i="68"/>
  <c r="I246" i="69" l="1"/>
  <c r="B7" i="69"/>
  <c r="A7" i="69" s="1"/>
  <c r="AI100" i="69"/>
  <c r="AH100" i="69"/>
  <c r="F282" i="69"/>
  <c r="H251" i="69"/>
  <c r="G252" i="69"/>
  <c r="AF100" i="68"/>
  <c r="AF7" i="68" s="1"/>
  <c r="AW261" i="68"/>
  <c r="AD100" i="68"/>
  <c r="AD7" i="68" s="1"/>
  <c r="AC100" i="68"/>
  <c r="AC7" i="68" s="1"/>
  <c r="S100" i="68"/>
  <c r="S7" i="68" s="1"/>
  <c r="AK261" i="68"/>
  <c r="AE261" i="68"/>
  <c r="K100" i="68"/>
  <c r="K7" i="68" s="1"/>
  <c r="I100" i="68"/>
  <c r="I7" i="68" s="1"/>
  <c r="G100" i="68"/>
  <c r="G7" i="68" s="1"/>
  <c r="AA261" i="68"/>
  <c r="Y261" i="68"/>
  <c r="F100" i="68"/>
  <c r="F7" i="68" s="1"/>
  <c r="X261" i="68"/>
  <c r="H100" i="68"/>
  <c r="H7" i="68" s="1"/>
  <c r="C256" i="68"/>
  <c r="E100" i="68"/>
  <c r="E7" i="68" s="1"/>
  <c r="AR261" i="68"/>
  <c r="Z7" i="68"/>
  <c r="AI97" i="68"/>
  <c r="AH97" i="68"/>
  <c r="B99" i="68"/>
  <c r="AT261" i="68"/>
  <c r="AB100" i="68"/>
  <c r="AB7" i="68" s="1"/>
  <c r="D282" i="68"/>
  <c r="F251" i="68"/>
  <c r="AJ261" i="68"/>
  <c r="R100" i="68"/>
  <c r="R7" i="68" s="1"/>
  <c r="F252" i="68"/>
  <c r="AI107" i="68"/>
  <c r="AH107" i="68"/>
  <c r="H246" i="68"/>
  <c r="V261" i="68"/>
  <c r="D100" i="68"/>
  <c r="D7" i="68" s="1"/>
  <c r="AL261" i="68"/>
  <c r="T7" i="68"/>
  <c r="AB261" i="68"/>
  <c r="J100" i="68"/>
  <c r="J7" i="68" s="1"/>
  <c r="C100" i="68"/>
  <c r="C7" i="68" s="1"/>
  <c r="AD261" i="68"/>
  <c r="L100" i="68"/>
  <c r="L7" i="68" s="1"/>
  <c r="B108" i="68"/>
  <c r="AI261" i="68"/>
  <c r="Q100" i="68"/>
  <c r="Q7" i="68" s="1"/>
  <c r="B256" i="68"/>
  <c r="G282" i="69" l="1"/>
  <c r="I251" i="69"/>
  <c r="H252" i="69"/>
  <c r="H118" i="69"/>
  <c r="I118" i="69"/>
  <c r="I252" i="69"/>
  <c r="J246" i="69"/>
  <c r="K6" i="68"/>
  <c r="I246" i="68"/>
  <c r="T261" i="68"/>
  <c r="B100" i="68"/>
  <c r="AI99" i="68"/>
  <c r="AH99" i="68"/>
  <c r="AH108" i="68"/>
  <c r="AI108" i="68"/>
  <c r="G251" i="68"/>
  <c r="E282" i="68"/>
  <c r="F118" i="68"/>
  <c r="J118" i="69" l="1"/>
  <c r="K246" i="69"/>
  <c r="H282" i="69"/>
  <c r="J251" i="69"/>
  <c r="B7" i="68"/>
  <c r="A7" i="68" s="1"/>
  <c r="AI100" i="68"/>
  <c r="AH100" i="68"/>
  <c r="F282" i="68"/>
  <c r="H251" i="68"/>
  <c r="G118" i="68"/>
  <c r="G252" i="68"/>
  <c r="J246" i="68"/>
  <c r="AF123" i="67"/>
  <c r="AE123" i="67"/>
  <c r="AD123" i="67"/>
  <c r="AC123" i="67"/>
  <c r="AA123" i="67"/>
  <c r="AA58" i="67"/>
  <c r="AA62" i="67"/>
  <c r="AA76" i="67"/>
  <c r="AA80" i="67"/>
  <c r="AA92" i="67"/>
  <c r="AA101" i="67"/>
  <c r="AA102" i="67"/>
  <c r="AA103" i="67"/>
  <c r="AA104" i="67"/>
  <c r="AA105" i="67"/>
  <c r="AA118" i="67"/>
  <c r="Z58" i="67"/>
  <c r="Z62" i="67"/>
  <c r="Z76" i="67"/>
  <c r="Z80" i="67"/>
  <c r="Z92" i="67"/>
  <c r="Z101" i="67"/>
  <c r="Z107" i="67" s="1"/>
  <c r="Z102" i="67"/>
  <c r="Z103" i="67"/>
  <c r="Z104" i="67"/>
  <c r="Z105" i="67"/>
  <c r="Z123" i="67"/>
  <c r="Z118" i="67" s="1"/>
  <c r="Y123" i="67"/>
  <c r="Y118" i="67" s="1"/>
  <c r="Y58" i="67"/>
  <c r="Y62" i="67"/>
  <c r="Y76" i="67"/>
  <c r="Y80" i="67"/>
  <c r="Y92" i="67"/>
  <c r="Y101" i="67"/>
  <c r="Y107" i="67" s="1"/>
  <c r="Y102" i="67"/>
  <c r="Y103" i="67"/>
  <c r="Y104" i="67"/>
  <c r="Y105" i="67"/>
  <c r="X123" i="67"/>
  <c r="W123" i="67"/>
  <c r="W118" i="67" s="1"/>
  <c r="W58" i="67"/>
  <c r="W62" i="67"/>
  <c r="W76" i="67"/>
  <c r="W80" i="67"/>
  <c r="W92" i="67"/>
  <c r="W108" i="67" s="1"/>
  <c r="W101" i="67"/>
  <c r="W107" i="67" s="1"/>
  <c r="W102" i="67"/>
  <c r="W103" i="67"/>
  <c r="W104" i="67"/>
  <c r="W105" i="67"/>
  <c r="V123" i="67"/>
  <c r="V118" i="67" s="1"/>
  <c r="V58" i="67"/>
  <c r="V62" i="67"/>
  <c r="V76" i="67"/>
  <c r="V80" i="67"/>
  <c r="V92" i="67"/>
  <c r="V101" i="67"/>
  <c r="V102" i="67"/>
  <c r="V103" i="67"/>
  <c r="V104" i="67"/>
  <c r="V105" i="67"/>
  <c r="U123" i="67"/>
  <c r="U58" i="67"/>
  <c r="U62" i="67"/>
  <c r="U76" i="67"/>
  <c r="U80" i="67"/>
  <c r="U92" i="67"/>
  <c r="U101" i="67"/>
  <c r="U102" i="67"/>
  <c r="U103" i="67"/>
  <c r="U104" i="67"/>
  <c r="U105" i="67"/>
  <c r="U118" i="67"/>
  <c r="T85" i="67"/>
  <c r="T103" i="67" s="1"/>
  <c r="T123" i="67"/>
  <c r="T58" i="67"/>
  <c r="T62" i="67"/>
  <c r="T76" i="67"/>
  <c r="T80" i="67"/>
  <c r="T92" i="67"/>
  <c r="T101" i="67"/>
  <c r="T102" i="67"/>
  <c r="T104" i="67"/>
  <c r="T105" i="67"/>
  <c r="T118" i="67"/>
  <c r="S123" i="67"/>
  <c r="R123" i="67"/>
  <c r="K251" i="69" l="1"/>
  <c r="I282" i="69"/>
  <c r="K118" i="69"/>
  <c r="K252" i="69"/>
  <c r="L246" i="69"/>
  <c r="J252" i="69"/>
  <c r="G282" i="68"/>
  <c r="I251" i="68"/>
  <c r="H252" i="68"/>
  <c r="H118" i="68"/>
  <c r="K246" i="68"/>
  <c r="AA107" i="67"/>
  <c r="AA97" i="67"/>
  <c r="AA99" i="67" s="1"/>
  <c r="AA100" i="67" s="1"/>
  <c r="Z97" i="67"/>
  <c r="Z99" i="67" s="1"/>
  <c r="AA108" i="67"/>
  <c r="Z108" i="67"/>
  <c r="Z100" i="67"/>
  <c r="Y97" i="67"/>
  <c r="Y99" i="67" s="1"/>
  <c r="Y100" i="67" s="1"/>
  <c r="Y108" i="67"/>
  <c r="W97" i="67"/>
  <c r="W99" i="67" s="1"/>
  <c r="W100" i="67" s="1"/>
  <c r="V107" i="67"/>
  <c r="V108" i="67" s="1"/>
  <c r="V97" i="67"/>
  <c r="V99" i="67" s="1"/>
  <c r="V100" i="67" s="1"/>
  <c r="U107" i="67"/>
  <c r="U108" i="67"/>
  <c r="U97" i="67"/>
  <c r="U99" i="67" s="1"/>
  <c r="U100" i="67" s="1"/>
  <c r="T97" i="67"/>
  <c r="T99" i="67" s="1"/>
  <c r="T107" i="67"/>
  <c r="T108" i="67"/>
  <c r="Q123" i="67"/>
  <c r="Q58" i="67"/>
  <c r="Q62" i="67"/>
  <c r="M246" i="69" l="1"/>
  <c r="J282" i="69"/>
  <c r="L251" i="69"/>
  <c r="L246" i="68"/>
  <c r="H282" i="68"/>
  <c r="J251" i="68"/>
  <c r="I252" i="68"/>
  <c r="I118" i="68"/>
  <c r="T100" i="67"/>
  <c r="M123" i="67"/>
  <c r="C123" i="67"/>
  <c r="B123" i="67"/>
  <c r="AF286" i="67"/>
  <c r="AE286" i="67"/>
  <c r="AD286" i="67"/>
  <c r="AC286" i="67"/>
  <c r="AB286" i="67"/>
  <c r="AA286" i="67"/>
  <c r="Z286" i="67"/>
  <c r="Y286" i="67"/>
  <c r="X286" i="67"/>
  <c r="W286" i="67"/>
  <c r="V286" i="67"/>
  <c r="U286" i="67"/>
  <c r="T286" i="67"/>
  <c r="S286" i="67"/>
  <c r="R286" i="67"/>
  <c r="Q286" i="67"/>
  <c r="P286" i="67"/>
  <c r="O286" i="67"/>
  <c r="N286" i="67"/>
  <c r="M286" i="67"/>
  <c r="L286" i="67"/>
  <c r="K286" i="67"/>
  <c r="J286" i="67"/>
  <c r="I286" i="67"/>
  <c r="H286" i="67"/>
  <c r="G286" i="67"/>
  <c r="F286" i="67"/>
  <c r="E286" i="67"/>
  <c r="D286" i="67"/>
  <c r="C286" i="67"/>
  <c r="B286" i="67"/>
  <c r="A286" i="67"/>
  <c r="AF285" i="67"/>
  <c r="AE285" i="67"/>
  <c r="AD285" i="67"/>
  <c r="AC285" i="67"/>
  <c r="AB285" i="67"/>
  <c r="AA285" i="67"/>
  <c r="Z285" i="67"/>
  <c r="Y285" i="67"/>
  <c r="X285" i="67"/>
  <c r="W285" i="67"/>
  <c r="V285" i="67"/>
  <c r="U285" i="67"/>
  <c r="T285" i="67"/>
  <c r="S285" i="67"/>
  <c r="R285" i="67"/>
  <c r="Q285" i="67"/>
  <c r="P285" i="67"/>
  <c r="O285" i="67"/>
  <c r="N285" i="67"/>
  <c r="M285" i="67"/>
  <c r="L285" i="67"/>
  <c r="K285" i="67"/>
  <c r="J285" i="67"/>
  <c r="I285" i="67"/>
  <c r="H285" i="67"/>
  <c r="G285" i="67"/>
  <c r="F285" i="67"/>
  <c r="E285" i="67"/>
  <c r="D285" i="67"/>
  <c r="C285" i="67"/>
  <c r="B285" i="67"/>
  <c r="A285" i="67"/>
  <c r="AF284" i="67"/>
  <c r="AE284" i="67"/>
  <c r="AD284" i="67"/>
  <c r="AC284" i="67"/>
  <c r="AB284" i="67"/>
  <c r="AA284" i="67"/>
  <c r="Z284" i="67"/>
  <c r="Y284" i="67"/>
  <c r="X284" i="67"/>
  <c r="W284" i="67"/>
  <c r="V284" i="67"/>
  <c r="U284" i="67"/>
  <c r="T284" i="67"/>
  <c r="S284" i="67"/>
  <c r="R284" i="67"/>
  <c r="Q284" i="67"/>
  <c r="P284" i="67"/>
  <c r="O284" i="67"/>
  <c r="N284" i="67"/>
  <c r="M284" i="67"/>
  <c r="L284" i="67"/>
  <c r="K284" i="67"/>
  <c r="J284" i="67"/>
  <c r="I284" i="67"/>
  <c r="H284" i="67"/>
  <c r="G284" i="67"/>
  <c r="F284" i="67"/>
  <c r="E284" i="67"/>
  <c r="D284" i="67"/>
  <c r="C284" i="67"/>
  <c r="B284" i="67"/>
  <c r="A284" i="67"/>
  <c r="AF283" i="67"/>
  <c r="AE283" i="67"/>
  <c r="AD283" i="67"/>
  <c r="AC283" i="67"/>
  <c r="AB283" i="67"/>
  <c r="AA283" i="67"/>
  <c r="Z283" i="67"/>
  <c r="Y283" i="67"/>
  <c r="X283" i="67"/>
  <c r="W283" i="67"/>
  <c r="V283" i="67"/>
  <c r="U283" i="67"/>
  <c r="T283" i="67"/>
  <c r="S283" i="67"/>
  <c r="R283" i="67"/>
  <c r="Q283" i="67"/>
  <c r="P283" i="67"/>
  <c r="O283" i="67"/>
  <c r="N283" i="67"/>
  <c r="M283" i="67"/>
  <c r="L283" i="67"/>
  <c r="K283" i="67"/>
  <c r="J283" i="67"/>
  <c r="I283" i="67"/>
  <c r="H283" i="67"/>
  <c r="G283" i="67"/>
  <c r="F283" i="67"/>
  <c r="E283" i="67"/>
  <c r="D283" i="67"/>
  <c r="C283" i="67"/>
  <c r="B283" i="67"/>
  <c r="A283" i="67"/>
  <c r="B282" i="67"/>
  <c r="S257" i="67"/>
  <c r="AG252" i="67"/>
  <c r="C252" i="67"/>
  <c r="D251" i="67"/>
  <c r="C282" i="67" s="1"/>
  <c r="F250" i="67"/>
  <c r="G250" i="67" s="1"/>
  <c r="H250" i="67" s="1"/>
  <c r="I250" i="67" s="1"/>
  <c r="J250" i="67" s="1"/>
  <c r="K250" i="67" s="1"/>
  <c r="L250" i="67" s="1"/>
  <c r="M250" i="67" s="1"/>
  <c r="N250" i="67" s="1"/>
  <c r="O250" i="67" s="1"/>
  <c r="P250" i="67" s="1"/>
  <c r="Q250" i="67" s="1"/>
  <c r="R250" i="67" s="1"/>
  <c r="S250" i="67" s="1"/>
  <c r="T250" i="67" s="1"/>
  <c r="U250" i="67" s="1"/>
  <c r="V250" i="67" s="1"/>
  <c r="W250" i="67" s="1"/>
  <c r="X250" i="67" s="1"/>
  <c r="Y250" i="67" s="1"/>
  <c r="Z250" i="67" s="1"/>
  <c r="AA250" i="67" s="1"/>
  <c r="AB250" i="67" s="1"/>
  <c r="AC250" i="67" s="1"/>
  <c r="AD250" i="67" s="1"/>
  <c r="AE250" i="67" s="1"/>
  <c r="AF250" i="67" s="1"/>
  <c r="B250" i="67" s="1"/>
  <c r="E250" i="67"/>
  <c r="D250" i="67"/>
  <c r="G249" i="67"/>
  <c r="H249" i="67" s="1"/>
  <c r="I249" i="67" s="1"/>
  <c r="J249" i="67" s="1"/>
  <c r="K249" i="67" s="1"/>
  <c r="L249" i="67" s="1"/>
  <c r="M249" i="67" s="1"/>
  <c r="N249" i="67" s="1"/>
  <c r="O249" i="67" s="1"/>
  <c r="P249" i="67" s="1"/>
  <c r="Q249" i="67" s="1"/>
  <c r="R249" i="67" s="1"/>
  <c r="S249" i="67" s="1"/>
  <c r="T249" i="67" s="1"/>
  <c r="U249" i="67" s="1"/>
  <c r="V249" i="67" s="1"/>
  <c r="W249" i="67" s="1"/>
  <c r="X249" i="67" s="1"/>
  <c r="Y249" i="67" s="1"/>
  <c r="Z249" i="67" s="1"/>
  <c r="AA249" i="67" s="1"/>
  <c r="AB249" i="67" s="1"/>
  <c r="AC249" i="67" s="1"/>
  <c r="AD249" i="67" s="1"/>
  <c r="AE249" i="67" s="1"/>
  <c r="AF249" i="67" s="1"/>
  <c r="B249" i="67" s="1"/>
  <c r="D249" i="67"/>
  <c r="E249" i="67" s="1"/>
  <c r="F249" i="67" s="1"/>
  <c r="E248" i="67"/>
  <c r="F248" i="67" s="1"/>
  <c r="G248" i="67" s="1"/>
  <c r="H248" i="67" s="1"/>
  <c r="I248" i="67" s="1"/>
  <c r="J248" i="67" s="1"/>
  <c r="K248" i="67" s="1"/>
  <c r="L248" i="67" s="1"/>
  <c r="M248" i="67" s="1"/>
  <c r="N248" i="67" s="1"/>
  <c r="O248" i="67" s="1"/>
  <c r="P248" i="67" s="1"/>
  <c r="Q248" i="67" s="1"/>
  <c r="R248" i="67" s="1"/>
  <c r="S248" i="67" s="1"/>
  <c r="T248" i="67" s="1"/>
  <c r="U248" i="67" s="1"/>
  <c r="V248" i="67" s="1"/>
  <c r="W248" i="67" s="1"/>
  <c r="X248" i="67" s="1"/>
  <c r="Y248" i="67" s="1"/>
  <c r="Z248" i="67" s="1"/>
  <c r="AA248" i="67" s="1"/>
  <c r="AB248" i="67" s="1"/>
  <c r="AC248" i="67" s="1"/>
  <c r="AD248" i="67" s="1"/>
  <c r="AE248" i="67" s="1"/>
  <c r="AF248" i="67" s="1"/>
  <c r="B248" i="67" s="1"/>
  <c r="D248" i="67"/>
  <c r="E247" i="67"/>
  <c r="F247" i="67" s="1"/>
  <c r="D247" i="67"/>
  <c r="F246" i="67"/>
  <c r="G246" i="67" s="1"/>
  <c r="E246" i="67"/>
  <c r="D246" i="67"/>
  <c r="AG244" i="67"/>
  <c r="AF244" i="67"/>
  <c r="AE244" i="67"/>
  <c r="AD244" i="67"/>
  <c r="AC244" i="67"/>
  <c r="AB244" i="67"/>
  <c r="AA244" i="67"/>
  <c r="Z244" i="67"/>
  <c r="Y244" i="67"/>
  <c r="X244" i="67"/>
  <c r="W244" i="67"/>
  <c r="V244" i="67"/>
  <c r="U244" i="67"/>
  <c r="T244" i="67"/>
  <c r="S244" i="67"/>
  <c r="R244" i="67"/>
  <c r="Q244" i="67"/>
  <c r="P244" i="67"/>
  <c r="O244" i="67"/>
  <c r="N244" i="67"/>
  <c r="M244" i="67"/>
  <c r="L244" i="67"/>
  <c r="K244" i="67"/>
  <c r="J244" i="67"/>
  <c r="I244" i="67"/>
  <c r="H244" i="67"/>
  <c r="G244" i="67"/>
  <c r="F244" i="67"/>
  <c r="E244" i="67"/>
  <c r="D244" i="67"/>
  <c r="C244" i="67"/>
  <c r="B244" i="67"/>
  <c r="AI130" i="67"/>
  <c r="AH130" i="67"/>
  <c r="AI129" i="67"/>
  <c r="AH129" i="67"/>
  <c r="AI128" i="67"/>
  <c r="AH128" i="67"/>
  <c r="AI127" i="67"/>
  <c r="AH127" i="67"/>
  <c r="AI126" i="67"/>
  <c r="AH126" i="67"/>
  <c r="AI123" i="67"/>
  <c r="AH123" i="67"/>
  <c r="AI122" i="67"/>
  <c r="AH122" i="67"/>
  <c r="AI121" i="67"/>
  <c r="AH121" i="67"/>
  <c r="AI120" i="67"/>
  <c r="AH120" i="67"/>
  <c r="AI119" i="67"/>
  <c r="AH119" i="67"/>
  <c r="D118" i="67"/>
  <c r="C118" i="67"/>
  <c r="AI117" i="67"/>
  <c r="AH117" i="67"/>
  <c r="AI116" i="67"/>
  <c r="AH116" i="67"/>
  <c r="AI115" i="67"/>
  <c r="AH115" i="67"/>
  <c r="AI114" i="67"/>
  <c r="AH114" i="67"/>
  <c r="AI113" i="67"/>
  <c r="AH113" i="67"/>
  <c r="AI112" i="67"/>
  <c r="AH112" i="67"/>
  <c r="AI111" i="67"/>
  <c r="AH111" i="67"/>
  <c r="AI110" i="67"/>
  <c r="AH110" i="67"/>
  <c r="AI109" i="67"/>
  <c r="AH109" i="67"/>
  <c r="AF107" i="67"/>
  <c r="AI106" i="67"/>
  <c r="AH106" i="67"/>
  <c r="AF105" i="67"/>
  <c r="AE105" i="67"/>
  <c r="AD105" i="67"/>
  <c r="AC105" i="67"/>
  <c r="AB105" i="67"/>
  <c r="X105" i="67"/>
  <c r="S105" i="67"/>
  <c r="R105" i="67"/>
  <c r="Q105" i="67"/>
  <c r="P105" i="67"/>
  <c r="O105" i="67"/>
  <c r="N105" i="67"/>
  <c r="M105" i="67"/>
  <c r="L105" i="67"/>
  <c r="K105" i="67"/>
  <c r="J105" i="67"/>
  <c r="I105" i="67"/>
  <c r="H105" i="67"/>
  <c r="H107" i="67" s="1"/>
  <c r="G105" i="67"/>
  <c r="F105" i="67"/>
  <c r="E105" i="67"/>
  <c r="D105" i="67"/>
  <c r="C105" i="67"/>
  <c r="B105" i="67"/>
  <c r="AF104" i="67"/>
  <c r="AE104" i="67"/>
  <c r="AD104" i="67"/>
  <c r="AC104" i="67"/>
  <c r="AB104" i="67"/>
  <c r="X104" i="67"/>
  <c r="S104" i="67"/>
  <c r="R104" i="67"/>
  <c r="Q104" i="67"/>
  <c r="P104" i="67"/>
  <c r="O104" i="67"/>
  <c r="N104" i="67"/>
  <c r="M104" i="67"/>
  <c r="L104" i="67"/>
  <c r="K104" i="67"/>
  <c r="J104" i="67"/>
  <c r="I104" i="67"/>
  <c r="H104" i="67"/>
  <c r="G104" i="67"/>
  <c r="F104" i="67"/>
  <c r="E104" i="67"/>
  <c r="D104" i="67"/>
  <c r="C104" i="67"/>
  <c r="B104" i="67"/>
  <c r="AF103" i="67"/>
  <c r="AE103" i="67"/>
  <c r="AD103" i="67"/>
  <c r="AC103" i="67"/>
  <c r="AB103" i="67"/>
  <c r="X103" i="67"/>
  <c r="S103" i="67"/>
  <c r="R103" i="67"/>
  <c r="Q103" i="67"/>
  <c r="P103" i="67"/>
  <c r="O103" i="67"/>
  <c r="N103" i="67"/>
  <c r="M103" i="67"/>
  <c r="L103" i="67"/>
  <c r="K103" i="67"/>
  <c r="J103" i="67"/>
  <c r="I103" i="67"/>
  <c r="H103" i="67"/>
  <c r="G103" i="67"/>
  <c r="F103" i="67"/>
  <c r="E103" i="67"/>
  <c r="D103" i="67"/>
  <c r="C103" i="67"/>
  <c r="B103" i="67"/>
  <c r="AF102" i="67"/>
  <c r="AE102" i="67"/>
  <c r="AD102" i="67"/>
  <c r="AC102" i="67"/>
  <c r="AB102" i="67"/>
  <c r="X102" i="67"/>
  <c r="S102" i="67"/>
  <c r="R102" i="67"/>
  <c r="Q102" i="67"/>
  <c r="P102" i="67"/>
  <c r="O102" i="67"/>
  <c r="N102" i="67"/>
  <c r="M102" i="67"/>
  <c r="L102" i="67"/>
  <c r="K102" i="67"/>
  <c r="J102" i="67"/>
  <c r="I102" i="67"/>
  <c r="H102" i="67"/>
  <c r="G102" i="67"/>
  <c r="F102" i="67"/>
  <c r="E102" i="67"/>
  <c r="D102" i="67"/>
  <c r="C102" i="67"/>
  <c r="B102" i="67"/>
  <c r="AF101" i="67"/>
  <c r="AE101" i="67"/>
  <c r="AE107" i="67" s="1"/>
  <c r="AD101" i="67"/>
  <c r="AD107" i="67" s="1"/>
  <c r="AC101" i="67"/>
  <c r="AB101" i="67"/>
  <c r="X101" i="67"/>
  <c r="S101" i="67"/>
  <c r="R101" i="67"/>
  <c r="Q101" i="67"/>
  <c r="Q107" i="67" s="1"/>
  <c r="P101" i="67"/>
  <c r="O101" i="67"/>
  <c r="N101" i="67"/>
  <c r="M101" i="67"/>
  <c r="L101" i="67"/>
  <c r="K101" i="67"/>
  <c r="K107" i="67" s="1"/>
  <c r="J101" i="67"/>
  <c r="I101" i="67"/>
  <c r="H101" i="67"/>
  <c r="G101" i="67"/>
  <c r="G107" i="67" s="1"/>
  <c r="F101" i="67"/>
  <c r="E101" i="67"/>
  <c r="D101" i="67"/>
  <c r="C101" i="67"/>
  <c r="B101" i="67"/>
  <c r="AI98" i="67"/>
  <c r="AH98" i="67"/>
  <c r="AI96" i="67"/>
  <c r="AH96" i="67"/>
  <c r="AG96" i="67"/>
  <c r="AG99" i="67" s="1"/>
  <c r="AI95" i="67"/>
  <c r="AH95" i="67"/>
  <c r="AI94" i="67"/>
  <c r="AH94" i="67"/>
  <c r="AI93" i="67"/>
  <c r="AH93" i="67"/>
  <c r="AG92" i="67"/>
  <c r="AF92" i="67"/>
  <c r="AE5" i="67" s="1"/>
  <c r="AE92" i="67"/>
  <c r="AD5" i="67" s="1"/>
  <c r="AD92" i="67"/>
  <c r="AC5" i="67" s="1"/>
  <c r="AC92" i="67"/>
  <c r="AB92" i="67"/>
  <c r="AA5" i="67" s="1"/>
  <c r="X92" i="67"/>
  <c r="W5" i="67" s="1"/>
  <c r="S92" i="67"/>
  <c r="R5" i="67" s="1"/>
  <c r="R92" i="67"/>
  <c r="Q92" i="67"/>
  <c r="Q97" i="67" s="1"/>
  <c r="Q99" i="67" s="1"/>
  <c r="P92" i="67"/>
  <c r="O5" i="67" s="1"/>
  <c r="O92" i="67"/>
  <c r="N5" i="67" s="1"/>
  <c r="N92" i="67"/>
  <c r="M5" i="67" s="1"/>
  <c r="M92" i="67"/>
  <c r="L5" i="67" s="1"/>
  <c r="L92" i="67"/>
  <c r="K5" i="67" s="1"/>
  <c r="K92" i="67"/>
  <c r="J5" i="67" s="1"/>
  <c r="J92" i="67"/>
  <c r="I5" i="67" s="1"/>
  <c r="I92" i="67"/>
  <c r="H92" i="67"/>
  <c r="G5" i="67" s="1"/>
  <c r="G92" i="67"/>
  <c r="F5" i="67" s="1"/>
  <c r="F92" i="67"/>
  <c r="E5" i="67" s="1"/>
  <c r="E92" i="67"/>
  <c r="D5" i="67" s="1"/>
  <c r="D92" i="67"/>
  <c r="C92" i="67"/>
  <c r="B5" i="67" s="1"/>
  <c r="B92" i="67"/>
  <c r="AI91" i="67"/>
  <c r="AH91" i="67"/>
  <c r="AI90" i="67"/>
  <c r="AH90" i="67"/>
  <c r="AI89" i="67"/>
  <c r="AH89" i="67"/>
  <c r="AI88" i="67"/>
  <c r="AH88" i="67"/>
  <c r="AI87" i="67"/>
  <c r="AH87" i="67"/>
  <c r="AI86" i="67"/>
  <c r="AH86" i="67"/>
  <c r="AI85" i="67"/>
  <c r="AH85" i="67"/>
  <c r="AI84" i="67"/>
  <c r="AH84" i="67"/>
  <c r="AI83" i="67"/>
  <c r="AH83" i="67"/>
  <c r="AI82" i="67"/>
  <c r="AH82" i="67"/>
  <c r="AI81" i="67"/>
  <c r="AH81" i="67"/>
  <c r="AG80" i="67"/>
  <c r="AF80" i="67"/>
  <c r="AE80" i="67"/>
  <c r="AD80" i="67"/>
  <c r="AC80" i="67"/>
  <c r="AB80" i="67"/>
  <c r="X80" i="67"/>
  <c r="S80" i="67"/>
  <c r="R80" i="67"/>
  <c r="Q80" i="67"/>
  <c r="P80" i="67"/>
  <c r="O80" i="67"/>
  <c r="N80" i="67"/>
  <c r="M80" i="67"/>
  <c r="L80" i="67"/>
  <c r="K80" i="67"/>
  <c r="J80" i="67"/>
  <c r="I80" i="67"/>
  <c r="H80" i="67"/>
  <c r="G80" i="67"/>
  <c r="F80" i="67"/>
  <c r="E80" i="67"/>
  <c r="D80" i="67"/>
  <c r="C80" i="67"/>
  <c r="B80" i="67"/>
  <c r="AI79" i="67"/>
  <c r="AH79" i="67"/>
  <c r="AI78" i="67"/>
  <c r="AH78" i="67"/>
  <c r="AI77" i="67"/>
  <c r="AH77" i="67"/>
  <c r="AG76" i="67"/>
  <c r="AF76" i="67"/>
  <c r="AE76" i="67"/>
  <c r="AD76" i="67"/>
  <c r="AC76" i="67"/>
  <c r="AB76" i="67"/>
  <c r="X76" i="67"/>
  <c r="S76" i="67"/>
  <c r="R76" i="67"/>
  <c r="Q76" i="67"/>
  <c r="P76" i="67"/>
  <c r="O76" i="67"/>
  <c r="N76" i="67"/>
  <c r="M76" i="67"/>
  <c r="L76" i="67"/>
  <c r="K76" i="67"/>
  <c r="J76" i="67"/>
  <c r="I76" i="67"/>
  <c r="H76" i="67"/>
  <c r="G76" i="67"/>
  <c r="F76" i="67"/>
  <c r="E76" i="67"/>
  <c r="D76" i="67"/>
  <c r="C76" i="67"/>
  <c r="B76" i="67"/>
  <c r="AI75" i="67"/>
  <c r="AH75" i="67"/>
  <c r="AG75" i="67"/>
  <c r="AI74" i="67"/>
  <c r="AH74" i="67"/>
  <c r="AI73" i="67"/>
  <c r="AH73" i="67"/>
  <c r="AI72" i="67"/>
  <c r="AH72" i="67"/>
  <c r="AI71" i="67"/>
  <c r="AH71" i="67"/>
  <c r="AI70" i="67"/>
  <c r="AH70" i="67"/>
  <c r="AI69" i="67"/>
  <c r="AH69" i="67"/>
  <c r="AI68" i="67"/>
  <c r="AH68" i="67"/>
  <c r="AI67" i="67"/>
  <c r="AH67" i="67"/>
  <c r="AI66" i="67"/>
  <c r="AH66" i="67"/>
  <c r="AI65" i="67"/>
  <c r="AH65" i="67"/>
  <c r="AI64" i="67"/>
  <c r="AH64" i="67"/>
  <c r="AI63" i="67"/>
  <c r="AH63" i="67"/>
  <c r="AG62" i="67"/>
  <c r="AF62" i="67"/>
  <c r="AE62" i="67"/>
  <c r="AD62" i="67"/>
  <c r="AC62" i="67"/>
  <c r="AB62" i="67"/>
  <c r="X62" i="67"/>
  <c r="S62" i="67"/>
  <c r="R62" i="67"/>
  <c r="P62" i="67"/>
  <c r="O62" i="67"/>
  <c r="N62" i="67"/>
  <c r="M62" i="67"/>
  <c r="L62" i="67"/>
  <c r="K62" i="67"/>
  <c r="J62" i="67"/>
  <c r="I62" i="67"/>
  <c r="H62" i="67"/>
  <c r="G62" i="67"/>
  <c r="F62" i="67"/>
  <c r="E62" i="67"/>
  <c r="D62" i="67"/>
  <c r="C62" i="67"/>
  <c r="B62" i="67"/>
  <c r="AI61" i="67"/>
  <c r="AH61" i="67"/>
  <c r="AI60" i="67"/>
  <c r="AH60" i="67"/>
  <c r="AI59" i="67"/>
  <c r="AH59" i="67"/>
  <c r="AG58" i="67"/>
  <c r="AG97" i="67" s="1"/>
  <c r="AF58" i="67"/>
  <c r="AE58" i="67"/>
  <c r="AD58" i="67"/>
  <c r="AC58" i="67"/>
  <c r="AB58" i="67"/>
  <c r="X58" i="67"/>
  <c r="AL261" i="67"/>
  <c r="S58" i="67"/>
  <c r="R58" i="67"/>
  <c r="P58" i="67"/>
  <c r="O58" i="67"/>
  <c r="N58" i="67"/>
  <c r="M58" i="67"/>
  <c r="L58" i="67"/>
  <c r="K58" i="67"/>
  <c r="J58" i="67"/>
  <c r="I58" i="67"/>
  <c r="H58" i="67"/>
  <c r="G58" i="67"/>
  <c r="F58" i="67"/>
  <c r="E58" i="67"/>
  <c r="D58" i="67"/>
  <c r="C58" i="67"/>
  <c r="B58" i="67"/>
  <c r="AI57" i="67"/>
  <c r="AH57" i="67"/>
  <c r="AI56" i="67"/>
  <c r="AH56" i="67"/>
  <c r="AI55" i="67"/>
  <c r="AH55" i="67"/>
  <c r="AI54" i="67"/>
  <c r="AH54" i="67"/>
  <c r="AI53" i="67"/>
  <c r="AH53" i="67"/>
  <c r="AI52" i="67"/>
  <c r="AH52" i="67"/>
  <c r="AI51" i="67"/>
  <c r="AH51" i="67"/>
  <c r="AI50" i="67"/>
  <c r="AH50" i="67"/>
  <c r="AI49" i="67"/>
  <c r="AH49" i="67"/>
  <c r="AI48" i="67"/>
  <c r="AH48" i="67"/>
  <c r="AI47" i="67"/>
  <c r="AH47" i="67"/>
  <c r="AI46" i="67"/>
  <c r="AH46" i="67"/>
  <c r="AI45" i="67"/>
  <c r="AH45" i="67"/>
  <c r="AI44" i="67"/>
  <c r="AH44" i="67"/>
  <c r="AI43" i="67"/>
  <c r="AH43" i="67"/>
  <c r="AI42" i="67"/>
  <c r="AH42" i="67"/>
  <c r="AI41" i="67"/>
  <c r="AH41" i="67"/>
  <c r="AI40" i="67"/>
  <c r="AH40" i="67"/>
  <c r="AI39" i="67"/>
  <c r="AH39" i="67"/>
  <c r="AI38" i="67"/>
  <c r="AH38" i="67"/>
  <c r="AI37" i="67"/>
  <c r="AH37" i="67"/>
  <c r="AI36" i="67"/>
  <c r="AH36" i="67"/>
  <c r="AI35" i="67"/>
  <c r="AH35" i="67"/>
  <c r="AI34" i="67"/>
  <c r="AH34" i="67"/>
  <c r="AI33" i="67"/>
  <c r="AH33" i="67"/>
  <c r="AI32" i="67"/>
  <c r="AH32" i="67"/>
  <c r="AI31" i="67"/>
  <c r="AH31" i="67"/>
  <c r="AI30" i="67"/>
  <c r="AH30" i="67"/>
  <c r="AI29" i="67"/>
  <c r="AH29" i="67"/>
  <c r="AI28" i="67"/>
  <c r="AH28" i="67"/>
  <c r="AI27" i="67"/>
  <c r="AH27" i="67"/>
  <c r="AI26" i="67"/>
  <c r="AH26" i="67"/>
  <c r="AI25" i="67"/>
  <c r="AH25" i="67"/>
  <c r="AI24" i="67"/>
  <c r="AH24" i="67"/>
  <c r="AI23" i="67"/>
  <c r="AH23" i="67"/>
  <c r="AI22" i="67"/>
  <c r="AH22" i="67"/>
  <c r="AI21" i="67"/>
  <c r="AH21" i="67"/>
  <c r="AI20" i="67"/>
  <c r="AH20" i="67"/>
  <c r="AI19" i="67"/>
  <c r="AH19" i="67"/>
  <c r="AI18" i="67"/>
  <c r="AH18" i="67"/>
  <c r="AI17" i="67"/>
  <c r="AH17" i="67"/>
  <c r="AI16" i="67"/>
  <c r="AH16" i="67"/>
  <c r="AI15" i="67"/>
  <c r="AH15" i="67"/>
  <c r="AI14" i="67"/>
  <c r="AH14" i="67"/>
  <c r="AI13" i="67"/>
  <c r="AH13" i="67"/>
  <c r="AI12" i="67"/>
  <c r="AH12" i="67"/>
  <c r="AI11" i="67"/>
  <c r="AH11" i="67"/>
  <c r="Z5" i="67"/>
  <c r="Y5" i="67"/>
  <c r="V5" i="67"/>
  <c r="U5" i="67"/>
  <c r="T5" i="67"/>
  <c r="S5" i="67"/>
  <c r="C5" i="67"/>
  <c r="AG4" i="67"/>
  <c r="K4" i="67"/>
  <c r="E4" i="67"/>
  <c r="H4" i="67" s="1"/>
  <c r="B4" i="67"/>
  <c r="S258" i="67" s="1"/>
  <c r="AG3" i="67"/>
  <c r="AG2" i="67"/>
  <c r="AG6" i="67" s="1"/>
  <c r="AF123" i="66"/>
  <c r="AE123" i="66"/>
  <c r="AD118" i="66"/>
  <c r="AD123" i="66"/>
  <c r="AC123" i="66"/>
  <c r="AB123" i="66"/>
  <c r="AA123" i="66"/>
  <c r="AA118" i="66" s="1"/>
  <c r="AA58" i="66"/>
  <c r="AA62" i="66"/>
  <c r="AA76" i="66"/>
  <c r="AA80" i="66"/>
  <c r="AA92" i="66"/>
  <c r="AA108" i="66" s="1"/>
  <c r="AA101" i="66"/>
  <c r="AA102" i="66"/>
  <c r="AA103" i="66"/>
  <c r="AA104" i="66"/>
  <c r="AA105" i="66"/>
  <c r="Z123" i="66"/>
  <c r="Z58" i="66"/>
  <c r="Z62" i="66"/>
  <c r="Z76" i="66"/>
  <c r="Z80" i="66"/>
  <c r="Z92" i="66"/>
  <c r="Z108" i="66" s="1"/>
  <c r="Z101" i="66"/>
  <c r="Z102" i="66"/>
  <c r="Z103" i="66"/>
  <c r="Z104" i="66"/>
  <c r="Z105" i="66"/>
  <c r="Z118" i="66"/>
  <c r="Y123" i="66"/>
  <c r="Y118" i="66" s="1"/>
  <c r="Y58" i="66"/>
  <c r="Y62" i="66"/>
  <c r="Y76" i="66"/>
  <c r="Y80" i="66"/>
  <c r="Y92" i="66"/>
  <c r="Y108" i="66" s="1"/>
  <c r="Y101" i="66"/>
  <c r="Y102" i="66"/>
  <c r="Y103" i="66"/>
  <c r="Y104" i="66"/>
  <c r="Y105" i="66"/>
  <c r="X123" i="66"/>
  <c r="X118" i="66" s="1"/>
  <c r="X58" i="66"/>
  <c r="X62" i="66"/>
  <c r="X76" i="66"/>
  <c r="X80" i="66"/>
  <c r="X92" i="66"/>
  <c r="X108" i="66" s="1"/>
  <c r="X101" i="66"/>
  <c r="X102" i="66"/>
  <c r="X103" i="66"/>
  <c r="X104" i="66"/>
  <c r="X105" i="66"/>
  <c r="W123" i="66"/>
  <c r="W118" i="66" s="1"/>
  <c r="W58" i="66"/>
  <c r="W62" i="66"/>
  <c r="W76" i="66"/>
  <c r="W80" i="66"/>
  <c r="W92" i="66"/>
  <c r="W108" i="66" s="1"/>
  <c r="W101" i="66"/>
  <c r="W102" i="66"/>
  <c r="W103" i="66"/>
  <c r="W104" i="66"/>
  <c r="W105" i="66"/>
  <c r="V123" i="66"/>
  <c r="V118" i="66" s="1"/>
  <c r="V58" i="66"/>
  <c r="V62" i="66"/>
  <c r="V76" i="66"/>
  <c r="V80" i="66"/>
  <c r="V92" i="66"/>
  <c r="V108" i="66" s="1"/>
  <c r="V101" i="66"/>
  <c r="V102" i="66"/>
  <c r="V103" i="66"/>
  <c r="V104" i="66"/>
  <c r="V105" i="66"/>
  <c r="U123" i="66"/>
  <c r="U58" i="66"/>
  <c r="U62" i="66"/>
  <c r="U76" i="66"/>
  <c r="U80" i="66"/>
  <c r="U92" i="66"/>
  <c r="U101" i="66"/>
  <c r="U102" i="66"/>
  <c r="U103" i="66"/>
  <c r="U104" i="66"/>
  <c r="U105" i="66"/>
  <c r="U118" i="66"/>
  <c r="T123" i="66"/>
  <c r="T118" i="66" s="1"/>
  <c r="T58" i="66"/>
  <c r="T62" i="66"/>
  <c r="T76" i="66"/>
  <c r="T80" i="66"/>
  <c r="T92" i="66"/>
  <c r="T101" i="66"/>
  <c r="T102" i="66"/>
  <c r="T103" i="66"/>
  <c r="T104" i="66"/>
  <c r="T105" i="66"/>
  <c r="S123" i="66"/>
  <c r="S58" i="66"/>
  <c r="S62" i="66"/>
  <c r="S76" i="66"/>
  <c r="S80" i="66"/>
  <c r="S92" i="66"/>
  <c r="S101" i="66"/>
  <c r="S107" i="66" s="1"/>
  <c r="S102" i="66"/>
  <c r="S103" i="66"/>
  <c r="S104" i="66"/>
  <c r="S105" i="66"/>
  <c r="S118" i="66"/>
  <c r="N58" i="66"/>
  <c r="N62" i="66"/>
  <c r="M58" i="66"/>
  <c r="M62" i="66"/>
  <c r="L123" i="66"/>
  <c r="L121" i="66"/>
  <c r="L57" i="66"/>
  <c r="K123" i="66"/>
  <c r="K121" i="66"/>
  <c r="K57" i="66"/>
  <c r="J123" i="66"/>
  <c r="J121" i="66"/>
  <c r="J57" i="66"/>
  <c r="I123" i="66"/>
  <c r="I121" i="66"/>
  <c r="I57" i="66"/>
  <c r="H123" i="66"/>
  <c r="H121" i="66"/>
  <c r="H57" i="66"/>
  <c r="G123" i="66"/>
  <c r="G121" i="66"/>
  <c r="G57" i="66"/>
  <c r="C107" i="54"/>
  <c r="D107" i="54"/>
  <c r="E107" i="54"/>
  <c r="F107" i="54"/>
  <c r="G107" i="54"/>
  <c r="H107" i="54"/>
  <c r="I107" i="54"/>
  <c r="J107" i="54"/>
  <c r="K107" i="54"/>
  <c r="L107" i="54"/>
  <c r="K282" i="69" l="1"/>
  <c r="M251" i="69"/>
  <c r="L118" i="69"/>
  <c r="N246" i="69"/>
  <c r="M118" i="69"/>
  <c r="M252" i="69"/>
  <c r="L252" i="69"/>
  <c r="K251" i="68"/>
  <c r="I282" i="68"/>
  <c r="J252" i="68"/>
  <c r="J118" i="68"/>
  <c r="M246" i="68"/>
  <c r="AE108" i="67"/>
  <c r="AE97" i="67"/>
  <c r="AE99" i="67" s="1"/>
  <c r="AW261" i="67" s="1"/>
  <c r="AD97" i="67"/>
  <c r="AD99" i="67" s="1"/>
  <c r="AV261" i="67" s="1"/>
  <c r="AD108" i="67"/>
  <c r="AC97" i="67"/>
  <c r="AC99" i="67" s="1"/>
  <c r="AB97" i="67"/>
  <c r="AB99" i="67" s="1"/>
  <c r="AT261" i="67" s="1"/>
  <c r="X107" i="67"/>
  <c r="S107" i="67"/>
  <c r="S108" i="67" s="1"/>
  <c r="S97" i="67"/>
  <c r="S99" i="67" s="1"/>
  <c r="R97" i="67"/>
  <c r="R99" i="67" s="1"/>
  <c r="AJ261" i="67" s="1"/>
  <c r="P107" i="67"/>
  <c r="P108" i="67" s="1"/>
  <c r="O107" i="67"/>
  <c r="O108" i="67" s="1"/>
  <c r="O97" i="67"/>
  <c r="O99" i="67" s="1"/>
  <c r="AG261" i="67" s="1"/>
  <c r="N107" i="67"/>
  <c r="N108" i="67" s="1"/>
  <c r="N97" i="67"/>
  <c r="N99" i="67" s="1"/>
  <c r="AF261" i="67" s="1"/>
  <c r="M97" i="67"/>
  <c r="M99" i="67" s="1"/>
  <c r="K108" i="67"/>
  <c r="K97" i="67"/>
  <c r="K99" i="67" s="1"/>
  <c r="K100" i="67" s="1"/>
  <c r="K7" i="67" s="1"/>
  <c r="J97" i="67"/>
  <c r="J99" i="67" s="1"/>
  <c r="I107" i="67"/>
  <c r="G108" i="67"/>
  <c r="F107" i="67"/>
  <c r="F108" i="67" s="1"/>
  <c r="L97" i="67"/>
  <c r="L99" i="67" s="1"/>
  <c r="AD261" i="67" s="1"/>
  <c r="F97" i="67"/>
  <c r="F99" i="67" s="1"/>
  <c r="X261" i="67" s="1"/>
  <c r="I97" i="67"/>
  <c r="I99" i="67" s="1"/>
  <c r="AA261" i="67" s="1"/>
  <c r="AI101" i="67"/>
  <c r="AI105" i="67"/>
  <c r="G97" i="67"/>
  <c r="G99" i="67" s="1"/>
  <c r="G100" i="67" s="1"/>
  <c r="G7" i="67" s="1"/>
  <c r="E97" i="67"/>
  <c r="E99" i="67" s="1"/>
  <c r="W261" i="67" s="1"/>
  <c r="D97" i="67"/>
  <c r="D99" i="67" s="1"/>
  <c r="V261" i="67" s="1"/>
  <c r="C107" i="67"/>
  <c r="C108" i="67"/>
  <c r="C97" i="67"/>
  <c r="C99" i="67" s="1"/>
  <c r="C100" i="67" s="1"/>
  <c r="C7" i="67" s="1"/>
  <c r="B97" i="67"/>
  <c r="B99" i="67" s="1"/>
  <c r="AS261" i="67"/>
  <c r="AA7" i="67"/>
  <c r="AM261" i="67"/>
  <c r="AO261" i="67"/>
  <c r="W7" i="67"/>
  <c r="AI261" i="67"/>
  <c r="Q100" i="67"/>
  <c r="Q7" i="67" s="1"/>
  <c r="AQ261" i="67"/>
  <c r="Y7" i="67"/>
  <c r="AN261" i="67"/>
  <c r="V7" i="67"/>
  <c r="AB261" i="67"/>
  <c r="AR261" i="67"/>
  <c r="Z7" i="67"/>
  <c r="AI62" i="67"/>
  <c r="AK261" i="67"/>
  <c r="S100" i="67"/>
  <c r="S7" i="67" s="1"/>
  <c r="E252" i="67"/>
  <c r="X5" i="67"/>
  <c r="J107" i="67"/>
  <c r="J108" i="67" s="1"/>
  <c r="L107" i="67"/>
  <c r="AF5" i="67"/>
  <c r="AI92" i="67"/>
  <c r="AH92" i="67"/>
  <c r="G247" i="67"/>
  <c r="H247" i="67" s="1"/>
  <c r="I247" i="67" s="1"/>
  <c r="J247" i="67" s="1"/>
  <c r="K247" i="67" s="1"/>
  <c r="L247" i="67" s="1"/>
  <c r="M247" i="67" s="1"/>
  <c r="N247" i="67" s="1"/>
  <c r="O247" i="67" s="1"/>
  <c r="P247" i="67" s="1"/>
  <c r="Q247" i="67" s="1"/>
  <c r="R247" i="67" s="1"/>
  <c r="S247" i="67" s="1"/>
  <c r="T247" i="67" s="1"/>
  <c r="U247" i="67" s="1"/>
  <c r="V247" i="67" s="1"/>
  <c r="W247" i="67" s="1"/>
  <c r="X247" i="67" s="1"/>
  <c r="Y247" i="67" s="1"/>
  <c r="Z247" i="67" s="1"/>
  <c r="AA247" i="67" s="1"/>
  <c r="AB247" i="67" s="1"/>
  <c r="AC247" i="67" s="1"/>
  <c r="AD247" i="67" s="1"/>
  <c r="AE247" i="67" s="1"/>
  <c r="AF247" i="67" s="1"/>
  <c r="B247" i="67" s="1"/>
  <c r="AU261" i="67"/>
  <c r="R107" i="67"/>
  <c r="T7" i="67"/>
  <c r="AI80" i="67"/>
  <c r="AH80" i="67"/>
  <c r="X108" i="67"/>
  <c r="E251" i="67"/>
  <c r="AI76" i="67"/>
  <c r="AH76" i="67"/>
  <c r="L108" i="67"/>
  <c r="E107" i="67"/>
  <c r="M107" i="67"/>
  <c r="M108" i="67" s="1"/>
  <c r="U7" i="67"/>
  <c r="AC107" i="67"/>
  <c r="AC100" i="67" s="1"/>
  <c r="AC7" i="67" s="1"/>
  <c r="H246" i="67"/>
  <c r="H108" i="67"/>
  <c r="AH62" i="67"/>
  <c r="AI102" i="67"/>
  <c r="AH102" i="67"/>
  <c r="AI58" i="67"/>
  <c r="AH58" i="67"/>
  <c r="P5" i="67"/>
  <c r="Q108" i="67"/>
  <c r="D107" i="67"/>
  <c r="D100" i="67" s="1"/>
  <c r="D7" i="67" s="1"/>
  <c r="AH103" i="67"/>
  <c r="AH105" i="67"/>
  <c r="Q5" i="67"/>
  <c r="AI104" i="67"/>
  <c r="AF108" i="67"/>
  <c r="D258" i="67"/>
  <c r="H5" i="67"/>
  <c r="I108" i="67"/>
  <c r="AE261" i="67"/>
  <c r="AB107" i="67"/>
  <c r="AB108" i="67" s="1"/>
  <c r="AB5" i="67"/>
  <c r="H97" i="67"/>
  <c r="H99" i="67" s="1"/>
  <c r="P97" i="67"/>
  <c r="P99" i="67" s="1"/>
  <c r="X97" i="67"/>
  <c r="X99" i="67" s="1"/>
  <c r="AF97" i="67"/>
  <c r="AF99" i="67" s="1"/>
  <c r="AI103" i="67"/>
  <c r="D252" i="67"/>
  <c r="AH101" i="67"/>
  <c r="B107" i="67"/>
  <c r="B108" i="67" s="1"/>
  <c r="AH104" i="67"/>
  <c r="AA97" i="66"/>
  <c r="AA99" i="66" s="1"/>
  <c r="AA100" i="66" s="1"/>
  <c r="Z97" i="66"/>
  <c r="Z99" i="66" s="1"/>
  <c r="Z100" i="66" s="1"/>
  <c r="Y97" i="66"/>
  <c r="Y99" i="66" s="1"/>
  <c r="Y100" i="66" s="1"/>
  <c r="X97" i="66"/>
  <c r="X99" i="66" s="1"/>
  <c r="X100" i="66" s="1"/>
  <c r="W97" i="66"/>
  <c r="W99" i="66" s="1"/>
  <c r="W100" i="66" s="1"/>
  <c r="V97" i="66"/>
  <c r="V99" i="66" s="1"/>
  <c r="V100" i="66" s="1"/>
  <c r="U97" i="66"/>
  <c r="U99" i="66" s="1"/>
  <c r="U108" i="66"/>
  <c r="T107" i="66"/>
  <c r="T108" i="66" s="1"/>
  <c r="T97" i="66"/>
  <c r="T99" i="66" s="1"/>
  <c r="T100" i="66" s="1"/>
  <c r="S97" i="66"/>
  <c r="S99" i="66" s="1"/>
  <c r="S100" i="66" s="1"/>
  <c r="S108" i="66"/>
  <c r="O246" i="69" l="1"/>
  <c r="L282" i="69"/>
  <c r="N251" i="69"/>
  <c r="N246" i="68"/>
  <c r="J282" i="68"/>
  <c r="L251" i="68"/>
  <c r="K118" i="68"/>
  <c r="K252" i="68"/>
  <c r="AE100" i="67"/>
  <c r="AE7" i="67" s="1"/>
  <c r="AD100" i="67"/>
  <c r="AD7" i="67" s="1"/>
  <c r="AB100" i="67"/>
  <c r="AB7" i="67" s="1"/>
  <c r="R100" i="67"/>
  <c r="R7" i="67" s="1"/>
  <c r="O100" i="67"/>
  <c r="O7" i="67" s="1"/>
  <c r="N100" i="67"/>
  <c r="N7" i="67" s="1"/>
  <c r="M100" i="67"/>
  <c r="M7" i="67" s="1"/>
  <c r="L100" i="67"/>
  <c r="L7" i="67" s="1"/>
  <c r="AC261" i="67"/>
  <c r="I100" i="67"/>
  <c r="I7" i="67" s="1"/>
  <c r="Y261" i="67"/>
  <c r="C256" i="67"/>
  <c r="F100" i="67"/>
  <c r="F7" i="67" s="1"/>
  <c r="E100" i="67"/>
  <c r="E7" i="67" s="1"/>
  <c r="E108" i="67"/>
  <c r="D108" i="67"/>
  <c r="U261" i="67"/>
  <c r="AH97" i="67"/>
  <c r="P100" i="67"/>
  <c r="P7" i="67" s="1"/>
  <c r="AH261" i="67"/>
  <c r="AC108" i="67"/>
  <c r="R108" i="67"/>
  <c r="T261" i="67"/>
  <c r="B100" i="67"/>
  <c r="AH99" i="67"/>
  <c r="AI99" i="67"/>
  <c r="AF100" i="67"/>
  <c r="AF7" i="67" s="1"/>
  <c r="AX261" i="67"/>
  <c r="I246" i="67"/>
  <c r="X100" i="67"/>
  <c r="X7" i="67" s="1"/>
  <c r="AP261" i="67"/>
  <c r="Z261" i="67"/>
  <c r="H100" i="67"/>
  <c r="H7" i="67" s="1"/>
  <c r="D282" i="67"/>
  <c r="F251" i="67"/>
  <c r="E118" i="67"/>
  <c r="J100" i="67"/>
  <c r="J7" i="67" s="1"/>
  <c r="AI97" i="67"/>
  <c r="AI107" i="67"/>
  <c r="AH107" i="67"/>
  <c r="B256" i="67"/>
  <c r="U100" i="66"/>
  <c r="M282" i="69" l="1"/>
  <c r="O251" i="69"/>
  <c r="N252" i="69"/>
  <c r="N118" i="69"/>
  <c r="P246" i="69"/>
  <c r="O118" i="69"/>
  <c r="O252" i="69"/>
  <c r="K282" i="68"/>
  <c r="M251" i="68"/>
  <c r="L118" i="68"/>
  <c r="L252" i="68"/>
  <c r="O246" i="68"/>
  <c r="K6" i="67"/>
  <c r="AI108" i="67"/>
  <c r="E282" i="67"/>
  <c r="G251" i="67"/>
  <c r="F118" i="67"/>
  <c r="F252" i="67"/>
  <c r="AH108" i="67"/>
  <c r="J246" i="67"/>
  <c r="AI100" i="67"/>
  <c r="B7" i="67"/>
  <c r="A7" i="67" s="1"/>
  <c r="AH100" i="67"/>
  <c r="F123" i="66"/>
  <c r="F121" i="66"/>
  <c r="F57" i="66"/>
  <c r="E123" i="66"/>
  <c r="AH123" i="66" s="1"/>
  <c r="E121" i="66"/>
  <c r="E57" i="66"/>
  <c r="D123" i="66"/>
  <c r="D121" i="66"/>
  <c r="D57" i="66"/>
  <c r="C57" i="66"/>
  <c r="C58" i="66"/>
  <c r="D58" i="66"/>
  <c r="C62" i="66"/>
  <c r="D62" i="66"/>
  <c r="C76" i="66"/>
  <c r="D76" i="66"/>
  <c r="C80" i="66"/>
  <c r="D80" i="66"/>
  <c r="C92" i="66"/>
  <c r="B5" i="66" s="1"/>
  <c r="D92" i="66"/>
  <c r="C101" i="66"/>
  <c r="D101" i="66"/>
  <c r="C102" i="66"/>
  <c r="D102" i="66"/>
  <c r="C103" i="66"/>
  <c r="D103" i="66"/>
  <c r="C104" i="66"/>
  <c r="D104" i="66"/>
  <c r="C105" i="66"/>
  <c r="D105" i="66"/>
  <c r="B123" i="66"/>
  <c r="B121" i="66"/>
  <c r="B57" i="66"/>
  <c r="B105" i="66"/>
  <c r="B104" i="66"/>
  <c r="B103" i="66"/>
  <c r="B102" i="66"/>
  <c r="B101" i="66"/>
  <c r="B92" i="66"/>
  <c r="AF5" i="66" s="1"/>
  <c r="B80" i="66"/>
  <c r="B76" i="66"/>
  <c r="B62" i="66"/>
  <c r="B58" i="66"/>
  <c r="AF286" i="66"/>
  <c r="AE286" i="66"/>
  <c r="AD286" i="66"/>
  <c r="AC286" i="66"/>
  <c r="AB286" i="66"/>
  <c r="AA286" i="66"/>
  <c r="Z286" i="66"/>
  <c r="Y286" i="66"/>
  <c r="X286" i="66"/>
  <c r="W286" i="66"/>
  <c r="V286" i="66"/>
  <c r="U286" i="66"/>
  <c r="T286" i="66"/>
  <c r="S286" i="66"/>
  <c r="R286" i="66"/>
  <c r="Q286" i="66"/>
  <c r="P286" i="66"/>
  <c r="O286" i="66"/>
  <c r="N286" i="66"/>
  <c r="M286" i="66"/>
  <c r="L286" i="66"/>
  <c r="K286" i="66"/>
  <c r="J286" i="66"/>
  <c r="I286" i="66"/>
  <c r="H286" i="66"/>
  <c r="G286" i="66"/>
  <c r="F286" i="66"/>
  <c r="E286" i="66"/>
  <c r="D286" i="66"/>
  <c r="C286" i="66"/>
  <c r="B286" i="66"/>
  <c r="A286" i="66"/>
  <c r="AF285" i="66"/>
  <c r="AE285" i="66"/>
  <c r="AD285" i="66"/>
  <c r="AC285" i="66"/>
  <c r="AB285" i="66"/>
  <c r="AA285" i="66"/>
  <c r="Z285" i="66"/>
  <c r="Y285" i="66"/>
  <c r="X285" i="66"/>
  <c r="W285" i="66"/>
  <c r="V285" i="66"/>
  <c r="U285" i="66"/>
  <c r="T285" i="66"/>
  <c r="S285" i="66"/>
  <c r="R285" i="66"/>
  <c r="Q285" i="66"/>
  <c r="P285" i="66"/>
  <c r="O285" i="66"/>
  <c r="N285" i="66"/>
  <c r="M285" i="66"/>
  <c r="L285" i="66"/>
  <c r="K285" i="66"/>
  <c r="J285" i="66"/>
  <c r="I285" i="66"/>
  <c r="H285" i="66"/>
  <c r="G285" i="66"/>
  <c r="F285" i="66"/>
  <c r="E285" i="66"/>
  <c r="D285" i="66"/>
  <c r="C285" i="66"/>
  <c r="B285" i="66"/>
  <c r="A285" i="66"/>
  <c r="AF284" i="66"/>
  <c r="AE284" i="66"/>
  <c r="AD284" i="66"/>
  <c r="AC284" i="66"/>
  <c r="AB284" i="66"/>
  <c r="AA284" i="66"/>
  <c r="Z284" i="66"/>
  <c r="Y284" i="66"/>
  <c r="X284" i="66"/>
  <c r="W284" i="66"/>
  <c r="V284" i="66"/>
  <c r="U284" i="66"/>
  <c r="T284" i="66"/>
  <c r="S284" i="66"/>
  <c r="R284" i="66"/>
  <c r="Q284" i="66"/>
  <c r="P284" i="66"/>
  <c r="O284" i="66"/>
  <c r="N284" i="66"/>
  <c r="M284" i="66"/>
  <c r="L284" i="66"/>
  <c r="K284" i="66"/>
  <c r="J284" i="66"/>
  <c r="I284" i="66"/>
  <c r="H284" i="66"/>
  <c r="G284" i="66"/>
  <c r="F284" i="66"/>
  <c r="E284" i="66"/>
  <c r="D284" i="66"/>
  <c r="C284" i="66"/>
  <c r="B284" i="66"/>
  <c r="A284" i="66"/>
  <c r="AF283" i="66"/>
  <c r="AE283" i="66"/>
  <c r="AD283" i="66"/>
  <c r="AC283" i="66"/>
  <c r="AB283" i="66"/>
  <c r="AA283" i="66"/>
  <c r="Z283" i="66"/>
  <c r="Y283" i="66"/>
  <c r="X283" i="66"/>
  <c r="W283" i="66"/>
  <c r="V283" i="66"/>
  <c r="U283" i="66"/>
  <c r="T283" i="66"/>
  <c r="S283" i="66"/>
  <c r="R283" i="66"/>
  <c r="Q283" i="66"/>
  <c r="P283" i="66"/>
  <c r="O283" i="66"/>
  <c r="N283" i="66"/>
  <c r="M283" i="66"/>
  <c r="L283" i="66"/>
  <c r="K283" i="66"/>
  <c r="J283" i="66"/>
  <c r="I283" i="66"/>
  <c r="H283" i="66"/>
  <c r="G283" i="66"/>
  <c r="F283" i="66"/>
  <c r="E283" i="66"/>
  <c r="D283" i="66"/>
  <c r="C283" i="66"/>
  <c r="B283" i="66"/>
  <c r="A283" i="66"/>
  <c r="B282" i="66"/>
  <c r="S257" i="66"/>
  <c r="AG252" i="66"/>
  <c r="C252" i="66"/>
  <c r="D251" i="66"/>
  <c r="C282" i="66" s="1"/>
  <c r="D250" i="66"/>
  <c r="E250" i="66" s="1"/>
  <c r="F250" i="66" s="1"/>
  <c r="G250" i="66" s="1"/>
  <c r="H250" i="66" s="1"/>
  <c r="I250" i="66" s="1"/>
  <c r="J250" i="66" s="1"/>
  <c r="K250" i="66" s="1"/>
  <c r="L250" i="66" s="1"/>
  <c r="M250" i="66" s="1"/>
  <c r="N250" i="66" s="1"/>
  <c r="O250" i="66" s="1"/>
  <c r="P250" i="66" s="1"/>
  <c r="Q250" i="66" s="1"/>
  <c r="R250" i="66" s="1"/>
  <c r="S250" i="66" s="1"/>
  <c r="T250" i="66" s="1"/>
  <c r="U250" i="66" s="1"/>
  <c r="V250" i="66" s="1"/>
  <c r="W250" i="66" s="1"/>
  <c r="X250" i="66" s="1"/>
  <c r="Y250" i="66" s="1"/>
  <c r="Z250" i="66" s="1"/>
  <c r="AA250" i="66" s="1"/>
  <c r="AB250" i="66" s="1"/>
  <c r="AC250" i="66" s="1"/>
  <c r="AD250" i="66" s="1"/>
  <c r="AE250" i="66" s="1"/>
  <c r="AF250" i="66" s="1"/>
  <c r="B250" i="66" s="1"/>
  <c r="D249" i="66"/>
  <c r="E249" i="66" s="1"/>
  <c r="F249" i="66" s="1"/>
  <c r="G249" i="66" s="1"/>
  <c r="H249" i="66" s="1"/>
  <c r="I249" i="66" s="1"/>
  <c r="J249" i="66" s="1"/>
  <c r="K249" i="66" s="1"/>
  <c r="L249" i="66" s="1"/>
  <c r="M249" i="66" s="1"/>
  <c r="N249" i="66" s="1"/>
  <c r="O249" i="66" s="1"/>
  <c r="P249" i="66" s="1"/>
  <c r="Q249" i="66" s="1"/>
  <c r="R249" i="66" s="1"/>
  <c r="S249" i="66" s="1"/>
  <c r="T249" i="66" s="1"/>
  <c r="U249" i="66" s="1"/>
  <c r="V249" i="66" s="1"/>
  <c r="W249" i="66" s="1"/>
  <c r="X249" i="66" s="1"/>
  <c r="Y249" i="66" s="1"/>
  <c r="Z249" i="66" s="1"/>
  <c r="AA249" i="66" s="1"/>
  <c r="AB249" i="66" s="1"/>
  <c r="AC249" i="66" s="1"/>
  <c r="AD249" i="66" s="1"/>
  <c r="AE249" i="66" s="1"/>
  <c r="AF249" i="66" s="1"/>
  <c r="B249" i="66" s="1"/>
  <c r="E248" i="66"/>
  <c r="F248" i="66" s="1"/>
  <c r="G248" i="66" s="1"/>
  <c r="H248" i="66" s="1"/>
  <c r="I248" i="66" s="1"/>
  <c r="J248" i="66" s="1"/>
  <c r="K248" i="66" s="1"/>
  <c r="L248" i="66" s="1"/>
  <c r="M248" i="66" s="1"/>
  <c r="N248" i="66" s="1"/>
  <c r="O248" i="66" s="1"/>
  <c r="P248" i="66" s="1"/>
  <c r="Q248" i="66" s="1"/>
  <c r="R248" i="66" s="1"/>
  <c r="S248" i="66" s="1"/>
  <c r="T248" i="66" s="1"/>
  <c r="U248" i="66" s="1"/>
  <c r="V248" i="66" s="1"/>
  <c r="W248" i="66" s="1"/>
  <c r="X248" i="66" s="1"/>
  <c r="Y248" i="66" s="1"/>
  <c r="Z248" i="66" s="1"/>
  <c r="AA248" i="66" s="1"/>
  <c r="AB248" i="66" s="1"/>
  <c r="AC248" i="66" s="1"/>
  <c r="AD248" i="66" s="1"/>
  <c r="AE248" i="66" s="1"/>
  <c r="AF248" i="66" s="1"/>
  <c r="B248" i="66" s="1"/>
  <c r="D248" i="66"/>
  <c r="D247" i="66"/>
  <c r="D246" i="66"/>
  <c r="E246" i="66" s="1"/>
  <c r="AG244" i="66"/>
  <c r="AF244" i="66"/>
  <c r="AE244" i="66"/>
  <c r="AD244" i="66"/>
  <c r="AC244" i="66"/>
  <c r="AB244" i="66"/>
  <c r="AA244" i="66"/>
  <c r="Z244" i="66"/>
  <c r="Y244" i="66"/>
  <c r="X244" i="66"/>
  <c r="W244" i="66"/>
  <c r="V244" i="66"/>
  <c r="U244" i="66"/>
  <c r="T244" i="66"/>
  <c r="S244" i="66"/>
  <c r="R244" i="66"/>
  <c r="Q244" i="66"/>
  <c r="P244" i="66"/>
  <c r="O244" i="66"/>
  <c r="N244" i="66"/>
  <c r="M244" i="66"/>
  <c r="L244" i="66"/>
  <c r="K244" i="66"/>
  <c r="J244" i="66"/>
  <c r="I244" i="66"/>
  <c r="H244" i="66"/>
  <c r="G244" i="66"/>
  <c r="F244" i="66"/>
  <c r="E244" i="66"/>
  <c r="D244" i="66"/>
  <c r="C244" i="66"/>
  <c r="B244" i="66"/>
  <c r="AI130" i="66"/>
  <c r="AH130" i="66"/>
  <c r="AI129" i="66"/>
  <c r="AH129" i="66"/>
  <c r="AI128" i="66"/>
  <c r="AH128" i="66"/>
  <c r="AI127" i="66"/>
  <c r="AH127" i="66"/>
  <c r="AI126" i="66"/>
  <c r="AH126" i="66"/>
  <c r="AI122" i="66"/>
  <c r="AH122" i="66"/>
  <c r="AI120" i="66"/>
  <c r="AH120" i="66"/>
  <c r="AI119" i="66"/>
  <c r="AH119" i="66"/>
  <c r="C118" i="66"/>
  <c r="AI117" i="66"/>
  <c r="AH117" i="66"/>
  <c r="AI116" i="66"/>
  <c r="AH116" i="66"/>
  <c r="AI115" i="66"/>
  <c r="AH115" i="66"/>
  <c r="AI114" i="66"/>
  <c r="AH114" i="66"/>
  <c r="AI113" i="66"/>
  <c r="AH113" i="66"/>
  <c r="AI112" i="66"/>
  <c r="AH112" i="66"/>
  <c r="AI111" i="66"/>
  <c r="AH111" i="66"/>
  <c r="AI110" i="66"/>
  <c r="AH110" i="66"/>
  <c r="AI109" i="66"/>
  <c r="AH109" i="66"/>
  <c r="AI106" i="66"/>
  <c r="AH106" i="66"/>
  <c r="AF105" i="66"/>
  <c r="AE105" i="66"/>
  <c r="AD105" i="66"/>
  <c r="AC105" i="66"/>
  <c r="AB105" i="66"/>
  <c r="R105" i="66"/>
  <c r="Q105" i="66"/>
  <c r="P105" i="66"/>
  <c r="O105" i="66"/>
  <c r="N105" i="66"/>
  <c r="M105" i="66"/>
  <c r="L105" i="66"/>
  <c r="K105" i="66"/>
  <c r="J105" i="66"/>
  <c r="I105" i="66"/>
  <c r="H105" i="66"/>
  <c r="G105" i="66"/>
  <c r="F105" i="66"/>
  <c r="E105" i="66"/>
  <c r="AF104" i="66"/>
  <c r="AE104" i="66"/>
  <c r="AD104" i="66"/>
  <c r="AC104" i="66"/>
  <c r="AB104" i="66"/>
  <c r="R104" i="66"/>
  <c r="Q104" i="66"/>
  <c r="P104" i="66"/>
  <c r="O104" i="66"/>
  <c r="N104" i="66"/>
  <c r="M104" i="66"/>
  <c r="L104" i="66"/>
  <c r="K104" i="66"/>
  <c r="J104" i="66"/>
  <c r="I104" i="66"/>
  <c r="H104" i="66"/>
  <c r="G104" i="66"/>
  <c r="F104" i="66"/>
  <c r="E104" i="66"/>
  <c r="AF103" i="66"/>
  <c r="AE103" i="66"/>
  <c r="AD103" i="66"/>
  <c r="AC103" i="66"/>
  <c r="AB103" i="66"/>
  <c r="R103" i="66"/>
  <c r="Q103" i="66"/>
  <c r="P103" i="66"/>
  <c r="O103" i="66"/>
  <c r="N103" i="66"/>
  <c r="M103" i="66"/>
  <c r="L103" i="66"/>
  <c r="K103" i="66"/>
  <c r="J103" i="66"/>
  <c r="I103" i="66"/>
  <c r="H103" i="66"/>
  <c r="G103" i="66"/>
  <c r="F103" i="66"/>
  <c r="E103" i="66"/>
  <c r="AF102" i="66"/>
  <c r="AE102" i="66"/>
  <c r="AD102" i="66"/>
  <c r="AC102" i="66"/>
  <c r="AB102" i="66"/>
  <c r="R102" i="66"/>
  <c r="Q102" i="66"/>
  <c r="P102" i="66"/>
  <c r="O102" i="66"/>
  <c r="N102" i="66"/>
  <c r="M102" i="66"/>
  <c r="L102" i="66"/>
  <c r="K102" i="66"/>
  <c r="J102" i="66"/>
  <c r="I102" i="66"/>
  <c r="H102" i="66"/>
  <c r="G102" i="66"/>
  <c r="AI102" i="66" s="1"/>
  <c r="F102" i="66"/>
  <c r="E102" i="66"/>
  <c r="AF101" i="66"/>
  <c r="AE101" i="66"/>
  <c r="AD101" i="66"/>
  <c r="AC101" i="66"/>
  <c r="AB101" i="66"/>
  <c r="R101" i="66"/>
  <c r="Q101" i="66"/>
  <c r="Q107" i="66" s="1"/>
  <c r="P101" i="66"/>
  <c r="O101" i="66"/>
  <c r="N101" i="66"/>
  <c r="M101" i="66"/>
  <c r="L101" i="66"/>
  <c r="K101" i="66"/>
  <c r="J101" i="66"/>
  <c r="I101" i="66"/>
  <c r="I107" i="66" s="1"/>
  <c r="H101" i="66"/>
  <c r="G101" i="66"/>
  <c r="F101" i="66"/>
  <c r="E101" i="66"/>
  <c r="AI98" i="66"/>
  <c r="AH98" i="66"/>
  <c r="AI96" i="66"/>
  <c r="AH96" i="66"/>
  <c r="AG96" i="66"/>
  <c r="AI95" i="66"/>
  <c r="AH95" i="66"/>
  <c r="AI94" i="66"/>
  <c r="AH94" i="66"/>
  <c r="AI93" i="66"/>
  <c r="AH93" i="66"/>
  <c r="AG92" i="66"/>
  <c r="AF92" i="66"/>
  <c r="AE5" i="66" s="1"/>
  <c r="AE92" i="66"/>
  <c r="AD92" i="66"/>
  <c r="AC5" i="66" s="1"/>
  <c r="AC92" i="66"/>
  <c r="AB5" i="66" s="1"/>
  <c r="AB92" i="66"/>
  <c r="AA5" i="66" s="1"/>
  <c r="X5" i="66"/>
  <c r="R92" i="66"/>
  <c r="Q5" i="66" s="1"/>
  <c r="Q92" i="66"/>
  <c r="P5" i="66" s="1"/>
  <c r="P92" i="66"/>
  <c r="O5" i="66" s="1"/>
  <c r="O92" i="66"/>
  <c r="N5" i="66" s="1"/>
  <c r="N92" i="66"/>
  <c r="M5" i="66" s="1"/>
  <c r="M92" i="66"/>
  <c r="L5" i="66" s="1"/>
  <c r="L92" i="66"/>
  <c r="K5" i="66" s="1"/>
  <c r="K92" i="66"/>
  <c r="J92" i="66"/>
  <c r="I5" i="66" s="1"/>
  <c r="I92" i="66"/>
  <c r="H5" i="66" s="1"/>
  <c r="H92" i="66"/>
  <c r="G92" i="66"/>
  <c r="F5" i="66" s="1"/>
  <c r="F92" i="66"/>
  <c r="E92" i="66"/>
  <c r="AI91" i="66"/>
  <c r="AH91" i="66"/>
  <c r="AI90" i="66"/>
  <c r="AH90" i="66"/>
  <c r="AI89" i="66"/>
  <c r="AH89" i="66"/>
  <c r="AI88" i="66"/>
  <c r="AH88" i="66"/>
  <c r="AI87" i="66"/>
  <c r="AH87" i="66"/>
  <c r="AI86" i="66"/>
  <c r="AH86" i="66"/>
  <c r="AI85" i="66"/>
  <c r="AH85" i="66"/>
  <c r="AI84" i="66"/>
  <c r="AH84" i="66"/>
  <c r="AI83" i="66"/>
  <c r="AH83" i="66"/>
  <c r="AI82" i="66"/>
  <c r="AH82" i="66"/>
  <c r="AI81" i="66"/>
  <c r="AH81" i="66"/>
  <c r="AG80" i="66"/>
  <c r="AG4" i="66" s="1"/>
  <c r="AF80" i="66"/>
  <c r="AE80" i="66"/>
  <c r="AD80" i="66"/>
  <c r="AC80" i="66"/>
  <c r="AB80" i="66"/>
  <c r="R80" i="66"/>
  <c r="Q80" i="66"/>
  <c r="P80" i="66"/>
  <c r="O80" i="66"/>
  <c r="N80" i="66"/>
  <c r="M80" i="66"/>
  <c r="L80" i="66"/>
  <c r="K80" i="66"/>
  <c r="J80" i="66"/>
  <c r="I80" i="66"/>
  <c r="H80" i="66"/>
  <c r="G80" i="66"/>
  <c r="F80" i="66"/>
  <c r="E80" i="66"/>
  <c r="AI79" i="66"/>
  <c r="AH79" i="66"/>
  <c r="AI78" i="66"/>
  <c r="AH78" i="66"/>
  <c r="AI77" i="66"/>
  <c r="AH77" i="66"/>
  <c r="AF76" i="66"/>
  <c r="AE76" i="66"/>
  <c r="AD76" i="66"/>
  <c r="AC76" i="66"/>
  <c r="AB76" i="66"/>
  <c r="R76" i="66"/>
  <c r="Q76" i="66"/>
  <c r="P76" i="66"/>
  <c r="O76" i="66"/>
  <c r="N76" i="66"/>
  <c r="M76" i="66"/>
  <c r="L76" i="66"/>
  <c r="K76" i="66"/>
  <c r="J76" i="66"/>
  <c r="I76" i="66"/>
  <c r="H76" i="66"/>
  <c r="G76" i="66"/>
  <c r="F76" i="66"/>
  <c r="E76" i="66"/>
  <c r="AI75" i="66"/>
  <c r="AH75" i="66"/>
  <c r="AG75" i="66"/>
  <c r="AG76" i="66" s="1"/>
  <c r="AG3" i="66" s="1"/>
  <c r="AI74" i="66"/>
  <c r="AH74" i="66"/>
  <c r="AI73" i="66"/>
  <c r="AH73" i="66"/>
  <c r="AI72" i="66"/>
  <c r="AH72" i="66"/>
  <c r="AI71" i="66"/>
  <c r="AH71" i="66"/>
  <c r="AI70" i="66"/>
  <c r="AH70" i="66"/>
  <c r="AI69" i="66"/>
  <c r="AH69" i="66"/>
  <c r="AI68" i="66"/>
  <c r="AH68" i="66"/>
  <c r="AI67" i="66"/>
  <c r="AH67" i="66"/>
  <c r="AI66" i="66"/>
  <c r="AH66" i="66"/>
  <c r="AI65" i="66"/>
  <c r="AH65" i="66"/>
  <c r="AI64" i="66"/>
  <c r="AH64" i="66"/>
  <c r="AI63" i="66"/>
  <c r="AH63" i="66"/>
  <c r="AG62" i="66"/>
  <c r="AF62" i="66"/>
  <c r="AE62" i="66"/>
  <c r="AD62" i="66"/>
  <c r="AC62" i="66"/>
  <c r="AB62" i="66"/>
  <c r="R62" i="66"/>
  <c r="Q62" i="66"/>
  <c r="P62" i="66"/>
  <c r="O62" i="66"/>
  <c r="L62" i="66"/>
  <c r="K62" i="66"/>
  <c r="J62" i="66"/>
  <c r="I62" i="66"/>
  <c r="H62" i="66"/>
  <c r="G62" i="66"/>
  <c r="F62" i="66"/>
  <c r="E62" i="66"/>
  <c r="AI61" i="66"/>
  <c r="AH61" i="66"/>
  <c r="AI60" i="66"/>
  <c r="AH60" i="66"/>
  <c r="AI59" i="66"/>
  <c r="AH59" i="66"/>
  <c r="AG58" i="66"/>
  <c r="AF58" i="66"/>
  <c r="AE58" i="66"/>
  <c r="AD58" i="66"/>
  <c r="AC58" i="66"/>
  <c r="AB58" i="66"/>
  <c r="R58" i="66"/>
  <c r="Q58" i="66"/>
  <c r="P58" i="66"/>
  <c r="O58" i="66"/>
  <c r="L58" i="66"/>
  <c r="K58" i="66"/>
  <c r="J58" i="66"/>
  <c r="I58" i="66"/>
  <c r="H58" i="66"/>
  <c r="G58" i="66"/>
  <c r="F58" i="66"/>
  <c r="E58" i="66"/>
  <c r="AI56" i="66"/>
  <c r="AH56" i="66"/>
  <c r="AI55" i="66"/>
  <c r="AH55" i="66"/>
  <c r="AI54" i="66"/>
  <c r="AH54" i="66"/>
  <c r="AI53" i="66"/>
  <c r="AH53" i="66"/>
  <c r="AI52" i="66"/>
  <c r="AH52" i="66"/>
  <c r="AI51" i="66"/>
  <c r="AH51" i="66"/>
  <c r="AI50" i="66"/>
  <c r="AH50" i="66"/>
  <c r="AI49" i="66"/>
  <c r="AH49" i="66"/>
  <c r="AI48" i="66"/>
  <c r="AH48" i="66"/>
  <c r="AI47" i="66"/>
  <c r="AH47" i="66"/>
  <c r="AI46" i="66"/>
  <c r="AH46" i="66"/>
  <c r="AI45" i="66"/>
  <c r="AH45" i="66"/>
  <c r="AI44" i="66"/>
  <c r="AH44" i="66"/>
  <c r="AI43" i="66"/>
  <c r="AH43" i="66"/>
  <c r="AI42" i="66"/>
  <c r="AH42" i="66"/>
  <c r="AI41" i="66"/>
  <c r="AH41" i="66"/>
  <c r="AI40" i="66"/>
  <c r="AH40" i="66"/>
  <c r="AI39" i="66"/>
  <c r="AH39" i="66"/>
  <c r="AI38" i="66"/>
  <c r="AH38" i="66"/>
  <c r="AI37" i="66"/>
  <c r="AH37" i="66"/>
  <c r="AI36" i="66"/>
  <c r="AH36" i="66"/>
  <c r="AI35" i="66"/>
  <c r="AH35" i="66"/>
  <c r="AI34" i="66"/>
  <c r="AH34" i="66"/>
  <c r="AI33" i="66"/>
  <c r="AH33" i="66"/>
  <c r="AI32" i="66"/>
  <c r="AH32" i="66"/>
  <c r="AI31" i="66"/>
  <c r="AH31" i="66"/>
  <c r="AI30" i="66"/>
  <c r="AH30" i="66"/>
  <c r="AI29" i="66"/>
  <c r="AH29" i="66"/>
  <c r="AI28" i="66"/>
  <c r="AH28" i="66"/>
  <c r="AI27" i="66"/>
  <c r="AH27" i="66"/>
  <c r="AI26" i="66"/>
  <c r="AH26" i="66"/>
  <c r="AI25" i="66"/>
  <c r="AH25" i="66"/>
  <c r="AI24" i="66"/>
  <c r="AH24" i="66"/>
  <c r="AI23" i="66"/>
  <c r="AH23" i="66"/>
  <c r="AI22" i="66"/>
  <c r="AH22" i="66"/>
  <c r="AI21" i="66"/>
  <c r="AH21" i="66"/>
  <c r="AI20" i="66"/>
  <c r="AH20" i="66"/>
  <c r="AI19" i="66"/>
  <c r="AH19" i="66"/>
  <c r="AI18" i="66"/>
  <c r="AH18" i="66"/>
  <c r="AI17" i="66"/>
  <c r="AH17" i="66"/>
  <c r="AI16" i="66"/>
  <c r="AH16" i="66"/>
  <c r="AI15" i="66"/>
  <c r="AH15" i="66"/>
  <c r="AI14" i="66"/>
  <c r="AH14" i="66"/>
  <c r="AI13" i="66"/>
  <c r="AH13" i="66"/>
  <c r="AI12" i="66"/>
  <c r="AH12" i="66"/>
  <c r="AI11" i="66"/>
  <c r="AH11" i="66"/>
  <c r="AD5" i="66"/>
  <c r="Z5" i="66"/>
  <c r="Y5" i="66"/>
  <c r="W5" i="66"/>
  <c r="V5" i="66"/>
  <c r="U5" i="66"/>
  <c r="T5" i="66"/>
  <c r="S5" i="66"/>
  <c r="R5" i="66"/>
  <c r="C5" i="66"/>
  <c r="K4" i="66"/>
  <c r="E4" i="66"/>
  <c r="H4" i="66" s="1"/>
  <c r="B4" i="66"/>
  <c r="D258" i="66" s="1"/>
  <c r="AG2" i="66"/>
  <c r="AF123" i="65"/>
  <c r="AF121" i="65"/>
  <c r="AF57" i="65"/>
  <c r="AF58" i="65"/>
  <c r="AF62" i="65"/>
  <c r="AF76" i="65"/>
  <c r="AF80" i="65"/>
  <c r="AF92" i="65"/>
  <c r="AF101" i="65"/>
  <c r="AF102" i="65"/>
  <c r="AF103" i="65"/>
  <c r="AF104" i="65"/>
  <c r="AF105" i="65"/>
  <c r="AF118" i="65"/>
  <c r="AE123" i="65"/>
  <c r="AE121" i="65"/>
  <c r="AE57" i="65"/>
  <c r="AE58" i="65"/>
  <c r="AE62" i="65"/>
  <c r="AE76" i="65"/>
  <c r="AE80" i="65"/>
  <c r="AE92" i="65"/>
  <c r="AE101" i="65"/>
  <c r="AE102" i="65"/>
  <c r="AE103" i="65"/>
  <c r="AE104" i="65"/>
  <c r="AE105" i="65"/>
  <c r="AE118" i="65"/>
  <c r="AD118" i="65"/>
  <c r="AD123" i="65"/>
  <c r="AD57" i="65"/>
  <c r="AC123" i="65"/>
  <c r="AC121" i="65"/>
  <c r="AC57" i="65"/>
  <c r="AB123" i="65"/>
  <c r="AB121" i="65"/>
  <c r="AB57" i="65"/>
  <c r="AA123" i="65"/>
  <c r="Y123" i="65"/>
  <c r="X123" i="65"/>
  <c r="W123" i="65"/>
  <c r="V123" i="65"/>
  <c r="Q246" i="69" l="1"/>
  <c r="N282" i="69"/>
  <c r="P251" i="69"/>
  <c r="P246" i="68"/>
  <c r="L282" i="68"/>
  <c r="N251" i="68"/>
  <c r="M252" i="68"/>
  <c r="M118" i="68"/>
  <c r="K246" i="67"/>
  <c r="F282" i="67"/>
  <c r="H251" i="67"/>
  <c r="G252" i="67"/>
  <c r="G118" i="67"/>
  <c r="AF107" i="66"/>
  <c r="AF97" i="66"/>
  <c r="AF99" i="66" s="1"/>
  <c r="AX261" i="66" s="1"/>
  <c r="AC97" i="66"/>
  <c r="AC99" i="66" s="1"/>
  <c r="AC100" i="66" s="1"/>
  <c r="AC7" i="66" s="1"/>
  <c r="AB107" i="66"/>
  <c r="AB108" i="66" s="1"/>
  <c r="P107" i="66"/>
  <c r="P108" i="66" s="1"/>
  <c r="P97" i="66"/>
  <c r="P99" i="66" s="1"/>
  <c r="P100" i="66" s="1"/>
  <c r="P7" i="66" s="1"/>
  <c r="M97" i="66"/>
  <c r="M99" i="66" s="1"/>
  <c r="AE97" i="66"/>
  <c r="AE99" i="66" s="1"/>
  <c r="AW261" i="66" s="1"/>
  <c r="AD108" i="66"/>
  <c r="F107" i="66"/>
  <c r="F108" i="66" s="1"/>
  <c r="N107" i="66"/>
  <c r="N108" i="66" s="1"/>
  <c r="V7" i="66"/>
  <c r="AD107" i="66"/>
  <c r="O97" i="66"/>
  <c r="O99" i="66" s="1"/>
  <c r="AG261" i="66" s="1"/>
  <c r="O107" i="66"/>
  <c r="O108" i="66" s="1"/>
  <c r="AE107" i="66"/>
  <c r="AE108" i="66" s="1"/>
  <c r="G97" i="66"/>
  <c r="G99" i="66" s="1"/>
  <c r="AO261" i="66"/>
  <c r="Q97" i="66"/>
  <c r="Q99" i="66" s="1"/>
  <c r="AI261" i="66" s="1"/>
  <c r="AG97" i="66"/>
  <c r="AF108" i="66"/>
  <c r="AG99" i="66"/>
  <c r="AI57" i="66"/>
  <c r="R97" i="66"/>
  <c r="R99" i="66" s="1"/>
  <c r="AJ261" i="66" s="1"/>
  <c r="AI80" i="66"/>
  <c r="R107" i="66"/>
  <c r="R108" i="66" s="1"/>
  <c r="D118" i="66"/>
  <c r="AB97" i="66"/>
  <c r="AB99" i="66" s="1"/>
  <c r="AT261" i="66" s="1"/>
  <c r="D252" i="66"/>
  <c r="N97" i="66"/>
  <c r="N99" i="66" s="1"/>
  <c r="AF261" i="66" s="1"/>
  <c r="AD97" i="66"/>
  <c r="AD99" i="66" s="1"/>
  <c r="AD100" i="66" s="1"/>
  <c r="AD7" i="66" s="1"/>
  <c r="M107" i="66"/>
  <c r="M108" i="66" s="1"/>
  <c r="U7" i="66"/>
  <c r="AC107" i="66"/>
  <c r="AC108" i="66" s="1"/>
  <c r="L107" i="66"/>
  <c r="L108" i="66" s="1"/>
  <c r="L97" i="66"/>
  <c r="L99" i="66" s="1"/>
  <c r="L100" i="66" s="1"/>
  <c r="L7" i="66" s="1"/>
  <c r="K107" i="66"/>
  <c r="K108" i="66" s="1"/>
  <c r="J5" i="66"/>
  <c r="K97" i="66"/>
  <c r="K99" i="66" s="1"/>
  <c r="AC261" i="66" s="1"/>
  <c r="J107" i="66"/>
  <c r="J108" i="66" s="1"/>
  <c r="J97" i="66"/>
  <c r="J99" i="66" s="1"/>
  <c r="AB261" i="66" s="1"/>
  <c r="I97" i="66"/>
  <c r="I99" i="66" s="1"/>
  <c r="I100" i="66" s="1"/>
  <c r="I7" i="66" s="1"/>
  <c r="H107" i="66"/>
  <c r="H108" i="66"/>
  <c r="G5" i="66"/>
  <c r="H97" i="66"/>
  <c r="H99" i="66" s="1"/>
  <c r="H100" i="66" s="1"/>
  <c r="H7" i="66" s="1"/>
  <c r="G107" i="66"/>
  <c r="G108" i="66" s="1"/>
  <c r="AI101" i="66"/>
  <c r="E5" i="66"/>
  <c r="F97" i="66"/>
  <c r="F99" i="66" s="1"/>
  <c r="X261" i="66" s="1"/>
  <c r="AI123" i="66"/>
  <c r="E107" i="66"/>
  <c r="E108" i="66" s="1"/>
  <c r="D5" i="66"/>
  <c r="AI105" i="66"/>
  <c r="AI62" i="66"/>
  <c r="E97" i="66"/>
  <c r="E99" i="66" s="1"/>
  <c r="AI103" i="66"/>
  <c r="C107" i="66"/>
  <c r="D107" i="66"/>
  <c r="D108" i="66" s="1"/>
  <c r="AI76" i="66"/>
  <c r="D97" i="66"/>
  <c r="D99" i="66" s="1"/>
  <c r="C108" i="66"/>
  <c r="AI104" i="66"/>
  <c r="C97" i="66"/>
  <c r="C99" i="66" s="1"/>
  <c r="C100" i="66" s="1"/>
  <c r="C7" i="66" s="1"/>
  <c r="AH57" i="66"/>
  <c r="AH103" i="66"/>
  <c r="B107" i="66"/>
  <c r="B108" i="66" s="1"/>
  <c r="B97" i="66"/>
  <c r="B99" i="66" s="1"/>
  <c r="AI58" i="66"/>
  <c r="B100" i="66"/>
  <c r="AH121" i="66"/>
  <c r="AI121" i="66"/>
  <c r="X7" i="66"/>
  <c r="AP261" i="66"/>
  <c r="AF100" i="66"/>
  <c r="AF7" i="66" s="1"/>
  <c r="AK261" i="66"/>
  <c r="S7" i="66"/>
  <c r="AS261" i="66"/>
  <c r="AA7" i="66"/>
  <c r="F246" i="66"/>
  <c r="E118" i="66"/>
  <c r="AR261" i="66"/>
  <c r="Z7" i="66"/>
  <c r="AG6" i="66"/>
  <c r="AE261" i="66"/>
  <c r="AM261" i="66"/>
  <c r="AN261" i="66"/>
  <c r="AQ261" i="66"/>
  <c r="Y7" i="66"/>
  <c r="AL261" i="66"/>
  <c r="T7" i="66"/>
  <c r="Y261" i="66"/>
  <c r="AH76" i="66"/>
  <c r="AH80" i="66"/>
  <c r="AH92" i="66"/>
  <c r="E247" i="66"/>
  <c r="F247" i="66" s="1"/>
  <c r="G247" i="66" s="1"/>
  <c r="H247" i="66" s="1"/>
  <c r="I247" i="66" s="1"/>
  <c r="J247" i="66" s="1"/>
  <c r="K247" i="66" s="1"/>
  <c r="L247" i="66" s="1"/>
  <c r="M247" i="66" s="1"/>
  <c r="N247" i="66" s="1"/>
  <c r="O247" i="66" s="1"/>
  <c r="P247" i="66" s="1"/>
  <c r="Q247" i="66" s="1"/>
  <c r="R247" i="66" s="1"/>
  <c r="S247" i="66" s="1"/>
  <c r="T247" i="66" s="1"/>
  <c r="U247" i="66" s="1"/>
  <c r="V247" i="66" s="1"/>
  <c r="W247" i="66" s="1"/>
  <c r="X247" i="66" s="1"/>
  <c r="Y247" i="66" s="1"/>
  <c r="Z247" i="66" s="1"/>
  <c r="AA247" i="66" s="1"/>
  <c r="AB247" i="66" s="1"/>
  <c r="AC247" i="66" s="1"/>
  <c r="AD247" i="66" s="1"/>
  <c r="AE247" i="66" s="1"/>
  <c r="AF247" i="66" s="1"/>
  <c r="B247" i="66" s="1"/>
  <c r="E251" i="66"/>
  <c r="E252" i="66" s="1"/>
  <c r="S258" i="66"/>
  <c r="AI92" i="66"/>
  <c r="AH101" i="66"/>
  <c r="I108" i="66"/>
  <c r="Q108" i="66"/>
  <c r="AH102" i="66"/>
  <c r="AH58" i="66"/>
  <c r="AH62" i="66"/>
  <c r="AH104" i="66"/>
  <c r="AH105" i="66"/>
  <c r="AF107" i="65"/>
  <c r="AF108" i="65" s="1"/>
  <c r="AF97" i="65"/>
  <c r="AF99" i="65" s="1"/>
  <c r="AE107" i="65"/>
  <c r="AE97" i="65"/>
  <c r="AE99" i="65" s="1"/>
  <c r="AE108" i="65"/>
  <c r="U123" i="65"/>
  <c r="T123" i="65"/>
  <c r="O282" i="69" l="1"/>
  <c r="Q251" i="69"/>
  <c r="P252" i="69"/>
  <c r="Q252" i="69"/>
  <c r="Q118" i="69"/>
  <c r="R246" i="69"/>
  <c r="M282" i="68"/>
  <c r="O251" i="68"/>
  <c r="N252" i="68"/>
  <c r="N118" i="68"/>
  <c r="Q246" i="68"/>
  <c r="G282" i="67"/>
  <c r="I251" i="67"/>
  <c r="H118" i="67"/>
  <c r="H252" i="67"/>
  <c r="L246" i="67"/>
  <c r="AE100" i="66"/>
  <c r="AE7" i="66" s="1"/>
  <c r="AU261" i="66"/>
  <c r="AV261" i="66"/>
  <c r="AB100" i="66"/>
  <c r="AB7" i="66" s="1"/>
  <c r="R100" i="66"/>
  <c r="R7" i="66" s="1"/>
  <c r="AH261" i="66"/>
  <c r="O100" i="66"/>
  <c r="O7" i="66" s="1"/>
  <c r="N100" i="66"/>
  <c r="N7" i="66" s="1"/>
  <c r="M100" i="66"/>
  <c r="M7" i="66" s="1"/>
  <c r="D100" i="66"/>
  <c r="D7" i="66" s="1"/>
  <c r="W7" i="66"/>
  <c r="Q100" i="66"/>
  <c r="Q7" i="66" s="1"/>
  <c r="E100" i="66"/>
  <c r="E7" i="66" s="1"/>
  <c r="AD261" i="66"/>
  <c r="K100" i="66"/>
  <c r="K7" i="66" s="1"/>
  <c r="J100" i="66"/>
  <c r="J7" i="66" s="1"/>
  <c r="C256" i="66"/>
  <c r="AA261" i="66"/>
  <c r="B256" i="66"/>
  <c r="Z261" i="66"/>
  <c r="G100" i="66"/>
  <c r="G7" i="66" s="1"/>
  <c r="F100" i="66"/>
  <c r="F7" i="66" s="1"/>
  <c r="W261" i="66"/>
  <c r="V261" i="66"/>
  <c r="U261" i="66"/>
  <c r="AI107" i="66"/>
  <c r="AH107" i="66"/>
  <c r="G246" i="66"/>
  <c r="F118" i="66"/>
  <c r="D282" i="66"/>
  <c r="F251" i="66"/>
  <c r="F252" i="66" s="1"/>
  <c r="AI97" i="66"/>
  <c r="AH97" i="66"/>
  <c r="AF100" i="65"/>
  <c r="AE100" i="65"/>
  <c r="S123" i="65"/>
  <c r="S246" i="69" l="1"/>
  <c r="P282" i="69"/>
  <c r="R251" i="69"/>
  <c r="R246" i="68"/>
  <c r="N282" i="68"/>
  <c r="P251" i="68"/>
  <c r="O252" i="68"/>
  <c r="O118" i="68"/>
  <c r="M246" i="67"/>
  <c r="H282" i="67"/>
  <c r="J251" i="67"/>
  <c r="I252" i="67"/>
  <c r="I118" i="67"/>
  <c r="K6" i="66"/>
  <c r="H246" i="66"/>
  <c r="T261" i="66"/>
  <c r="AI99" i="66"/>
  <c r="AH99" i="66"/>
  <c r="AI108" i="66"/>
  <c r="AH108" i="66"/>
  <c r="E282" i="66"/>
  <c r="G251" i="66"/>
  <c r="G118" i="66" s="1"/>
  <c r="L123" i="65"/>
  <c r="I123" i="65"/>
  <c r="H123" i="65"/>
  <c r="K123" i="65"/>
  <c r="J123" i="65"/>
  <c r="G123" i="65"/>
  <c r="F123" i="65"/>
  <c r="E123" i="65"/>
  <c r="S251" i="69" l="1"/>
  <c r="S252" i="69" s="1"/>
  <c r="Q282" i="69"/>
  <c r="S118" i="69"/>
  <c r="T246" i="69"/>
  <c r="R118" i="69"/>
  <c r="R252" i="69"/>
  <c r="O282" i="68"/>
  <c r="Q251" i="68"/>
  <c r="P252" i="68"/>
  <c r="S246" i="68"/>
  <c r="K251" i="67"/>
  <c r="I282" i="67"/>
  <c r="J118" i="67"/>
  <c r="J252" i="67"/>
  <c r="N246" i="67"/>
  <c r="B7" i="66"/>
  <c r="A7" i="66" s="1"/>
  <c r="AI100" i="66"/>
  <c r="AH100" i="66"/>
  <c r="F282" i="66"/>
  <c r="H251" i="66"/>
  <c r="G252" i="66"/>
  <c r="I246" i="66"/>
  <c r="H118" i="66"/>
  <c r="U246" i="69" l="1"/>
  <c r="R282" i="69"/>
  <c r="T251" i="69"/>
  <c r="T246" i="68"/>
  <c r="P282" i="68"/>
  <c r="R251" i="68"/>
  <c r="Q252" i="68"/>
  <c r="Q118" i="68"/>
  <c r="O246" i="67"/>
  <c r="J282" i="67"/>
  <c r="L251" i="67"/>
  <c r="K252" i="67"/>
  <c r="K118" i="67"/>
  <c r="J246" i="66"/>
  <c r="G282" i="66"/>
  <c r="I251" i="66"/>
  <c r="H252" i="66"/>
  <c r="V246" i="69" l="1"/>
  <c r="S282" i="69"/>
  <c r="U251" i="69"/>
  <c r="U252" i="69" s="1"/>
  <c r="T118" i="69"/>
  <c r="T252" i="69"/>
  <c r="U246" i="68"/>
  <c r="S251" i="68"/>
  <c r="Q282" i="68"/>
  <c r="R118" i="68"/>
  <c r="R252" i="68"/>
  <c r="K282" i="67"/>
  <c r="M251" i="67"/>
  <c r="L252" i="67"/>
  <c r="L118" i="67"/>
  <c r="P246" i="67"/>
  <c r="H282" i="66"/>
  <c r="J251" i="66"/>
  <c r="J118" i="66"/>
  <c r="J252" i="66"/>
  <c r="K246" i="66"/>
  <c r="I252" i="66"/>
  <c r="I118" i="66"/>
  <c r="T282" i="69" l="1"/>
  <c r="V251" i="69"/>
  <c r="U118" i="69"/>
  <c r="W246" i="69"/>
  <c r="V252" i="69"/>
  <c r="V118" i="69"/>
  <c r="R282" i="68"/>
  <c r="T251" i="68"/>
  <c r="S252" i="68"/>
  <c r="V246" i="68"/>
  <c r="Q246" i="67"/>
  <c r="L282" i="67"/>
  <c r="N251" i="67"/>
  <c r="M252" i="67"/>
  <c r="M118" i="67"/>
  <c r="L246" i="66"/>
  <c r="K251" i="66"/>
  <c r="I282" i="66"/>
  <c r="X246" i="69" l="1"/>
  <c r="W118" i="69"/>
  <c r="U282" i="69"/>
  <c r="W251" i="69"/>
  <c r="S282" i="68"/>
  <c r="U251" i="68"/>
  <c r="T252" i="68"/>
  <c r="W246" i="68"/>
  <c r="M282" i="67"/>
  <c r="O251" i="67"/>
  <c r="N118" i="67"/>
  <c r="N252" i="67"/>
  <c r="R246" i="67"/>
  <c r="J282" i="66"/>
  <c r="L251" i="66"/>
  <c r="K252" i="66"/>
  <c r="L252" i="66"/>
  <c r="L118" i="66"/>
  <c r="M246" i="66"/>
  <c r="K118" i="66"/>
  <c r="V282" i="69" l="1"/>
  <c r="X251" i="69"/>
  <c r="W252" i="69"/>
  <c r="Y246" i="69"/>
  <c r="X252" i="69"/>
  <c r="X118" i="69"/>
  <c r="X246" i="68"/>
  <c r="T282" i="68"/>
  <c r="V251" i="68"/>
  <c r="U252" i="68"/>
  <c r="S246" i="67"/>
  <c r="N282" i="67"/>
  <c r="P251" i="67"/>
  <c r="O252" i="67"/>
  <c r="O118" i="67"/>
  <c r="N246" i="66"/>
  <c r="K282" i="66"/>
  <c r="M251" i="66"/>
  <c r="M118" i="66" s="1"/>
  <c r="Z246" i="69" l="1"/>
  <c r="W282" i="69"/>
  <c r="Y251" i="69"/>
  <c r="W251" i="68"/>
  <c r="U282" i="68"/>
  <c r="V252" i="68"/>
  <c r="Y246" i="68"/>
  <c r="O282" i="67"/>
  <c r="Q251" i="67"/>
  <c r="P252" i="67"/>
  <c r="T246" i="67"/>
  <c r="L282" i="66"/>
  <c r="N251" i="66"/>
  <c r="M252" i="66"/>
  <c r="O246" i="66"/>
  <c r="N118" i="66"/>
  <c r="N252" i="66"/>
  <c r="D123" i="65"/>
  <c r="D58" i="65"/>
  <c r="D62" i="65"/>
  <c r="D76" i="65"/>
  <c r="D80" i="65"/>
  <c r="D92" i="65"/>
  <c r="D101" i="65"/>
  <c r="D102" i="65"/>
  <c r="D103" i="65"/>
  <c r="D104" i="65"/>
  <c r="D105" i="65"/>
  <c r="AI123" i="65"/>
  <c r="C123" i="65"/>
  <c r="C118" i="65" s="1"/>
  <c r="C58" i="65"/>
  <c r="C62" i="65"/>
  <c r="C76" i="65"/>
  <c r="C80" i="65"/>
  <c r="C92" i="65"/>
  <c r="B5" i="65" s="1"/>
  <c r="C101" i="65"/>
  <c r="C102" i="65"/>
  <c r="C103" i="65"/>
  <c r="C104" i="65"/>
  <c r="C105" i="65"/>
  <c r="B123" i="65"/>
  <c r="B118" i="65"/>
  <c r="B105" i="65"/>
  <c r="B104" i="65"/>
  <c r="B103" i="65"/>
  <c r="B102" i="65"/>
  <c r="AI102" i="65" s="1"/>
  <c r="B101" i="65"/>
  <c r="B92" i="65"/>
  <c r="AF5" i="65" s="1"/>
  <c r="B80" i="65"/>
  <c r="B76" i="65"/>
  <c r="B62" i="65"/>
  <c r="B58" i="65"/>
  <c r="AF286" i="65"/>
  <c r="AE286" i="65"/>
  <c r="AD286" i="65"/>
  <c r="AC286" i="65"/>
  <c r="AB286" i="65"/>
  <c r="AA286" i="65"/>
  <c r="Z286" i="65"/>
  <c r="Y286" i="65"/>
  <c r="X286" i="65"/>
  <c r="W286" i="65"/>
  <c r="V286" i="65"/>
  <c r="U286" i="65"/>
  <c r="T286" i="65"/>
  <c r="S286" i="65"/>
  <c r="R286" i="65"/>
  <c r="Q286" i="65"/>
  <c r="P286" i="65"/>
  <c r="O286" i="65"/>
  <c r="N286" i="65"/>
  <c r="M286" i="65"/>
  <c r="L286" i="65"/>
  <c r="K286" i="65"/>
  <c r="J286" i="65"/>
  <c r="I286" i="65"/>
  <c r="H286" i="65"/>
  <c r="G286" i="65"/>
  <c r="F286" i="65"/>
  <c r="E286" i="65"/>
  <c r="D286" i="65"/>
  <c r="C286" i="65"/>
  <c r="B286" i="65"/>
  <c r="A286" i="65"/>
  <c r="AF285" i="65"/>
  <c r="AE285" i="65"/>
  <c r="AD285" i="65"/>
  <c r="AC285" i="65"/>
  <c r="AB285" i="65"/>
  <c r="AA285" i="65"/>
  <c r="Z285" i="65"/>
  <c r="Y285" i="65"/>
  <c r="X285" i="65"/>
  <c r="W285" i="65"/>
  <c r="V285" i="65"/>
  <c r="U285" i="65"/>
  <c r="T285" i="65"/>
  <c r="S285" i="65"/>
  <c r="R285" i="65"/>
  <c r="Q285" i="65"/>
  <c r="P285" i="65"/>
  <c r="O285" i="65"/>
  <c r="N285" i="65"/>
  <c r="M285" i="65"/>
  <c r="L285" i="65"/>
  <c r="K285" i="65"/>
  <c r="J285" i="65"/>
  <c r="I285" i="65"/>
  <c r="H285" i="65"/>
  <c r="G285" i="65"/>
  <c r="F285" i="65"/>
  <c r="E285" i="65"/>
  <c r="D285" i="65"/>
  <c r="C285" i="65"/>
  <c r="B285" i="65"/>
  <c r="A285" i="65"/>
  <c r="AF284" i="65"/>
  <c r="AE284" i="65"/>
  <c r="AD284" i="65"/>
  <c r="AC284" i="65"/>
  <c r="AB284" i="65"/>
  <c r="AA284" i="65"/>
  <c r="Z284" i="65"/>
  <c r="Y284" i="65"/>
  <c r="X284" i="65"/>
  <c r="W284" i="65"/>
  <c r="V284" i="65"/>
  <c r="U284" i="65"/>
  <c r="T284" i="65"/>
  <c r="S284" i="65"/>
  <c r="R284" i="65"/>
  <c r="Q284" i="65"/>
  <c r="P284" i="65"/>
  <c r="O284" i="65"/>
  <c r="N284" i="65"/>
  <c r="M284" i="65"/>
  <c r="L284" i="65"/>
  <c r="K284" i="65"/>
  <c r="J284" i="65"/>
  <c r="I284" i="65"/>
  <c r="H284" i="65"/>
  <c r="G284" i="65"/>
  <c r="F284" i="65"/>
  <c r="E284" i="65"/>
  <c r="D284" i="65"/>
  <c r="C284" i="65"/>
  <c r="B284" i="65"/>
  <c r="A284" i="65"/>
  <c r="AF283" i="65"/>
  <c r="AE283" i="65"/>
  <c r="AD283" i="65"/>
  <c r="AC283" i="65"/>
  <c r="AB283" i="65"/>
  <c r="AA283" i="65"/>
  <c r="Z283" i="65"/>
  <c r="Y283" i="65"/>
  <c r="X283" i="65"/>
  <c r="W283" i="65"/>
  <c r="V283" i="65"/>
  <c r="U283" i="65"/>
  <c r="T283" i="65"/>
  <c r="S283" i="65"/>
  <c r="R283" i="65"/>
  <c r="Q283" i="65"/>
  <c r="P283" i="65"/>
  <c r="O283" i="65"/>
  <c r="N283" i="65"/>
  <c r="M283" i="65"/>
  <c r="L283" i="65"/>
  <c r="K283" i="65"/>
  <c r="J283" i="65"/>
  <c r="I283" i="65"/>
  <c r="H283" i="65"/>
  <c r="G283" i="65"/>
  <c r="F283" i="65"/>
  <c r="E283" i="65"/>
  <c r="D283" i="65"/>
  <c r="C283" i="65"/>
  <c r="B283" i="65"/>
  <c r="A283" i="65"/>
  <c r="B282" i="65"/>
  <c r="S257" i="65"/>
  <c r="AG252" i="65"/>
  <c r="C252" i="65"/>
  <c r="D251" i="65"/>
  <c r="C282" i="65" s="1"/>
  <c r="D250" i="65"/>
  <c r="E250" i="65" s="1"/>
  <c r="F250" i="65" s="1"/>
  <c r="G250" i="65" s="1"/>
  <c r="H250" i="65" s="1"/>
  <c r="I250" i="65" s="1"/>
  <c r="J250" i="65" s="1"/>
  <c r="K250" i="65" s="1"/>
  <c r="L250" i="65" s="1"/>
  <c r="M250" i="65" s="1"/>
  <c r="N250" i="65" s="1"/>
  <c r="O250" i="65" s="1"/>
  <c r="P250" i="65" s="1"/>
  <c r="Q250" i="65" s="1"/>
  <c r="R250" i="65" s="1"/>
  <c r="S250" i="65" s="1"/>
  <c r="T250" i="65" s="1"/>
  <c r="U250" i="65" s="1"/>
  <c r="V250" i="65" s="1"/>
  <c r="W250" i="65" s="1"/>
  <c r="X250" i="65" s="1"/>
  <c r="Y250" i="65" s="1"/>
  <c r="Z250" i="65" s="1"/>
  <c r="AA250" i="65" s="1"/>
  <c r="AB250" i="65" s="1"/>
  <c r="AC250" i="65" s="1"/>
  <c r="AD250" i="65" s="1"/>
  <c r="AE250" i="65" s="1"/>
  <c r="AF250" i="65" s="1"/>
  <c r="B250" i="65" s="1"/>
  <c r="D249" i="65"/>
  <c r="E249" i="65" s="1"/>
  <c r="F249" i="65" s="1"/>
  <c r="G249" i="65" s="1"/>
  <c r="H249" i="65" s="1"/>
  <c r="I249" i="65" s="1"/>
  <c r="J249" i="65" s="1"/>
  <c r="K249" i="65" s="1"/>
  <c r="L249" i="65" s="1"/>
  <c r="M249" i="65" s="1"/>
  <c r="N249" i="65" s="1"/>
  <c r="O249" i="65" s="1"/>
  <c r="P249" i="65" s="1"/>
  <c r="Q249" i="65" s="1"/>
  <c r="R249" i="65" s="1"/>
  <c r="S249" i="65" s="1"/>
  <c r="T249" i="65" s="1"/>
  <c r="U249" i="65" s="1"/>
  <c r="V249" i="65" s="1"/>
  <c r="W249" i="65" s="1"/>
  <c r="X249" i="65" s="1"/>
  <c r="Y249" i="65" s="1"/>
  <c r="Z249" i="65" s="1"/>
  <c r="AA249" i="65" s="1"/>
  <c r="AB249" i="65" s="1"/>
  <c r="AC249" i="65" s="1"/>
  <c r="AD249" i="65" s="1"/>
  <c r="AE249" i="65" s="1"/>
  <c r="AF249" i="65" s="1"/>
  <c r="B249" i="65" s="1"/>
  <c r="D248" i="65"/>
  <c r="E248" i="65" s="1"/>
  <c r="F248" i="65" s="1"/>
  <c r="G248" i="65" s="1"/>
  <c r="H248" i="65" s="1"/>
  <c r="I248" i="65" s="1"/>
  <c r="J248" i="65" s="1"/>
  <c r="K248" i="65" s="1"/>
  <c r="L248" i="65" s="1"/>
  <c r="M248" i="65" s="1"/>
  <c r="N248" i="65" s="1"/>
  <c r="O248" i="65" s="1"/>
  <c r="P248" i="65" s="1"/>
  <c r="Q248" i="65" s="1"/>
  <c r="R248" i="65" s="1"/>
  <c r="S248" i="65" s="1"/>
  <c r="T248" i="65" s="1"/>
  <c r="U248" i="65" s="1"/>
  <c r="V248" i="65" s="1"/>
  <c r="W248" i="65" s="1"/>
  <c r="X248" i="65" s="1"/>
  <c r="Y248" i="65" s="1"/>
  <c r="Z248" i="65" s="1"/>
  <c r="AA248" i="65" s="1"/>
  <c r="AB248" i="65" s="1"/>
  <c r="AC248" i="65" s="1"/>
  <c r="AD248" i="65" s="1"/>
  <c r="AE248" i="65" s="1"/>
  <c r="AF248" i="65" s="1"/>
  <c r="B248" i="65" s="1"/>
  <c r="D247" i="65"/>
  <c r="D246" i="65"/>
  <c r="E246" i="65" s="1"/>
  <c r="AG244" i="65"/>
  <c r="AF244" i="65"/>
  <c r="AE244" i="65"/>
  <c r="AD244" i="65"/>
  <c r="AC244" i="65"/>
  <c r="AB244" i="65"/>
  <c r="AA244" i="65"/>
  <c r="Z244" i="65"/>
  <c r="Y244" i="65"/>
  <c r="Y118" i="65" s="1"/>
  <c r="X244" i="65"/>
  <c r="W244" i="65"/>
  <c r="V244" i="65"/>
  <c r="U244" i="65"/>
  <c r="T244" i="65"/>
  <c r="S244" i="65"/>
  <c r="R244" i="65"/>
  <c r="Q244" i="65"/>
  <c r="P244" i="65"/>
  <c r="O244" i="65"/>
  <c r="N244" i="65"/>
  <c r="M244" i="65"/>
  <c r="L244" i="65"/>
  <c r="K244" i="65"/>
  <c r="J244" i="65"/>
  <c r="I244" i="65"/>
  <c r="H244" i="65"/>
  <c r="G244" i="65"/>
  <c r="F244" i="65"/>
  <c r="E244" i="65"/>
  <c r="D244" i="65"/>
  <c r="C244" i="65"/>
  <c r="B244" i="65"/>
  <c r="AI130" i="65"/>
  <c r="AH130" i="65"/>
  <c r="AI129" i="65"/>
  <c r="AH129" i="65"/>
  <c r="AI128" i="65"/>
  <c r="AH128" i="65"/>
  <c r="AI127" i="65"/>
  <c r="AH127" i="65"/>
  <c r="AI126" i="65"/>
  <c r="AH126" i="65"/>
  <c r="AI122" i="65"/>
  <c r="AH122" i="65"/>
  <c r="AI121" i="65"/>
  <c r="AH121" i="65"/>
  <c r="AI120" i="65"/>
  <c r="AH120" i="65"/>
  <c r="AI119" i="65"/>
  <c r="AH119" i="65"/>
  <c r="AI117" i="65"/>
  <c r="AH117" i="65"/>
  <c r="AI116" i="65"/>
  <c r="AH116" i="65"/>
  <c r="AI115" i="65"/>
  <c r="AH115" i="65"/>
  <c r="AI114" i="65"/>
  <c r="AH114" i="65"/>
  <c r="AI113" i="65"/>
  <c r="AH113" i="65"/>
  <c r="AI112" i="65"/>
  <c r="AH112" i="65"/>
  <c r="AI111" i="65"/>
  <c r="AH111" i="65"/>
  <c r="AI110" i="65"/>
  <c r="AH110" i="65"/>
  <c r="AI109" i="65"/>
  <c r="AH109" i="65"/>
  <c r="P107" i="65"/>
  <c r="AI106" i="65"/>
  <c r="AH106" i="65"/>
  <c r="AD105" i="65"/>
  <c r="AC105" i="65"/>
  <c r="AB105" i="65"/>
  <c r="AA105" i="65"/>
  <c r="Z105" i="65"/>
  <c r="Y105" i="65"/>
  <c r="X105" i="65"/>
  <c r="W105" i="65"/>
  <c r="V105" i="65"/>
  <c r="U105" i="65"/>
  <c r="T105" i="65"/>
  <c r="S105" i="65"/>
  <c r="R105" i="65"/>
  <c r="Q105" i="65"/>
  <c r="P105" i="65"/>
  <c r="O105" i="65"/>
  <c r="N105" i="65"/>
  <c r="M105" i="65"/>
  <c r="L105" i="65"/>
  <c r="K105" i="65"/>
  <c r="J105" i="65"/>
  <c r="I105" i="65"/>
  <c r="H105" i="65"/>
  <c r="G105" i="65"/>
  <c r="F105" i="65"/>
  <c r="E105" i="65"/>
  <c r="AD104" i="65"/>
  <c r="AC104" i="65"/>
  <c r="AB104" i="65"/>
  <c r="AA104" i="65"/>
  <c r="Z104" i="65"/>
  <c r="Y104" i="65"/>
  <c r="X104" i="65"/>
  <c r="W104" i="65"/>
  <c r="V104" i="65"/>
  <c r="U104" i="65"/>
  <c r="T104" i="65"/>
  <c r="S104" i="65"/>
  <c r="R104" i="65"/>
  <c r="Q104" i="65"/>
  <c r="P104" i="65"/>
  <c r="O104" i="65"/>
  <c r="N104" i="65"/>
  <c r="M104" i="65"/>
  <c r="L104" i="65"/>
  <c r="K104" i="65"/>
  <c r="J104" i="65"/>
  <c r="I104" i="65"/>
  <c r="H104" i="65"/>
  <c r="H107" i="65" s="1"/>
  <c r="G104" i="65"/>
  <c r="F104" i="65"/>
  <c r="E104" i="65"/>
  <c r="AD103" i="65"/>
  <c r="AC103" i="65"/>
  <c r="AB103" i="65"/>
  <c r="AA103" i="65"/>
  <c r="Z103" i="65"/>
  <c r="Y103" i="65"/>
  <c r="X103" i="65"/>
  <c r="W103" i="65"/>
  <c r="V103" i="65"/>
  <c r="U103" i="65"/>
  <c r="T103" i="65"/>
  <c r="S103" i="65"/>
  <c r="R103" i="65"/>
  <c r="Q103" i="65"/>
  <c r="P103" i="65"/>
  <c r="O103" i="65"/>
  <c r="N103" i="65"/>
  <c r="M103" i="65"/>
  <c r="L103" i="65"/>
  <c r="K103" i="65"/>
  <c r="J103" i="65"/>
  <c r="I103" i="65"/>
  <c r="H103" i="65"/>
  <c r="G103" i="65"/>
  <c r="F103" i="65"/>
  <c r="E103" i="65"/>
  <c r="AD102" i="65"/>
  <c r="AC102" i="65"/>
  <c r="AB102" i="65"/>
  <c r="AA102" i="65"/>
  <c r="Z102" i="65"/>
  <c r="Y102" i="65"/>
  <c r="X102" i="65"/>
  <c r="W102" i="65"/>
  <c r="V102" i="65"/>
  <c r="U102" i="65"/>
  <c r="T102" i="65"/>
  <c r="S102" i="65"/>
  <c r="R102" i="65"/>
  <c r="Q102" i="65"/>
  <c r="P102" i="65"/>
  <c r="O102" i="65"/>
  <c r="N102" i="65"/>
  <c r="N107" i="65" s="1"/>
  <c r="M102" i="65"/>
  <c r="L102" i="65"/>
  <c r="K102" i="65"/>
  <c r="J102" i="65"/>
  <c r="I102" i="65"/>
  <c r="H102" i="65"/>
  <c r="G102" i="65"/>
  <c r="F102" i="65"/>
  <c r="E102" i="65"/>
  <c r="AD101" i="65"/>
  <c r="AC101" i="65"/>
  <c r="AB101" i="65"/>
  <c r="AA101" i="65"/>
  <c r="Z101" i="65"/>
  <c r="Y101" i="65"/>
  <c r="X101" i="65"/>
  <c r="W101" i="65"/>
  <c r="V101" i="65"/>
  <c r="U101" i="65"/>
  <c r="T101" i="65"/>
  <c r="S101" i="65"/>
  <c r="R101" i="65"/>
  <c r="Q101" i="65"/>
  <c r="P101" i="65"/>
  <c r="O101" i="65"/>
  <c r="N101" i="65"/>
  <c r="M101" i="65"/>
  <c r="L101" i="65"/>
  <c r="K101" i="65"/>
  <c r="J101" i="65"/>
  <c r="I101" i="65"/>
  <c r="H101" i="65"/>
  <c r="G101" i="65"/>
  <c r="F101" i="65"/>
  <c r="E101" i="65"/>
  <c r="AI98" i="65"/>
  <c r="AH98" i="65"/>
  <c r="AI96" i="65"/>
  <c r="AH96" i="65"/>
  <c r="AG96" i="65"/>
  <c r="AI95" i="65"/>
  <c r="AH95" i="65"/>
  <c r="AI94" i="65"/>
  <c r="AH94" i="65"/>
  <c r="AI93" i="65"/>
  <c r="AH93" i="65"/>
  <c r="AG92" i="65"/>
  <c r="AD5" i="65"/>
  <c r="AD92" i="65"/>
  <c r="AC5" i="65" s="1"/>
  <c r="AC92" i="65"/>
  <c r="AB5" i="65" s="1"/>
  <c r="AB92" i="65"/>
  <c r="AA5" i="65" s="1"/>
  <c r="AA92" i="65"/>
  <c r="Z5" i="65" s="1"/>
  <c r="Z92" i="65"/>
  <c r="Y5" i="65" s="1"/>
  <c r="Y92" i="65"/>
  <c r="X92" i="65"/>
  <c r="W5" i="65" s="1"/>
  <c r="W92" i="65"/>
  <c r="V5" i="65" s="1"/>
  <c r="V92" i="65"/>
  <c r="U92" i="65"/>
  <c r="T5" i="65" s="1"/>
  <c r="T92" i="65"/>
  <c r="S5" i="65" s="1"/>
  <c r="S92" i="65"/>
  <c r="R5" i="65" s="1"/>
  <c r="R92" i="65"/>
  <c r="Q5" i="65" s="1"/>
  <c r="Q92" i="65"/>
  <c r="P92" i="65"/>
  <c r="O92" i="65"/>
  <c r="N5" i="65" s="1"/>
  <c r="N92" i="65"/>
  <c r="M5" i="65" s="1"/>
  <c r="M92" i="65"/>
  <c r="L5" i="65" s="1"/>
  <c r="L92" i="65"/>
  <c r="K5" i="65" s="1"/>
  <c r="K92" i="65"/>
  <c r="J5" i="65" s="1"/>
  <c r="J92" i="65"/>
  <c r="I5" i="65" s="1"/>
  <c r="I92" i="65"/>
  <c r="H92" i="65"/>
  <c r="G5" i="65" s="1"/>
  <c r="G92" i="65"/>
  <c r="F5" i="65" s="1"/>
  <c r="F92" i="65"/>
  <c r="E5" i="65" s="1"/>
  <c r="E92" i="65"/>
  <c r="D5" i="65" s="1"/>
  <c r="AI91" i="65"/>
  <c r="AH91" i="65"/>
  <c r="AI90" i="65"/>
  <c r="AH90" i="65"/>
  <c r="AI89" i="65"/>
  <c r="AH89" i="65"/>
  <c r="AI88" i="65"/>
  <c r="AH88" i="65"/>
  <c r="AI87" i="65"/>
  <c r="AH87" i="65"/>
  <c r="AI86" i="65"/>
  <c r="AH86" i="65"/>
  <c r="AI85" i="65"/>
  <c r="AH85" i="65"/>
  <c r="AI84" i="65"/>
  <c r="AH84" i="65"/>
  <c r="AI83" i="65"/>
  <c r="AH83" i="65"/>
  <c r="AI82" i="65"/>
  <c r="AH82" i="65"/>
  <c r="AI81" i="65"/>
  <c r="AH81" i="65"/>
  <c r="AG80" i="65"/>
  <c r="AG4" i="65" s="1"/>
  <c r="AD80" i="65"/>
  <c r="AC80" i="65"/>
  <c r="AB80" i="65"/>
  <c r="AA80" i="65"/>
  <c r="Z80" i="65"/>
  <c r="Y80" i="65"/>
  <c r="X80" i="65"/>
  <c r="W80" i="65"/>
  <c r="V80" i="65"/>
  <c r="U80" i="65"/>
  <c r="T80" i="65"/>
  <c r="S80" i="65"/>
  <c r="R80" i="65"/>
  <c r="Q80" i="65"/>
  <c r="P80" i="65"/>
  <c r="O80" i="65"/>
  <c r="N80" i="65"/>
  <c r="M80" i="65"/>
  <c r="L80" i="65"/>
  <c r="K80" i="65"/>
  <c r="J80" i="65"/>
  <c r="I80" i="65"/>
  <c r="H80" i="65"/>
  <c r="G80" i="65"/>
  <c r="F80" i="65"/>
  <c r="E80" i="65"/>
  <c r="AI79" i="65"/>
  <c r="AH79" i="65"/>
  <c r="AI78" i="65"/>
  <c r="AH78" i="65"/>
  <c r="AI77" i="65"/>
  <c r="AH77" i="65"/>
  <c r="AG76" i="65"/>
  <c r="AG3" i="65" s="1"/>
  <c r="AD76" i="65"/>
  <c r="AC76" i="65"/>
  <c r="AB76" i="65"/>
  <c r="AA76" i="65"/>
  <c r="Z76" i="65"/>
  <c r="Y76" i="65"/>
  <c r="X76" i="65"/>
  <c r="W76" i="65"/>
  <c r="V76" i="65"/>
  <c r="U76" i="65"/>
  <c r="T76" i="65"/>
  <c r="S76" i="65"/>
  <c r="R76" i="65"/>
  <c r="Q76" i="65"/>
  <c r="P76" i="65"/>
  <c r="O76" i="65"/>
  <c r="N76" i="65"/>
  <c r="M76" i="65"/>
  <c r="L76" i="65"/>
  <c r="K76" i="65"/>
  <c r="J76" i="65"/>
  <c r="I76" i="65"/>
  <c r="H76" i="65"/>
  <c r="G76" i="65"/>
  <c r="F76" i="65"/>
  <c r="E76" i="65"/>
  <c r="AI75" i="65"/>
  <c r="AH75" i="65"/>
  <c r="AG75" i="65"/>
  <c r="AI74" i="65"/>
  <c r="AH74" i="65"/>
  <c r="AI73" i="65"/>
  <c r="AH73" i="65"/>
  <c r="AI72" i="65"/>
  <c r="AH72" i="65"/>
  <c r="AI71" i="65"/>
  <c r="AH71" i="65"/>
  <c r="AI70" i="65"/>
  <c r="AH70" i="65"/>
  <c r="AI69" i="65"/>
  <c r="AH69" i="65"/>
  <c r="AI68" i="65"/>
  <c r="AH68" i="65"/>
  <c r="AI67" i="65"/>
  <c r="AH67" i="65"/>
  <c r="AI66" i="65"/>
  <c r="AH66" i="65"/>
  <c r="AI65" i="65"/>
  <c r="AH65" i="65"/>
  <c r="AI64" i="65"/>
  <c r="AH64" i="65"/>
  <c r="AI63" i="65"/>
  <c r="AH63" i="65"/>
  <c r="AG62" i="65"/>
  <c r="AD62" i="65"/>
  <c r="AC62" i="65"/>
  <c r="AB62" i="65"/>
  <c r="AA62" i="65"/>
  <c r="Z62" i="65"/>
  <c r="Y62" i="65"/>
  <c r="X62" i="65"/>
  <c r="W62" i="65"/>
  <c r="V62" i="65"/>
  <c r="U62" i="65"/>
  <c r="T62" i="65"/>
  <c r="S62" i="65"/>
  <c r="R62" i="65"/>
  <c r="Q62" i="65"/>
  <c r="P62" i="65"/>
  <c r="O62" i="65"/>
  <c r="N62" i="65"/>
  <c r="M62" i="65"/>
  <c r="L62" i="65"/>
  <c r="K62" i="65"/>
  <c r="J62" i="65"/>
  <c r="I62" i="65"/>
  <c r="H62" i="65"/>
  <c r="G62" i="65"/>
  <c r="F62" i="65"/>
  <c r="E62" i="65"/>
  <c r="AI61" i="65"/>
  <c r="AH61" i="65"/>
  <c r="AI60" i="65"/>
  <c r="AH60" i="65"/>
  <c r="AI59" i="65"/>
  <c r="AH59" i="65"/>
  <c r="AG58" i="65"/>
  <c r="AX261" i="65"/>
  <c r="AD58" i="65"/>
  <c r="AC58" i="65"/>
  <c r="AB58" i="65"/>
  <c r="AA58" i="65"/>
  <c r="Z58" i="65"/>
  <c r="Y58" i="65"/>
  <c r="X58" i="65"/>
  <c r="W58" i="65"/>
  <c r="V58" i="65"/>
  <c r="U58" i="65"/>
  <c r="T58" i="65"/>
  <c r="T97" i="65" s="1"/>
  <c r="T99" i="65" s="1"/>
  <c r="S58" i="65"/>
  <c r="R58" i="65"/>
  <c r="Q58" i="65"/>
  <c r="P58" i="65"/>
  <c r="O58" i="65"/>
  <c r="N58" i="65"/>
  <c r="M58" i="65"/>
  <c r="L58" i="65"/>
  <c r="K58" i="65"/>
  <c r="J58" i="65"/>
  <c r="I58" i="65"/>
  <c r="H58" i="65"/>
  <c r="G58" i="65"/>
  <c r="F58" i="65"/>
  <c r="E58" i="65"/>
  <c r="AI57" i="65"/>
  <c r="AH57" i="65"/>
  <c r="AI56" i="65"/>
  <c r="AH56" i="65"/>
  <c r="AI55" i="65"/>
  <c r="AH55" i="65"/>
  <c r="AI54" i="65"/>
  <c r="AH54" i="65"/>
  <c r="AI53" i="65"/>
  <c r="AH53" i="65"/>
  <c r="AI52" i="65"/>
  <c r="AH52" i="65"/>
  <c r="AI51" i="65"/>
  <c r="AH51" i="65"/>
  <c r="AI50" i="65"/>
  <c r="AH50" i="65"/>
  <c r="AI49" i="65"/>
  <c r="AH49" i="65"/>
  <c r="AI48" i="65"/>
  <c r="AH48" i="65"/>
  <c r="AI47" i="65"/>
  <c r="AH47" i="65"/>
  <c r="AI46" i="65"/>
  <c r="AH46" i="65"/>
  <c r="AI45" i="65"/>
  <c r="AH45" i="65"/>
  <c r="AI44" i="65"/>
  <c r="AH44" i="65"/>
  <c r="AI43" i="65"/>
  <c r="AH43" i="65"/>
  <c r="AI42" i="65"/>
  <c r="AH42" i="65"/>
  <c r="AI41" i="65"/>
  <c r="AH41" i="65"/>
  <c r="AI40" i="65"/>
  <c r="AH40" i="65"/>
  <c r="AI39" i="65"/>
  <c r="AH39" i="65"/>
  <c r="AI38" i="65"/>
  <c r="AH38" i="65"/>
  <c r="AI37" i="65"/>
  <c r="AH37" i="65"/>
  <c r="AI36" i="65"/>
  <c r="AH36" i="65"/>
  <c r="AI35" i="65"/>
  <c r="AH35" i="65"/>
  <c r="AI34" i="65"/>
  <c r="AH34" i="65"/>
  <c r="AI33" i="65"/>
  <c r="AH33" i="65"/>
  <c r="AI32" i="65"/>
  <c r="AH32" i="65"/>
  <c r="AI31" i="65"/>
  <c r="AH31" i="65"/>
  <c r="AI30" i="65"/>
  <c r="AH30" i="65"/>
  <c r="AI29" i="65"/>
  <c r="AH29" i="65"/>
  <c r="AI28" i="65"/>
  <c r="AH28" i="65"/>
  <c r="AI27" i="65"/>
  <c r="AH27" i="65"/>
  <c r="AI26" i="65"/>
  <c r="AH26" i="65"/>
  <c r="AI25" i="65"/>
  <c r="AH25" i="65"/>
  <c r="AI24" i="65"/>
  <c r="AH24" i="65"/>
  <c r="AI23" i="65"/>
  <c r="AH23" i="65"/>
  <c r="AI22" i="65"/>
  <c r="AH22" i="65"/>
  <c r="AI21" i="65"/>
  <c r="AH21" i="65"/>
  <c r="AI20" i="65"/>
  <c r="AH20" i="65"/>
  <c r="AI19" i="65"/>
  <c r="AH19" i="65"/>
  <c r="AI18" i="65"/>
  <c r="AH18" i="65"/>
  <c r="AI17" i="65"/>
  <c r="AH17" i="65"/>
  <c r="AI16" i="65"/>
  <c r="AH16" i="65"/>
  <c r="AI15" i="65"/>
  <c r="AH15" i="65"/>
  <c r="AI14" i="65"/>
  <c r="AH14" i="65"/>
  <c r="AI13" i="65"/>
  <c r="AH13" i="65"/>
  <c r="AI12" i="65"/>
  <c r="AH12" i="65"/>
  <c r="AI11" i="65"/>
  <c r="AH11" i="65"/>
  <c r="AE5" i="65"/>
  <c r="O5" i="65"/>
  <c r="K4" i="65"/>
  <c r="E4" i="65"/>
  <c r="H4" i="65" s="1"/>
  <c r="B4" i="65"/>
  <c r="AG2" i="65"/>
  <c r="AF58" i="64"/>
  <c r="AF62" i="64"/>
  <c r="AF76" i="64"/>
  <c r="AF80" i="64"/>
  <c r="AF92" i="64"/>
  <c r="AF101" i="64"/>
  <c r="AF107" i="64" s="1"/>
  <c r="AF102" i="64"/>
  <c r="AF103" i="64"/>
  <c r="AF104" i="64"/>
  <c r="AF105" i="64"/>
  <c r="AF118" i="64"/>
  <c r="AF123" i="64"/>
  <c r="AE123" i="64"/>
  <c r="AE58" i="64"/>
  <c r="AE62" i="64"/>
  <c r="AE76" i="64"/>
  <c r="AE80" i="64"/>
  <c r="AE92" i="64"/>
  <c r="AE101" i="64"/>
  <c r="AE102" i="64"/>
  <c r="AE103" i="64"/>
  <c r="AE104" i="64"/>
  <c r="AE105" i="64"/>
  <c r="AE118" i="64"/>
  <c r="D141" i="64"/>
  <c r="E141" i="64"/>
  <c r="F141" i="64"/>
  <c r="G141" i="64"/>
  <c r="C141" i="64"/>
  <c r="E140" i="64"/>
  <c r="F140" i="64"/>
  <c r="G140" i="64"/>
  <c r="D140" i="64"/>
  <c r="I139" i="64"/>
  <c r="G139" i="64"/>
  <c r="E139" i="64"/>
  <c r="F139" i="64"/>
  <c r="D139" i="64"/>
  <c r="E124" i="18"/>
  <c r="E125" i="18"/>
  <c r="E126" i="18"/>
  <c r="E127" i="18"/>
  <c r="E128" i="18"/>
  <c r="E129" i="18"/>
  <c r="E130" i="18"/>
  <c r="E131" i="18"/>
  <c r="E132" i="18"/>
  <c r="E133" i="18"/>
  <c r="E134" i="18"/>
  <c r="E123" i="18"/>
  <c r="E135" i="18" s="1"/>
  <c r="AD58" i="64"/>
  <c r="AD62" i="64"/>
  <c r="AD76" i="64"/>
  <c r="AD80" i="64"/>
  <c r="AD92" i="64"/>
  <c r="AD97" i="64" s="1"/>
  <c r="AD99" i="64" s="1"/>
  <c r="AD101" i="64"/>
  <c r="AD102" i="64"/>
  <c r="AD103" i="64"/>
  <c r="AD104" i="64"/>
  <c r="AD105" i="64"/>
  <c r="AD118" i="64"/>
  <c r="AD123" i="64"/>
  <c r="AC123" i="64"/>
  <c r="AC118" i="64" s="1"/>
  <c r="AC58" i="64"/>
  <c r="AC62" i="64"/>
  <c r="AC76" i="64"/>
  <c r="AC80" i="64"/>
  <c r="AC92" i="64"/>
  <c r="AC101" i="64"/>
  <c r="AC107" i="64" s="1"/>
  <c r="AC102" i="64"/>
  <c r="AC103" i="64"/>
  <c r="AC104" i="64"/>
  <c r="AC105" i="64"/>
  <c r="AB123" i="64"/>
  <c r="AB58" i="64"/>
  <c r="AB62" i="64"/>
  <c r="AB76" i="64"/>
  <c r="AB80" i="64"/>
  <c r="AB92" i="64"/>
  <c r="AB101" i="64"/>
  <c r="AB107" i="64" s="1"/>
  <c r="AB102" i="64"/>
  <c r="AB103" i="64"/>
  <c r="AB104" i="64"/>
  <c r="AB105" i="64"/>
  <c r="AB118" i="64"/>
  <c r="AA123" i="64"/>
  <c r="Z123" i="64"/>
  <c r="Y123" i="64"/>
  <c r="X123" i="64"/>
  <c r="W123" i="64"/>
  <c r="V123" i="64"/>
  <c r="U123" i="64"/>
  <c r="X282" i="69" l="1"/>
  <c r="Z251" i="69"/>
  <c r="Z252" i="69"/>
  <c r="AA246" i="69"/>
  <c r="Y252" i="69"/>
  <c r="Z246" i="68"/>
  <c r="V282" i="68"/>
  <c r="X251" i="68"/>
  <c r="W252" i="68"/>
  <c r="U246" i="67"/>
  <c r="P282" i="67"/>
  <c r="R251" i="67"/>
  <c r="Q252" i="67"/>
  <c r="Q118" i="67"/>
  <c r="P246" i="66"/>
  <c r="M282" i="66"/>
  <c r="O251" i="66"/>
  <c r="AD107" i="65"/>
  <c r="AD108" i="65" s="1"/>
  <c r="AD97" i="65"/>
  <c r="AD99" i="65" s="1"/>
  <c r="AD100" i="65" s="1"/>
  <c r="AD7" i="65" s="1"/>
  <c r="AC97" i="65"/>
  <c r="AC99" i="65" s="1"/>
  <c r="AU261" i="65" s="1"/>
  <c r="AB97" i="65"/>
  <c r="AB99" i="65" s="1"/>
  <c r="AA97" i="65"/>
  <c r="AA99" i="65" s="1"/>
  <c r="Z107" i="65"/>
  <c r="Z97" i="65"/>
  <c r="Z99" i="65" s="1"/>
  <c r="Y107" i="65"/>
  <c r="X107" i="65"/>
  <c r="X97" i="65"/>
  <c r="X99" i="65" s="1"/>
  <c r="AP261" i="65" s="1"/>
  <c r="W107" i="65"/>
  <c r="W108" i="65"/>
  <c r="W97" i="65"/>
  <c r="W99" i="65" s="1"/>
  <c r="W100" i="65" s="1"/>
  <c r="W7" i="65" s="1"/>
  <c r="V107" i="65"/>
  <c r="V108" i="65" s="1"/>
  <c r="U5" i="65"/>
  <c r="V97" i="65"/>
  <c r="V99" i="65" s="1"/>
  <c r="AN261" i="65" s="1"/>
  <c r="U97" i="65"/>
  <c r="U99" i="65" s="1"/>
  <c r="S97" i="65"/>
  <c r="S99" i="65" s="1"/>
  <c r="R107" i="65"/>
  <c r="R97" i="65"/>
  <c r="R99" i="65" s="1"/>
  <c r="AJ261" i="65" s="1"/>
  <c r="Q107" i="65"/>
  <c r="AE97" i="64"/>
  <c r="AE99" i="64" s="1"/>
  <c r="M97" i="65"/>
  <c r="M99" i="65" s="1"/>
  <c r="P108" i="65"/>
  <c r="P97" i="65"/>
  <c r="P99" i="65" s="1"/>
  <c r="AH261" i="65" s="1"/>
  <c r="O107" i="65"/>
  <c r="AH105" i="65"/>
  <c r="O108" i="65"/>
  <c r="O97" i="65"/>
  <c r="O99" i="65" s="1"/>
  <c r="AG261" i="65" s="1"/>
  <c r="N97" i="65"/>
  <c r="N99" i="65" s="1"/>
  <c r="AF261" i="65" s="1"/>
  <c r="L97" i="65"/>
  <c r="L99" i="65" s="1"/>
  <c r="K97" i="65"/>
  <c r="K99" i="65" s="1"/>
  <c r="J107" i="65"/>
  <c r="J97" i="65"/>
  <c r="J99" i="65" s="1"/>
  <c r="AB261" i="65" s="1"/>
  <c r="I107" i="65"/>
  <c r="H97" i="65"/>
  <c r="H99" i="65" s="1"/>
  <c r="Z261" i="65" s="1"/>
  <c r="AI104" i="65"/>
  <c r="G107" i="65"/>
  <c r="G108" i="65" s="1"/>
  <c r="G97" i="65"/>
  <c r="G99" i="65" s="1"/>
  <c r="F107" i="65"/>
  <c r="F97" i="65"/>
  <c r="F99" i="65" s="1"/>
  <c r="X261" i="65" s="1"/>
  <c r="AI76" i="65"/>
  <c r="E97" i="65"/>
  <c r="E99" i="65" s="1"/>
  <c r="W261" i="65" s="1"/>
  <c r="AF97" i="64"/>
  <c r="AF99" i="64" s="1"/>
  <c r="AF100" i="64" s="1"/>
  <c r="D107" i="65"/>
  <c r="D108" i="65" s="1"/>
  <c r="C5" i="65"/>
  <c r="D97" i="65"/>
  <c r="D99" i="65" s="1"/>
  <c r="D100" i="65" s="1"/>
  <c r="D7" i="65" s="1"/>
  <c r="D118" i="65"/>
  <c r="AH123" i="65"/>
  <c r="C97" i="65"/>
  <c r="C99" i="65" s="1"/>
  <c r="C107" i="65"/>
  <c r="C108" i="65" s="1"/>
  <c r="B107" i="65"/>
  <c r="B97" i="65"/>
  <c r="B99" i="65" s="1"/>
  <c r="B100" i="65" s="1"/>
  <c r="B108" i="65"/>
  <c r="AR261" i="65"/>
  <c r="Z100" i="65"/>
  <c r="Z7" i="65" s="1"/>
  <c r="AD261" i="65"/>
  <c r="AL261" i="65"/>
  <c r="D252" i="65"/>
  <c r="E247" i="65"/>
  <c r="F247" i="65" s="1"/>
  <c r="G247" i="65" s="1"/>
  <c r="H247" i="65" s="1"/>
  <c r="I247" i="65" s="1"/>
  <c r="J247" i="65" s="1"/>
  <c r="K247" i="65" s="1"/>
  <c r="L247" i="65" s="1"/>
  <c r="M247" i="65" s="1"/>
  <c r="N247" i="65" s="1"/>
  <c r="O247" i="65" s="1"/>
  <c r="P247" i="65" s="1"/>
  <c r="Q247" i="65" s="1"/>
  <c r="R247" i="65" s="1"/>
  <c r="S247" i="65" s="1"/>
  <c r="T247" i="65" s="1"/>
  <c r="U247" i="65" s="1"/>
  <c r="V247" i="65" s="1"/>
  <c r="W247" i="65" s="1"/>
  <c r="X247" i="65" s="1"/>
  <c r="Y247" i="65" s="1"/>
  <c r="Z247" i="65" s="1"/>
  <c r="AA247" i="65" s="1"/>
  <c r="AB247" i="65" s="1"/>
  <c r="AC247" i="65" s="1"/>
  <c r="AD247" i="65" s="1"/>
  <c r="AE247" i="65" s="1"/>
  <c r="AF247" i="65" s="1"/>
  <c r="B247" i="65" s="1"/>
  <c r="AE261" i="65"/>
  <c r="AM261" i="65"/>
  <c r="U100" i="65"/>
  <c r="U7" i="65" s="1"/>
  <c r="H108" i="65"/>
  <c r="X108" i="65"/>
  <c r="AI103" i="65"/>
  <c r="H5" i="65"/>
  <c r="I108" i="65"/>
  <c r="P5" i="65"/>
  <c r="Q108" i="65"/>
  <c r="X5" i="65"/>
  <c r="Y108" i="65"/>
  <c r="AG99" i="65"/>
  <c r="AF7" i="65"/>
  <c r="AH103" i="65"/>
  <c r="AG6" i="65"/>
  <c r="AO261" i="65"/>
  <c r="AW261" i="65"/>
  <c r="AE7" i="65"/>
  <c r="J108" i="65"/>
  <c r="R108" i="65"/>
  <c r="Z108" i="65"/>
  <c r="AI101" i="65"/>
  <c r="AI62" i="65"/>
  <c r="K107" i="65"/>
  <c r="K108" i="65" s="1"/>
  <c r="S107" i="65"/>
  <c r="S100" i="65" s="1"/>
  <c r="S7" i="65" s="1"/>
  <c r="AA107" i="65"/>
  <c r="AA100" i="65" s="1"/>
  <c r="AA7" i="65" s="1"/>
  <c r="F246" i="65"/>
  <c r="E118" i="65"/>
  <c r="D258" i="65"/>
  <c r="S258" i="65"/>
  <c r="I97" i="65"/>
  <c r="I99" i="65" s="1"/>
  <c r="Q97" i="65"/>
  <c r="Q99" i="65" s="1"/>
  <c r="Y97" i="65"/>
  <c r="Y99" i="65" s="1"/>
  <c r="AG97" i="65"/>
  <c r="AH80" i="65"/>
  <c r="L107" i="65"/>
  <c r="L100" i="65" s="1"/>
  <c r="L7" i="65" s="1"/>
  <c r="T107" i="65"/>
  <c r="T100" i="65" s="1"/>
  <c r="T7" i="65" s="1"/>
  <c r="AB107" i="65"/>
  <c r="AB108" i="65" s="1"/>
  <c r="AI58" i="65"/>
  <c r="AI80" i="65"/>
  <c r="E107" i="65"/>
  <c r="E108" i="65" s="1"/>
  <c r="M107" i="65"/>
  <c r="M108" i="65" s="1"/>
  <c r="U107" i="65"/>
  <c r="U108" i="65" s="1"/>
  <c r="AC107" i="65"/>
  <c r="AC108" i="65" s="1"/>
  <c r="U261" i="65"/>
  <c r="AC261" i="65"/>
  <c r="K100" i="65"/>
  <c r="K7" i="65" s="1"/>
  <c r="AK261" i="65"/>
  <c r="AS261" i="65"/>
  <c r="AH76" i="65"/>
  <c r="F108" i="65"/>
  <c r="N108" i="65"/>
  <c r="AI105" i="65"/>
  <c r="AH92" i="65"/>
  <c r="E251" i="65"/>
  <c r="E252" i="65" s="1"/>
  <c r="AI92" i="65"/>
  <c r="AH101" i="65"/>
  <c r="AH102" i="65"/>
  <c r="AH58" i="65"/>
  <c r="AH62" i="65"/>
  <c r="AH104" i="65"/>
  <c r="AF108" i="64"/>
  <c r="AE107" i="64"/>
  <c r="AE100" i="64" s="1"/>
  <c r="AE108" i="64"/>
  <c r="AD107" i="64"/>
  <c r="AD100" i="64" s="1"/>
  <c r="AC108" i="64"/>
  <c r="AC97" i="64"/>
  <c r="AC99" i="64" s="1"/>
  <c r="AC100" i="64" s="1"/>
  <c r="AB108" i="64"/>
  <c r="AB97" i="64"/>
  <c r="AB99" i="64" s="1"/>
  <c r="AB100" i="64" s="1"/>
  <c r="AB246" i="69" l="1"/>
  <c r="AA251" i="69"/>
  <c r="Y282" i="69"/>
  <c r="W282" i="68"/>
  <c r="Y251" i="68"/>
  <c r="X252" i="68"/>
  <c r="AA246" i="68"/>
  <c r="S251" i="67"/>
  <c r="Q282" i="67"/>
  <c r="R252" i="67"/>
  <c r="R118" i="67"/>
  <c r="V246" i="67"/>
  <c r="N282" i="66"/>
  <c r="P251" i="66"/>
  <c r="O118" i="66"/>
  <c r="O252" i="66"/>
  <c r="Q246" i="66"/>
  <c r="P252" i="66"/>
  <c r="AV261" i="65"/>
  <c r="AC100" i="65"/>
  <c r="AC7" i="65" s="1"/>
  <c r="AB100" i="65"/>
  <c r="AB7" i="65" s="1"/>
  <c r="AT261" i="65"/>
  <c r="AA108" i="65"/>
  <c r="X100" i="65"/>
  <c r="X7" i="65" s="1"/>
  <c r="V100" i="65"/>
  <c r="V7" i="65" s="1"/>
  <c r="S108" i="65"/>
  <c r="R100" i="65"/>
  <c r="R7" i="65" s="1"/>
  <c r="H100" i="65"/>
  <c r="H7" i="65" s="1"/>
  <c r="J100" i="65"/>
  <c r="J7" i="65" s="1"/>
  <c r="P100" i="65"/>
  <c r="P7" i="65" s="1"/>
  <c r="O100" i="65"/>
  <c r="O7" i="65" s="1"/>
  <c r="N100" i="65"/>
  <c r="N7" i="65" s="1"/>
  <c r="L108" i="65"/>
  <c r="C256" i="65"/>
  <c r="F100" i="65"/>
  <c r="F7" i="65" s="1"/>
  <c r="G100" i="65"/>
  <c r="G7" i="65" s="1"/>
  <c r="Y261" i="65"/>
  <c r="V261" i="65"/>
  <c r="C100" i="65"/>
  <c r="C7" i="65" s="1"/>
  <c r="T108" i="65"/>
  <c r="AI107" i="65"/>
  <c r="AH107" i="65"/>
  <c r="M100" i="65"/>
  <c r="M7" i="65" s="1"/>
  <c r="AQ261" i="65"/>
  <c r="Y100" i="65"/>
  <c r="Y7" i="65" s="1"/>
  <c r="G246" i="65"/>
  <c r="B256" i="65"/>
  <c r="D282" i="65"/>
  <c r="F251" i="65"/>
  <c r="AI261" i="65"/>
  <c r="Q100" i="65"/>
  <c r="Q7" i="65" s="1"/>
  <c r="E100" i="65"/>
  <c r="E7" i="65" s="1"/>
  <c r="AI97" i="65"/>
  <c r="AH97" i="65"/>
  <c r="AA261" i="65"/>
  <c r="I100" i="65"/>
  <c r="I7" i="65" s="1"/>
  <c r="AD108" i="64"/>
  <c r="AC246" i="69" l="1"/>
  <c r="Z282" i="69"/>
  <c r="AB251" i="69"/>
  <c r="AA118" i="69"/>
  <c r="AA252" i="69"/>
  <c r="AB246" i="68"/>
  <c r="X282" i="68"/>
  <c r="Z251" i="68"/>
  <c r="Y252" i="68"/>
  <c r="W246" i="67"/>
  <c r="R282" i="67"/>
  <c r="T251" i="67"/>
  <c r="S118" i="67"/>
  <c r="S252" i="67"/>
  <c r="Q118" i="66"/>
  <c r="R246" i="66"/>
  <c r="O282" i="66"/>
  <c r="Q251" i="66"/>
  <c r="K6" i="65"/>
  <c r="H246" i="65"/>
  <c r="AI108" i="65"/>
  <c r="AH108" i="65"/>
  <c r="E282" i="65"/>
  <c r="G251" i="65"/>
  <c r="T261" i="65"/>
  <c r="AI99" i="65"/>
  <c r="AH99" i="65"/>
  <c r="F252" i="65"/>
  <c r="F118" i="65"/>
  <c r="AA282" i="69" l="1"/>
  <c r="AC251" i="69"/>
  <c r="AD246" i="69"/>
  <c r="AC118" i="69"/>
  <c r="AC252" i="69"/>
  <c r="AB118" i="69"/>
  <c r="AB252" i="69"/>
  <c r="AC246" i="68"/>
  <c r="AA251" i="68"/>
  <c r="Y282" i="68"/>
  <c r="Z252" i="68"/>
  <c r="S282" i="67"/>
  <c r="U251" i="67"/>
  <c r="T252" i="67"/>
  <c r="X246" i="67"/>
  <c r="P282" i="66"/>
  <c r="R251" i="66"/>
  <c r="R252" i="66"/>
  <c r="R118" i="66"/>
  <c r="S246" i="66"/>
  <c r="Q252" i="66"/>
  <c r="F282" i="65"/>
  <c r="H251" i="65"/>
  <c r="G252" i="65"/>
  <c r="G118" i="65"/>
  <c r="B7" i="65"/>
  <c r="A7" i="65" s="1"/>
  <c r="AI100" i="65"/>
  <c r="AH100" i="65"/>
  <c r="I246" i="65"/>
  <c r="H118" i="65"/>
  <c r="H252" i="65"/>
  <c r="AE246" i="69" l="1"/>
  <c r="AB282" i="69"/>
  <c r="AD251" i="69"/>
  <c r="Z282" i="68"/>
  <c r="AB251" i="68"/>
  <c r="AA252" i="68"/>
  <c r="AA118" i="68"/>
  <c r="AD246" i="68"/>
  <c r="Y246" i="67"/>
  <c r="T282" i="67"/>
  <c r="V251" i="67"/>
  <c r="U252" i="67"/>
  <c r="T246" i="66"/>
  <c r="S251" i="66"/>
  <c r="Q282" i="66"/>
  <c r="J246" i="65"/>
  <c r="G282" i="65"/>
  <c r="I251" i="65"/>
  <c r="AC282" i="69" l="1"/>
  <c r="AE251" i="69"/>
  <c r="AD252" i="69"/>
  <c r="AF246" i="69"/>
  <c r="AE252" i="69"/>
  <c r="AE118" i="69"/>
  <c r="AE246" i="68"/>
  <c r="AA282" i="68"/>
  <c r="AC251" i="68"/>
  <c r="AB252" i="68"/>
  <c r="AB118" i="68"/>
  <c r="U282" i="67"/>
  <c r="W251" i="67"/>
  <c r="V252" i="67"/>
  <c r="Z246" i="67"/>
  <c r="T251" i="66"/>
  <c r="T252" i="66" s="1"/>
  <c r="R282" i="66"/>
  <c r="U246" i="66"/>
  <c r="S252" i="66"/>
  <c r="H282" i="65"/>
  <c r="J251" i="65"/>
  <c r="J118" i="65"/>
  <c r="J252" i="65"/>
  <c r="K246" i="65"/>
  <c r="I252" i="65"/>
  <c r="I118" i="65"/>
  <c r="AF252" i="69" l="1"/>
  <c r="B246" i="69"/>
  <c r="AD282" i="69"/>
  <c r="AF251" i="69"/>
  <c r="AB282" i="68"/>
  <c r="AD251" i="68"/>
  <c r="AC252" i="68"/>
  <c r="AC118" i="68"/>
  <c r="AF246" i="68"/>
  <c r="AA246" i="67"/>
  <c r="V282" i="67"/>
  <c r="X251" i="67"/>
  <c r="W252" i="67"/>
  <c r="V246" i="66"/>
  <c r="S282" i="66"/>
  <c r="U251" i="66"/>
  <c r="L246" i="65"/>
  <c r="K251" i="65"/>
  <c r="I282" i="65"/>
  <c r="B251" i="69" l="1"/>
  <c r="AF282" i="69" s="1"/>
  <c r="AE282" i="69"/>
  <c r="B118" i="69"/>
  <c r="AF118" i="69"/>
  <c r="B246" i="68"/>
  <c r="AC282" i="68"/>
  <c r="AE251" i="68"/>
  <c r="AD252" i="68"/>
  <c r="W282" i="67"/>
  <c r="Y251" i="67"/>
  <c r="X118" i="67"/>
  <c r="X252" i="67"/>
  <c r="AB246" i="67"/>
  <c r="T282" i="66"/>
  <c r="V251" i="66"/>
  <c r="W246" i="66"/>
  <c r="V252" i="66"/>
  <c r="U252" i="66"/>
  <c r="L251" i="65"/>
  <c r="J282" i="65"/>
  <c r="L252" i="65"/>
  <c r="M246" i="65"/>
  <c r="L118" i="65"/>
  <c r="K252" i="65"/>
  <c r="K118" i="65"/>
  <c r="AI118" i="69" l="1"/>
  <c r="AH118" i="69"/>
  <c r="B252" i="69"/>
  <c r="AD282" i="68"/>
  <c r="AF251" i="68"/>
  <c r="AE252" i="68"/>
  <c r="AC246" i="67"/>
  <c r="X282" i="67"/>
  <c r="Z251" i="67"/>
  <c r="Y252" i="67"/>
  <c r="X246" i="66"/>
  <c r="U282" i="66"/>
  <c r="W251" i="66"/>
  <c r="N246" i="65"/>
  <c r="K282" i="65"/>
  <c r="M251" i="65"/>
  <c r="B251" i="68" l="1"/>
  <c r="AE282" i="68"/>
  <c r="AF252" i="68"/>
  <c r="AA251" i="67"/>
  <c r="Y282" i="67"/>
  <c r="Z252" i="67"/>
  <c r="AD246" i="67"/>
  <c r="V282" i="66"/>
  <c r="X251" i="66"/>
  <c r="W252" i="66"/>
  <c r="Y246" i="66"/>
  <c r="X252" i="66"/>
  <c r="L282" i="65"/>
  <c r="N251" i="65"/>
  <c r="M252" i="65"/>
  <c r="M118" i="65"/>
  <c r="O246" i="65"/>
  <c r="N118" i="65"/>
  <c r="N252" i="65"/>
  <c r="AF282" i="68" l="1"/>
  <c r="B118" i="68"/>
  <c r="B252" i="68"/>
  <c r="Z282" i="67"/>
  <c r="AB251" i="67"/>
  <c r="AA252" i="67"/>
  <c r="AE246" i="67"/>
  <c r="Z246" i="66"/>
  <c r="W282" i="66"/>
  <c r="Y251" i="66"/>
  <c r="M282" i="65"/>
  <c r="O251" i="65"/>
  <c r="P246" i="65"/>
  <c r="O118" i="65"/>
  <c r="O252" i="65"/>
  <c r="AI118" i="68" l="1"/>
  <c r="AH118" i="68"/>
  <c r="AF246" i="67"/>
  <c r="AA282" i="67"/>
  <c r="AC251" i="67"/>
  <c r="AB118" i="67"/>
  <c r="AB252" i="67"/>
  <c r="X282" i="66"/>
  <c r="Z251" i="66"/>
  <c r="Y252" i="66"/>
  <c r="Z252" i="66"/>
  <c r="AA246" i="66"/>
  <c r="Q246" i="65"/>
  <c r="N282" i="65"/>
  <c r="P251" i="65"/>
  <c r="AB282" i="67" l="1"/>
  <c r="AD251" i="67"/>
  <c r="AC252" i="67"/>
  <c r="AC118" i="67"/>
  <c r="B246" i="67"/>
  <c r="AB246" i="66"/>
  <c r="AA251" i="66"/>
  <c r="Y282" i="66"/>
  <c r="O282" i="65"/>
  <c r="Q251" i="65"/>
  <c r="P252" i="65"/>
  <c r="Q252" i="65"/>
  <c r="Q118" i="65"/>
  <c r="R246" i="65"/>
  <c r="AC282" i="67" l="1"/>
  <c r="AE251" i="67"/>
  <c r="AD252" i="67"/>
  <c r="AB251" i="66"/>
  <c r="Z282" i="66"/>
  <c r="AB252" i="66"/>
  <c r="AB118" i="66"/>
  <c r="AC246" i="66"/>
  <c r="AA252" i="66"/>
  <c r="R118" i="65"/>
  <c r="S246" i="65"/>
  <c r="P282" i="65"/>
  <c r="R251" i="65"/>
  <c r="AD282" i="67" l="1"/>
  <c r="AF251" i="67"/>
  <c r="AE252" i="67"/>
  <c r="AE118" i="67"/>
  <c r="AD246" i="66"/>
  <c r="AA282" i="66"/>
  <c r="AC251" i="66"/>
  <c r="S251" i="65"/>
  <c r="Q282" i="65"/>
  <c r="S252" i="65"/>
  <c r="S118" i="65"/>
  <c r="T246" i="65"/>
  <c r="R252" i="65"/>
  <c r="B251" i="67" l="1"/>
  <c r="AE282" i="67"/>
  <c r="AF118" i="67"/>
  <c r="AF252" i="67"/>
  <c r="AB282" i="66"/>
  <c r="AD251" i="66"/>
  <c r="AC252" i="66"/>
  <c r="AE246" i="66"/>
  <c r="AD252" i="66"/>
  <c r="AC118" i="66"/>
  <c r="T118" i="65"/>
  <c r="U246" i="65"/>
  <c r="R282" i="65"/>
  <c r="T251" i="65"/>
  <c r="AF282" i="67" l="1"/>
  <c r="B118" i="67"/>
  <c r="B252" i="67"/>
  <c r="AF246" i="66"/>
  <c r="AE118" i="66"/>
  <c r="AC282" i="66"/>
  <c r="AE251" i="66"/>
  <c r="S282" i="65"/>
  <c r="U251" i="65"/>
  <c r="V246" i="65"/>
  <c r="U252" i="65"/>
  <c r="U118" i="65"/>
  <c r="T252" i="65"/>
  <c r="AI118" i="67" l="1"/>
  <c r="AH118" i="67"/>
  <c r="AD282" i="66"/>
  <c r="AF251" i="66"/>
  <c r="AE252" i="66"/>
  <c r="AF252" i="66"/>
  <c r="AF118" i="66"/>
  <c r="B246" i="66"/>
  <c r="T282" i="65"/>
  <c r="V251" i="65"/>
  <c r="W246" i="65"/>
  <c r="V252" i="65"/>
  <c r="V118" i="65"/>
  <c r="B251" i="66" l="1"/>
  <c r="AF282" i="66" s="1"/>
  <c r="AE282" i="66"/>
  <c r="U282" i="65"/>
  <c r="W251" i="65"/>
  <c r="X246" i="65"/>
  <c r="W252" i="65"/>
  <c r="W118" i="65"/>
  <c r="B118" i="66" l="1"/>
  <c r="B252" i="66"/>
  <c r="Y246" i="65"/>
  <c r="V282" i="65"/>
  <c r="X251" i="65"/>
  <c r="AI118" i="66" l="1"/>
  <c r="AH118" i="66"/>
  <c r="W282" i="65"/>
  <c r="Y251" i="65"/>
  <c r="X118" i="65"/>
  <c r="X252" i="65"/>
  <c r="Y252" i="65"/>
  <c r="Z246" i="65"/>
  <c r="AA246" i="65" l="1"/>
  <c r="X282" i="65"/>
  <c r="Z251" i="65"/>
  <c r="AA251" i="65" l="1"/>
  <c r="Y282" i="65"/>
  <c r="AA252" i="65"/>
  <c r="AA118" i="65"/>
  <c r="AB246" i="65"/>
  <c r="Z252" i="65"/>
  <c r="AB118" i="65" l="1"/>
  <c r="AC246" i="65"/>
  <c r="AB251" i="65"/>
  <c r="Z282" i="65"/>
  <c r="AA282" i="65" l="1"/>
  <c r="AC251" i="65"/>
  <c r="AD246" i="65"/>
  <c r="AC252" i="65"/>
  <c r="AC118" i="65"/>
  <c r="AB252" i="65"/>
  <c r="AE246" i="65" l="1"/>
  <c r="AB282" i="65"/>
  <c r="AD251" i="65"/>
  <c r="AD252" i="65" s="1"/>
  <c r="AC282" i="65" l="1"/>
  <c r="AE251" i="65"/>
  <c r="AF246" i="65"/>
  <c r="AE252" i="65"/>
  <c r="B246" i="65" l="1"/>
  <c r="AD282" i="65"/>
  <c r="AF251" i="65"/>
  <c r="B251" i="65" l="1"/>
  <c r="AF282" i="65" s="1"/>
  <c r="AE282" i="65"/>
  <c r="B252" i="65"/>
  <c r="AF252" i="65"/>
  <c r="AI118" i="65" l="1"/>
  <c r="AH118" i="65"/>
  <c r="T123" i="64" l="1"/>
  <c r="S123" i="64"/>
  <c r="S57" i="64"/>
  <c r="R123" i="64"/>
  <c r="R121" i="64"/>
  <c r="R85" i="64"/>
  <c r="R57" i="64"/>
  <c r="Q123" i="64"/>
  <c r="Q121" i="64"/>
  <c r="Q57" i="64"/>
  <c r="P123" i="64"/>
  <c r="P121" i="64"/>
  <c r="P57" i="64"/>
  <c r="O123" i="64"/>
  <c r="O57" i="64"/>
  <c r="N123" i="64"/>
  <c r="N121" i="64"/>
  <c r="N57" i="64"/>
  <c r="M57" i="64" l="1"/>
  <c r="M58" i="64"/>
  <c r="M62" i="64"/>
  <c r="M76" i="64"/>
  <c r="M92" i="64"/>
  <c r="M101" i="64"/>
  <c r="M102" i="64"/>
  <c r="M103" i="64"/>
  <c r="M104" i="64"/>
  <c r="M105" i="64"/>
  <c r="K123" i="64"/>
  <c r="J123" i="64"/>
  <c r="I123" i="64"/>
  <c r="H58" i="64"/>
  <c r="I58" i="64"/>
  <c r="J58" i="64"/>
  <c r="H62" i="64"/>
  <c r="I62" i="64"/>
  <c r="J62" i="64"/>
  <c r="M107" i="64" l="1"/>
  <c r="M108" i="64" s="1"/>
  <c r="M97" i="64"/>
  <c r="M99" i="64" s="1"/>
  <c r="M100" i="64" s="1"/>
  <c r="G123" i="64" l="1"/>
  <c r="F123" i="64"/>
  <c r="E123" i="64"/>
  <c r="E57" i="64"/>
  <c r="E58" i="64"/>
  <c r="E62" i="64"/>
  <c r="D57" i="64"/>
  <c r="D58" i="64"/>
  <c r="D62" i="64"/>
  <c r="D76" i="64"/>
  <c r="D80" i="64"/>
  <c r="D92" i="64"/>
  <c r="D101" i="64"/>
  <c r="D102" i="64"/>
  <c r="D103" i="64"/>
  <c r="D104" i="64"/>
  <c r="D105" i="64"/>
  <c r="D123" i="64"/>
  <c r="C123" i="64"/>
  <c r="C57" i="64"/>
  <c r="C58" i="64"/>
  <c r="C62" i="64"/>
  <c r="C76" i="64"/>
  <c r="C80" i="64"/>
  <c r="C92" i="64"/>
  <c r="C101" i="64"/>
  <c r="C107" i="64" s="1"/>
  <c r="C102" i="64"/>
  <c r="C103" i="64"/>
  <c r="C104" i="64"/>
  <c r="C105" i="64"/>
  <c r="C118" i="64"/>
  <c r="B123" i="64"/>
  <c r="B105" i="64"/>
  <c r="B104" i="64"/>
  <c r="B103" i="64"/>
  <c r="B102" i="64"/>
  <c r="B101" i="64"/>
  <c r="B92" i="64"/>
  <c r="B80" i="64"/>
  <c r="B76" i="64"/>
  <c r="B62" i="64"/>
  <c r="B58" i="64"/>
  <c r="B57" i="64"/>
  <c r="AF286" i="64"/>
  <c r="AE286" i="64"/>
  <c r="AD286" i="64"/>
  <c r="AC286" i="64"/>
  <c r="AB286" i="64"/>
  <c r="AA286" i="64"/>
  <c r="Z286" i="64"/>
  <c r="Y286" i="64"/>
  <c r="X286" i="64"/>
  <c r="W286" i="64"/>
  <c r="V286" i="64"/>
  <c r="U286" i="64"/>
  <c r="T286" i="64"/>
  <c r="S286" i="64"/>
  <c r="R286" i="64"/>
  <c r="Q286" i="64"/>
  <c r="P286" i="64"/>
  <c r="O286" i="64"/>
  <c r="N286" i="64"/>
  <c r="M286" i="64"/>
  <c r="L286" i="64"/>
  <c r="K286" i="64"/>
  <c r="J286" i="64"/>
  <c r="I286" i="64"/>
  <c r="H286" i="64"/>
  <c r="G286" i="64"/>
  <c r="F286" i="64"/>
  <c r="E286" i="64"/>
  <c r="D286" i="64"/>
  <c r="C286" i="64"/>
  <c r="B286" i="64"/>
  <c r="A286" i="64"/>
  <c r="AF285" i="64"/>
  <c r="AE285" i="64"/>
  <c r="AD285" i="64"/>
  <c r="AC285" i="64"/>
  <c r="AB285" i="64"/>
  <c r="AA285" i="64"/>
  <c r="Z285" i="64"/>
  <c r="Y285" i="64"/>
  <c r="X285" i="64"/>
  <c r="W285" i="64"/>
  <c r="V285" i="64"/>
  <c r="U285" i="64"/>
  <c r="T285" i="64"/>
  <c r="S285" i="64"/>
  <c r="R285" i="64"/>
  <c r="Q285" i="64"/>
  <c r="P285" i="64"/>
  <c r="O285" i="64"/>
  <c r="N285" i="64"/>
  <c r="M285" i="64"/>
  <c r="L285" i="64"/>
  <c r="K285" i="64"/>
  <c r="J285" i="64"/>
  <c r="I285" i="64"/>
  <c r="H285" i="64"/>
  <c r="G285" i="64"/>
  <c r="F285" i="64"/>
  <c r="E285" i="64"/>
  <c r="D285" i="64"/>
  <c r="C285" i="64"/>
  <c r="B285" i="64"/>
  <c r="A285" i="64"/>
  <c r="AF284" i="64"/>
  <c r="AE284" i="64"/>
  <c r="AD284" i="64"/>
  <c r="AC284" i="64"/>
  <c r="AB284" i="64"/>
  <c r="AA284" i="64"/>
  <c r="Z284" i="64"/>
  <c r="Y284" i="64"/>
  <c r="X284" i="64"/>
  <c r="W284" i="64"/>
  <c r="V284" i="64"/>
  <c r="U284" i="64"/>
  <c r="T284" i="64"/>
  <c r="S284" i="64"/>
  <c r="R284" i="64"/>
  <c r="Q284" i="64"/>
  <c r="P284" i="64"/>
  <c r="O284" i="64"/>
  <c r="N284" i="64"/>
  <c r="M284" i="64"/>
  <c r="L284" i="64"/>
  <c r="K284" i="64"/>
  <c r="J284" i="64"/>
  <c r="I284" i="64"/>
  <c r="H284" i="64"/>
  <c r="G284" i="64"/>
  <c r="F284" i="64"/>
  <c r="E284" i="64"/>
  <c r="D284" i="64"/>
  <c r="C284" i="64"/>
  <c r="B284" i="64"/>
  <c r="A284" i="64"/>
  <c r="AF283" i="64"/>
  <c r="AE283" i="64"/>
  <c r="AD283" i="64"/>
  <c r="AC283" i="64"/>
  <c r="AB283" i="64"/>
  <c r="AA283" i="64"/>
  <c r="Z283" i="64"/>
  <c r="Y283" i="64"/>
  <c r="X283" i="64"/>
  <c r="W283" i="64"/>
  <c r="V283" i="64"/>
  <c r="U283" i="64"/>
  <c r="T283" i="64"/>
  <c r="S283" i="64"/>
  <c r="R283" i="64"/>
  <c r="Q283" i="64"/>
  <c r="P283" i="64"/>
  <c r="O283" i="64"/>
  <c r="N283" i="64"/>
  <c r="M283" i="64"/>
  <c r="L283" i="64"/>
  <c r="K283" i="64"/>
  <c r="J283" i="64"/>
  <c r="I283" i="64"/>
  <c r="H283" i="64"/>
  <c r="G283" i="64"/>
  <c r="F283" i="64"/>
  <c r="E283" i="64"/>
  <c r="D283" i="64"/>
  <c r="C283" i="64"/>
  <c r="B283" i="64"/>
  <c r="A283" i="64"/>
  <c r="B282" i="64"/>
  <c r="S257" i="64"/>
  <c r="AG252" i="64"/>
  <c r="AG75" i="64" s="1"/>
  <c r="AG76" i="64" s="1"/>
  <c r="AG3" i="64" s="1"/>
  <c r="C252" i="64"/>
  <c r="E251" i="64"/>
  <c r="D282" i="64" s="1"/>
  <c r="D251" i="64"/>
  <c r="C282" i="64" s="1"/>
  <c r="E250" i="64"/>
  <c r="F250" i="64" s="1"/>
  <c r="G250" i="64" s="1"/>
  <c r="H250" i="64" s="1"/>
  <c r="I250" i="64" s="1"/>
  <c r="J250" i="64" s="1"/>
  <c r="K250" i="64" s="1"/>
  <c r="L250" i="64" s="1"/>
  <c r="M250" i="64" s="1"/>
  <c r="N250" i="64" s="1"/>
  <c r="O250" i="64" s="1"/>
  <c r="P250" i="64" s="1"/>
  <c r="Q250" i="64" s="1"/>
  <c r="R250" i="64" s="1"/>
  <c r="S250" i="64" s="1"/>
  <c r="T250" i="64" s="1"/>
  <c r="U250" i="64" s="1"/>
  <c r="V250" i="64" s="1"/>
  <c r="W250" i="64" s="1"/>
  <c r="X250" i="64" s="1"/>
  <c r="Y250" i="64" s="1"/>
  <c r="Z250" i="64" s="1"/>
  <c r="AA250" i="64" s="1"/>
  <c r="AB250" i="64" s="1"/>
  <c r="AC250" i="64" s="1"/>
  <c r="AD250" i="64" s="1"/>
  <c r="AE250" i="64" s="1"/>
  <c r="AF250" i="64" s="1"/>
  <c r="B250" i="64" s="1"/>
  <c r="D250" i="64"/>
  <c r="D249" i="64"/>
  <c r="E249" i="64" s="1"/>
  <c r="F249" i="64" s="1"/>
  <c r="G249" i="64" s="1"/>
  <c r="H249" i="64" s="1"/>
  <c r="I249" i="64" s="1"/>
  <c r="J249" i="64" s="1"/>
  <c r="K249" i="64" s="1"/>
  <c r="L249" i="64" s="1"/>
  <c r="M249" i="64" s="1"/>
  <c r="N249" i="64" s="1"/>
  <c r="O249" i="64" s="1"/>
  <c r="P249" i="64" s="1"/>
  <c r="Q249" i="64" s="1"/>
  <c r="R249" i="64" s="1"/>
  <c r="S249" i="64" s="1"/>
  <c r="T249" i="64" s="1"/>
  <c r="U249" i="64" s="1"/>
  <c r="V249" i="64" s="1"/>
  <c r="W249" i="64" s="1"/>
  <c r="X249" i="64" s="1"/>
  <c r="Y249" i="64" s="1"/>
  <c r="Z249" i="64" s="1"/>
  <c r="AA249" i="64" s="1"/>
  <c r="AB249" i="64" s="1"/>
  <c r="AC249" i="64" s="1"/>
  <c r="AD249" i="64" s="1"/>
  <c r="AE249" i="64" s="1"/>
  <c r="AF249" i="64" s="1"/>
  <c r="B249" i="64" s="1"/>
  <c r="E248" i="64"/>
  <c r="F248" i="64" s="1"/>
  <c r="G248" i="64" s="1"/>
  <c r="H248" i="64" s="1"/>
  <c r="I248" i="64" s="1"/>
  <c r="J248" i="64" s="1"/>
  <c r="K248" i="64" s="1"/>
  <c r="L248" i="64" s="1"/>
  <c r="M248" i="64" s="1"/>
  <c r="N248" i="64" s="1"/>
  <c r="O248" i="64" s="1"/>
  <c r="P248" i="64" s="1"/>
  <c r="Q248" i="64" s="1"/>
  <c r="R248" i="64" s="1"/>
  <c r="S248" i="64" s="1"/>
  <c r="T248" i="64" s="1"/>
  <c r="U248" i="64" s="1"/>
  <c r="V248" i="64" s="1"/>
  <c r="W248" i="64" s="1"/>
  <c r="X248" i="64" s="1"/>
  <c r="Y248" i="64" s="1"/>
  <c r="Z248" i="64" s="1"/>
  <c r="AA248" i="64" s="1"/>
  <c r="AB248" i="64" s="1"/>
  <c r="AC248" i="64" s="1"/>
  <c r="AD248" i="64" s="1"/>
  <c r="AE248" i="64" s="1"/>
  <c r="AF248" i="64" s="1"/>
  <c r="B248" i="64" s="1"/>
  <c r="D248" i="64"/>
  <c r="D247" i="64"/>
  <c r="E246" i="64"/>
  <c r="E118" i="64" s="1"/>
  <c r="D246" i="64"/>
  <c r="AG244" i="64"/>
  <c r="AF244" i="64"/>
  <c r="AE244" i="64"/>
  <c r="AD244" i="64"/>
  <c r="AC244" i="64"/>
  <c r="AB244" i="64"/>
  <c r="AA244" i="64"/>
  <c r="Z244" i="64"/>
  <c r="Z118" i="64" s="1"/>
  <c r="Y244" i="64"/>
  <c r="Y118" i="64" s="1"/>
  <c r="X244" i="64"/>
  <c r="W244" i="64"/>
  <c r="V244" i="64"/>
  <c r="U244" i="64"/>
  <c r="T244" i="64"/>
  <c r="S244" i="64"/>
  <c r="R244" i="64"/>
  <c r="Q244" i="64"/>
  <c r="P244" i="64"/>
  <c r="O244" i="64"/>
  <c r="N244" i="64"/>
  <c r="M244" i="64"/>
  <c r="L244" i="64"/>
  <c r="K244" i="64"/>
  <c r="J244" i="64"/>
  <c r="I244" i="64"/>
  <c r="H244" i="64"/>
  <c r="G244" i="64"/>
  <c r="F244" i="64"/>
  <c r="E244" i="64"/>
  <c r="D244" i="64"/>
  <c r="C244" i="64"/>
  <c r="B244" i="64"/>
  <c r="AI130" i="64"/>
  <c r="AH130" i="64"/>
  <c r="AI129" i="64"/>
  <c r="AH129" i="64"/>
  <c r="AI128" i="64"/>
  <c r="AH128" i="64"/>
  <c r="AI127" i="64"/>
  <c r="AH127" i="64"/>
  <c r="AI126" i="64"/>
  <c r="AH126" i="64"/>
  <c r="AH123" i="64"/>
  <c r="AI122" i="64"/>
  <c r="AH122" i="64"/>
  <c r="AI121" i="64"/>
  <c r="AH121" i="64"/>
  <c r="AI120" i="64"/>
  <c r="AH120" i="64"/>
  <c r="AI119" i="64"/>
  <c r="AH119" i="64"/>
  <c r="AI117" i="64"/>
  <c r="AH117" i="64"/>
  <c r="AI116" i="64"/>
  <c r="AH116" i="64"/>
  <c r="AI115" i="64"/>
  <c r="AH115" i="64"/>
  <c r="AI114" i="64"/>
  <c r="AH114" i="64"/>
  <c r="AI113" i="64"/>
  <c r="AH113" i="64"/>
  <c r="AI112" i="64"/>
  <c r="AH112" i="64"/>
  <c r="AI111" i="64"/>
  <c r="AH111" i="64"/>
  <c r="AI110" i="64"/>
  <c r="AH110" i="64"/>
  <c r="AI109" i="64"/>
  <c r="AH109" i="64"/>
  <c r="AI106" i="64"/>
  <c r="AH106" i="64"/>
  <c r="AA105" i="64"/>
  <c r="Z105" i="64"/>
  <c r="Y105" i="64"/>
  <c r="X105" i="64"/>
  <c r="W105" i="64"/>
  <c r="V105" i="64"/>
  <c r="U105" i="64"/>
  <c r="T105" i="64"/>
  <c r="S105" i="64"/>
  <c r="R105" i="64"/>
  <c r="Q105" i="64"/>
  <c r="P105" i="64"/>
  <c r="O105" i="64"/>
  <c r="N105" i="64"/>
  <c r="L105" i="64"/>
  <c r="K105" i="64"/>
  <c r="J105" i="64"/>
  <c r="I105" i="64"/>
  <c r="H105" i="64"/>
  <c r="G105" i="64"/>
  <c r="F105" i="64"/>
  <c r="E105" i="64"/>
  <c r="AA104" i="64"/>
  <c r="Z104" i="64"/>
  <c r="Y104" i="64"/>
  <c r="X104" i="64"/>
  <c r="W104" i="64"/>
  <c r="V104" i="64"/>
  <c r="U104" i="64"/>
  <c r="T104" i="64"/>
  <c r="S104" i="64"/>
  <c r="R104" i="64"/>
  <c r="Q104" i="64"/>
  <c r="P104" i="64"/>
  <c r="O104" i="64"/>
  <c r="N104" i="64"/>
  <c r="L104" i="64"/>
  <c r="K104" i="64"/>
  <c r="J104" i="64"/>
  <c r="I104" i="64"/>
  <c r="H104" i="64"/>
  <c r="G104" i="64"/>
  <c r="F104" i="64"/>
  <c r="E104" i="64"/>
  <c r="AA103" i="64"/>
  <c r="Z103" i="64"/>
  <c r="Y103" i="64"/>
  <c r="X103" i="64"/>
  <c r="W103" i="64"/>
  <c r="V103" i="64"/>
  <c r="U103" i="64"/>
  <c r="T103" i="64"/>
  <c r="S103" i="64"/>
  <c r="R103" i="64"/>
  <c r="Q103" i="64"/>
  <c r="P103" i="64"/>
  <c r="O103" i="64"/>
  <c r="N103" i="64"/>
  <c r="L103" i="64"/>
  <c r="K103" i="64"/>
  <c r="J103" i="64"/>
  <c r="I103" i="64"/>
  <c r="H103" i="64"/>
  <c r="G103" i="64"/>
  <c r="F103" i="64"/>
  <c r="E103" i="64"/>
  <c r="AA102" i="64"/>
  <c r="Z102" i="64"/>
  <c r="Y102" i="64"/>
  <c r="X102" i="64"/>
  <c r="W102" i="64"/>
  <c r="V102" i="64"/>
  <c r="U102" i="64"/>
  <c r="T102" i="64"/>
  <c r="S102" i="64"/>
  <c r="R102" i="64"/>
  <c r="Q102" i="64"/>
  <c r="P102" i="64"/>
  <c r="O102" i="64"/>
  <c r="N102" i="64"/>
  <c r="L102" i="64"/>
  <c r="K102" i="64"/>
  <c r="J102" i="64"/>
  <c r="I102" i="64"/>
  <c r="H102" i="64"/>
  <c r="G102" i="64"/>
  <c r="F102" i="64"/>
  <c r="E102" i="64"/>
  <c r="AA101" i="64"/>
  <c r="Z101" i="64"/>
  <c r="Y101" i="64"/>
  <c r="X101" i="64"/>
  <c r="W101" i="64"/>
  <c r="V101" i="64"/>
  <c r="U101" i="64"/>
  <c r="T101" i="64"/>
  <c r="S101" i="64"/>
  <c r="R101" i="64"/>
  <c r="Q101" i="64"/>
  <c r="P101" i="64"/>
  <c r="O101" i="64"/>
  <c r="N101" i="64"/>
  <c r="L101" i="64"/>
  <c r="K101" i="64"/>
  <c r="J101" i="64"/>
  <c r="I101" i="64"/>
  <c r="H101" i="64"/>
  <c r="G101" i="64"/>
  <c r="F101" i="64"/>
  <c r="E101" i="64"/>
  <c r="AI98" i="64"/>
  <c r="AH98" i="64"/>
  <c r="AI96" i="64"/>
  <c r="AH96" i="64"/>
  <c r="AG96" i="64"/>
  <c r="AI95" i="64"/>
  <c r="AH95" i="64"/>
  <c r="AI94" i="64"/>
  <c r="AH94" i="64"/>
  <c r="AI93" i="64"/>
  <c r="AH93" i="64"/>
  <c r="AG92" i="64"/>
  <c r="AC5" i="64"/>
  <c r="AB5" i="64"/>
  <c r="AA92" i="64"/>
  <c r="Z92" i="64"/>
  <c r="Y5" i="64" s="1"/>
  <c r="Y92" i="64"/>
  <c r="X92" i="64"/>
  <c r="W5" i="64" s="1"/>
  <c r="W92" i="64"/>
  <c r="V5" i="64" s="1"/>
  <c r="V92" i="64"/>
  <c r="U5" i="64" s="1"/>
  <c r="U92" i="64"/>
  <c r="T5" i="64" s="1"/>
  <c r="T92" i="64"/>
  <c r="S5" i="64" s="1"/>
  <c r="S92" i="64"/>
  <c r="R5" i="64" s="1"/>
  <c r="R92" i="64"/>
  <c r="Q5" i="64" s="1"/>
  <c r="Q92" i="64"/>
  <c r="P5" i="64" s="1"/>
  <c r="P92" i="64"/>
  <c r="O5" i="64" s="1"/>
  <c r="O92" i="64"/>
  <c r="N5" i="64" s="1"/>
  <c r="N92" i="64"/>
  <c r="M5" i="64" s="1"/>
  <c r="L5" i="64"/>
  <c r="L92" i="64"/>
  <c r="K5" i="64" s="1"/>
  <c r="K92" i="64"/>
  <c r="J92" i="64"/>
  <c r="I92" i="64"/>
  <c r="H92" i="64"/>
  <c r="G92" i="64"/>
  <c r="F5" i="64" s="1"/>
  <c r="F92" i="64"/>
  <c r="E5" i="64" s="1"/>
  <c r="E92" i="64"/>
  <c r="D5" i="64" s="1"/>
  <c r="AI91" i="64"/>
  <c r="AH91" i="64"/>
  <c r="AI90" i="64"/>
  <c r="AH90" i="64"/>
  <c r="AI89" i="64"/>
  <c r="AH89" i="64"/>
  <c r="AI88" i="64"/>
  <c r="AH88" i="64"/>
  <c r="AI87" i="64"/>
  <c r="AH87" i="64"/>
  <c r="AI86" i="64"/>
  <c r="AH86" i="64"/>
  <c r="AI85" i="64"/>
  <c r="AH85" i="64"/>
  <c r="AI84" i="64"/>
  <c r="AH84" i="64"/>
  <c r="AI83" i="64"/>
  <c r="AH83" i="64"/>
  <c r="AI82" i="64"/>
  <c r="AH82" i="64"/>
  <c r="AI81" i="64"/>
  <c r="AH81" i="64"/>
  <c r="AG80" i="64"/>
  <c r="AG4" i="64" s="1"/>
  <c r="AA80" i="64"/>
  <c r="Z80" i="64"/>
  <c r="Y80" i="64"/>
  <c r="X80" i="64"/>
  <c r="W80" i="64"/>
  <c r="V80" i="64"/>
  <c r="U80" i="64"/>
  <c r="T80" i="64"/>
  <c r="S80" i="64"/>
  <c r="R80" i="64"/>
  <c r="Q80" i="64"/>
  <c r="P80" i="64"/>
  <c r="O80" i="64"/>
  <c r="N80" i="64"/>
  <c r="L80" i="64"/>
  <c r="K80" i="64"/>
  <c r="J80" i="64"/>
  <c r="I80" i="64"/>
  <c r="H80" i="64"/>
  <c r="G80" i="64"/>
  <c r="F80" i="64"/>
  <c r="E80" i="64"/>
  <c r="AI79" i="64"/>
  <c r="AH79" i="64"/>
  <c r="AI78" i="64"/>
  <c r="AH78" i="64"/>
  <c r="AI77" i="64"/>
  <c r="AH77" i="64"/>
  <c r="AA76" i="64"/>
  <c r="Z76" i="64"/>
  <c r="Y76" i="64"/>
  <c r="X76" i="64"/>
  <c r="W76" i="64"/>
  <c r="V76" i="64"/>
  <c r="U76" i="64"/>
  <c r="T76" i="64"/>
  <c r="S76" i="64"/>
  <c r="R76" i="64"/>
  <c r="Q76" i="64"/>
  <c r="P76" i="64"/>
  <c r="O76" i="64"/>
  <c r="N76" i="64"/>
  <c r="L76" i="64"/>
  <c r="K76" i="64"/>
  <c r="J76" i="64"/>
  <c r="I76" i="64"/>
  <c r="H76" i="64"/>
  <c r="G76" i="64"/>
  <c r="F76" i="64"/>
  <c r="E76" i="64"/>
  <c r="AI75" i="64"/>
  <c r="AH75" i="64"/>
  <c r="AI74" i="64"/>
  <c r="AH74" i="64"/>
  <c r="AI73" i="64"/>
  <c r="AH73" i="64"/>
  <c r="AI72" i="64"/>
  <c r="AH72" i="64"/>
  <c r="AI71" i="64"/>
  <c r="AH71" i="64"/>
  <c r="AI70" i="64"/>
  <c r="AH70" i="64"/>
  <c r="AI69" i="64"/>
  <c r="AH69" i="64"/>
  <c r="AI68" i="64"/>
  <c r="AH68" i="64"/>
  <c r="AI67" i="64"/>
  <c r="AH67" i="64"/>
  <c r="AI66" i="64"/>
  <c r="AH66" i="64"/>
  <c r="AI65" i="64"/>
  <c r="AH65" i="64"/>
  <c r="AI64" i="64"/>
  <c r="AH64" i="64"/>
  <c r="AI63" i="64"/>
  <c r="AH63" i="64"/>
  <c r="AG62" i="64"/>
  <c r="AA62" i="64"/>
  <c r="Z62" i="64"/>
  <c r="Y62" i="64"/>
  <c r="X62" i="64"/>
  <c r="W62" i="64"/>
  <c r="V62" i="64"/>
  <c r="U62" i="64"/>
  <c r="T62" i="64"/>
  <c r="S62" i="64"/>
  <c r="R62" i="64"/>
  <c r="Q62" i="64"/>
  <c r="P62" i="64"/>
  <c r="O62" i="64"/>
  <c r="N62" i="64"/>
  <c r="L62" i="64"/>
  <c r="K62" i="64"/>
  <c r="G62" i="64"/>
  <c r="F62" i="64"/>
  <c r="AI61" i="64"/>
  <c r="AH61" i="64"/>
  <c r="AI60" i="64"/>
  <c r="AH60" i="64"/>
  <c r="AI59" i="64"/>
  <c r="AH59" i="64"/>
  <c r="AG58" i="64"/>
  <c r="AG2" i="64" s="1"/>
  <c r="AA58" i="64"/>
  <c r="Z58" i="64"/>
  <c r="Y58" i="64"/>
  <c r="X58" i="64"/>
  <c r="W58" i="64"/>
  <c r="V58" i="64"/>
  <c r="U58" i="64"/>
  <c r="T58" i="64"/>
  <c r="S58" i="64"/>
  <c r="R58" i="64"/>
  <c r="Q58" i="64"/>
  <c r="P58" i="64"/>
  <c r="O58" i="64"/>
  <c r="N58" i="64"/>
  <c r="L58" i="64"/>
  <c r="K58" i="64"/>
  <c r="G58" i="64"/>
  <c r="F58" i="64"/>
  <c r="AI57" i="64"/>
  <c r="AH57" i="64"/>
  <c r="AI56" i="64"/>
  <c r="AH56" i="64"/>
  <c r="AI55" i="64"/>
  <c r="AH55" i="64"/>
  <c r="AI54" i="64"/>
  <c r="AH54" i="64"/>
  <c r="AI53" i="64"/>
  <c r="AH53" i="64"/>
  <c r="AI52" i="64"/>
  <c r="AH52" i="64"/>
  <c r="AI51" i="64"/>
  <c r="AH51" i="64"/>
  <c r="AI50" i="64"/>
  <c r="AH50" i="64"/>
  <c r="AI49" i="64"/>
  <c r="AH49" i="64"/>
  <c r="AI48" i="64"/>
  <c r="AH48" i="64"/>
  <c r="AI47" i="64"/>
  <c r="AH47" i="64"/>
  <c r="AI46" i="64"/>
  <c r="AH46" i="64"/>
  <c r="AI45" i="64"/>
  <c r="AH45" i="64"/>
  <c r="AI44" i="64"/>
  <c r="AH44" i="64"/>
  <c r="AI43" i="64"/>
  <c r="AH43" i="64"/>
  <c r="AI42" i="64"/>
  <c r="AH42" i="64"/>
  <c r="AI41" i="64"/>
  <c r="AH41" i="64"/>
  <c r="AI40" i="64"/>
  <c r="AH40" i="64"/>
  <c r="AI39" i="64"/>
  <c r="AH39" i="64"/>
  <c r="AI38" i="64"/>
  <c r="AH38" i="64"/>
  <c r="AI37" i="64"/>
  <c r="AH37" i="64"/>
  <c r="AI36" i="64"/>
  <c r="AH36" i="64"/>
  <c r="AI35" i="64"/>
  <c r="AH35" i="64"/>
  <c r="AI34" i="64"/>
  <c r="AH34" i="64"/>
  <c r="AI33" i="64"/>
  <c r="AH33" i="64"/>
  <c r="AI32" i="64"/>
  <c r="AH32" i="64"/>
  <c r="AI31" i="64"/>
  <c r="AH31" i="64"/>
  <c r="AI30" i="64"/>
  <c r="AH30" i="64"/>
  <c r="AI29" i="64"/>
  <c r="AH29" i="64"/>
  <c r="AI28" i="64"/>
  <c r="AH28" i="64"/>
  <c r="AI27" i="64"/>
  <c r="AH27" i="64"/>
  <c r="AI26" i="64"/>
  <c r="AH26" i="64"/>
  <c r="AI25" i="64"/>
  <c r="AH25" i="64"/>
  <c r="AI24" i="64"/>
  <c r="AH24" i="64"/>
  <c r="AI23" i="64"/>
  <c r="AH23" i="64"/>
  <c r="AI22" i="64"/>
  <c r="AH22" i="64"/>
  <c r="AI21" i="64"/>
  <c r="AH21" i="64"/>
  <c r="AI20" i="64"/>
  <c r="AH20" i="64"/>
  <c r="AI19" i="64"/>
  <c r="AH19" i="64"/>
  <c r="AI18" i="64"/>
  <c r="AH18" i="64"/>
  <c r="AI17" i="64"/>
  <c r="AH17" i="64"/>
  <c r="AI16" i="64"/>
  <c r="AH16" i="64"/>
  <c r="AI15" i="64"/>
  <c r="AH15" i="64"/>
  <c r="AI14" i="64"/>
  <c r="AH14" i="64"/>
  <c r="AI13" i="64"/>
  <c r="AH13" i="64"/>
  <c r="AI12" i="64"/>
  <c r="AH12" i="64"/>
  <c r="AI11" i="64"/>
  <c r="AH11" i="64"/>
  <c r="AF5" i="64"/>
  <c r="AE5" i="64"/>
  <c r="AD5" i="64"/>
  <c r="AA5" i="64"/>
  <c r="Z5" i="64"/>
  <c r="J5" i="64"/>
  <c r="I5" i="64"/>
  <c r="C5" i="64"/>
  <c r="B5" i="64"/>
  <c r="K4" i="64"/>
  <c r="E4" i="64"/>
  <c r="H4" i="64" s="1"/>
  <c r="B4" i="64"/>
  <c r="AF123" i="63"/>
  <c r="AF57" i="63"/>
  <c r="AF58" i="63"/>
  <c r="AF62" i="63"/>
  <c r="AF76" i="63"/>
  <c r="AF80" i="63"/>
  <c r="AF92" i="63"/>
  <c r="AF101" i="63"/>
  <c r="AF102" i="63"/>
  <c r="AF107" i="63" s="1"/>
  <c r="AF103" i="63"/>
  <c r="AF104" i="63"/>
  <c r="AF105" i="63"/>
  <c r="AF118" i="63"/>
  <c r="AE123" i="63"/>
  <c r="AE57" i="63"/>
  <c r="AE58" i="63"/>
  <c r="AE62" i="63"/>
  <c r="AE76" i="63"/>
  <c r="AE80" i="63"/>
  <c r="AE92" i="63"/>
  <c r="AE101" i="63"/>
  <c r="AE102" i="63"/>
  <c r="AE103" i="63"/>
  <c r="AE104" i="63"/>
  <c r="AE105" i="63"/>
  <c r="AE118" i="63"/>
  <c r="K135" i="18"/>
  <c r="AD123" i="63"/>
  <c r="AD57" i="63"/>
  <c r="AD58" i="63"/>
  <c r="AD62" i="63"/>
  <c r="AD76" i="63"/>
  <c r="AD80" i="63"/>
  <c r="AD92" i="63"/>
  <c r="AD101" i="63"/>
  <c r="AD107" i="63" s="1"/>
  <c r="AD102" i="63"/>
  <c r="AD103" i="63"/>
  <c r="AD104" i="63"/>
  <c r="AD105" i="63"/>
  <c r="AD118" i="63"/>
  <c r="AC57" i="63"/>
  <c r="AC58" i="63"/>
  <c r="AC62" i="63"/>
  <c r="AC76" i="63"/>
  <c r="AC80" i="63"/>
  <c r="AC92" i="63"/>
  <c r="AC101" i="63"/>
  <c r="AC102" i="63"/>
  <c r="AC103" i="63"/>
  <c r="AC104" i="63"/>
  <c r="AC105" i="63"/>
  <c r="AC123" i="63"/>
  <c r="AC118" i="63" s="1"/>
  <c r="AB123" i="63"/>
  <c r="AB57" i="63"/>
  <c r="AB58" i="63"/>
  <c r="AB62" i="63"/>
  <c r="AA123" i="63"/>
  <c r="AA57" i="63"/>
  <c r="Z123" i="63"/>
  <c r="Z121" i="63"/>
  <c r="Z57" i="63"/>
  <c r="Y107" i="64" l="1"/>
  <c r="Y108" i="64" s="1"/>
  <c r="Y97" i="64"/>
  <c r="Y99" i="64" s="1"/>
  <c r="AQ261" i="64" s="1"/>
  <c r="W97" i="64"/>
  <c r="W99" i="64" s="1"/>
  <c r="U97" i="64"/>
  <c r="U99" i="64" s="1"/>
  <c r="Q107" i="64"/>
  <c r="Q108" i="64" s="1"/>
  <c r="Q97" i="64"/>
  <c r="Q99" i="64" s="1"/>
  <c r="AI261" i="64" s="1"/>
  <c r="X97" i="64"/>
  <c r="X99" i="64" s="1"/>
  <c r="AP261" i="64" s="1"/>
  <c r="AX261" i="64"/>
  <c r="H97" i="64"/>
  <c r="H99" i="64" s="1"/>
  <c r="Z261" i="64" s="1"/>
  <c r="X107" i="64"/>
  <c r="X108" i="64" s="1"/>
  <c r="B107" i="64"/>
  <c r="B108" i="64" s="1"/>
  <c r="F246" i="64"/>
  <c r="G246" i="64" s="1"/>
  <c r="H246" i="64" s="1"/>
  <c r="D107" i="64"/>
  <c r="D108" i="64" s="1"/>
  <c r="AA97" i="64"/>
  <c r="AA99" i="64" s="1"/>
  <c r="AS261" i="64" s="1"/>
  <c r="R107" i="64"/>
  <c r="R108" i="64" s="1"/>
  <c r="D252" i="64"/>
  <c r="I97" i="64"/>
  <c r="I99" i="64" s="1"/>
  <c r="AA261" i="64" s="1"/>
  <c r="S97" i="64"/>
  <c r="S99" i="64" s="1"/>
  <c r="AK261" i="64" s="1"/>
  <c r="Z107" i="64"/>
  <c r="Z108" i="64" s="1"/>
  <c r="X5" i="64"/>
  <c r="T97" i="64"/>
  <c r="T99" i="64" s="1"/>
  <c r="AL261" i="64" s="1"/>
  <c r="AV261" i="64"/>
  <c r="J107" i="64"/>
  <c r="I107" i="64"/>
  <c r="D118" i="64"/>
  <c r="V97" i="64"/>
  <c r="V99" i="64" s="1"/>
  <c r="AN261" i="64" s="1"/>
  <c r="C108" i="64"/>
  <c r="P97" i="64"/>
  <c r="P99" i="64" s="1"/>
  <c r="AH261" i="64" s="1"/>
  <c r="P107" i="64"/>
  <c r="P108" i="64" s="1"/>
  <c r="O97" i="64"/>
  <c r="O99" i="64" s="1"/>
  <c r="AG261" i="64" s="1"/>
  <c r="N97" i="64"/>
  <c r="N99" i="64" s="1"/>
  <c r="AF261" i="64" s="1"/>
  <c r="L97" i="64"/>
  <c r="L99" i="64" s="1"/>
  <c r="K97" i="64"/>
  <c r="K99" i="64" s="1"/>
  <c r="AC261" i="64" s="1"/>
  <c r="AI105" i="64"/>
  <c r="G5" i="64"/>
  <c r="H107" i="64"/>
  <c r="AI104" i="64"/>
  <c r="I108" i="64"/>
  <c r="H100" i="64"/>
  <c r="H7" i="64" s="1"/>
  <c r="G97" i="64"/>
  <c r="G99" i="64" s="1"/>
  <c r="D97" i="64"/>
  <c r="D99" i="64" s="1"/>
  <c r="D100" i="64" s="1"/>
  <c r="AI62" i="64"/>
  <c r="F97" i="64"/>
  <c r="F99" i="64" s="1"/>
  <c r="X261" i="64" s="1"/>
  <c r="AH105" i="64"/>
  <c r="E97" i="64"/>
  <c r="E99" i="64" s="1"/>
  <c r="W261" i="64" s="1"/>
  <c r="AI123" i="64"/>
  <c r="C97" i="64"/>
  <c r="C99" i="64" s="1"/>
  <c r="C100" i="64" s="1"/>
  <c r="B97" i="64"/>
  <c r="B99" i="64" s="1"/>
  <c r="AD261" i="64"/>
  <c r="AT261" i="64"/>
  <c r="Y261" i="64"/>
  <c r="AO261" i="64"/>
  <c r="AW261" i="64"/>
  <c r="J97" i="64"/>
  <c r="J99" i="64" s="1"/>
  <c r="AG99" i="64"/>
  <c r="O107" i="64"/>
  <c r="O108" i="64" s="1"/>
  <c r="W107" i="64"/>
  <c r="W108" i="64" s="1"/>
  <c r="AE7" i="64"/>
  <c r="H5" i="64"/>
  <c r="AI92" i="64"/>
  <c r="J108" i="64"/>
  <c r="AH92" i="64"/>
  <c r="AF7" i="64"/>
  <c r="AI103" i="64"/>
  <c r="H108" i="64"/>
  <c r="AG6" i="64"/>
  <c r="S258" i="64"/>
  <c r="D258" i="64"/>
  <c r="Z97" i="64"/>
  <c r="Z99" i="64" s="1"/>
  <c r="AI80" i="64"/>
  <c r="AH80" i="64"/>
  <c r="AI102" i="64"/>
  <c r="AH103" i="64"/>
  <c r="E247" i="64"/>
  <c r="AM261" i="64"/>
  <c r="AI101" i="64"/>
  <c r="AI58" i="64"/>
  <c r="AH58" i="64"/>
  <c r="G107" i="64"/>
  <c r="G108" i="64" s="1"/>
  <c r="AE261" i="64"/>
  <c r="M7" i="64"/>
  <c r="AU261" i="64"/>
  <c r="AI76" i="64"/>
  <c r="AH76" i="64"/>
  <c r="I100" i="64"/>
  <c r="I7" i="64" s="1"/>
  <c r="K107" i="64"/>
  <c r="K108" i="64" s="1"/>
  <c r="S107" i="64"/>
  <c r="S108" i="64" s="1"/>
  <c r="AA107" i="64"/>
  <c r="AA108" i="64" s="1"/>
  <c r="L107" i="64"/>
  <c r="L100" i="64" s="1"/>
  <c r="L7" i="64" s="1"/>
  <c r="T107" i="64"/>
  <c r="T108" i="64" s="1"/>
  <c r="AB7" i="64"/>
  <c r="AG97" i="64"/>
  <c r="AH62" i="64"/>
  <c r="R97" i="64"/>
  <c r="R99" i="64" s="1"/>
  <c r="E107" i="64"/>
  <c r="U107" i="64"/>
  <c r="U108" i="64" s="1"/>
  <c r="AC7" i="64"/>
  <c r="F107" i="64"/>
  <c r="F108" i="64" s="1"/>
  <c r="N107" i="64"/>
  <c r="N108" i="64" s="1"/>
  <c r="V107" i="64"/>
  <c r="V108" i="64" s="1"/>
  <c r="AH101" i="64"/>
  <c r="F251" i="64"/>
  <c r="F118" i="64" s="1"/>
  <c r="AH102" i="64"/>
  <c r="AH104" i="64"/>
  <c r="E108" i="64"/>
  <c r="AF97" i="63"/>
  <c r="AF99" i="63" s="1"/>
  <c r="AF100" i="63" s="1"/>
  <c r="AF108" i="63"/>
  <c r="AE97" i="63"/>
  <c r="AE99" i="63" s="1"/>
  <c r="AE100" i="63" s="1"/>
  <c r="AE107" i="63"/>
  <c r="AE108" i="63" s="1"/>
  <c r="AD97" i="63"/>
  <c r="AD99" i="63" s="1"/>
  <c r="AD100" i="63" s="1"/>
  <c r="AD108" i="63"/>
  <c r="AC107" i="63"/>
  <c r="AC108" i="63" s="1"/>
  <c r="AC97" i="63"/>
  <c r="AC99" i="63" s="1"/>
  <c r="AC100" i="63" s="1"/>
  <c r="Y100" i="64" l="1"/>
  <c r="Y7" i="64" s="1"/>
  <c r="S100" i="64"/>
  <c r="S7" i="64" s="1"/>
  <c r="P100" i="64"/>
  <c r="P7" i="64" s="1"/>
  <c r="Q100" i="64"/>
  <c r="Q7" i="64" s="1"/>
  <c r="V261" i="64"/>
  <c r="V100" i="64"/>
  <c r="V7" i="64" s="1"/>
  <c r="U261" i="64"/>
  <c r="X100" i="64"/>
  <c r="X7" i="64" s="1"/>
  <c r="T100" i="64"/>
  <c r="T7" i="64" s="1"/>
  <c r="B100" i="64"/>
  <c r="L108" i="64"/>
  <c r="B256" i="64"/>
  <c r="K100" i="64"/>
  <c r="K7" i="64" s="1"/>
  <c r="C256" i="64"/>
  <c r="K6" i="64" s="1"/>
  <c r="E100" i="64"/>
  <c r="E7" i="64" s="1"/>
  <c r="D7" i="64"/>
  <c r="I246" i="64"/>
  <c r="F100" i="64"/>
  <c r="F7" i="64" s="1"/>
  <c r="AD7" i="64"/>
  <c r="AJ261" i="64"/>
  <c r="R100" i="64"/>
  <c r="R7" i="64" s="1"/>
  <c r="W100" i="64"/>
  <c r="W7" i="64" s="1"/>
  <c r="N100" i="64"/>
  <c r="N7" i="64" s="1"/>
  <c r="AA100" i="64"/>
  <c r="AA7" i="64" s="1"/>
  <c r="C7" i="64"/>
  <c r="U100" i="64"/>
  <c r="U7" i="64" s="1"/>
  <c r="G100" i="64"/>
  <c r="G7" i="64" s="1"/>
  <c r="E282" i="64"/>
  <c r="G251" i="64"/>
  <c r="AI107" i="64"/>
  <c r="AH107" i="64"/>
  <c r="AI97" i="64"/>
  <c r="AH97" i="64"/>
  <c r="AB261" i="64"/>
  <c r="J100" i="64"/>
  <c r="J7" i="64" s="1"/>
  <c r="F247" i="64"/>
  <c r="E252" i="64"/>
  <c r="AR261" i="64"/>
  <c r="Z100" i="64"/>
  <c r="Z7" i="64" s="1"/>
  <c r="O100" i="64"/>
  <c r="O7" i="64" s="1"/>
  <c r="AI108" i="64" l="1"/>
  <c r="J246" i="64"/>
  <c r="G247" i="64"/>
  <c r="F252" i="64"/>
  <c r="F282" i="64"/>
  <c r="H251" i="64"/>
  <c r="G118" i="64"/>
  <c r="AH108" i="64"/>
  <c r="T261" i="64"/>
  <c r="AI99" i="64"/>
  <c r="AH99" i="64"/>
  <c r="G282" i="64" l="1"/>
  <c r="I251" i="64"/>
  <c r="H118" i="64"/>
  <c r="H247" i="64"/>
  <c r="G252" i="64"/>
  <c r="B7" i="64"/>
  <c r="A7" i="64" s="1"/>
  <c r="AI100" i="64"/>
  <c r="AH100" i="64"/>
  <c r="K246" i="64"/>
  <c r="I247" i="64" l="1"/>
  <c r="H252" i="64"/>
  <c r="L246" i="64"/>
  <c r="H282" i="64"/>
  <c r="J251" i="64"/>
  <c r="I118" i="64"/>
  <c r="K251" i="64" l="1"/>
  <c r="I282" i="64"/>
  <c r="J118" i="64"/>
  <c r="M246" i="64"/>
  <c r="J247" i="64"/>
  <c r="I252" i="64"/>
  <c r="K247" i="64" l="1"/>
  <c r="J252" i="64"/>
  <c r="N246" i="64"/>
  <c r="J282" i="64"/>
  <c r="L251" i="64"/>
  <c r="K118" i="64"/>
  <c r="K282" i="64" l="1"/>
  <c r="M251" i="64"/>
  <c r="M118" i="64" s="1"/>
  <c r="L118" i="64"/>
  <c r="O246" i="64"/>
  <c r="L247" i="64"/>
  <c r="K252" i="64"/>
  <c r="P246" i="64" l="1"/>
  <c r="M247" i="64"/>
  <c r="L252" i="64"/>
  <c r="L282" i="64"/>
  <c r="N251" i="64"/>
  <c r="M282" i="64" l="1"/>
  <c r="O251" i="64"/>
  <c r="N118" i="64"/>
  <c r="N247" i="64"/>
  <c r="M252" i="64"/>
  <c r="Q246" i="64"/>
  <c r="O247" i="64" l="1"/>
  <c r="N252" i="64"/>
  <c r="N282" i="64"/>
  <c r="P251" i="64"/>
  <c r="O118" i="64"/>
  <c r="R246" i="64"/>
  <c r="S246" i="64" l="1"/>
  <c r="O282" i="64"/>
  <c r="Q251" i="64"/>
  <c r="P247" i="64"/>
  <c r="O252" i="64"/>
  <c r="Q247" i="64" l="1"/>
  <c r="P252" i="64"/>
  <c r="P282" i="64"/>
  <c r="R251" i="64"/>
  <c r="Q118" i="64"/>
  <c r="T246" i="64"/>
  <c r="U246" i="64" l="1"/>
  <c r="S251" i="64"/>
  <c r="Q282" i="64"/>
  <c r="R118" i="64"/>
  <c r="R247" i="64"/>
  <c r="Q252" i="64"/>
  <c r="S247" i="64" l="1"/>
  <c r="R252" i="64"/>
  <c r="R282" i="64"/>
  <c r="T251" i="64"/>
  <c r="S118" i="64"/>
  <c r="V246" i="64"/>
  <c r="W246" i="64" l="1"/>
  <c r="S282" i="64"/>
  <c r="U251" i="64"/>
  <c r="T118" i="64"/>
  <c r="T247" i="64"/>
  <c r="S252" i="64"/>
  <c r="U247" i="64" l="1"/>
  <c r="T252" i="64"/>
  <c r="T282" i="64"/>
  <c r="V251" i="64"/>
  <c r="U118" i="64"/>
  <c r="X246" i="64"/>
  <c r="U282" i="64" l="1"/>
  <c r="W251" i="64"/>
  <c r="V118" i="64"/>
  <c r="Y246" i="64"/>
  <c r="V247" i="64"/>
  <c r="U252" i="64"/>
  <c r="Z246" i="64" l="1"/>
  <c r="W247" i="64"/>
  <c r="V252" i="64"/>
  <c r="V282" i="64"/>
  <c r="X251" i="64"/>
  <c r="W118" i="64"/>
  <c r="W282" i="64" l="1"/>
  <c r="Y251" i="64"/>
  <c r="X118" i="64"/>
  <c r="X247" i="64"/>
  <c r="W252" i="64"/>
  <c r="AA246" i="64"/>
  <c r="Y247" i="64" l="1"/>
  <c r="X252" i="64"/>
  <c r="AB246" i="64"/>
  <c r="X282" i="64"/>
  <c r="Z251" i="64"/>
  <c r="AA251" i="64" l="1"/>
  <c r="Y282" i="64"/>
  <c r="AC246" i="64"/>
  <c r="Z247" i="64"/>
  <c r="Y252" i="64"/>
  <c r="AA247" i="64" l="1"/>
  <c r="Z252" i="64"/>
  <c r="AD246" i="64"/>
  <c r="Z282" i="64"/>
  <c r="AB251" i="64"/>
  <c r="AA118" i="64"/>
  <c r="AA282" i="64" l="1"/>
  <c r="AC251" i="64"/>
  <c r="AE246" i="64"/>
  <c r="AB247" i="64"/>
  <c r="AA252" i="64"/>
  <c r="AC247" i="64" l="1"/>
  <c r="AB252" i="64"/>
  <c r="AF246" i="64"/>
  <c r="AB282" i="64"/>
  <c r="AD251" i="64"/>
  <c r="AC282" i="64" l="1"/>
  <c r="AE251" i="64"/>
  <c r="B246" i="64"/>
  <c r="AD247" i="64"/>
  <c r="AC252" i="64"/>
  <c r="AE247" i="64" l="1"/>
  <c r="AD252" i="64"/>
  <c r="AD282" i="64"/>
  <c r="AF251" i="64"/>
  <c r="B251" i="64" l="1"/>
  <c r="B118" i="64" s="1"/>
  <c r="AE282" i="64"/>
  <c r="AF247" i="64"/>
  <c r="AE252" i="64"/>
  <c r="AF282" i="64" l="1"/>
  <c r="B247" i="64"/>
  <c r="B252" i="64" s="1"/>
  <c r="AF252" i="64"/>
  <c r="AI118" i="64" l="1"/>
  <c r="AH118" i="64"/>
  <c r="X123" i="63" l="1"/>
  <c r="X121" i="63"/>
  <c r="X57" i="63"/>
  <c r="W123" i="63" l="1"/>
  <c r="W121" i="63"/>
  <c r="V123" i="63"/>
  <c r="V121" i="63"/>
  <c r="U123" i="63"/>
  <c r="U121" i="63"/>
  <c r="U57" i="63"/>
  <c r="T123" i="63" l="1"/>
  <c r="T57" i="63"/>
  <c r="S123" i="63"/>
  <c r="S57" i="63"/>
  <c r="R123" i="63"/>
  <c r="R58" i="63"/>
  <c r="R62" i="63"/>
  <c r="R76" i="63"/>
  <c r="R80" i="63"/>
  <c r="R92" i="63"/>
  <c r="R108" i="63" s="1"/>
  <c r="R101" i="63"/>
  <c r="R102" i="63"/>
  <c r="R103" i="63"/>
  <c r="R104" i="63"/>
  <c r="R105" i="63"/>
  <c r="Q85" i="63"/>
  <c r="Q123" i="63"/>
  <c r="Q58" i="63"/>
  <c r="Q62" i="63"/>
  <c r="Q76" i="63"/>
  <c r="Q80" i="63"/>
  <c r="Q92" i="63"/>
  <c r="Q108" i="63" s="1"/>
  <c r="Q101" i="63"/>
  <c r="Q102" i="63"/>
  <c r="Q103" i="63"/>
  <c r="Q104" i="63"/>
  <c r="Q105" i="63"/>
  <c r="N85" i="63"/>
  <c r="P123" i="63"/>
  <c r="P58" i="63"/>
  <c r="P62" i="63"/>
  <c r="P76" i="63"/>
  <c r="P80" i="63"/>
  <c r="P92" i="63"/>
  <c r="P101" i="63"/>
  <c r="P102" i="63"/>
  <c r="P103" i="63"/>
  <c r="P104" i="63"/>
  <c r="P105" i="63"/>
  <c r="R97" i="63" l="1"/>
  <c r="R99" i="63" s="1"/>
  <c r="R100" i="63" s="1"/>
  <c r="Q97" i="63"/>
  <c r="Q99" i="63" s="1"/>
  <c r="Q100" i="63" s="1"/>
  <c r="P97" i="63"/>
  <c r="P99" i="63" s="1"/>
  <c r="P100" i="63" s="1"/>
  <c r="P108" i="63"/>
  <c r="O123" i="63" l="1"/>
  <c r="O58" i="63"/>
  <c r="O62" i="63"/>
  <c r="O76" i="63"/>
  <c r="O80" i="63"/>
  <c r="O92" i="63"/>
  <c r="O108" i="63" s="1"/>
  <c r="O101" i="63"/>
  <c r="O102" i="63"/>
  <c r="O103" i="63"/>
  <c r="O104" i="63"/>
  <c r="O105" i="63"/>
  <c r="N123" i="63"/>
  <c r="N58" i="63"/>
  <c r="N62" i="63"/>
  <c r="N76" i="63"/>
  <c r="N80" i="63"/>
  <c r="N92" i="63"/>
  <c r="N108" i="63" s="1"/>
  <c r="N101" i="63"/>
  <c r="N102" i="63"/>
  <c r="N103" i="63"/>
  <c r="N104" i="63"/>
  <c r="N105" i="63"/>
  <c r="O97" i="63" l="1"/>
  <c r="O99" i="63" s="1"/>
  <c r="O100" i="63" s="1"/>
  <c r="N97" i="63"/>
  <c r="N99" i="63" s="1"/>
  <c r="N100" i="63" s="1"/>
  <c r="M123" i="63" l="1"/>
  <c r="M58" i="63"/>
  <c r="M62" i="63"/>
  <c r="M76" i="63"/>
  <c r="M80" i="63"/>
  <c r="M92" i="63"/>
  <c r="M101" i="63"/>
  <c r="M102" i="63"/>
  <c r="M103" i="63"/>
  <c r="M104" i="63"/>
  <c r="M105" i="63"/>
  <c r="L123" i="63"/>
  <c r="K123" i="63"/>
  <c r="J123" i="63"/>
  <c r="I123" i="63"/>
  <c r="H123" i="63"/>
  <c r="G123" i="63"/>
  <c r="F123" i="63"/>
  <c r="E123" i="63"/>
  <c r="M97" i="63" l="1"/>
  <c r="M99" i="63" s="1"/>
  <c r="M100" i="63" s="1"/>
  <c r="M108" i="63"/>
  <c r="D58" i="63" l="1"/>
  <c r="D62" i="63"/>
  <c r="D76" i="63"/>
  <c r="D80" i="63"/>
  <c r="D92" i="63"/>
  <c r="D101" i="63"/>
  <c r="D102" i="63"/>
  <c r="D103" i="63"/>
  <c r="D104" i="63"/>
  <c r="D105" i="63"/>
  <c r="C58" i="63"/>
  <c r="C62" i="63"/>
  <c r="C76" i="63"/>
  <c r="C80" i="63"/>
  <c r="C92" i="63"/>
  <c r="B5" i="63" s="1"/>
  <c r="C101" i="63"/>
  <c r="C102" i="63"/>
  <c r="C103" i="63"/>
  <c r="C104" i="63"/>
  <c r="C105" i="63"/>
  <c r="C118" i="63"/>
  <c r="B105" i="63"/>
  <c r="B104" i="63"/>
  <c r="B103" i="63"/>
  <c r="B102" i="63"/>
  <c r="B101" i="63"/>
  <c r="B92" i="63"/>
  <c r="B80" i="63"/>
  <c r="B76" i="63"/>
  <c r="B62" i="63"/>
  <c r="B58" i="63"/>
  <c r="AF286" i="63"/>
  <c r="AE286" i="63"/>
  <c r="AD286" i="63"/>
  <c r="AC286" i="63"/>
  <c r="AB286" i="63"/>
  <c r="AA286" i="63"/>
  <c r="Z286" i="63"/>
  <c r="Y286" i="63"/>
  <c r="X286" i="63"/>
  <c r="W286" i="63"/>
  <c r="V286" i="63"/>
  <c r="U286" i="63"/>
  <c r="T286" i="63"/>
  <c r="S286" i="63"/>
  <c r="R286" i="63"/>
  <c r="Q286" i="63"/>
  <c r="P286" i="63"/>
  <c r="O286" i="63"/>
  <c r="N286" i="63"/>
  <c r="M286" i="63"/>
  <c r="L286" i="63"/>
  <c r="K286" i="63"/>
  <c r="J286" i="63"/>
  <c r="I286" i="63"/>
  <c r="H286" i="63"/>
  <c r="G286" i="63"/>
  <c r="F286" i="63"/>
  <c r="E286" i="63"/>
  <c r="D286" i="63"/>
  <c r="C286" i="63"/>
  <c r="B286" i="63"/>
  <c r="A286" i="63"/>
  <c r="AF285" i="63"/>
  <c r="AE285" i="63"/>
  <c r="AD285" i="63"/>
  <c r="AC285" i="63"/>
  <c r="AB285" i="63"/>
  <c r="AA285" i="63"/>
  <c r="Z285" i="63"/>
  <c r="Y285" i="63"/>
  <c r="X285" i="63"/>
  <c r="W285" i="63"/>
  <c r="V285" i="63"/>
  <c r="U285" i="63"/>
  <c r="T285" i="63"/>
  <c r="S285" i="63"/>
  <c r="R285" i="63"/>
  <c r="Q285" i="63"/>
  <c r="P285" i="63"/>
  <c r="O285" i="63"/>
  <c r="N285" i="63"/>
  <c r="M285" i="63"/>
  <c r="L285" i="63"/>
  <c r="K285" i="63"/>
  <c r="J285" i="63"/>
  <c r="I285" i="63"/>
  <c r="H285" i="63"/>
  <c r="G285" i="63"/>
  <c r="F285" i="63"/>
  <c r="E285" i="63"/>
  <c r="D285" i="63"/>
  <c r="C285" i="63"/>
  <c r="B285" i="63"/>
  <c r="A285" i="63"/>
  <c r="AF284" i="63"/>
  <c r="AE284" i="63"/>
  <c r="AD284" i="63"/>
  <c r="AC284" i="63"/>
  <c r="AB284" i="63"/>
  <c r="AA284" i="63"/>
  <c r="Z284" i="63"/>
  <c r="Y284" i="63"/>
  <c r="X284" i="63"/>
  <c r="W284" i="63"/>
  <c r="V284" i="63"/>
  <c r="U284" i="63"/>
  <c r="T284" i="63"/>
  <c r="S284" i="63"/>
  <c r="R284" i="63"/>
  <c r="Q284" i="63"/>
  <c r="P284" i="63"/>
  <c r="O284" i="63"/>
  <c r="N284" i="63"/>
  <c r="M284" i="63"/>
  <c r="L284" i="63"/>
  <c r="K284" i="63"/>
  <c r="J284" i="63"/>
  <c r="I284" i="63"/>
  <c r="H284" i="63"/>
  <c r="G284" i="63"/>
  <c r="F284" i="63"/>
  <c r="E284" i="63"/>
  <c r="D284" i="63"/>
  <c r="C284" i="63"/>
  <c r="B284" i="63"/>
  <c r="A284" i="63"/>
  <c r="AF283" i="63"/>
  <c r="AE283" i="63"/>
  <c r="AD283" i="63"/>
  <c r="AC283" i="63"/>
  <c r="AB283" i="63"/>
  <c r="AA283" i="63"/>
  <c r="Z283" i="63"/>
  <c r="Y283" i="63"/>
  <c r="X283" i="63"/>
  <c r="W283" i="63"/>
  <c r="V283" i="63"/>
  <c r="U283" i="63"/>
  <c r="T283" i="63"/>
  <c r="S283" i="63"/>
  <c r="R283" i="63"/>
  <c r="Q283" i="63"/>
  <c r="P283" i="63"/>
  <c r="O283" i="63"/>
  <c r="N283" i="63"/>
  <c r="M283" i="63"/>
  <c r="L283" i="63"/>
  <c r="K283" i="63"/>
  <c r="J283" i="63"/>
  <c r="I283" i="63"/>
  <c r="H283" i="63"/>
  <c r="G283" i="63"/>
  <c r="F283" i="63"/>
  <c r="E283" i="63"/>
  <c r="D283" i="63"/>
  <c r="C283" i="63"/>
  <c r="B283" i="63"/>
  <c r="A283" i="63"/>
  <c r="B282" i="63"/>
  <c r="S257" i="63"/>
  <c r="AG252" i="63"/>
  <c r="C252" i="63"/>
  <c r="D251" i="63"/>
  <c r="C282" i="63" s="1"/>
  <c r="D250" i="63"/>
  <c r="E250" i="63" s="1"/>
  <c r="F250" i="63" s="1"/>
  <c r="G250" i="63" s="1"/>
  <c r="H250" i="63" s="1"/>
  <c r="I250" i="63" s="1"/>
  <c r="J250" i="63" s="1"/>
  <c r="K250" i="63" s="1"/>
  <c r="L250" i="63" s="1"/>
  <c r="M250" i="63" s="1"/>
  <c r="N250" i="63" s="1"/>
  <c r="O250" i="63" s="1"/>
  <c r="P250" i="63" s="1"/>
  <c r="Q250" i="63" s="1"/>
  <c r="R250" i="63" s="1"/>
  <c r="S250" i="63" s="1"/>
  <c r="T250" i="63" s="1"/>
  <c r="U250" i="63" s="1"/>
  <c r="V250" i="63" s="1"/>
  <c r="W250" i="63" s="1"/>
  <c r="X250" i="63" s="1"/>
  <c r="Y250" i="63" s="1"/>
  <c r="Z250" i="63" s="1"/>
  <c r="AA250" i="63" s="1"/>
  <c r="AB250" i="63" s="1"/>
  <c r="AC250" i="63" s="1"/>
  <c r="AD250" i="63" s="1"/>
  <c r="AE250" i="63" s="1"/>
  <c r="AF250" i="63" s="1"/>
  <c r="B250" i="63" s="1"/>
  <c r="D249" i="63"/>
  <c r="E249" i="63" s="1"/>
  <c r="F249" i="63" s="1"/>
  <c r="G249" i="63" s="1"/>
  <c r="H249" i="63" s="1"/>
  <c r="I249" i="63" s="1"/>
  <c r="J249" i="63" s="1"/>
  <c r="K249" i="63" s="1"/>
  <c r="L249" i="63" s="1"/>
  <c r="M249" i="63" s="1"/>
  <c r="N249" i="63" s="1"/>
  <c r="O249" i="63" s="1"/>
  <c r="P249" i="63" s="1"/>
  <c r="Q249" i="63" s="1"/>
  <c r="R249" i="63" s="1"/>
  <c r="S249" i="63" s="1"/>
  <c r="T249" i="63" s="1"/>
  <c r="U249" i="63" s="1"/>
  <c r="V249" i="63" s="1"/>
  <c r="W249" i="63" s="1"/>
  <c r="X249" i="63" s="1"/>
  <c r="Y249" i="63" s="1"/>
  <c r="Z249" i="63" s="1"/>
  <c r="AA249" i="63" s="1"/>
  <c r="AB249" i="63" s="1"/>
  <c r="AC249" i="63" s="1"/>
  <c r="AD249" i="63" s="1"/>
  <c r="AE249" i="63" s="1"/>
  <c r="AF249" i="63" s="1"/>
  <c r="B249" i="63" s="1"/>
  <c r="E248" i="63"/>
  <c r="F248" i="63" s="1"/>
  <c r="G248" i="63" s="1"/>
  <c r="H248" i="63" s="1"/>
  <c r="I248" i="63" s="1"/>
  <c r="J248" i="63" s="1"/>
  <c r="K248" i="63" s="1"/>
  <c r="L248" i="63" s="1"/>
  <c r="M248" i="63" s="1"/>
  <c r="N248" i="63" s="1"/>
  <c r="O248" i="63" s="1"/>
  <c r="P248" i="63" s="1"/>
  <c r="Q248" i="63" s="1"/>
  <c r="R248" i="63" s="1"/>
  <c r="S248" i="63" s="1"/>
  <c r="T248" i="63" s="1"/>
  <c r="U248" i="63" s="1"/>
  <c r="V248" i="63" s="1"/>
  <c r="W248" i="63" s="1"/>
  <c r="X248" i="63" s="1"/>
  <c r="Y248" i="63" s="1"/>
  <c r="Z248" i="63" s="1"/>
  <c r="AA248" i="63" s="1"/>
  <c r="AB248" i="63" s="1"/>
  <c r="AC248" i="63" s="1"/>
  <c r="AD248" i="63" s="1"/>
  <c r="AE248" i="63" s="1"/>
  <c r="AF248" i="63" s="1"/>
  <c r="B248" i="63" s="1"/>
  <c r="D248" i="63"/>
  <c r="D247" i="63"/>
  <c r="F246" i="63"/>
  <c r="G246" i="63" s="1"/>
  <c r="E246" i="63"/>
  <c r="D246" i="63"/>
  <c r="D118" i="63" s="1"/>
  <c r="AG244" i="63"/>
  <c r="AF244" i="63"/>
  <c r="AE244" i="63"/>
  <c r="AD244" i="63"/>
  <c r="AC244" i="63"/>
  <c r="AB244" i="63"/>
  <c r="AA244" i="63"/>
  <c r="Z244" i="63"/>
  <c r="Z118" i="63" s="1"/>
  <c r="Y244" i="63"/>
  <c r="X244" i="63"/>
  <c r="W244" i="63"/>
  <c r="V244" i="63"/>
  <c r="U244" i="63"/>
  <c r="T244" i="63"/>
  <c r="S244" i="63"/>
  <c r="R244" i="63"/>
  <c r="Q244" i="63"/>
  <c r="P244" i="63"/>
  <c r="O244" i="63"/>
  <c r="N244" i="63"/>
  <c r="M244" i="63"/>
  <c r="L244" i="63"/>
  <c r="K244" i="63"/>
  <c r="J244" i="63"/>
  <c r="I244" i="63"/>
  <c r="H244" i="63"/>
  <c r="G244" i="63"/>
  <c r="F244" i="63"/>
  <c r="E244" i="63"/>
  <c r="D244" i="63"/>
  <c r="C244" i="63"/>
  <c r="B244" i="63"/>
  <c r="AI130" i="63"/>
  <c r="AH130" i="63"/>
  <c r="AI129" i="63"/>
  <c r="AH129" i="63"/>
  <c r="AI128" i="63"/>
  <c r="AH128" i="63"/>
  <c r="AI127" i="63"/>
  <c r="AH127" i="63"/>
  <c r="AI126" i="63"/>
  <c r="AH126" i="63"/>
  <c r="AI123" i="63"/>
  <c r="AH123" i="63"/>
  <c r="AI122" i="63"/>
  <c r="AH122" i="63"/>
  <c r="AI121" i="63"/>
  <c r="AH121" i="63"/>
  <c r="AI120" i="63"/>
  <c r="AH120" i="63"/>
  <c r="AI119" i="63"/>
  <c r="AH119" i="63"/>
  <c r="AI117" i="63"/>
  <c r="AH117" i="63"/>
  <c r="AI116" i="63"/>
  <c r="AH116" i="63"/>
  <c r="AI115" i="63"/>
  <c r="AH115" i="63"/>
  <c r="AI114" i="63"/>
  <c r="AH114" i="63"/>
  <c r="AI113" i="63"/>
  <c r="AH113" i="63"/>
  <c r="AI112" i="63"/>
  <c r="AH112" i="63"/>
  <c r="AI111" i="63"/>
  <c r="AH111" i="63"/>
  <c r="AI110" i="63"/>
  <c r="AH110" i="63"/>
  <c r="AI109" i="63"/>
  <c r="AH109" i="63"/>
  <c r="AI106" i="63"/>
  <c r="AH106" i="63"/>
  <c r="AB105" i="63"/>
  <c r="AA105" i="63"/>
  <c r="Z105" i="63"/>
  <c r="Y105" i="63"/>
  <c r="X105" i="63"/>
  <c r="W105" i="63"/>
  <c r="V105" i="63"/>
  <c r="U105" i="63"/>
  <c r="T105" i="63"/>
  <c r="S105" i="63"/>
  <c r="L105" i="63"/>
  <c r="K105" i="63"/>
  <c r="J105" i="63"/>
  <c r="I105" i="63"/>
  <c r="H105" i="63"/>
  <c r="G105" i="63"/>
  <c r="F105" i="63"/>
  <c r="E105" i="63"/>
  <c r="AB104" i="63"/>
  <c r="AA104" i="63"/>
  <c r="Z104" i="63"/>
  <c r="Y104" i="63"/>
  <c r="X104" i="63"/>
  <c r="W104" i="63"/>
  <c r="V104" i="63"/>
  <c r="U104" i="63"/>
  <c r="T104" i="63"/>
  <c r="S104" i="63"/>
  <c r="L104" i="63"/>
  <c r="K104" i="63"/>
  <c r="J104" i="63"/>
  <c r="I104" i="63"/>
  <c r="H104" i="63"/>
  <c r="G104" i="63"/>
  <c r="F104" i="63"/>
  <c r="E104" i="63"/>
  <c r="AB103" i="63"/>
  <c r="AA103" i="63"/>
  <c r="Z103" i="63"/>
  <c r="Y103" i="63"/>
  <c r="X103" i="63"/>
  <c r="W103" i="63"/>
  <c r="V103" i="63"/>
  <c r="U103" i="63"/>
  <c r="T103" i="63"/>
  <c r="S103" i="63"/>
  <c r="L103" i="63"/>
  <c r="K103" i="63"/>
  <c r="J103" i="63"/>
  <c r="I103" i="63"/>
  <c r="H103" i="63"/>
  <c r="G103" i="63"/>
  <c r="F103" i="63"/>
  <c r="E103" i="63"/>
  <c r="AB102" i="63"/>
  <c r="AA102" i="63"/>
  <c r="Z102" i="63"/>
  <c r="Y102" i="63"/>
  <c r="X102" i="63"/>
  <c r="W102" i="63"/>
  <c r="V102" i="63"/>
  <c r="U102" i="63"/>
  <c r="T102" i="63"/>
  <c r="S102" i="63"/>
  <c r="L102" i="63"/>
  <c r="K102" i="63"/>
  <c r="J102" i="63"/>
  <c r="I102" i="63"/>
  <c r="H102" i="63"/>
  <c r="G102" i="63"/>
  <c r="F102" i="63"/>
  <c r="E102" i="63"/>
  <c r="AB101" i="63"/>
  <c r="AA101" i="63"/>
  <c r="Z101" i="63"/>
  <c r="Y101" i="63"/>
  <c r="X101" i="63"/>
  <c r="X107" i="63" s="1"/>
  <c r="W101" i="63"/>
  <c r="V101" i="63"/>
  <c r="U101" i="63"/>
  <c r="T101" i="63"/>
  <c r="S101" i="63"/>
  <c r="L101" i="63"/>
  <c r="K101" i="63"/>
  <c r="J101" i="63"/>
  <c r="I101" i="63"/>
  <c r="H101" i="63"/>
  <c r="G101" i="63"/>
  <c r="F101" i="63"/>
  <c r="E101" i="63"/>
  <c r="AI98" i="63"/>
  <c r="AH98" i="63"/>
  <c r="AI96" i="63"/>
  <c r="AH96" i="63"/>
  <c r="AG96" i="63"/>
  <c r="AI95" i="63"/>
  <c r="AH95" i="63"/>
  <c r="AI94" i="63"/>
  <c r="AH94" i="63"/>
  <c r="AI93" i="63"/>
  <c r="AH93" i="63"/>
  <c r="AG92" i="63"/>
  <c r="AD5" i="63"/>
  <c r="AC5" i="63"/>
  <c r="AB92" i="63"/>
  <c r="AA5" i="63" s="1"/>
  <c r="AA92" i="63"/>
  <c r="Z5" i="63" s="1"/>
  <c r="Z92" i="63"/>
  <c r="Y92" i="63"/>
  <c r="X92" i="63"/>
  <c r="W5" i="63" s="1"/>
  <c r="W92" i="63"/>
  <c r="V92" i="63"/>
  <c r="U5" i="63" s="1"/>
  <c r="U92" i="63"/>
  <c r="T5" i="63" s="1"/>
  <c r="T92" i="63"/>
  <c r="S5" i="63" s="1"/>
  <c r="S92" i="63"/>
  <c r="R5" i="63" s="1"/>
  <c r="L92" i="63"/>
  <c r="K5" i="63" s="1"/>
  <c r="K92" i="63"/>
  <c r="J5" i="63" s="1"/>
  <c r="J92" i="63"/>
  <c r="I92" i="63"/>
  <c r="H92" i="63"/>
  <c r="G5" i="63" s="1"/>
  <c r="G92" i="63"/>
  <c r="F5" i="63" s="1"/>
  <c r="F92" i="63"/>
  <c r="E5" i="63" s="1"/>
  <c r="E92" i="63"/>
  <c r="D5" i="63" s="1"/>
  <c r="AI91" i="63"/>
  <c r="AH91" i="63"/>
  <c r="AI90" i="63"/>
  <c r="AH90" i="63"/>
  <c r="AI89" i="63"/>
  <c r="AH89" i="63"/>
  <c r="AI88" i="63"/>
  <c r="AH88" i="63"/>
  <c r="AI87" i="63"/>
  <c r="AH87" i="63"/>
  <c r="AI86" i="63"/>
  <c r="AH86" i="63"/>
  <c r="AI85" i="63"/>
  <c r="AH85" i="63"/>
  <c r="AI84" i="63"/>
  <c r="AH84" i="63"/>
  <c r="AI83" i="63"/>
  <c r="AH83" i="63"/>
  <c r="AI82" i="63"/>
  <c r="AH82" i="63"/>
  <c r="AI81" i="63"/>
  <c r="AH81" i="63"/>
  <c r="AG80" i="63"/>
  <c r="AG4" i="63" s="1"/>
  <c r="AB80" i="63"/>
  <c r="AA80" i="63"/>
  <c r="Z80" i="63"/>
  <c r="X80" i="63"/>
  <c r="W80" i="63"/>
  <c r="V80" i="63"/>
  <c r="U80" i="63"/>
  <c r="T80" i="63"/>
  <c r="S80" i="63"/>
  <c r="L80" i="63"/>
  <c r="K80" i="63"/>
  <c r="J80" i="63"/>
  <c r="I80" i="63"/>
  <c r="H80" i="63"/>
  <c r="G80" i="63"/>
  <c r="F80" i="63"/>
  <c r="E80" i="63"/>
  <c r="AI79" i="63"/>
  <c r="AH79" i="63"/>
  <c r="AI78" i="63"/>
  <c r="AH78" i="63"/>
  <c r="AI77" i="63"/>
  <c r="AH77" i="63"/>
  <c r="AB76" i="63"/>
  <c r="AA76" i="63"/>
  <c r="Z76" i="63"/>
  <c r="X76" i="63"/>
  <c r="W76" i="63"/>
  <c r="V76" i="63"/>
  <c r="U76" i="63"/>
  <c r="T76" i="63"/>
  <c r="S76" i="63"/>
  <c r="L76" i="63"/>
  <c r="K76" i="63"/>
  <c r="J76" i="63"/>
  <c r="I76" i="63"/>
  <c r="H76" i="63"/>
  <c r="G76" i="63"/>
  <c r="F76" i="63"/>
  <c r="E76" i="63"/>
  <c r="AI75" i="63"/>
  <c r="AH75" i="63"/>
  <c r="AG75" i="63"/>
  <c r="AG76" i="63" s="1"/>
  <c r="AG3" i="63" s="1"/>
  <c r="AI74" i="63"/>
  <c r="AH74" i="63"/>
  <c r="AI73" i="63"/>
  <c r="AH73" i="63"/>
  <c r="AI72" i="63"/>
  <c r="AH72" i="63"/>
  <c r="AI71" i="63"/>
  <c r="AH71" i="63"/>
  <c r="AI70" i="63"/>
  <c r="AH70" i="63"/>
  <c r="AI69" i="63"/>
  <c r="AH69" i="63"/>
  <c r="AI68" i="63"/>
  <c r="AH68" i="63"/>
  <c r="AI67" i="63"/>
  <c r="AH67" i="63"/>
  <c r="AI66" i="63"/>
  <c r="AH66" i="63"/>
  <c r="AI65" i="63"/>
  <c r="AH65" i="63"/>
  <c r="AI64" i="63"/>
  <c r="AH64" i="63"/>
  <c r="AI63" i="63"/>
  <c r="AH63" i="63"/>
  <c r="AG62" i="63"/>
  <c r="AA62" i="63"/>
  <c r="Z62" i="63"/>
  <c r="X62" i="63"/>
  <c r="W62" i="63"/>
  <c r="V62" i="63"/>
  <c r="U62" i="63"/>
  <c r="T62" i="63"/>
  <c r="S62" i="63"/>
  <c r="L62" i="63"/>
  <c r="K62" i="63"/>
  <c r="J62" i="63"/>
  <c r="I62" i="63"/>
  <c r="H62" i="63"/>
  <c r="G62" i="63"/>
  <c r="F62" i="63"/>
  <c r="E62" i="63"/>
  <c r="AI61" i="63"/>
  <c r="AH61" i="63"/>
  <c r="AI60" i="63"/>
  <c r="AH60" i="63"/>
  <c r="AI59" i="63"/>
  <c r="AH59" i="63"/>
  <c r="AG58" i="63"/>
  <c r="AA58" i="63"/>
  <c r="Z58" i="63"/>
  <c r="X58" i="63"/>
  <c r="W58" i="63"/>
  <c r="V58" i="63"/>
  <c r="U58" i="63"/>
  <c r="T58" i="63"/>
  <c r="S58" i="63"/>
  <c r="AH261" i="63"/>
  <c r="L58" i="63"/>
  <c r="K58" i="63"/>
  <c r="J58" i="63"/>
  <c r="I58" i="63"/>
  <c r="H58" i="63"/>
  <c r="G58" i="63"/>
  <c r="F58" i="63"/>
  <c r="E58" i="63"/>
  <c r="AI57" i="63"/>
  <c r="AH57" i="63"/>
  <c r="AI56" i="63"/>
  <c r="AH56" i="63"/>
  <c r="AI55" i="63"/>
  <c r="AH55" i="63"/>
  <c r="AI54" i="63"/>
  <c r="AH54" i="63"/>
  <c r="AI53" i="63"/>
  <c r="AH53" i="63"/>
  <c r="AI52" i="63"/>
  <c r="AH52" i="63"/>
  <c r="AI51" i="63"/>
  <c r="AH51" i="63"/>
  <c r="AI50" i="63"/>
  <c r="AH50" i="63"/>
  <c r="AI49" i="63"/>
  <c r="AH49" i="63"/>
  <c r="AI48" i="63"/>
  <c r="AH48" i="63"/>
  <c r="AI47" i="63"/>
  <c r="AH47" i="63"/>
  <c r="AI46" i="63"/>
  <c r="AH46" i="63"/>
  <c r="AI45" i="63"/>
  <c r="AH45" i="63"/>
  <c r="AI44" i="63"/>
  <c r="AH44" i="63"/>
  <c r="AI43" i="63"/>
  <c r="AH43" i="63"/>
  <c r="AI42" i="63"/>
  <c r="AH42" i="63"/>
  <c r="AI41" i="63"/>
  <c r="AH41" i="63"/>
  <c r="AI40" i="63"/>
  <c r="AH40" i="63"/>
  <c r="AI39" i="63"/>
  <c r="AH39" i="63"/>
  <c r="AI38" i="63"/>
  <c r="AH38" i="63"/>
  <c r="AI37" i="63"/>
  <c r="AH37" i="63"/>
  <c r="AI36" i="63"/>
  <c r="AH36" i="63"/>
  <c r="AI35" i="63"/>
  <c r="AH35" i="63"/>
  <c r="AI34" i="63"/>
  <c r="AH34" i="63"/>
  <c r="AI33" i="63"/>
  <c r="AH33" i="63"/>
  <c r="AI32" i="63"/>
  <c r="AH32" i="63"/>
  <c r="AI31" i="63"/>
  <c r="AH31" i="63"/>
  <c r="AI30" i="63"/>
  <c r="AH30" i="63"/>
  <c r="AI29" i="63"/>
  <c r="AH29" i="63"/>
  <c r="AI28" i="63"/>
  <c r="AH28" i="63"/>
  <c r="AI27" i="63"/>
  <c r="AH27" i="63"/>
  <c r="AI26" i="63"/>
  <c r="AH26" i="63"/>
  <c r="AI25" i="63"/>
  <c r="AH25" i="63"/>
  <c r="AI24" i="63"/>
  <c r="AH24" i="63"/>
  <c r="AI23" i="63"/>
  <c r="AH23" i="63"/>
  <c r="AI22" i="63"/>
  <c r="AH22" i="63"/>
  <c r="AI21" i="63"/>
  <c r="AH21" i="63"/>
  <c r="AI20" i="63"/>
  <c r="AH20" i="63"/>
  <c r="AI19" i="63"/>
  <c r="AH19" i="63"/>
  <c r="AI18" i="63"/>
  <c r="AH18" i="63"/>
  <c r="AI17" i="63"/>
  <c r="AH17" i="63"/>
  <c r="AI16" i="63"/>
  <c r="AH16" i="63"/>
  <c r="AI15" i="63"/>
  <c r="AH15" i="63"/>
  <c r="AI14" i="63"/>
  <c r="AH14" i="63"/>
  <c r="AI13" i="63"/>
  <c r="AH13" i="63"/>
  <c r="AI12" i="63"/>
  <c r="AH12" i="63"/>
  <c r="AI11" i="63"/>
  <c r="AH11" i="63"/>
  <c r="AE5" i="63"/>
  <c r="AB5" i="63"/>
  <c r="O5" i="63"/>
  <c r="N5" i="63"/>
  <c r="M5" i="63"/>
  <c r="L5" i="63"/>
  <c r="K4" i="63"/>
  <c r="E4" i="63"/>
  <c r="H4" i="63" s="1"/>
  <c r="B4" i="63"/>
  <c r="AG2" i="63"/>
  <c r="AF58" i="62"/>
  <c r="AF62" i="62"/>
  <c r="AF76" i="62"/>
  <c r="AF80" i="62"/>
  <c r="AF92" i="62"/>
  <c r="AF97" i="62" s="1"/>
  <c r="AF99" i="62" s="1"/>
  <c r="AF101" i="62"/>
  <c r="AF107" i="62" s="1"/>
  <c r="AF102" i="62"/>
  <c r="AF103" i="62"/>
  <c r="AF104" i="62"/>
  <c r="AF105" i="62"/>
  <c r="AF118" i="62"/>
  <c r="AE58" i="62"/>
  <c r="AE62" i="62"/>
  <c r="AE76" i="62"/>
  <c r="AE80" i="62"/>
  <c r="AE92" i="62"/>
  <c r="AE101" i="62"/>
  <c r="AE102" i="62"/>
  <c r="AE103" i="62"/>
  <c r="AE104" i="62"/>
  <c r="AE105" i="62"/>
  <c r="AE118" i="62"/>
  <c r="AD80" i="62"/>
  <c r="AD92" i="62"/>
  <c r="AD101" i="62"/>
  <c r="AD102" i="62"/>
  <c r="AD103" i="62"/>
  <c r="AD104" i="62"/>
  <c r="AD105" i="62"/>
  <c r="AD118" i="62"/>
  <c r="AD58" i="62"/>
  <c r="AD62" i="62"/>
  <c r="AC58" i="62"/>
  <c r="AC62" i="62"/>
  <c r="AC76" i="62"/>
  <c r="AC80" i="62"/>
  <c r="AC92" i="62"/>
  <c r="AC101" i="62"/>
  <c r="AC102" i="62"/>
  <c r="AC103" i="62"/>
  <c r="AC104" i="62"/>
  <c r="AC105" i="62"/>
  <c r="AC118" i="62"/>
  <c r="AB123" i="62"/>
  <c r="AA123" i="62"/>
  <c r="AA58" i="62"/>
  <c r="AA62" i="62"/>
  <c r="AA76" i="62"/>
  <c r="AA92" i="62"/>
  <c r="AA101" i="62"/>
  <c r="AA102" i="62"/>
  <c r="AA103" i="62"/>
  <c r="AA107" i="62" s="1"/>
  <c r="AA104" i="62"/>
  <c r="AA105" i="62"/>
  <c r="AA118" i="62"/>
  <c r="Z123" i="62"/>
  <c r="Z118" i="62" s="1"/>
  <c r="Z58" i="62"/>
  <c r="Z62" i="62"/>
  <c r="Z76" i="62"/>
  <c r="Z92" i="62"/>
  <c r="Z101" i="62"/>
  <c r="Z102" i="62"/>
  <c r="Z103" i="62"/>
  <c r="Z104" i="62"/>
  <c r="Z105" i="62"/>
  <c r="Y123" i="62"/>
  <c r="Y118" i="62"/>
  <c r="Y105" i="62"/>
  <c r="Y104" i="62"/>
  <c r="Y103" i="62"/>
  <c r="Y102" i="62"/>
  <c r="Y107" i="62" s="1"/>
  <c r="Y101" i="62"/>
  <c r="Y92" i="62"/>
  <c r="Y108" i="62" s="1"/>
  <c r="Y76" i="62"/>
  <c r="Y62" i="62"/>
  <c r="Y58" i="62"/>
  <c r="Y97" i="62" s="1"/>
  <c r="Y99" i="62" s="1"/>
  <c r="X123" i="62"/>
  <c r="X58" i="62"/>
  <c r="X62" i="62"/>
  <c r="X76" i="62"/>
  <c r="X80" i="62"/>
  <c r="X92" i="62"/>
  <c r="X101" i="62"/>
  <c r="X102" i="62"/>
  <c r="X103" i="62"/>
  <c r="X104" i="62"/>
  <c r="X105" i="62"/>
  <c r="X118" i="62"/>
  <c r="W123" i="62"/>
  <c r="W58" i="62"/>
  <c r="W62" i="62"/>
  <c r="W76" i="62"/>
  <c r="W80" i="62"/>
  <c r="W92" i="62"/>
  <c r="W101" i="62"/>
  <c r="W107" i="62" s="1"/>
  <c r="W102" i="62"/>
  <c r="W103" i="62"/>
  <c r="W104" i="62"/>
  <c r="W105" i="62"/>
  <c r="W118" i="62"/>
  <c r="Z107" i="63" l="1"/>
  <c r="Z108" i="63" s="1"/>
  <c r="Y107" i="63"/>
  <c r="X108" i="63"/>
  <c r="W97" i="63"/>
  <c r="W99" i="63" s="1"/>
  <c r="AO261" i="63" s="1"/>
  <c r="D252" i="63"/>
  <c r="L107" i="63"/>
  <c r="E247" i="63"/>
  <c r="F247" i="63" s="1"/>
  <c r="G247" i="63" s="1"/>
  <c r="H247" i="63" s="1"/>
  <c r="I247" i="63" s="1"/>
  <c r="J247" i="63" s="1"/>
  <c r="K247" i="63" s="1"/>
  <c r="L247" i="63" s="1"/>
  <c r="M247" i="63" s="1"/>
  <c r="N247" i="63" s="1"/>
  <c r="O247" i="63" s="1"/>
  <c r="P247" i="63" s="1"/>
  <c r="Q247" i="63" s="1"/>
  <c r="R247" i="63" s="1"/>
  <c r="S247" i="63" s="1"/>
  <c r="T247" i="63" s="1"/>
  <c r="U247" i="63" s="1"/>
  <c r="V247" i="63" s="1"/>
  <c r="W247" i="63" s="1"/>
  <c r="X247" i="63" s="1"/>
  <c r="Y247" i="63" s="1"/>
  <c r="Z247" i="63" s="1"/>
  <c r="AA247" i="63" s="1"/>
  <c r="AB247" i="63" s="1"/>
  <c r="AC247" i="63" s="1"/>
  <c r="AD247" i="63" s="1"/>
  <c r="AE247" i="63" s="1"/>
  <c r="AF247" i="63" s="1"/>
  <c r="B247" i="63" s="1"/>
  <c r="E251" i="63"/>
  <c r="AA107" i="63"/>
  <c r="AA108" i="63" s="1"/>
  <c r="AA97" i="63"/>
  <c r="AA99" i="63" s="1"/>
  <c r="AS261" i="63" s="1"/>
  <c r="T107" i="63"/>
  <c r="T108" i="63" s="1"/>
  <c r="AB107" i="63"/>
  <c r="B107" i="63"/>
  <c r="X97" i="63"/>
  <c r="X99" i="63" s="1"/>
  <c r="AP261" i="63" s="1"/>
  <c r="AG6" i="63"/>
  <c r="V5" i="63"/>
  <c r="AB97" i="63"/>
  <c r="AB99" i="63" s="1"/>
  <c r="G107" i="63"/>
  <c r="G108" i="63" s="1"/>
  <c r="AX261" i="63"/>
  <c r="J107" i="63"/>
  <c r="W107" i="63"/>
  <c r="W108" i="63" s="1"/>
  <c r="V97" i="63"/>
  <c r="V99" i="63" s="1"/>
  <c r="AN261" i="63" s="1"/>
  <c r="U97" i="63"/>
  <c r="U99" i="63" s="1"/>
  <c r="AM261" i="63" s="1"/>
  <c r="T97" i="63"/>
  <c r="T99" i="63" s="1"/>
  <c r="AL261" i="63" s="1"/>
  <c r="S107" i="63"/>
  <c r="S108" i="63" s="1"/>
  <c r="S97" i="63"/>
  <c r="S99" i="63" s="1"/>
  <c r="AK261" i="63" s="1"/>
  <c r="L97" i="63"/>
  <c r="L99" i="63" s="1"/>
  <c r="L100" i="63" s="1"/>
  <c r="L7" i="63" s="1"/>
  <c r="AI62" i="63"/>
  <c r="K107" i="63"/>
  <c r="K97" i="63"/>
  <c r="K99" i="63" s="1"/>
  <c r="K100" i="63" s="1"/>
  <c r="K7" i="63" s="1"/>
  <c r="I107" i="63"/>
  <c r="I108" i="63" s="1"/>
  <c r="H97" i="63"/>
  <c r="H99" i="63" s="1"/>
  <c r="Z261" i="63" s="1"/>
  <c r="H107" i="63"/>
  <c r="H108" i="63" s="1"/>
  <c r="G97" i="63"/>
  <c r="G99" i="63" s="1"/>
  <c r="F97" i="63"/>
  <c r="F99" i="63" s="1"/>
  <c r="D97" i="63"/>
  <c r="D99" i="63" s="1"/>
  <c r="V261" i="63" s="1"/>
  <c r="AH62" i="63"/>
  <c r="E97" i="63"/>
  <c r="E99" i="63" s="1"/>
  <c r="W261" i="63" s="1"/>
  <c r="B108" i="63"/>
  <c r="D107" i="63"/>
  <c r="D100" i="63" s="1"/>
  <c r="D7" i="63" s="1"/>
  <c r="C5" i="63"/>
  <c r="C97" i="63"/>
  <c r="C99" i="63" s="1"/>
  <c r="U261" i="63" s="1"/>
  <c r="C107" i="63"/>
  <c r="C108" i="63" s="1"/>
  <c r="AI104" i="63"/>
  <c r="B97" i="63"/>
  <c r="B99" i="63" s="1"/>
  <c r="B100" i="63" s="1"/>
  <c r="AI58" i="63"/>
  <c r="X261" i="63"/>
  <c r="AG261" i="63"/>
  <c r="O7" i="63"/>
  <c r="AF261" i="63"/>
  <c r="N7" i="63"/>
  <c r="AF5" i="63"/>
  <c r="AI92" i="63"/>
  <c r="K108" i="63"/>
  <c r="H5" i="63"/>
  <c r="Y5" i="63"/>
  <c r="AH92" i="63"/>
  <c r="J97" i="63"/>
  <c r="J99" i="63" s="1"/>
  <c r="Z97" i="63"/>
  <c r="Z99" i="63" s="1"/>
  <c r="AI80" i="63"/>
  <c r="AH80" i="63"/>
  <c r="AW261" i="63"/>
  <c r="AE7" i="63"/>
  <c r="E107" i="63"/>
  <c r="E108" i="63" s="1"/>
  <c r="U107" i="63"/>
  <c r="U108" i="63" s="1"/>
  <c r="AI76" i="63"/>
  <c r="AH76" i="63"/>
  <c r="L108" i="63"/>
  <c r="AB108" i="63"/>
  <c r="F107" i="63"/>
  <c r="V107" i="63"/>
  <c r="AD7" i="63"/>
  <c r="AI105" i="63"/>
  <c r="AD261" i="63"/>
  <c r="X5" i="63"/>
  <c r="Y108" i="63"/>
  <c r="AH103" i="63"/>
  <c r="Y97" i="63"/>
  <c r="Y99" i="63" s="1"/>
  <c r="I5" i="63"/>
  <c r="J108" i="63"/>
  <c r="P7" i="63"/>
  <c r="Y261" i="63"/>
  <c r="AE261" i="63"/>
  <c r="M7" i="63"/>
  <c r="AU261" i="63"/>
  <c r="AI103" i="63"/>
  <c r="P5" i="63"/>
  <c r="AG99" i="63"/>
  <c r="AT261" i="63"/>
  <c r="AB100" i="63"/>
  <c r="AB7" i="63" s="1"/>
  <c r="AI102" i="63"/>
  <c r="AH104" i="63"/>
  <c r="S258" i="63"/>
  <c r="D258" i="63"/>
  <c r="I97" i="63"/>
  <c r="I99" i="63" s="1"/>
  <c r="AG97" i="63"/>
  <c r="Q5" i="63"/>
  <c r="AV261" i="63"/>
  <c r="H246" i="63"/>
  <c r="AI101" i="63"/>
  <c r="E252" i="63"/>
  <c r="AH101" i="63"/>
  <c r="F251" i="63"/>
  <c r="AH102" i="63"/>
  <c r="AH58" i="63"/>
  <c r="AH105" i="63"/>
  <c r="AF100" i="62"/>
  <c r="AF108" i="62"/>
  <c r="AE107" i="62"/>
  <c r="AE108" i="62" s="1"/>
  <c r="AE97" i="62"/>
  <c r="AE99" i="62" s="1"/>
  <c r="AE100" i="62" s="1"/>
  <c r="AD107" i="62"/>
  <c r="AD108" i="62" s="1"/>
  <c r="AD97" i="62"/>
  <c r="AD99" i="62" s="1"/>
  <c r="AD100" i="62" s="1"/>
  <c r="AC107" i="62"/>
  <c r="AC97" i="62"/>
  <c r="AC99" i="62" s="1"/>
  <c r="AC100" i="62" s="1"/>
  <c r="AC108" i="62"/>
  <c r="AA97" i="62"/>
  <c r="AA99" i="62" s="1"/>
  <c r="AA100" i="62" s="1"/>
  <c r="AA108" i="62"/>
  <c r="Z107" i="62"/>
  <c r="Z108" i="62" s="1"/>
  <c r="Z97" i="62"/>
  <c r="Z99" i="62" s="1"/>
  <c r="Z100" i="62" s="1"/>
  <c r="Y100" i="62"/>
  <c r="X107" i="62"/>
  <c r="X108" i="62" s="1"/>
  <c r="X97" i="62"/>
  <c r="X99" i="62" s="1"/>
  <c r="X100" i="62" s="1"/>
  <c r="W108" i="62"/>
  <c r="W97" i="62"/>
  <c r="W99" i="62" s="1"/>
  <c r="W100" i="62" s="1"/>
  <c r="X100" i="63" l="1"/>
  <c r="X7" i="63" s="1"/>
  <c r="W100" i="63"/>
  <c r="W7" i="63" s="1"/>
  <c r="G100" i="63"/>
  <c r="G7" i="63" s="1"/>
  <c r="D282" i="63"/>
  <c r="E118" i="63"/>
  <c r="AA100" i="63"/>
  <c r="AA7" i="63" s="1"/>
  <c r="AF7" i="63"/>
  <c r="AC7" i="63"/>
  <c r="D108" i="63"/>
  <c r="V100" i="63"/>
  <c r="V7" i="63" s="1"/>
  <c r="U100" i="63"/>
  <c r="U7" i="63" s="1"/>
  <c r="T100" i="63"/>
  <c r="T7" i="63" s="1"/>
  <c r="S100" i="63"/>
  <c r="S7" i="63" s="1"/>
  <c r="AC261" i="63"/>
  <c r="H100" i="63"/>
  <c r="H7" i="63" s="1"/>
  <c r="F100" i="63"/>
  <c r="F7" i="63" s="1"/>
  <c r="E100" i="63"/>
  <c r="E7" i="63" s="1"/>
  <c r="C100" i="63"/>
  <c r="C7" i="63" s="1"/>
  <c r="V108" i="63"/>
  <c r="AB261" i="63"/>
  <c r="J100" i="63"/>
  <c r="J7" i="63" s="1"/>
  <c r="AJ261" i="63"/>
  <c r="R7" i="63"/>
  <c r="AR261" i="63"/>
  <c r="Z100" i="63"/>
  <c r="Z7" i="63" s="1"/>
  <c r="AI97" i="63"/>
  <c r="AH97" i="63"/>
  <c r="F108" i="63"/>
  <c r="AA261" i="63"/>
  <c r="I100" i="63"/>
  <c r="I7" i="63" s="1"/>
  <c r="C256" i="63"/>
  <c r="AI261" i="63"/>
  <c r="Q7" i="63"/>
  <c r="B256" i="63"/>
  <c r="E282" i="63"/>
  <c r="G251" i="63"/>
  <c r="F118" i="63"/>
  <c r="AI107" i="63"/>
  <c r="AH107" i="63"/>
  <c r="I246" i="63"/>
  <c r="AQ261" i="63"/>
  <c r="Y100" i="63"/>
  <c r="Y7" i="63" s="1"/>
  <c r="F252" i="63"/>
  <c r="V58" i="62"/>
  <c r="V62" i="62"/>
  <c r="V76" i="62"/>
  <c r="V80" i="62"/>
  <c r="V92" i="62"/>
  <c r="V101" i="62"/>
  <c r="V102" i="62"/>
  <c r="V103" i="62"/>
  <c r="V104" i="62"/>
  <c r="V105" i="62"/>
  <c r="V107" i="62"/>
  <c r="V118" i="62"/>
  <c r="V123" i="62"/>
  <c r="AI108" i="63" l="1"/>
  <c r="F282" i="63"/>
  <c r="H251" i="63"/>
  <c r="G118" i="63"/>
  <c r="K6" i="63"/>
  <c r="T261" i="63"/>
  <c r="AI99" i="63"/>
  <c r="AH99" i="63"/>
  <c r="G252" i="63"/>
  <c r="J246" i="63"/>
  <c r="AH108" i="63"/>
  <c r="V97" i="62"/>
  <c r="V99" i="62" s="1"/>
  <c r="V100" i="62" s="1"/>
  <c r="V108" i="62"/>
  <c r="U123" i="62"/>
  <c r="U58" i="62"/>
  <c r="U62" i="62"/>
  <c r="U76" i="62"/>
  <c r="U80" i="62"/>
  <c r="U92" i="62"/>
  <c r="U101" i="62"/>
  <c r="U107" i="62" s="1"/>
  <c r="U102" i="62"/>
  <c r="U103" i="62"/>
  <c r="U104" i="62"/>
  <c r="U105" i="62"/>
  <c r="U118" i="62"/>
  <c r="T123" i="62"/>
  <c r="T58" i="62"/>
  <c r="T62" i="62"/>
  <c r="T76" i="62"/>
  <c r="T80" i="62"/>
  <c r="T92" i="62"/>
  <c r="T101" i="62"/>
  <c r="T102" i="62"/>
  <c r="T103" i="62"/>
  <c r="T104" i="62"/>
  <c r="T105" i="62"/>
  <c r="T118" i="62"/>
  <c r="S123" i="62"/>
  <c r="S58" i="62"/>
  <c r="S62" i="62"/>
  <c r="S76" i="62"/>
  <c r="S80" i="62"/>
  <c r="S92" i="62"/>
  <c r="S101" i="62"/>
  <c r="S102" i="62"/>
  <c r="S103" i="62"/>
  <c r="S104" i="62"/>
  <c r="S105" i="62"/>
  <c r="S118" i="62"/>
  <c r="Q123" i="62"/>
  <c r="P123" i="62"/>
  <c r="P58" i="62"/>
  <c r="P62" i="62"/>
  <c r="B7" i="63" l="1"/>
  <c r="A7" i="63" s="1"/>
  <c r="AI100" i="63"/>
  <c r="AH100" i="63"/>
  <c r="K246" i="63"/>
  <c r="G282" i="63"/>
  <c r="I251" i="63"/>
  <c r="H118" i="63"/>
  <c r="H252" i="63"/>
  <c r="U97" i="62"/>
  <c r="U99" i="62" s="1"/>
  <c r="U100" i="62" s="1"/>
  <c r="U108" i="62"/>
  <c r="T107" i="62"/>
  <c r="T108" i="62" s="1"/>
  <c r="T97" i="62"/>
  <c r="T99" i="62" s="1"/>
  <c r="S97" i="62"/>
  <c r="S99" i="62" s="1"/>
  <c r="S100" i="62" s="1"/>
  <c r="S107" i="62"/>
  <c r="S108" i="62" s="1"/>
  <c r="M123" i="62"/>
  <c r="M58" i="62"/>
  <c r="L123" i="62"/>
  <c r="K123" i="62"/>
  <c r="J123" i="62"/>
  <c r="I123" i="62"/>
  <c r="H123" i="62"/>
  <c r="G123" i="62"/>
  <c r="F123" i="62"/>
  <c r="E123" i="62"/>
  <c r="D58" i="62"/>
  <c r="D62" i="62"/>
  <c r="D76" i="62"/>
  <c r="D80" i="62"/>
  <c r="D92" i="62"/>
  <c r="D101" i="62"/>
  <c r="D102" i="62"/>
  <c r="D103" i="62"/>
  <c r="D104" i="62"/>
  <c r="D105" i="62"/>
  <c r="D118" i="62"/>
  <c r="C58" i="62"/>
  <c r="C62" i="62"/>
  <c r="C76" i="62"/>
  <c r="C80" i="62"/>
  <c r="C92" i="62"/>
  <c r="C101" i="62"/>
  <c r="C102" i="62"/>
  <c r="C103" i="62"/>
  <c r="C104" i="62"/>
  <c r="C105" i="62"/>
  <c r="C107" i="62"/>
  <c r="C118" i="62"/>
  <c r="B118" i="62"/>
  <c r="B105" i="62"/>
  <c r="B104" i="62"/>
  <c r="B103" i="62"/>
  <c r="B102" i="62"/>
  <c r="B101" i="62"/>
  <c r="B92" i="62"/>
  <c r="B80" i="62"/>
  <c r="B76" i="62"/>
  <c r="B62" i="62"/>
  <c r="B58" i="62"/>
  <c r="AF286" i="62"/>
  <c r="AE286" i="62"/>
  <c r="AD286" i="62"/>
  <c r="AC286" i="62"/>
  <c r="AB286" i="62"/>
  <c r="AA286" i="62"/>
  <c r="Z286" i="62"/>
  <c r="Y286" i="62"/>
  <c r="X286" i="62"/>
  <c r="W286" i="62"/>
  <c r="V286" i="62"/>
  <c r="U286" i="62"/>
  <c r="T286" i="62"/>
  <c r="S286" i="62"/>
  <c r="R286" i="62"/>
  <c r="Q286" i="62"/>
  <c r="P286" i="62"/>
  <c r="O286" i="62"/>
  <c r="N286" i="62"/>
  <c r="M286" i="62"/>
  <c r="L286" i="62"/>
  <c r="K286" i="62"/>
  <c r="J286" i="62"/>
  <c r="I286" i="62"/>
  <c r="H286" i="62"/>
  <c r="G286" i="62"/>
  <c r="F286" i="62"/>
  <c r="E286" i="62"/>
  <c r="D286" i="62"/>
  <c r="C286" i="62"/>
  <c r="B286" i="62"/>
  <c r="A286" i="62"/>
  <c r="AF285" i="62"/>
  <c r="AE285" i="62"/>
  <c r="AD285" i="62"/>
  <c r="AC285" i="62"/>
  <c r="AB285" i="62"/>
  <c r="AA285" i="62"/>
  <c r="Z285" i="62"/>
  <c r="Y285" i="62"/>
  <c r="X285" i="62"/>
  <c r="W285" i="62"/>
  <c r="V285" i="62"/>
  <c r="U285" i="62"/>
  <c r="T285" i="62"/>
  <c r="S285" i="62"/>
  <c r="R285" i="62"/>
  <c r="Q285" i="62"/>
  <c r="P285" i="62"/>
  <c r="O285" i="62"/>
  <c r="N285" i="62"/>
  <c r="M285" i="62"/>
  <c r="L285" i="62"/>
  <c r="K285" i="62"/>
  <c r="J285" i="62"/>
  <c r="I285" i="62"/>
  <c r="H285" i="62"/>
  <c r="G285" i="62"/>
  <c r="F285" i="62"/>
  <c r="E285" i="62"/>
  <c r="D285" i="62"/>
  <c r="C285" i="62"/>
  <c r="B285" i="62"/>
  <c r="A285" i="62"/>
  <c r="AF284" i="62"/>
  <c r="AE284" i="62"/>
  <c r="AD284" i="62"/>
  <c r="AC284" i="62"/>
  <c r="AB284" i="62"/>
  <c r="AA284" i="62"/>
  <c r="Z284" i="62"/>
  <c r="Y284" i="62"/>
  <c r="X284" i="62"/>
  <c r="W284" i="62"/>
  <c r="V284" i="62"/>
  <c r="U284" i="62"/>
  <c r="T284" i="62"/>
  <c r="S284" i="62"/>
  <c r="R284" i="62"/>
  <c r="Q284" i="62"/>
  <c r="P284" i="62"/>
  <c r="O284" i="62"/>
  <c r="N284" i="62"/>
  <c r="M284" i="62"/>
  <c r="L284" i="62"/>
  <c r="K284" i="62"/>
  <c r="J284" i="62"/>
  <c r="I284" i="62"/>
  <c r="H284" i="62"/>
  <c r="G284" i="62"/>
  <c r="F284" i="62"/>
  <c r="E284" i="62"/>
  <c r="D284" i="62"/>
  <c r="C284" i="62"/>
  <c r="B284" i="62"/>
  <c r="A284" i="62"/>
  <c r="AF283" i="62"/>
  <c r="AE283" i="62"/>
  <c r="AD283" i="62"/>
  <c r="AC283" i="62"/>
  <c r="AB283" i="62"/>
  <c r="AA283" i="62"/>
  <c r="Z283" i="62"/>
  <c r="Y283" i="62"/>
  <c r="X283" i="62"/>
  <c r="W283" i="62"/>
  <c r="V283" i="62"/>
  <c r="U283" i="62"/>
  <c r="T283" i="62"/>
  <c r="S283" i="62"/>
  <c r="R283" i="62"/>
  <c r="Q283" i="62"/>
  <c r="P283" i="62"/>
  <c r="O283" i="62"/>
  <c r="N283" i="62"/>
  <c r="M283" i="62"/>
  <c r="L283" i="62"/>
  <c r="K283" i="62"/>
  <c r="J283" i="62"/>
  <c r="I283" i="62"/>
  <c r="H283" i="62"/>
  <c r="G283" i="62"/>
  <c r="F283" i="62"/>
  <c r="E283" i="62"/>
  <c r="D283" i="62"/>
  <c r="C283" i="62"/>
  <c r="B283" i="62"/>
  <c r="A283" i="62"/>
  <c r="D282" i="62"/>
  <c r="C282" i="62"/>
  <c r="B282" i="62"/>
  <c r="S257" i="62"/>
  <c r="AG252" i="62"/>
  <c r="AG75" i="62" s="1"/>
  <c r="C252" i="62"/>
  <c r="E251" i="62"/>
  <c r="F251" i="62" s="1"/>
  <c r="E282" i="62" s="1"/>
  <c r="D251" i="62"/>
  <c r="E250" i="62"/>
  <c r="F250" i="62" s="1"/>
  <c r="G250" i="62" s="1"/>
  <c r="H250" i="62" s="1"/>
  <c r="I250" i="62" s="1"/>
  <c r="J250" i="62" s="1"/>
  <c r="K250" i="62" s="1"/>
  <c r="L250" i="62" s="1"/>
  <c r="M250" i="62" s="1"/>
  <c r="N250" i="62" s="1"/>
  <c r="O250" i="62" s="1"/>
  <c r="P250" i="62" s="1"/>
  <c r="Q250" i="62" s="1"/>
  <c r="R250" i="62" s="1"/>
  <c r="S250" i="62" s="1"/>
  <c r="T250" i="62" s="1"/>
  <c r="U250" i="62" s="1"/>
  <c r="V250" i="62" s="1"/>
  <c r="W250" i="62" s="1"/>
  <c r="X250" i="62" s="1"/>
  <c r="Y250" i="62" s="1"/>
  <c r="Z250" i="62" s="1"/>
  <c r="AA250" i="62" s="1"/>
  <c r="AB250" i="62" s="1"/>
  <c r="AC250" i="62" s="1"/>
  <c r="AD250" i="62" s="1"/>
  <c r="AE250" i="62" s="1"/>
  <c r="AF250" i="62" s="1"/>
  <c r="B250" i="62" s="1"/>
  <c r="D250" i="62"/>
  <c r="D249" i="62"/>
  <c r="E249" i="62" s="1"/>
  <c r="F249" i="62" s="1"/>
  <c r="G249" i="62" s="1"/>
  <c r="H249" i="62" s="1"/>
  <c r="I249" i="62" s="1"/>
  <c r="J249" i="62" s="1"/>
  <c r="K249" i="62" s="1"/>
  <c r="L249" i="62" s="1"/>
  <c r="M249" i="62" s="1"/>
  <c r="N249" i="62" s="1"/>
  <c r="O249" i="62" s="1"/>
  <c r="P249" i="62" s="1"/>
  <c r="Q249" i="62" s="1"/>
  <c r="R249" i="62" s="1"/>
  <c r="S249" i="62" s="1"/>
  <c r="T249" i="62" s="1"/>
  <c r="U249" i="62" s="1"/>
  <c r="V249" i="62" s="1"/>
  <c r="W249" i="62" s="1"/>
  <c r="X249" i="62" s="1"/>
  <c r="Y249" i="62" s="1"/>
  <c r="Z249" i="62" s="1"/>
  <c r="AA249" i="62" s="1"/>
  <c r="AB249" i="62" s="1"/>
  <c r="AC249" i="62" s="1"/>
  <c r="AD249" i="62" s="1"/>
  <c r="AE249" i="62" s="1"/>
  <c r="AF249" i="62" s="1"/>
  <c r="B249" i="62" s="1"/>
  <c r="G248" i="62"/>
  <c r="H248" i="62" s="1"/>
  <c r="I248" i="62" s="1"/>
  <c r="J248" i="62" s="1"/>
  <c r="K248" i="62" s="1"/>
  <c r="L248" i="62" s="1"/>
  <c r="M248" i="62" s="1"/>
  <c r="N248" i="62" s="1"/>
  <c r="O248" i="62" s="1"/>
  <c r="P248" i="62" s="1"/>
  <c r="Q248" i="62" s="1"/>
  <c r="R248" i="62" s="1"/>
  <c r="S248" i="62" s="1"/>
  <c r="T248" i="62" s="1"/>
  <c r="U248" i="62" s="1"/>
  <c r="V248" i="62" s="1"/>
  <c r="W248" i="62" s="1"/>
  <c r="X248" i="62" s="1"/>
  <c r="Y248" i="62" s="1"/>
  <c r="Z248" i="62" s="1"/>
  <c r="AA248" i="62" s="1"/>
  <c r="AB248" i="62" s="1"/>
  <c r="AC248" i="62" s="1"/>
  <c r="AD248" i="62" s="1"/>
  <c r="AE248" i="62" s="1"/>
  <c r="AF248" i="62" s="1"/>
  <c r="B248" i="62" s="1"/>
  <c r="F248" i="62"/>
  <c r="E248" i="62"/>
  <c r="D248" i="62"/>
  <c r="E247" i="62"/>
  <c r="F247" i="62" s="1"/>
  <c r="G247" i="62" s="1"/>
  <c r="H247" i="62" s="1"/>
  <c r="I247" i="62" s="1"/>
  <c r="J247" i="62" s="1"/>
  <c r="K247" i="62" s="1"/>
  <c r="L247" i="62" s="1"/>
  <c r="M247" i="62" s="1"/>
  <c r="N247" i="62" s="1"/>
  <c r="O247" i="62" s="1"/>
  <c r="P247" i="62" s="1"/>
  <c r="Q247" i="62" s="1"/>
  <c r="R247" i="62" s="1"/>
  <c r="S247" i="62" s="1"/>
  <c r="T247" i="62" s="1"/>
  <c r="U247" i="62" s="1"/>
  <c r="V247" i="62" s="1"/>
  <c r="W247" i="62" s="1"/>
  <c r="X247" i="62" s="1"/>
  <c r="Y247" i="62" s="1"/>
  <c r="Z247" i="62" s="1"/>
  <c r="AA247" i="62" s="1"/>
  <c r="AB247" i="62" s="1"/>
  <c r="AC247" i="62" s="1"/>
  <c r="AD247" i="62" s="1"/>
  <c r="AE247" i="62" s="1"/>
  <c r="AF247" i="62" s="1"/>
  <c r="B247" i="62" s="1"/>
  <c r="D247" i="62"/>
  <c r="E246" i="62"/>
  <c r="F246" i="62" s="1"/>
  <c r="D246" i="62"/>
  <c r="AG244" i="62"/>
  <c r="AF244" i="62"/>
  <c r="AE244" i="62"/>
  <c r="AD244" i="62"/>
  <c r="AC244" i="62"/>
  <c r="AB244" i="62"/>
  <c r="AA244" i="62"/>
  <c r="Z244" i="62"/>
  <c r="Y244" i="62"/>
  <c r="X244" i="62"/>
  <c r="W244" i="62"/>
  <c r="V244" i="62"/>
  <c r="U244" i="62"/>
  <c r="T244" i="62"/>
  <c r="S244" i="62"/>
  <c r="R244" i="62"/>
  <c r="Q244" i="62"/>
  <c r="P244" i="62"/>
  <c r="O244" i="62"/>
  <c r="N244" i="62"/>
  <c r="M244" i="62"/>
  <c r="L244" i="62"/>
  <c r="K244" i="62"/>
  <c r="J244" i="62"/>
  <c r="I244" i="62"/>
  <c r="H244" i="62"/>
  <c r="G244" i="62"/>
  <c r="F244" i="62"/>
  <c r="E244" i="62"/>
  <c r="D244" i="62"/>
  <c r="C244" i="62"/>
  <c r="B244" i="62"/>
  <c r="AI130" i="62"/>
  <c r="AH130" i="62"/>
  <c r="AI129" i="62"/>
  <c r="AH129" i="62"/>
  <c r="AI128" i="62"/>
  <c r="AH128" i="62"/>
  <c r="AI127" i="62"/>
  <c r="AH127" i="62"/>
  <c r="AI126" i="62"/>
  <c r="AH126" i="62"/>
  <c r="AI123" i="62"/>
  <c r="AH123" i="62"/>
  <c r="AI122" i="62"/>
  <c r="AH122" i="62"/>
  <c r="AI121" i="62"/>
  <c r="AH121" i="62"/>
  <c r="AI120" i="62"/>
  <c r="AH120" i="62"/>
  <c r="AI119" i="62"/>
  <c r="AH119" i="62"/>
  <c r="F118" i="62"/>
  <c r="E118" i="62"/>
  <c r="AI117" i="62"/>
  <c r="AH117" i="62"/>
  <c r="AI116" i="62"/>
  <c r="AH116" i="62"/>
  <c r="AI115" i="62"/>
  <c r="AH115" i="62"/>
  <c r="AI114" i="62"/>
  <c r="AH114" i="62"/>
  <c r="AI113" i="62"/>
  <c r="AH113" i="62"/>
  <c r="AI112" i="62"/>
  <c r="AH112" i="62"/>
  <c r="AI111" i="62"/>
  <c r="AH111" i="62"/>
  <c r="AI110" i="62"/>
  <c r="AH110" i="62"/>
  <c r="AI109" i="62"/>
  <c r="AH109" i="62"/>
  <c r="AI106" i="62"/>
  <c r="AH106" i="62"/>
  <c r="AB105" i="62"/>
  <c r="R105" i="62"/>
  <c r="Q105" i="62"/>
  <c r="P105" i="62"/>
  <c r="O105" i="62"/>
  <c r="N105" i="62"/>
  <c r="M105" i="62"/>
  <c r="L105" i="62"/>
  <c r="K105" i="62"/>
  <c r="J105" i="62"/>
  <c r="I105" i="62"/>
  <c r="H105" i="62"/>
  <c r="G105" i="62"/>
  <c r="F105" i="62"/>
  <c r="E105" i="62"/>
  <c r="AB104" i="62"/>
  <c r="R104" i="62"/>
  <c r="Q104" i="62"/>
  <c r="P104" i="62"/>
  <c r="O104" i="62"/>
  <c r="N104" i="62"/>
  <c r="M104" i="62"/>
  <c r="L104" i="62"/>
  <c r="K104" i="62"/>
  <c r="J104" i="62"/>
  <c r="I104" i="62"/>
  <c r="H104" i="62"/>
  <c r="G104" i="62"/>
  <c r="F104" i="62"/>
  <c r="E104" i="62"/>
  <c r="AB103" i="62"/>
  <c r="R103" i="62"/>
  <c r="Q103" i="62"/>
  <c r="P103" i="62"/>
  <c r="O103" i="62"/>
  <c r="N103" i="62"/>
  <c r="M103" i="62"/>
  <c r="L103" i="62"/>
  <c r="K103" i="62"/>
  <c r="J103" i="62"/>
  <c r="I103" i="62"/>
  <c r="H103" i="62"/>
  <c r="G103" i="62"/>
  <c r="F103" i="62"/>
  <c r="E103" i="62"/>
  <c r="AB102" i="62"/>
  <c r="R102" i="62"/>
  <c r="Q102" i="62"/>
  <c r="P102" i="62"/>
  <c r="O102" i="62"/>
  <c r="N102" i="62"/>
  <c r="M102" i="62"/>
  <c r="L102" i="62"/>
  <c r="K102" i="62"/>
  <c r="J102" i="62"/>
  <c r="I102" i="62"/>
  <c r="H102" i="62"/>
  <c r="G102" i="62"/>
  <c r="F102" i="62"/>
  <c r="E102" i="62"/>
  <c r="AB101" i="62"/>
  <c r="R101" i="62"/>
  <c r="Q101" i="62"/>
  <c r="P101" i="62"/>
  <c r="O101" i="62"/>
  <c r="N101" i="62"/>
  <c r="M101" i="62"/>
  <c r="L101" i="62"/>
  <c r="K101" i="62"/>
  <c r="K107" i="62" s="1"/>
  <c r="J101" i="62"/>
  <c r="J107" i="62" s="1"/>
  <c r="I101" i="62"/>
  <c r="H101" i="62"/>
  <c r="G101" i="62"/>
  <c r="F101" i="62"/>
  <c r="E101" i="62"/>
  <c r="AI98" i="62"/>
  <c r="AH98" i="62"/>
  <c r="AI96" i="62"/>
  <c r="AH96" i="62"/>
  <c r="AG96" i="62"/>
  <c r="AI95" i="62"/>
  <c r="AH95" i="62"/>
  <c r="AI94" i="62"/>
  <c r="AH94" i="62"/>
  <c r="AI93" i="62"/>
  <c r="AH93" i="62"/>
  <c r="AG92" i="62"/>
  <c r="AB92" i="62"/>
  <c r="Z5" i="62"/>
  <c r="Y5" i="62"/>
  <c r="X5" i="62"/>
  <c r="R5" i="62"/>
  <c r="R92" i="62"/>
  <c r="Q5" i="62" s="1"/>
  <c r="Q92" i="62"/>
  <c r="P5" i="62" s="1"/>
  <c r="P92" i="62"/>
  <c r="O5" i="62" s="1"/>
  <c r="O92" i="62"/>
  <c r="N5" i="62" s="1"/>
  <c r="N92" i="62"/>
  <c r="M5" i="62" s="1"/>
  <c r="M92" i="62"/>
  <c r="L92" i="62"/>
  <c r="K92" i="62"/>
  <c r="J92" i="62"/>
  <c r="I5" i="62" s="1"/>
  <c r="I92" i="62"/>
  <c r="H5" i="62" s="1"/>
  <c r="H92" i="62"/>
  <c r="G5" i="62" s="1"/>
  <c r="G92" i="62"/>
  <c r="F5" i="62" s="1"/>
  <c r="F92" i="62"/>
  <c r="E5" i="62" s="1"/>
  <c r="E92" i="62"/>
  <c r="AI91" i="62"/>
  <c r="AH91" i="62"/>
  <c r="AI90" i="62"/>
  <c r="AH90" i="62"/>
  <c r="AI89" i="62"/>
  <c r="AH89" i="62"/>
  <c r="AI88" i="62"/>
  <c r="AH88" i="62"/>
  <c r="AI87" i="62"/>
  <c r="AH87" i="62"/>
  <c r="AI86" i="62"/>
  <c r="AH86" i="62"/>
  <c r="AI85" i="62"/>
  <c r="AH85" i="62"/>
  <c r="AI84" i="62"/>
  <c r="AH84" i="62"/>
  <c r="AI83" i="62"/>
  <c r="AH83" i="62"/>
  <c r="AI82" i="62"/>
  <c r="AH82" i="62"/>
  <c r="AI81" i="62"/>
  <c r="AH81" i="62"/>
  <c r="AG80" i="62"/>
  <c r="AG4" i="62" s="1"/>
  <c r="AB80" i="62"/>
  <c r="R80" i="62"/>
  <c r="Q80" i="62"/>
  <c r="P80" i="62"/>
  <c r="O80" i="62"/>
  <c r="N80" i="62"/>
  <c r="M80" i="62"/>
  <c r="L80" i="62"/>
  <c r="K80" i="62"/>
  <c r="J80" i="62"/>
  <c r="I80" i="62"/>
  <c r="H80" i="62"/>
  <c r="G80" i="62"/>
  <c r="F80" i="62"/>
  <c r="E80" i="62"/>
  <c r="AI79" i="62"/>
  <c r="AH79" i="62"/>
  <c r="AI78" i="62"/>
  <c r="AH78" i="62"/>
  <c r="AI77" i="62"/>
  <c r="AH77" i="62"/>
  <c r="AG76" i="62"/>
  <c r="AD76" i="62"/>
  <c r="AB76" i="62"/>
  <c r="R76" i="62"/>
  <c r="Q76" i="62"/>
  <c r="P76" i="62"/>
  <c r="O76" i="62"/>
  <c r="N76" i="62"/>
  <c r="M76" i="62"/>
  <c r="L76" i="62"/>
  <c r="K76" i="62"/>
  <c r="J76" i="62"/>
  <c r="I76" i="62"/>
  <c r="H76" i="62"/>
  <c r="G76" i="62"/>
  <c r="F76" i="62"/>
  <c r="E76" i="62"/>
  <c r="AI75" i="62"/>
  <c r="AH75" i="62"/>
  <c r="AI74" i="62"/>
  <c r="AH74" i="62"/>
  <c r="AI73" i="62"/>
  <c r="AH73" i="62"/>
  <c r="AI72" i="62"/>
  <c r="AH72" i="62"/>
  <c r="AI71" i="62"/>
  <c r="AH71" i="62"/>
  <c r="AI70" i="62"/>
  <c r="AH70" i="62"/>
  <c r="AI69" i="62"/>
  <c r="AH69" i="62"/>
  <c r="AI68" i="62"/>
  <c r="AH68" i="62"/>
  <c r="AI67" i="62"/>
  <c r="AH67" i="62"/>
  <c r="AI66" i="62"/>
  <c r="AH66" i="62"/>
  <c r="AI65" i="62"/>
  <c r="AH65" i="62"/>
  <c r="AI64" i="62"/>
  <c r="AH64" i="62"/>
  <c r="AI63" i="62"/>
  <c r="AH63" i="62"/>
  <c r="AG62" i="62"/>
  <c r="AB62" i="62"/>
  <c r="R62" i="62"/>
  <c r="Q62" i="62"/>
  <c r="O62" i="62"/>
  <c r="N62" i="62"/>
  <c r="M62" i="62"/>
  <c r="L62" i="62"/>
  <c r="K62" i="62"/>
  <c r="J62" i="62"/>
  <c r="I62" i="62"/>
  <c r="H62" i="62"/>
  <c r="G62" i="62"/>
  <c r="F62" i="62"/>
  <c r="E62" i="62"/>
  <c r="AI61" i="62"/>
  <c r="AH61" i="62"/>
  <c r="AI60" i="62"/>
  <c r="AH60" i="62"/>
  <c r="AI59" i="62"/>
  <c r="AH59" i="62"/>
  <c r="AG58" i="62"/>
  <c r="AG2" i="62" s="1"/>
  <c r="AB58" i="62"/>
  <c r="R58" i="62"/>
  <c r="Q58" i="62"/>
  <c r="O58" i="62"/>
  <c r="N58" i="62"/>
  <c r="L58" i="62"/>
  <c r="K58" i="62"/>
  <c r="J58" i="62"/>
  <c r="I58" i="62"/>
  <c r="H58" i="62"/>
  <c r="G58" i="62"/>
  <c r="F58" i="62"/>
  <c r="E58" i="62"/>
  <c r="AI57" i="62"/>
  <c r="AH57" i="62"/>
  <c r="AI56" i="62"/>
  <c r="AH56" i="62"/>
  <c r="AI55" i="62"/>
  <c r="AH55" i="62"/>
  <c r="AI54" i="62"/>
  <c r="AH54" i="62"/>
  <c r="AI53" i="62"/>
  <c r="AH53" i="62"/>
  <c r="AI52" i="62"/>
  <c r="AH52" i="62"/>
  <c r="AI51" i="62"/>
  <c r="AH51" i="62"/>
  <c r="AI50" i="62"/>
  <c r="AH50" i="62"/>
  <c r="AI49" i="62"/>
  <c r="AH49" i="62"/>
  <c r="AI48" i="62"/>
  <c r="AH48" i="62"/>
  <c r="AI47" i="62"/>
  <c r="AH47" i="62"/>
  <c r="AI46" i="62"/>
  <c r="AH46" i="62"/>
  <c r="AI45" i="62"/>
  <c r="AH45" i="62"/>
  <c r="AI44" i="62"/>
  <c r="AH44" i="62"/>
  <c r="AI43" i="62"/>
  <c r="AH43" i="62"/>
  <c r="AI42" i="62"/>
  <c r="AH42" i="62"/>
  <c r="AI41" i="62"/>
  <c r="AH41" i="62"/>
  <c r="AI40" i="62"/>
  <c r="AH40" i="62"/>
  <c r="AI39" i="62"/>
  <c r="AH39" i="62"/>
  <c r="AI38" i="62"/>
  <c r="AH38" i="62"/>
  <c r="AI37" i="62"/>
  <c r="AH37" i="62"/>
  <c r="AI36" i="62"/>
  <c r="AH36" i="62"/>
  <c r="AI35" i="62"/>
  <c r="AH35" i="62"/>
  <c r="AI34" i="62"/>
  <c r="AH34" i="62"/>
  <c r="AI33" i="62"/>
  <c r="AH33" i="62"/>
  <c r="AI32" i="62"/>
  <c r="AH32" i="62"/>
  <c r="AI31" i="62"/>
  <c r="AH31" i="62"/>
  <c r="AI30" i="62"/>
  <c r="AH30" i="62"/>
  <c r="AI29" i="62"/>
  <c r="AH29" i="62"/>
  <c r="AI28" i="62"/>
  <c r="AH28" i="62"/>
  <c r="AI27" i="62"/>
  <c r="AH27" i="62"/>
  <c r="AI26" i="62"/>
  <c r="AH26" i="62"/>
  <c r="AI25" i="62"/>
  <c r="AH25" i="62"/>
  <c r="AI24" i="62"/>
  <c r="AH24" i="62"/>
  <c r="AI23" i="62"/>
  <c r="AH23" i="62"/>
  <c r="AI22" i="62"/>
  <c r="AH22" i="62"/>
  <c r="AI21" i="62"/>
  <c r="AH21" i="62"/>
  <c r="AI20" i="62"/>
  <c r="AH20" i="62"/>
  <c r="AI19" i="62"/>
  <c r="AH19" i="62"/>
  <c r="AI18" i="62"/>
  <c r="AH18" i="62"/>
  <c r="AI17" i="62"/>
  <c r="AH17" i="62"/>
  <c r="AI16" i="62"/>
  <c r="AH16" i="62"/>
  <c r="AI15" i="62"/>
  <c r="AH15" i="62"/>
  <c r="AI14" i="62"/>
  <c r="AH14" i="62"/>
  <c r="AI13" i="62"/>
  <c r="AH13" i="62"/>
  <c r="AI12" i="62"/>
  <c r="AH12" i="62"/>
  <c r="AI11" i="62"/>
  <c r="AH11" i="62"/>
  <c r="AE5" i="62"/>
  <c r="AD5" i="62"/>
  <c r="AC5" i="62"/>
  <c r="AB5" i="62"/>
  <c r="W5" i="62"/>
  <c r="V5" i="62"/>
  <c r="U5" i="62"/>
  <c r="K4" i="62"/>
  <c r="E4" i="62"/>
  <c r="H4" i="62" s="1"/>
  <c r="B4" i="62"/>
  <c r="S258" i="62" s="1"/>
  <c r="AG3" i="62"/>
  <c r="AF58" i="61"/>
  <c r="AF62" i="61"/>
  <c r="AF76" i="61"/>
  <c r="AF80" i="61"/>
  <c r="AF92" i="61"/>
  <c r="AF101" i="61"/>
  <c r="AF102" i="61"/>
  <c r="AF103" i="61"/>
  <c r="AF104" i="61"/>
  <c r="AF105" i="61"/>
  <c r="AE58" i="61"/>
  <c r="AE62" i="61"/>
  <c r="AE76" i="61"/>
  <c r="AE80" i="61"/>
  <c r="AE92" i="61"/>
  <c r="AE101" i="61"/>
  <c r="AE102" i="61"/>
  <c r="AE103" i="61"/>
  <c r="AE104" i="61"/>
  <c r="AE105" i="61"/>
  <c r="AD58" i="61"/>
  <c r="AD62" i="61"/>
  <c r="AD76" i="61"/>
  <c r="AD80" i="61"/>
  <c r="AD92" i="61"/>
  <c r="AD101" i="61"/>
  <c r="AD102" i="61"/>
  <c r="AD103" i="61"/>
  <c r="AD104" i="61"/>
  <c r="AD105" i="61"/>
  <c r="AC58" i="61"/>
  <c r="AC62" i="61"/>
  <c r="AC76" i="61"/>
  <c r="AC80" i="61"/>
  <c r="AC92" i="61"/>
  <c r="AC101" i="61"/>
  <c r="AC102" i="61"/>
  <c r="AC103" i="61"/>
  <c r="AC104" i="61"/>
  <c r="AC105" i="61"/>
  <c r="AA123" i="61"/>
  <c r="Z123" i="61"/>
  <c r="X123" i="61"/>
  <c r="W123" i="61"/>
  <c r="W58" i="61"/>
  <c r="W62" i="61"/>
  <c r="W76" i="61"/>
  <c r="V124" i="61"/>
  <c r="U123" i="61"/>
  <c r="T123" i="61"/>
  <c r="S123" i="61"/>
  <c r="S58" i="61"/>
  <c r="H282" i="63" l="1"/>
  <c r="J251" i="63"/>
  <c r="I118" i="63"/>
  <c r="I252" i="63"/>
  <c r="L246" i="63"/>
  <c r="AB107" i="62"/>
  <c r="AB97" i="62"/>
  <c r="AB99" i="62" s="1"/>
  <c r="AE97" i="61"/>
  <c r="AE99" i="61" s="1"/>
  <c r="AE100" i="61" s="1"/>
  <c r="AD107" i="61"/>
  <c r="T100" i="62"/>
  <c r="R107" i="62"/>
  <c r="R108" i="62" s="1"/>
  <c r="R97" i="62"/>
  <c r="R99" i="62" s="1"/>
  <c r="Q107" i="62"/>
  <c r="Q108" i="62" s="1"/>
  <c r="Q97" i="62"/>
  <c r="Q99" i="62" s="1"/>
  <c r="P97" i="62"/>
  <c r="P99" i="62" s="1"/>
  <c r="AH261" i="62" s="1"/>
  <c r="O107" i="62"/>
  <c r="O108" i="62" s="1"/>
  <c r="O97" i="62"/>
  <c r="O99" i="62" s="1"/>
  <c r="AG261" i="62" s="1"/>
  <c r="N97" i="62"/>
  <c r="N99" i="62" s="1"/>
  <c r="AF261" i="62" s="1"/>
  <c r="M107" i="62"/>
  <c r="M97" i="62"/>
  <c r="M99" i="62" s="1"/>
  <c r="AE261" i="62" s="1"/>
  <c r="L107" i="62"/>
  <c r="L97" i="62"/>
  <c r="L99" i="62" s="1"/>
  <c r="AD261" i="62" s="1"/>
  <c r="K97" i="62"/>
  <c r="K99" i="62" s="1"/>
  <c r="AC261" i="62" s="1"/>
  <c r="J97" i="62"/>
  <c r="J99" i="62" s="1"/>
  <c r="AB261" i="62" s="1"/>
  <c r="I107" i="62"/>
  <c r="I97" i="62"/>
  <c r="I99" i="62" s="1"/>
  <c r="AA261" i="62" s="1"/>
  <c r="H107" i="62"/>
  <c r="H108" i="62"/>
  <c r="H97" i="62"/>
  <c r="H99" i="62" s="1"/>
  <c r="H100" i="62" s="1"/>
  <c r="H7" i="62" s="1"/>
  <c r="G107" i="62"/>
  <c r="G108" i="62"/>
  <c r="G97" i="62"/>
  <c r="G99" i="62" s="1"/>
  <c r="Y261" i="62" s="1"/>
  <c r="E107" i="62"/>
  <c r="E108" i="62" s="1"/>
  <c r="AI102" i="62"/>
  <c r="E97" i="62"/>
  <c r="E99" i="62" s="1"/>
  <c r="W261" i="62" s="1"/>
  <c r="D107" i="62"/>
  <c r="D108" i="62"/>
  <c r="D97" i="62"/>
  <c r="D99" i="62" s="1"/>
  <c r="V261" i="62" s="1"/>
  <c r="C108" i="62"/>
  <c r="C97" i="62"/>
  <c r="C99" i="62" s="1"/>
  <c r="U261" i="62" s="1"/>
  <c r="AI76" i="62"/>
  <c r="AI105" i="62"/>
  <c r="B107" i="62"/>
  <c r="B108" i="62" s="1"/>
  <c r="B97" i="62"/>
  <c r="B99" i="62" s="1"/>
  <c r="B100" i="62" s="1"/>
  <c r="AH103" i="62"/>
  <c r="AO261" i="62"/>
  <c r="W7" i="62"/>
  <c r="AW261" i="62"/>
  <c r="AE7" i="62"/>
  <c r="I100" i="62"/>
  <c r="I7" i="62" s="1"/>
  <c r="AR261" i="62"/>
  <c r="Z7" i="62"/>
  <c r="R100" i="62"/>
  <c r="R7" i="62" s="1"/>
  <c r="AJ261" i="62"/>
  <c r="Z261" i="62"/>
  <c r="AM261" i="62"/>
  <c r="U7" i="62"/>
  <c r="AS261" i="62"/>
  <c r="AA7" i="62"/>
  <c r="AU261" i="62"/>
  <c r="AC7" i="62"/>
  <c r="J108" i="62"/>
  <c r="AQ261" i="62"/>
  <c r="AT261" i="62"/>
  <c r="AB100" i="62"/>
  <c r="AB7" i="62" s="1"/>
  <c r="AI101" i="62"/>
  <c r="J100" i="62"/>
  <c r="J7" i="62" s="1"/>
  <c r="S7" i="62"/>
  <c r="AI103" i="62"/>
  <c r="AH76" i="62"/>
  <c r="AF5" i="62"/>
  <c r="AH92" i="62"/>
  <c r="AF7" i="62"/>
  <c r="AI80" i="62"/>
  <c r="J5" i="62"/>
  <c r="K108" i="62"/>
  <c r="AI92" i="62"/>
  <c r="AG97" i="62"/>
  <c r="D258" i="62"/>
  <c r="AK261" i="62"/>
  <c r="AH102" i="62"/>
  <c r="AH105" i="62"/>
  <c r="AI104" i="62"/>
  <c r="AH80" i="62"/>
  <c r="AG99" i="62"/>
  <c r="G100" i="62"/>
  <c r="G7" i="62" s="1"/>
  <c r="B5" i="62"/>
  <c r="AL261" i="62"/>
  <c r="T7" i="62"/>
  <c r="C5" i="62"/>
  <c r="K5" i="62"/>
  <c r="L108" i="62"/>
  <c r="S5" i="62"/>
  <c r="AA5" i="62"/>
  <c r="AB108" i="62"/>
  <c r="I108" i="62"/>
  <c r="G251" i="62"/>
  <c r="AP261" i="62"/>
  <c r="AV261" i="62"/>
  <c r="AD7" i="62"/>
  <c r="M108" i="62"/>
  <c r="L5" i="62"/>
  <c r="T5" i="62"/>
  <c r="AN261" i="62"/>
  <c r="P107" i="62"/>
  <c r="P108" i="62" s="1"/>
  <c r="AX261" i="62"/>
  <c r="D5" i="62"/>
  <c r="F97" i="62"/>
  <c r="F99" i="62" s="1"/>
  <c r="Y7" i="62"/>
  <c r="AH101" i="62"/>
  <c r="G246" i="62"/>
  <c r="F252" i="62"/>
  <c r="AH104" i="62"/>
  <c r="D252" i="62"/>
  <c r="AG6" i="62"/>
  <c r="AI62" i="62"/>
  <c r="AH62" i="62"/>
  <c r="F107" i="62"/>
  <c r="F108" i="62" s="1"/>
  <c r="N107" i="62"/>
  <c r="N108" i="62" s="1"/>
  <c r="E252" i="62"/>
  <c r="AI58" i="62"/>
  <c r="AH58" i="62"/>
  <c r="AF107" i="61"/>
  <c r="AF108" i="61" s="1"/>
  <c r="AF97" i="61"/>
  <c r="AF99" i="61" s="1"/>
  <c r="AE107" i="61"/>
  <c r="AE108" i="61" s="1"/>
  <c r="AD108" i="61"/>
  <c r="AD97" i="61"/>
  <c r="AD99" i="61" s="1"/>
  <c r="AD100" i="61" s="1"/>
  <c r="AC107" i="61"/>
  <c r="AC108" i="61" s="1"/>
  <c r="AC97" i="61"/>
  <c r="AC99" i="61" s="1"/>
  <c r="M246" i="63" l="1"/>
  <c r="K251" i="63"/>
  <c r="I282" i="63"/>
  <c r="J118" i="63"/>
  <c r="J252" i="63"/>
  <c r="AF100" i="61"/>
  <c r="AC100" i="61"/>
  <c r="Q100" i="62"/>
  <c r="Q7" i="62" s="1"/>
  <c r="AI261" i="62"/>
  <c r="O100" i="62"/>
  <c r="O7" i="62" s="1"/>
  <c r="M100" i="62"/>
  <c r="M7" i="62" s="1"/>
  <c r="K100" i="62"/>
  <c r="K7" i="62" s="1"/>
  <c r="L100" i="62"/>
  <c r="L7" i="62" s="1"/>
  <c r="B256" i="62"/>
  <c r="C256" i="62"/>
  <c r="K6" i="62" s="1"/>
  <c r="E100" i="62"/>
  <c r="E7" i="62" s="1"/>
  <c r="D100" i="62"/>
  <c r="D7" i="62" s="1"/>
  <c r="C100" i="62"/>
  <c r="C7" i="62" s="1"/>
  <c r="H246" i="62"/>
  <c r="G118" i="62"/>
  <c r="G252" i="62"/>
  <c r="V7" i="62"/>
  <c r="AI107" i="62"/>
  <c r="AH97" i="62"/>
  <c r="H251" i="62"/>
  <c r="F282" i="62"/>
  <c r="AH107" i="62"/>
  <c r="AH99" i="62"/>
  <c r="AI99" i="62"/>
  <c r="T261" i="62"/>
  <c r="X7" i="62"/>
  <c r="AI97" i="62"/>
  <c r="X261" i="62"/>
  <c r="F100" i="62"/>
  <c r="F7" i="62" s="1"/>
  <c r="N100" i="62"/>
  <c r="N7" i="62" s="1"/>
  <c r="AI108" i="62"/>
  <c r="AH108" i="62"/>
  <c r="P100" i="62"/>
  <c r="P7" i="62" s="1"/>
  <c r="J282" i="63" l="1"/>
  <c r="L251" i="63"/>
  <c r="K118" i="63"/>
  <c r="K252" i="63"/>
  <c r="N246" i="63"/>
  <c r="G282" i="62"/>
  <c r="I251" i="62"/>
  <c r="AI100" i="62"/>
  <c r="AH100" i="62"/>
  <c r="B7" i="62"/>
  <c r="A7" i="62" s="1"/>
  <c r="I246" i="62"/>
  <c r="H118" i="62"/>
  <c r="H252" i="62"/>
  <c r="O246" i="63" l="1"/>
  <c r="K282" i="63"/>
  <c r="M251" i="63"/>
  <c r="M118" i="63" s="1"/>
  <c r="L118" i="63"/>
  <c r="L252" i="63"/>
  <c r="H282" i="62"/>
  <c r="J251" i="62"/>
  <c r="I118" i="62"/>
  <c r="I252" i="62"/>
  <c r="J246" i="62"/>
  <c r="L282" i="63" l="1"/>
  <c r="N251" i="63"/>
  <c r="N118" i="63" s="1"/>
  <c r="M252" i="63"/>
  <c r="P246" i="63"/>
  <c r="J118" i="62"/>
  <c r="J252" i="62"/>
  <c r="K246" i="62"/>
  <c r="K251" i="62"/>
  <c r="I282" i="62"/>
  <c r="Q246" i="63" l="1"/>
  <c r="M282" i="63"/>
  <c r="O251" i="63"/>
  <c r="O118" i="63" s="1"/>
  <c r="N252" i="63"/>
  <c r="J282" i="62"/>
  <c r="L251" i="62"/>
  <c r="K252" i="62"/>
  <c r="K118" i="62"/>
  <c r="L246" i="62"/>
  <c r="R246" i="63" l="1"/>
  <c r="N282" i="63"/>
  <c r="P251" i="63"/>
  <c r="P118" i="63" s="1"/>
  <c r="O252" i="63"/>
  <c r="L252" i="62"/>
  <c r="L118" i="62"/>
  <c r="M246" i="62"/>
  <c r="K282" i="62"/>
  <c r="M251" i="62"/>
  <c r="S246" i="63" l="1"/>
  <c r="O282" i="63"/>
  <c r="Q251" i="63"/>
  <c r="Q118" i="63" s="1"/>
  <c r="P252" i="63"/>
  <c r="L282" i="62"/>
  <c r="N251" i="62"/>
  <c r="M118" i="62"/>
  <c r="M252" i="62"/>
  <c r="N246" i="62"/>
  <c r="T246" i="63" l="1"/>
  <c r="P282" i="63"/>
  <c r="R251" i="63"/>
  <c r="R118" i="63" s="1"/>
  <c r="Q252" i="63"/>
  <c r="O246" i="62"/>
  <c r="N118" i="62"/>
  <c r="N252" i="62"/>
  <c r="M282" i="62"/>
  <c r="O251" i="62"/>
  <c r="U246" i="63" l="1"/>
  <c r="S251" i="63"/>
  <c r="Q282" i="63"/>
  <c r="R252" i="63"/>
  <c r="P251" i="62"/>
  <c r="N282" i="62"/>
  <c r="P246" i="62"/>
  <c r="O252" i="62"/>
  <c r="O118" i="62"/>
  <c r="V246" i="63" l="1"/>
  <c r="R282" i="63"/>
  <c r="T251" i="63"/>
  <c r="S118" i="63"/>
  <c r="S252" i="63"/>
  <c r="Q246" i="62"/>
  <c r="P252" i="62"/>
  <c r="O282" i="62"/>
  <c r="Q251" i="62"/>
  <c r="W246" i="63" l="1"/>
  <c r="U251" i="63"/>
  <c r="S282" i="63"/>
  <c r="T118" i="63"/>
  <c r="T252" i="63"/>
  <c r="P282" i="62"/>
  <c r="R251" i="62"/>
  <c r="Q252" i="62"/>
  <c r="R246" i="62"/>
  <c r="Q118" i="62"/>
  <c r="X246" i="63" l="1"/>
  <c r="T282" i="63"/>
  <c r="V251" i="63"/>
  <c r="U252" i="63"/>
  <c r="U118" i="63"/>
  <c r="R252" i="62"/>
  <c r="R118" i="62"/>
  <c r="S246" i="62"/>
  <c r="S251" i="62"/>
  <c r="Q282" i="62"/>
  <c r="Y246" i="63" l="1"/>
  <c r="U282" i="63"/>
  <c r="W251" i="63"/>
  <c r="V252" i="63"/>
  <c r="V118" i="63"/>
  <c r="T251" i="62"/>
  <c r="R282" i="62"/>
  <c r="S252" i="62"/>
  <c r="T246" i="62"/>
  <c r="V282" i="63" l="1"/>
  <c r="X251" i="63"/>
  <c r="W252" i="63"/>
  <c r="W118" i="63"/>
  <c r="Z246" i="63"/>
  <c r="T252" i="62"/>
  <c r="U246" i="62"/>
  <c r="U251" i="62"/>
  <c r="S282" i="62"/>
  <c r="AA246" i="63" l="1"/>
  <c r="W282" i="63"/>
  <c r="Y251" i="63"/>
  <c r="X252" i="63"/>
  <c r="X118" i="63"/>
  <c r="V251" i="62"/>
  <c r="T282" i="62"/>
  <c r="U252" i="62"/>
  <c r="V246" i="62"/>
  <c r="X282" i="63" l="1"/>
  <c r="Z251" i="63"/>
  <c r="Y252" i="63"/>
  <c r="AB246" i="63"/>
  <c r="W246" i="62"/>
  <c r="V252" i="62"/>
  <c r="U282" i="62"/>
  <c r="W251" i="62"/>
  <c r="AC246" i="63" l="1"/>
  <c r="AA251" i="63"/>
  <c r="Y282" i="63"/>
  <c r="Z252" i="63"/>
  <c r="X251" i="62"/>
  <c r="V282" i="62"/>
  <c r="X246" i="62"/>
  <c r="W252" i="62"/>
  <c r="AD246" i="63" l="1"/>
  <c r="Z282" i="63"/>
  <c r="AB251" i="63"/>
  <c r="AA252" i="63"/>
  <c r="AA118" i="63"/>
  <c r="Y246" i="62"/>
  <c r="X252" i="62"/>
  <c r="W282" i="62"/>
  <c r="Y251" i="62"/>
  <c r="AE246" i="63" l="1"/>
  <c r="AA282" i="63"/>
  <c r="AC251" i="63"/>
  <c r="AB118" i="63"/>
  <c r="AB252" i="63"/>
  <c r="X282" i="62"/>
  <c r="Z251" i="62"/>
  <c r="Y252" i="62"/>
  <c r="Z246" i="62"/>
  <c r="AF246" i="63" l="1"/>
  <c r="AB282" i="63"/>
  <c r="AD251" i="63"/>
  <c r="AC252" i="63"/>
  <c r="Z252" i="62"/>
  <c r="AA246" i="62"/>
  <c r="AA251" i="62"/>
  <c r="Y282" i="62"/>
  <c r="AC282" i="63" l="1"/>
  <c r="AE251" i="63"/>
  <c r="AD252" i="63"/>
  <c r="B246" i="63"/>
  <c r="AA252" i="62"/>
  <c r="AB246" i="62"/>
  <c r="Z282" i="62"/>
  <c r="AB251" i="62"/>
  <c r="AD282" i="63" l="1"/>
  <c r="AF251" i="63"/>
  <c r="AE252" i="63"/>
  <c r="AA282" i="62"/>
  <c r="AC251" i="62"/>
  <c r="AB252" i="62"/>
  <c r="AB118" i="62"/>
  <c r="AC246" i="62"/>
  <c r="B251" i="63" l="1"/>
  <c r="B118" i="63" s="1"/>
  <c r="AE282" i="63"/>
  <c r="AF252" i="63"/>
  <c r="AB282" i="62"/>
  <c r="AD251" i="62"/>
  <c r="AD246" i="62"/>
  <c r="AC252" i="62"/>
  <c r="AF282" i="63" l="1"/>
  <c r="B252" i="63"/>
  <c r="AE246" i="62"/>
  <c r="AD252" i="62"/>
  <c r="AC282" i="62"/>
  <c r="AE251" i="62"/>
  <c r="AI118" i="63" l="1"/>
  <c r="AH118" i="63"/>
  <c r="AF251" i="62"/>
  <c r="AD282" i="62"/>
  <c r="AF246" i="62"/>
  <c r="AE252" i="62"/>
  <c r="AF252" i="62" l="1"/>
  <c r="B246" i="62"/>
  <c r="B251" i="62"/>
  <c r="AF282" i="62" s="1"/>
  <c r="AE282" i="62"/>
  <c r="B252" i="62" l="1"/>
  <c r="AI118" i="62" l="1"/>
  <c r="AH118" i="62"/>
  <c r="M62" i="61" l="1"/>
  <c r="N62" i="61"/>
  <c r="O62" i="61"/>
  <c r="P62" i="61"/>
  <c r="Q62" i="61"/>
  <c r="R62" i="61"/>
  <c r="S62" i="61"/>
  <c r="T62" i="61"/>
  <c r="L123" i="61"/>
  <c r="L121" i="61"/>
  <c r="L57" i="61"/>
  <c r="K123" i="61"/>
  <c r="K121" i="61"/>
  <c r="K57" i="61"/>
  <c r="J123" i="61"/>
  <c r="J121" i="61"/>
  <c r="J57" i="61"/>
  <c r="I123" i="61"/>
  <c r="I121" i="61"/>
  <c r="I57" i="61"/>
  <c r="H123" i="61"/>
  <c r="H121" i="61"/>
  <c r="H57" i="61"/>
  <c r="G123" i="61"/>
  <c r="G121" i="61"/>
  <c r="G57" i="61"/>
  <c r="F123" i="61"/>
  <c r="F121" i="61"/>
  <c r="F57" i="61"/>
  <c r="E123" i="61" l="1"/>
  <c r="E121" i="61"/>
  <c r="E57" i="61"/>
  <c r="E58" i="61"/>
  <c r="E62" i="61"/>
  <c r="D123" i="61"/>
  <c r="C123" i="61"/>
  <c r="B123" i="61"/>
  <c r="AF286" i="61" l="1"/>
  <c r="AE286" i="61"/>
  <c r="AD286" i="61"/>
  <c r="AC286" i="61"/>
  <c r="AB286" i="61"/>
  <c r="AA286" i="61"/>
  <c r="Z286" i="61"/>
  <c r="Y286" i="61"/>
  <c r="X286" i="61"/>
  <c r="W286" i="61"/>
  <c r="V286" i="61"/>
  <c r="U286" i="61"/>
  <c r="T286" i="61"/>
  <c r="S286" i="61"/>
  <c r="R286" i="61"/>
  <c r="Q286" i="61"/>
  <c r="P286" i="61"/>
  <c r="O286" i="61"/>
  <c r="N286" i="61"/>
  <c r="M286" i="61"/>
  <c r="L286" i="61"/>
  <c r="K286" i="61"/>
  <c r="J286" i="61"/>
  <c r="I286" i="61"/>
  <c r="H286" i="61"/>
  <c r="G286" i="61"/>
  <c r="F286" i="61"/>
  <c r="E286" i="61"/>
  <c r="D286" i="61"/>
  <c r="C286" i="61"/>
  <c r="B286" i="61"/>
  <c r="A286" i="61"/>
  <c r="AF285" i="61"/>
  <c r="AE285" i="61"/>
  <c r="AD285" i="61"/>
  <c r="AC285" i="61"/>
  <c r="AB285" i="61"/>
  <c r="AA285" i="61"/>
  <c r="Z285" i="61"/>
  <c r="Y285" i="61"/>
  <c r="X285" i="61"/>
  <c r="W285" i="61"/>
  <c r="V285" i="61"/>
  <c r="U285" i="61"/>
  <c r="T285" i="61"/>
  <c r="S285" i="61"/>
  <c r="R285" i="61"/>
  <c r="Q285" i="61"/>
  <c r="P285" i="61"/>
  <c r="O285" i="61"/>
  <c r="N285" i="61"/>
  <c r="M285" i="61"/>
  <c r="L285" i="61"/>
  <c r="K285" i="61"/>
  <c r="J285" i="61"/>
  <c r="I285" i="61"/>
  <c r="H285" i="61"/>
  <c r="G285" i="61"/>
  <c r="F285" i="61"/>
  <c r="E285" i="61"/>
  <c r="D285" i="61"/>
  <c r="C285" i="61"/>
  <c r="B285" i="61"/>
  <c r="A285" i="61"/>
  <c r="AF284" i="61"/>
  <c r="AE284" i="61"/>
  <c r="AD284" i="61"/>
  <c r="AC284" i="61"/>
  <c r="AB284" i="61"/>
  <c r="AA284" i="61"/>
  <c r="Z284" i="61"/>
  <c r="Y284" i="61"/>
  <c r="X284" i="61"/>
  <c r="W284" i="61"/>
  <c r="V284" i="61"/>
  <c r="U284" i="61"/>
  <c r="T284" i="61"/>
  <c r="S284" i="61"/>
  <c r="R284" i="61"/>
  <c r="Q284" i="61"/>
  <c r="P284" i="61"/>
  <c r="O284" i="61"/>
  <c r="N284" i="61"/>
  <c r="M284" i="61"/>
  <c r="L284" i="61"/>
  <c r="K284" i="61"/>
  <c r="J284" i="61"/>
  <c r="I284" i="61"/>
  <c r="H284" i="61"/>
  <c r="G284" i="61"/>
  <c r="F284" i="61"/>
  <c r="E284" i="61"/>
  <c r="D284" i="61"/>
  <c r="C284" i="61"/>
  <c r="B284" i="61"/>
  <c r="A284" i="61"/>
  <c r="AF283" i="61"/>
  <c r="AE283" i="61"/>
  <c r="AD283" i="61"/>
  <c r="AC283" i="61"/>
  <c r="AB283" i="61"/>
  <c r="AA283" i="61"/>
  <c r="Z283" i="61"/>
  <c r="Y283" i="61"/>
  <c r="X283" i="61"/>
  <c r="W283" i="61"/>
  <c r="V283" i="61"/>
  <c r="U283" i="61"/>
  <c r="T283" i="61"/>
  <c r="S283" i="61"/>
  <c r="R283" i="61"/>
  <c r="Q283" i="61"/>
  <c r="P283" i="61"/>
  <c r="O283" i="61"/>
  <c r="N283" i="61"/>
  <c r="M283" i="61"/>
  <c r="L283" i="61"/>
  <c r="K283" i="61"/>
  <c r="J283" i="61"/>
  <c r="I283" i="61"/>
  <c r="H283" i="61"/>
  <c r="G283" i="61"/>
  <c r="F283" i="61"/>
  <c r="E283" i="61"/>
  <c r="D283" i="61"/>
  <c r="C283" i="61"/>
  <c r="B283" i="61"/>
  <c r="A283" i="61"/>
  <c r="B282" i="61"/>
  <c r="S257" i="61"/>
  <c r="AG252" i="61"/>
  <c r="C252" i="61"/>
  <c r="D251" i="61"/>
  <c r="E251" i="61" s="1"/>
  <c r="D282" i="61" s="1"/>
  <c r="D250" i="61"/>
  <c r="E250" i="61" s="1"/>
  <c r="F250" i="61" s="1"/>
  <c r="G250" i="61" s="1"/>
  <c r="H250" i="61" s="1"/>
  <c r="I250" i="61" s="1"/>
  <c r="J250" i="61" s="1"/>
  <c r="K250" i="61" s="1"/>
  <c r="L250" i="61" s="1"/>
  <c r="M250" i="61" s="1"/>
  <c r="N250" i="61" s="1"/>
  <c r="O250" i="61" s="1"/>
  <c r="P250" i="61" s="1"/>
  <c r="Q250" i="61" s="1"/>
  <c r="R250" i="61" s="1"/>
  <c r="S250" i="61" s="1"/>
  <c r="T250" i="61" s="1"/>
  <c r="U250" i="61" s="1"/>
  <c r="V250" i="61" s="1"/>
  <c r="W250" i="61" s="1"/>
  <c r="X250" i="61" s="1"/>
  <c r="Y250" i="61" s="1"/>
  <c r="Z250" i="61" s="1"/>
  <c r="AA250" i="61" s="1"/>
  <c r="AB250" i="61" s="1"/>
  <c r="AC250" i="61" s="1"/>
  <c r="AD250" i="61" s="1"/>
  <c r="AE250" i="61" s="1"/>
  <c r="AF250" i="61" s="1"/>
  <c r="B250" i="61" s="1"/>
  <c r="D249" i="61"/>
  <c r="E249" i="61" s="1"/>
  <c r="F249" i="61" s="1"/>
  <c r="G249" i="61" s="1"/>
  <c r="H249" i="61" s="1"/>
  <c r="I249" i="61" s="1"/>
  <c r="J249" i="61" s="1"/>
  <c r="K249" i="61" s="1"/>
  <c r="L249" i="61" s="1"/>
  <c r="M249" i="61" s="1"/>
  <c r="N249" i="61" s="1"/>
  <c r="O249" i="61" s="1"/>
  <c r="P249" i="61" s="1"/>
  <c r="Q249" i="61" s="1"/>
  <c r="R249" i="61" s="1"/>
  <c r="S249" i="61" s="1"/>
  <c r="T249" i="61" s="1"/>
  <c r="U249" i="61" s="1"/>
  <c r="V249" i="61" s="1"/>
  <c r="W249" i="61" s="1"/>
  <c r="X249" i="61" s="1"/>
  <c r="Y249" i="61" s="1"/>
  <c r="Z249" i="61" s="1"/>
  <c r="AA249" i="61" s="1"/>
  <c r="AB249" i="61" s="1"/>
  <c r="AC249" i="61" s="1"/>
  <c r="AD249" i="61" s="1"/>
  <c r="AE249" i="61" s="1"/>
  <c r="AF249" i="61" s="1"/>
  <c r="B249" i="61" s="1"/>
  <c r="D248" i="61"/>
  <c r="E248" i="61" s="1"/>
  <c r="F248" i="61" s="1"/>
  <c r="G248" i="61" s="1"/>
  <c r="H248" i="61" s="1"/>
  <c r="I248" i="61" s="1"/>
  <c r="J248" i="61" s="1"/>
  <c r="K248" i="61" s="1"/>
  <c r="L248" i="61" s="1"/>
  <c r="M248" i="61" s="1"/>
  <c r="N248" i="61" s="1"/>
  <c r="O248" i="61" s="1"/>
  <c r="P248" i="61" s="1"/>
  <c r="Q248" i="61" s="1"/>
  <c r="R248" i="61" s="1"/>
  <c r="S248" i="61" s="1"/>
  <c r="T248" i="61" s="1"/>
  <c r="U248" i="61" s="1"/>
  <c r="V248" i="61" s="1"/>
  <c r="W248" i="61" s="1"/>
  <c r="X248" i="61" s="1"/>
  <c r="Y248" i="61" s="1"/>
  <c r="Z248" i="61" s="1"/>
  <c r="AA248" i="61" s="1"/>
  <c r="AB248" i="61" s="1"/>
  <c r="AC248" i="61" s="1"/>
  <c r="AD248" i="61" s="1"/>
  <c r="AE248" i="61" s="1"/>
  <c r="AF248" i="61" s="1"/>
  <c r="B248" i="61" s="1"/>
  <c r="D247" i="61"/>
  <c r="E247" i="61" s="1"/>
  <c r="F247" i="61" s="1"/>
  <c r="G247" i="61" s="1"/>
  <c r="H247" i="61" s="1"/>
  <c r="I247" i="61" s="1"/>
  <c r="J247" i="61" s="1"/>
  <c r="K247" i="61" s="1"/>
  <c r="L247" i="61" s="1"/>
  <c r="M247" i="61" s="1"/>
  <c r="N247" i="61" s="1"/>
  <c r="O247" i="61" s="1"/>
  <c r="P247" i="61" s="1"/>
  <c r="Q247" i="61" s="1"/>
  <c r="R247" i="61" s="1"/>
  <c r="S247" i="61" s="1"/>
  <c r="T247" i="61" s="1"/>
  <c r="U247" i="61" s="1"/>
  <c r="V247" i="61" s="1"/>
  <c r="W247" i="61" s="1"/>
  <c r="X247" i="61" s="1"/>
  <c r="Y247" i="61" s="1"/>
  <c r="Z247" i="61" s="1"/>
  <c r="AA247" i="61" s="1"/>
  <c r="AB247" i="61" s="1"/>
  <c r="AC247" i="61" s="1"/>
  <c r="AD247" i="61" s="1"/>
  <c r="AE247" i="61" s="1"/>
  <c r="AF247" i="61" s="1"/>
  <c r="B247" i="61" s="1"/>
  <c r="D246" i="61"/>
  <c r="AG244" i="61"/>
  <c r="AF244" i="61"/>
  <c r="AE244" i="61"/>
  <c r="AD244" i="61"/>
  <c r="AC244" i="61"/>
  <c r="AB244" i="61"/>
  <c r="AA244" i="61"/>
  <c r="Z244" i="61"/>
  <c r="Z118" i="61" s="1"/>
  <c r="Y244" i="61"/>
  <c r="X244" i="61"/>
  <c r="W244" i="61"/>
  <c r="V244" i="61"/>
  <c r="U244" i="61"/>
  <c r="T244" i="61"/>
  <c r="S244" i="61"/>
  <c r="R244" i="61"/>
  <c r="Q244" i="61"/>
  <c r="P244" i="61"/>
  <c r="O244" i="61"/>
  <c r="N244" i="61"/>
  <c r="M244" i="61"/>
  <c r="L244" i="61"/>
  <c r="K244" i="61"/>
  <c r="J244" i="61"/>
  <c r="I244" i="61"/>
  <c r="H244" i="61"/>
  <c r="G244" i="61"/>
  <c r="F244" i="61"/>
  <c r="E244" i="61"/>
  <c r="D244" i="61"/>
  <c r="C244" i="61"/>
  <c r="B244" i="61"/>
  <c r="AI130" i="61"/>
  <c r="AH130" i="61"/>
  <c r="AI129" i="61"/>
  <c r="AH129" i="61"/>
  <c r="AI128" i="61"/>
  <c r="AH128" i="61"/>
  <c r="AI127" i="61"/>
  <c r="AH127" i="61"/>
  <c r="AI126" i="61"/>
  <c r="AH126" i="61"/>
  <c r="AI123" i="61"/>
  <c r="AH123" i="61"/>
  <c r="AI122" i="61"/>
  <c r="AH122" i="61"/>
  <c r="AI121" i="61"/>
  <c r="AH121" i="61"/>
  <c r="AI120" i="61"/>
  <c r="AH120" i="61"/>
  <c r="AI119" i="61"/>
  <c r="AH119" i="61"/>
  <c r="Y118" i="61"/>
  <c r="C118" i="61"/>
  <c r="AI117" i="61"/>
  <c r="AH117" i="61"/>
  <c r="AI116" i="61"/>
  <c r="AH116" i="61"/>
  <c r="AI115" i="61"/>
  <c r="AH115" i="61"/>
  <c r="AI114" i="61"/>
  <c r="AH114" i="61"/>
  <c r="AI113" i="61"/>
  <c r="AH113" i="61"/>
  <c r="AI112" i="61"/>
  <c r="AH112" i="61"/>
  <c r="AI111" i="61"/>
  <c r="AH111" i="61"/>
  <c r="AI110" i="61"/>
  <c r="AH110" i="61"/>
  <c r="AI109" i="61"/>
  <c r="AH109" i="61"/>
  <c r="AI106" i="61"/>
  <c r="AH106" i="61"/>
  <c r="AB105" i="61"/>
  <c r="AA105" i="61"/>
  <c r="Z105" i="61"/>
  <c r="Y105" i="61"/>
  <c r="X105" i="61"/>
  <c r="W105" i="61"/>
  <c r="V105" i="61"/>
  <c r="U105" i="61"/>
  <c r="T105" i="61"/>
  <c r="S105" i="61"/>
  <c r="R105" i="61"/>
  <c r="Q105" i="61"/>
  <c r="P105" i="61"/>
  <c r="O105" i="61"/>
  <c r="N105" i="61"/>
  <c r="M105" i="61"/>
  <c r="L105" i="61"/>
  <c r="K105" i="61"/>
  <c r="J105" i="61"/>
  <c r="I105" i="61"/>
  <c r="H105" i="61"/>
  <c r="G105" i="61"/>
  <c r="F105" i="61"/>
  <c r="E105" i="61"/>
  <c r="D105" i="61"/>
  <c r="C105" i="61"/>
  <c r="B105" i="61"/>
  <c r="AB104" i="61"/>
  <c r="AA104" i="61"/>
  <c r="Z104" i="61"/>
  <c r="Y104" i="61"/>
  <c r="X104" i="61"/>
  <c r="W104" i="61"/>
  <c r="V104" i="61"/>
  <c r="U104" i="61"/>
  <c r="T104" i="61"/>
  <c r="S104" i="61"/>
  <c r="R104" i="61"/>
  <c r="Q104" i="61"/>
  <c r="P104" i="61"/>
  <c r="O104" i="61"/>
  <c r="N104" i="61"/>
  <c r="M104" i="61"/>
  <c r="L104" i="61"/>
  <c r="K104" i="61"/>
  <c r="J104" i="61"/>
  <c r="I104" i="61"/>
  <c r="H104" i="61"/>
  <c r="G104" i="61"/>
  <c r="F104" i="61"/>
  <c r="E104" i="61"/>
  <c r="D104" i="61"/>
  <c r="C104" i="61"/>
  <c r="B104" i="61"/>
  <c r="AB103" i="61"/>
  <c r="AA103" i="61"/>
  <c r="Z103" i="61"/>
  <c r="Y103" i="61"/>
  <c r="X103" i="61"/>
  <c r="W103" i="61"/>
  <c r="V103" i="61"/>
  <c r="U103" i="61"/>
  <c r="T103" i="61"/>
  <c r="S103" i="61"/>
  <c r="R103" i="61"/>
  <c r="Q103" i="61"/>
  <c r="P103" i="61"/>
  <c r="O103" i="61"/>
  <c r="N103" i="61"/>
  <c r="M103" i="61"/>
  <c r="L103" i="61"/>
  <c r="K103" i="61"/>
  <c r="J103" i="61"/>
  <c r="I103" i="61"/>
  <c r="H103" i="61"/>
  <c r="G103" i="61"/>
  <c r="F103" i="61"/>
  <c r="E103" i="61"/>
  <c r="D103" i="61"/>
  <c r="C103" i="61"/>
  <c r="B103" i="61"/>
  <c r="AB102" i="61"/>
  <c r="AA102" i="61"/>
  <c r="Z102" i="61"/>
  <c r="Y102" i="61"/>
  <c r="X102" i="61"/>
  <c r="W102" i="61"/>
  <c r="V102" i="61"/>
  <c r="U102" i="61"/>
  <c r="T102" i="61"/>
  <c r="S102" i="61"/>
  <c r="R102" i="61"/>
  <c r="Q102" i="61"/>
  <c r="P102" i="61"/>
  <c r="O102" i="61"/>
  <c r="N102" i="61"/>
  <c r="M102" i="61"/>
  <c r="L102" i="61"/>
  <c r="K102" i="61"/>
  <c r="J102" i="61"/>
  <c r="I102" i="61"/>
  <c r="H102" i="61"/>
  <c r="G102" i="61"/>
  <c r="F102" i="61"/>
  <c r="E102" i="61"/>
  <c r="D102" i="61"/>
  <c r="C102" i="61"/>
  <c r="B102" i="61"/>
  <c r="AB101" i="61"/>
  <c r="AA101" i="61"/>
  <c r="Z101" i="61"/>
  <c r="Y101" i="61"/>
  <c r="X101" i="61"/>
  <c r="W101" i="61"/>
  <c r="V101" i="61"/>
  <c r="U101" i="61"/>
  <c r="T101" i="61"/>
  <c r="S101" i="61"/>
  <c r="R101" i="61"/>
  <c r="Q101" i="61"/>
  <c r="P101" i="61"/>
  <c r="O101" i="61"/>
  <c r="N101" i="61"/>
  <c r="M101" i="61"/>
  <c r="L101" i="61"/>
  <c r="K101" i="61"/>
  <c r="J101" i="61"/>
  <c r="I101" i="61"/>
  <c r="H101" i="61"/>
  <c r="G101" i="61"/>
  <c r="F101" i="61"/>
  <c r="E101" i="61"/>
  <c r="D101" i="61"/>
  <c r="C101" i="61"/>
  <c r="B101" i="61"/>
  <c r="AI98" i="61"/>
  <c r="AH98" i="61"/>
  <c r="AI96" i="61"/>
  <c r="AH96" i="61"/>
  <c r="AG96" i="61"/>
  <c r="AI95" i="61"/>
  <c r="AH95" i="61"/>
  <c r="AI94" i="61"/>
  <c r="AH94" i="61"/>
  <c r="AI93" i="61"/>
  <c r="AH93" i="61"/>
  <c r="AG92" i="61"/>
  <c r="AE5" i="61"/>
  <c r="AD5" i="61"/>
  <c r="AB5" i="61"/>
  <c r="AB92" i="61"/>
  <c r="AA92" i="61"/>
  <c r="Z92" i="61"/>
  <c r="Y5" i="61" s="1"/>
  <c r="Y92" i="61"/>
  <c r="X5" i="61" s="1"/>
  <c r="X92" i="61"/>
  <c r="W5" i="61" s="1"/>
  <c r="W92" i="61"/>
  <c r="V5" i="61" s="1"/>
  <c r="V92" i="61"/>
  <c r="U5" i="61" s="1"/>
  <c r="U92" i="61"/>
  <c r="T5" i="61" s="1"/>
  <c r="T92" i="61"/>
  <c r="S92" i="61"/>
  <c r="R92" i="61"/>
  <c r="Q5" i="61" s="1"/>
  <c r="Q92" i="61"/>
  <c r="P5" i="61" s="1"/>
  <c r="P92" i="61"/>
  <c r="O5" i="61" s="1"/>
  <c r="O92" i="61"/>
  <c r="N5" i="61" s="1"/>
  <c r="N92" i="61"/>
  <c r="M5" i="61" s="1"/>
  <c r="M92" i="61"/>
  <c r="L5" i="61" s="1"/>
  <c r="L92" i="61"/>
  <c r="K92" i="61"/>
  <c r="J92" i="61"/>
  <c r="I5" i="61" s="1"/>
  <c r="I92" i="61"/>
  <c r="H5" i="61" s="1"/>
  <c r="H92" i="61"/>
  <c r="G5" i="61" s="1"/>
  <c r="G92" i="61"/>
  <c r="F5" i="61" s="1"/>
  <c r="F92" i="61"/>
  <c r="E5" i="61" s="1"/>
  <c r="E92" i="61"/>
  <c r="D5" i="61" s="1"/>
  <c r="D92" i="61"/>
  <c r="C92" i="61"/>
  <c r="B92" i="61"/>
  <c r="AF5" i="61" s="1"/>
  <c r="AI91" i="61"/>
  <c r="AH91" i="61"/>
  <c r="AI90" i="61"/>
  <c r="AH90" i="61"/>
  <c r="AI89" i="61"/>
  <c r="AH89" i="61"/>
  <c r="AI88" i="61"/>
  <c r="AH88" i="61"/>
  <c r="AI87" i="61"/>
  <c r="AH87" i="61"/>
  <c r="AI86" i="61"/>
  <c r="AH86" i="61"/>
  <c r="AI85" i="61"/>
  <c r="AH85" i="61"/>
  <c r="AI84" i="61"/>
  <c r="AH84" i="61"/>
  <c r="AI83" i="61"/>
  <c r="AH83" i="61"/>
  <c r="AI82" i="61"/>
  <c r="AH82" i="61"/>
  <c r="AI81" i="61"/>
  <c r="AH81" i="61"/>
  <c r="AG80" i="61"/>
  <c r="AG4" i="61" s="1"/>
  <c r="AB80" i="61"/>
  <c r="AA80" i="61"/>
  <c r="Z80" i="61"/>
  <c r="Y80" i="61"/>
  <c r="X80" i="61"/>
  <c r="W80" i="61"/>
  <c r="V80" i="61"/>
  <c r="U80" i="61"/>
  <c r="T80" i="61"/>
  <c r="S80" i="61"/>
  <c r="R80" i="61"/>
  <c r="Q80" i="61"/>
  <c r="P80" i="61"/>
  <c r="O80" i="61"/>
  <c r="N80" i="61"/>
  <c r="M80" i="61"/>
  <c r="L80" i="61"/>
  <c r="K80" i="61"/>
  <c r="J80" i="61"/>
  <c r="I80" i="61"/>
  <c r="H80" i="61"/>
  <c r="G80" i="61"/>
  <c r="F80" i="61"/>
  <c r="E80" i="61"/>
  <c r="D80" i="61"/>
  <c r="C80" i="61"/>
  <c r="B80" i="61"/>
  <c r="AI79" i="61"/>
  <c r="AH79" i="61"/>
  <c r="AI78" i="61"/>
  <c r="AH78" i="61"/>
  <c r="AI77" i="61"/>
  <c r="AH77" i="61"/>
  <c r="AB76" i="61"/>
  <c r="AA76" i="61"/>
  <c r="Z76" i="61"/>
  <c r="Y76" i="61"/>
  <c r="X76" i="61"/>
  <c r="V76" i="61"/>
  <c r="U76" i="61"/>
  <c r="T76" i="61"/>
  <c r="S76" i="61"/>
  <c r="R76" i="61"/>
  <c r="Q76" i="61"/>
  <c r="P76" i="61"/>
  <c r="O76" i="61"/>
  <c r="N76" i="61"/>
  <c r="M76" i="61"/>
  <c r="L76" i="61"/>
  <c r="K76" i="61"/>
  <c r="J76" i="61"/>
  <c r="I76" i="61"/>
  <c r="H76" i="61"/>
  <c r="G76" i="61"/>
  <c r="F76" i="61"/>
  <c r="E76" i="61"/>
  <c r="D76" i="61"/>
  <c r="C76" i="61"/>
  <c r="B76" i="61"/>
  <c r="AI75" i="61"/>
  <c r="AH75" i="61"/>
  <c r="AG75" i="61"/>
  <c r="AG76" i="61" s="1"/>
  <c r="AG3" i="61" s="1"/>
  <c r="AI74" i="61"/>
  <c r="AH74" i="61"/>
  <c r="AI73" i="61"/>
  <c r="AH73" i="61"/>
  <c r="AI72" i="61"/>
  <c r="AH72" i="61"/>
  <c r="AI71" i="61"/>
  <c r="AH71" i="61"/>
  <c r="AI70" i="61"/>
  <c r="AH70" i="61"/>
  <c r="AI69" i="61"/>
  <c r="AH69" i="61"/>
  <c r="AI68" i="61"/>
  <c r="AH68" i="61"/>
  <c r="AI67" i="61"/>
  <c r="AH67" i="61"/>
  <c r="AI66" i="61"/>
  <c r="AH66" i="61"/>
  <c r="AI65" i="61"/>
  <c r="AH65" i="61"/>
  <c r="AI64" i="61"/>
  <c r="AH64" i="61"/>
  <c r="AI63" i="61"/>
  <c r="AH63" i="61"/>
  <c r="AG62" i="61"/>
  <c r="AB62" i="61"/>
  <c r="AA62" i="61"/>
  <c r="Z62" i="61"/>
  <c r="Y62" i="61"/>
  <c r="X62" i="61"/>
  <c r="V62" i="61"/>
  <c r="U62" i="61"/>
  <c r="L62" i="61"/>
  <c r="K62" i="61"/>
  <c r="J62" i="61"/>
  <c r="I62" i="61"/>
  <c r="H62" i="61"/>
  <c r="G62" i="61"/>
  <c r="F62" i="61"/>
  <c r="D62" i="61"/>
  <c r="C62" i="61"/>
  <c r="B62" i="61"/>
  <c r="AI61" i="61"/>
  <c r="AH61" i="61"/>
  <c r="AI60" i="61"/>
  <c r="AH60" i="61"/>
  <c r="AI59" i="61"/>
  <c r="AH59" i="61"/>
  <c r="AG58" i="61"/>
  <c r="AG2" i="61" s="1"/>
  <c r="AB58" i="61"/>
  <c r="AA58" i="61"/>
  <c r="Z58" i="61"/>
  <c r="Y58" i="61"/>
  <c r="X58" i="61"/>
  <c r="V58" i="61"/>
  <c r="U58" i="61"/>
  <c r="T58" i="61"/>
  <c r="R58" i="61"/>
  <c r="Q58" i="61"/>
  <c r="P58" i="61"/>
  <c r="O58" i="61"/>
  <c r="N58" i="61"/>
  <c r="M58" i="61"/>
  <c r="L58" i="61"/>
  <c r="K58" i="61"/>
  <c r="J58" i="61"/>
  <c r="I58" i="61"/>
  <c r="H58" i="61"/>
  <c r="G58" i="61"/>
  <c r="F58" i="61"/>
  <c r="D58" i="61"/>
  <c r="C58" i="61"/>
  <c r="B58" i="61"/>
  <c r="AI57" i="61"/>
  <c r="AH57" i="61"/>
  <c r="AI56" i="61"/>
  <c r="AH56" i="61"/>
  <c r="AI55" i="61"/>
  <c r="AH55" i="61"/>
  <c r="AI54" i="61"/>
  <c r="AH54" i="61"/>
  <c r="AI53" i="61"/>
  <c r="AH53" i="61"/>
  <c r="AI52" i="61"/>
  <c r="AH52" i="61"/>
  <c r="AI51" i="61"/>
  <c r="AH51" i="61"/>
  <c r="AI50" i="61"/>
  <c r="AH50" i="61"/>
  <c r="AI49" i="61"/>
  <c r="AH49" i="61"/>
  <c r="AI48" i="61"/>
  <c r="AH48" i="61"/>
  <c r="AI47" i="61"/>
  <c r="AH47" i="61"/>
  <c r="AI46" i="61"/>
  <c r="AH46" i="61"/>
  <c r="AI45" i="61"/>
  <c r="AH45" i="61"/>
  <c r="AI44" i="61"/>
  <c r="AH44" i="61"/>
  <c r="AI43" i="61"/>
  <c r="AH43" i="61"/>
  <c r="AI42" i="61"/>
  <c r="AH42" i="61"/>
  <c r="AI41" i="61"/>
  <c r="AH41" i="61"/>
  <c r="AI40" i="61"/>
  <c r="AH40" i="61"/>
  <c r="AI39" i="61"/>
  <c r="AH39" i="61"/>
  <c r="AI38" i="61"/>
  <c r="AH38" i="61"/>
  <c r="AI37" i="61"/>
  <c r="AH37" i="61"/>
  <c r="AI36" i="61"/>
  <c r="AH36" i="61"/>
  <c r="AI35" i="61"/>
  <c r="AH35" i="61"/>
  <c r="AI34" i="61"/>
  <c r="AH34" i="61"/>
  <c r="AI33" i="61"/>
  <c r="AH33" i="61"/>
  <c r="AI32" i="61"/>
  <c r="AH32" i="61"/>
  <c r="AI31" i="61"/>
  <c r="AH31" i="61"/>
  <c r="AI30" i="61"/>
  <c r="AH30" i="61"/>
  <c r="AI29" i="61"/>
  <c r="AH29" i="61"/>
  <c r="AI28" i="61"/>
  <c r="AH28" i="61"/>
  <c r="AI27" i="61"/>
  <c r="AH27" i="61"/>
  <c r="AI26" i="61"/>
  <c r="AH26" i="61"/>
  <c r="AI25" i="61"/>
  <c r="AH25" i="61"/>
  <c r="AI24" i="61"/>
  <c r="AH24" i="61"/>
  <c r="AI23" i="61"/>
  <c r="AH23" i="61"/>
  <c r="AI22" i="61"/>
  <c r="AH22" i="61"/>
  <c r="AI21" i="61"/>
  <c r="AH21" i="61"/>
  <c r="AI20" i="61"/>
  <c r="AH20" i="61"/>
  <c r="AI19" i="61"/>
  <c r="AH19" i="61"/>
  <c r="AI18" i="61"/>
  <c r="AH18" i="61"/>
  <c r="AI17" i="61"/>
  <c r="AH17" i="61"/>
  <c r="AI16" i="61"/>
  <c r="AH16" i="61"/>
  <c r="AI15" i="61"/>
  <c r="AH15" i="61"/>
  <c r="AI14" i="61"/>
  <c r="AH14" i="61"/>
  <c r="AI13" i="61"/>
  <c r="AH13" i="61"/>
  <c r="AI12" i="61"/>
  <c r="AH12" i="61"/>
  <c r="AI11" i="61"/>
  <c r="AH11" i="61"/>
  <c r="AC5" i="61"/>
  <c r="K4" i="61"/>
  <c r="E4" i="61"/>
  <c r="H4" i="61" s="1"/>
  <c r="B4" i="61"/>
  <c r="S258" i="61" s="1"/>
  <c r="AF57" i="59"/>
  <c r="AF123" i="59"/>
  <c r="AE57" i="59"/>
  <c r="AE123" i="59"/>
  <c r="AD118" i="59"/>
  <c r="AD123" i="59"/>
  <c r="AD121" i="59"/>
  <c r="AD57" i="59"/>
  <c r="AC123" i="59"/>
  <c r="AC121" i="59"/>
  <c r="AC57" i="59"/>
  <c r="AB123" i="59"/>
  <c r="X107" i="61" l="1"/>
  <c r="R107" i="61"/>
  <c r="R108" i="61" s="1"/>
  <c r="Z107" i="61"/>
  <c r="Z108" i="61" s="1"/>
  <c r="Q97" i="61"/>
  <c r="Q99" i="61" s="1"/>
  <c r="AI261" i="61" s="1"/>
  <c r="Y97" i="61"/>
  <c r="Y99" i="61" s="1"/>
  <c r="AQ261" i="61" s="1"/>
  <c r="S107" i="61"/>
  <c r="S108" i="61" s="1"/>
  <c r="AA107" i="61"/>
  <c r="K107" i="61"/>
  <c r="K108" i="61" s="1"/>
  <c r="J107" i="61"/>
  <c r="J108" i="61" s="1"/>
  <c r="I97" i="61"/>
  <c r="I99" i="61" s="1"/>
  <c r="AA261" i="61" s="1"/>
  <c r="H107" i="61"/>
  <c r="H97" i="61"/>
  <c r="H99" i="61" s="1"/>
  <c r="Z261" i="61" s="1"/>
  <c r="C107" i="61"/>
  <c r="C108" i="61" s="1"/>
  <c r="B107" i="61"/>
  <c r="D107" i="61"/>
  <c r="D108" i="61" s="1"/>
  <c r="L107" i="61"/>
  <c r="L108" i="61" s="1"/>
  <c r="T107" i="61"/>
  <c r="AB107" i="61"/>
  <c r="AB108" i="61" s="1"/>
  <c r="F97" i="61"/>
  <c r="F99" i="61" s="1"/>
  <c r="X261" i="61" s="1"/>
  <c r="E107" i="61"/>
  <c r="E108" i="61" s="1"/>
  <c r="M107" i="61"/>
  <c r="M108" i="61" s="1"/>
  <c r="U107" i="61"/>
  <c r="U108" i="61" s="1"/>
  <c r="N97" i="61"/>
  <c r="N99" i="61" s="1"/>
  <c r="AF261" i="61" s="1"/>
  <c r="V97" i="61"/>
  <c r="V99" i="61" s="1"/>
  <c r="AN261" i="61" s="1"/>
  <c r="P97" i="61"/>
  <c r="P99" i="61" s="1"/>
  <c r="AH261" i="61" s="1"/>
  <c r="X97" i="61"/>
  <c r="X99" i="61" s="1"/>
  <c r="AP261" i="61" s="1"/>
  <c r="AX261" i="61"/>
  <c r="AH62" i="61"/>
  <c r="AI80" i="61"/>
  <c r="P107" i="61"/>
  <c r="P108" i="61" s="1"/>
  <c r="AH102" i="61"/>
  <c r="AI58" i="61"/>
  <c r="Z97" i="61"/>
  <c r="Z99" i="61" s="1"/>
  <c r="AR261" i="61" s="1"/>
  <c r="AI76" i="61"/>
  <c r="C282" i="61"/>
  <c r="G97" i="61"/>
  <c r="G99" i="61" s="1"/>
  <c r="Y261" i="61" s="1"/>
  <c r="O97" i="61"/>
  <c r="O99" i="61" s="1"/>
  <c r="AG261" i="61" s="1"/>
  <c r="W97" i="61"/>
  <c r="W99" i="61" s="1"/>
  <c r="AO261" i="61" s="1"/>
  <c r="J97" i="61"/>
  <c r="J99" i="61" s="1"/>
  <c r="J100" i="61" s="1"/>
  <c r="J7" i="61" s="1"/>
  <c r="R97" i="61"/>
  <c r="R99" i="61" s="1"/>
  <c r="AJ261" i="61" s="1"/>
  <c r="AH76" i="61"/>
  <c r="E97" i="61"/>
  <c r="E99" i="61" s="1"/>
  <c r="M97" i="61"/>
  <c r="M99" i="61" s="1"/>
  <c r="U97" i="61"/>
  <c r="U99" i="61" s="1"/>
  <c r="U100" i="61" s="1"/>
  <c r="U7" i="61" s="1"/>
  <c r="AU261" i="61"/>
  <c r="AI62" i="61"/>
  <c r="B108" i="61"/>
  <c r="C5" i="61"/>
  <c r="AG99" i="61"/>
  <c r="AH92" i="61"/>
  <c r="AI92" i="61"/>
  <c r="D252" i="61"/>
  <c r="E246" i="61"/>
  <c r="D118" i="61"/>
  <c r="AG6" i="61"/>
  <c r="AH80" i="61"/>
  <c r="B5" i="61"/>
  <c r="J5" i="61"/>
  <c r="R5" i="61"/>
  <c r="Z5" i="61"/>
  <c r="AA108" i="61"/>
  <c r="AG97" i="61"/>
  <c r="F107" i="61"/>
  <c r="N107" i="61"/>
  <c r="N108" i="61" s="1"/>
  <c r="V107" i="61"/>
  <c r="V108" i="61" s="1"/>
  <c r="F251" i="61"/>
  <c r="T108" i="61"/>
  <c r="S5" i="61"/>
  <c r="C97" i="61"/>
  <c r="C99" i="61" s="1"/>
  <c r="AA97" i="61"/>
  <c r="AA99" i="61" s="1"/>
  <c r="G107" i="61"/>
  <c r="O107" i="61"/>
  <c r="O108" i="61" s="1"/>
  <c r="W107" i="61"/>
  <c r="W108" i="61" s="1"/>
  <c r="D97" i="61"/>
  <c r="D99" i="61" s="1"/>
  <c r="L97" i="61"/>
  <c r="L99" i="61" s="1"/>
  <c r="T97" i="61"/>
  <c r="T99" i="61" s="1"/>
  <c r="AB97" i="61"/>
  <c r="AB99" i="61" s="1"/>
  <c r="I107" i="61"/>
  <c r="I108" i="61" s="1"/>
  <c r="Q107" i="61"/>
  <c r="Q108" i="61" s="1"/>
  <c r="Y107" i="61"/>
  <c r="Y108" i="61" s="1"/>
  <c r="AH101" i="61"/>
  <c r="AI105" i="61"/>
  <c r="K97" i="61"/>
  <c r="K99" i="61" s="1"/>
  <c r="AI101" i="61"/>
  <c r="AI104" i="61"/>
  <c r="K5" i="61"/>
  <c r="S97" i="61"/>
  <c r="S99" i="61" s="1"/>
  <c r="AV261" i="61"/>
  <c r="H108" i="61"/>
  <c r="X108" i="61"/>
  <c r="AI102" i="61"/>
  <c r="AI103" i="61"/>
  <c r="AA5" i="61"/>
  <c r="AW261" i="61"/>
  <c r="AE7" i="61"/>
  <c r="AH105" i="61"/>
  <c r="D258" i="61"/>
  <c r="AH58" i="61"/>
  <c r="B97" i="61"/>
  <c r="AH103" i="61"/>
  <c r="AH104" i="61"/>
  <c r="AA123" i="59"/>
  <c r="X123" i="59"/>
  <c r="W123" i="59"/>
  <c r="V123" i="59"/>
  <c r="T123" i="59"/>
  <c r="S123" i="59"/>
  <c r="S57" i="59"/>
  <c r="R123" i="59"/>
  <c r="R57" i="59"/>
  <c r="Q57" i="59"/>
  <c r="Q123" i="59"/>
  <c r="M100" i="61" l="1"/>
  <c r="M7" i="61" s="1"/>
  <c r="P100" i="61"/>
  <c r="P7" i="61" s="1"/>
  <c r="E100" i="61"/>
  <c r="E7" i="61" s="1"/>
  <c r="AC7" i="61"/>
  <c r="AM261" i="61"/>
  <c r="W100" i="61"/>
  <c r="W7" i="61" s="1"/>
  <c r="I100" i="61"/>
  <c r="I7" i="61" s="1"/>
  <c r="H100" i="61"/>
  <c r="H7" i="61" s="1"/>
  <c r="Y100" i="61"/>
  <c r="Y7" i="61" s="1"/>
  <c r="N100" i="61"/>
  <c r="N7" i="61" s="1"/>
  <c r="AE261" i="61"/>
  <c r="AF7" i="61"/>
  <c r="AD7" i="61"/>
  <c r="AH107" i="61"/>
  <c r="Z100" i="61"/>
  <c r="Z7" i="61" s="1"/>
  <c r="F100" i="61"/>
  <c r="F7" i="61" s="1"/>
  <c r="F108" i="61"/>
  <c r="G100" i="61"/>
  <c r="G7" i="61" s="1"/>
  <c r="X100" i="61"/>
  <c r="X7" i="61" s="1"/>
  <c r="AB261" i="61"/>
  <c r="W261" i="61"/>
  <c r="R100" i="61"/>
  <c r="R7" i="61" s="1"/>
  <c r="AK261" i="61"/>
  <c r="S100" i="61"/>
  <c r="S7" i="61" s="1"/>
  <c r="AT261" i="61"/>
  <c r="AB100" i="61"/>
  <c r="AB7" i="61" s="1"/>
  <c r="O100" i="61"/>
  <c r="O7" i="61" s="1"/>
  <c r="V100" i="61"/>
  <c r="V7" i="61" s="1"/>
  <c r="AL261" i="61"/>
  <c r="T100" i="61"/>
  <c r="T7" i="61" s="1"/>
  <c r="E282" i="61"/>
  <c r="G251" i="61"/>
  <c r="AD261" i="61"/>
  <c r="L100" i="61"/>
  <c r="L7" i="61" s="1"/>
  <c r="G108" i="61"/>
  <c r="B256" i="61"/>
  <c r="V261" i="61"/>
  <c r="D100" i="61"/>
  <c r="D7" i="61" s="1"/>
  <c r="F246" i="61"/>
  <c r="E118" i="61"/>
  <c r="E252" i="61"/>
  <c r="AI107" i="61"/>
  <c r="C256" i="61"/>
  <c r="AC261" i="61"/>
  <c r="K100" i="61"/>
  <c r="K7" i="61" s="1"/>
  <c r="AS261" i="61"/>
  <c r="AA100" i="61"/>
  <c r="AA7" i="61" s="1"/>
  <c r="Q100" i="61"/>
  <c r="Q7" i="61" s="1"/>
  <c r="AI97" i="61"/>
  <c r="AH97" i="61"/>
  <c r="B99" i="61"/>
  <c r="U261" i="61"/>
  <c r="C100" i="61"/>
  <c r="C7" i="61" s="1"/>
  <c r="P57" i="59"/>
  <c r="O123" i="59"/>
  <c r="O57" i="59"/>
  <c r="N123" i="59"/>
  <c r="N57" i="59"/>
  <c r="M123" i="59"/>
  <c r="M57" i="59"/>
  <c r="L123" i="59"/>
  <c r="L121" i="59"/>
  <c r="K123" i="59"/>
  <c r="L57" i="59"/>
  <c r="K57" i="59"/>
  <c r="J123" i="59"/>
  <c r="J57" i="59"/>
  <c r="I123" i="59"/>
  <c r="H123" i="59"/>
  <c r="G123" i="59"/>
  <c r="F123" i="59"/>
  <c r="E123" i="59"/>
  <c r="D123" i="59"/>
  <c r="D58" i="59"/>
  <c r="D62" i="59"/>
  <c r="D76" i="59"/>
  <c r="D80" i="59"/>
  <c r="D92" i="59"/>
  <c r="D97" i="59" s="1"/>
  <c r="D99" i="59" s="1"/>
  <c r="D101" i="59"/>
  <c r="D107" i="59" s="1"/>
  <c r="D102" i="59"/>
  <c r="D103" i="59"/>
  <c r="D104" i="59"/>
  <c r="D105" i="59"/>
  <c r="D118" i="59"/>
  <c r="C123" i="59"/>
  <c r="C58" i="59"/>
  <c r="C62" i="59"/>
  <c r="C76" i="59"/>
  <c r="C80" i="59"/>
  <c r="C92" i="59"/>
  <c r="C97" i="59" s="1"/>
  <c r="C99" i="59" s="1"/>
  <c r="C101" i="59"/>
  <c r="C102" i="59"/>
  <c r="C103" i="59"/>
  <c r="C104" i="59"/>
  <c r="C105" i="59"/>
  <c r="C118" i="59"/>
  <c r="E140" i="60"/>
  <c r="E133" i="60"/>
  <c r="E143" i="60" s="1"/>
  <c r="E146" i="60" s="1"/>
  <c r="E119" i="60"/>
  <c r="E88" i="60"/>
  <c r="E82" i="60"/>
  <c r="E72" i="60"/>
  <c r="E47" i="60"/>
  <c r="H17" i="60"/>
  <c r="H16" i="60"/>
  <c r="I10" i="60"/>
  <c r="I9" i="60"/>
  <c r="I8" i="60"/>
  <c r="I14" i="60" s="1"/>
  <c r="I7" i="60"/>
  <c r="I11" i="60" s="1"/>
  <c r="K6" i="61" l="1"/>
  <c r="AI108" i="61"/>
  <c r="AI99" i="61"/>
  <c r="AH99" i="61"/>
  <c r="T261" i="61"/>
  <c r="B100" i="61"/>
  <c r="AH108" i="61"/>
  <c r="F282" i="61"/>
  <c r="H251" i="61"/>
  <c r="G246" i="61"/>
  <c r="F252" i="61"/>
  <c r="F118" i="61"/>
  <c r="C107" i="59"/>
  <c r="C100" i="59" s="1"/>
  <c r="D100" i="59"/>
  <c r="D108" i="59"/>
  <c r="B123" i="59"/>
  <c r="B118" i="59"/>
  <c r="B105" i="59"/>
  <c r="B104" i="59"/>
  <c r="B103" i="59"/>
  <c r="B102" i="59"/>
  <c r="B101" i="59"/>
  <c r="B107" i="59" s="1"/>
  <c r="B92" i="59"/>
  <c r="B80" i="59"/>
  <c r="B76" i="59"/>
  <c r="B62" i="59"/>
  <c r="B58" i="59"/>
  <c r="AF286" i="59"/>
  <c r="AE286" i="59"/>
  <c r="AD286" i="59"/>
  <c r="AC286" i="59"/>
  <c r="AB286" i="59"/>
  <c r="AA286" i="59"/>
  <c r="Z286" i="59"/>
  <c r="Y286" i="59"/>
  <c r="X286" i="59"/>
  <c r="W286" i="59"/>
  <c r="V286" i="59"/>
  <c r="U286" i="59"/>
  <c r="T286" i="59"/>
  <c r="S286" i="59"/>
  <c r="R286" i="59"/>
  <c r="Q286" i="59"/>
  <c r="P286" i="59"/>
  <c r="O286" i="59"/>
  <c r="N286" i="59"/>
  <c r="M286" i="59"/>
  <c r="L286" i="59"/>
  <c r="K286" i="59"/>
  <c r="J286" i="59"/>
  <c r="I286" i="59"/>
  <c r="H286" i="59"/>
  <c r="G286" i="59"/>
  <c r="F286" i="59"/>
  <c r="E286" i="59"/>
  <c r="D286" i="59"/>
  <c r="C286" i="59"/>
  <c r="B286" i="59"/>
  <c r="A286" i="59"/>
  <c r="AF285" i="59"/>
  <c r="AE285" i="59"/>
  <c r="AD285" i="59"/>
  <c r="AC285" i="59"/>
  <c r="AB285" i="59"/>
  <c r="AA285" i="59"/>
  <c r="Z285" i="59"/>
  <c r="Y285" i="59"/>
  <c r="X285" i="59"/>
  <c r="W285" i="59"/>
  <c r="V285" i="59"/>
  <c r="U285" i="59"/>
  <c r="T285" i="59"/>
  <c r="S285" i="59"/>
  <c r="R285" i="59"/>
  <c r="Q285" i="59"/>
  <c r="P285" i="59"/>
  <c r="O285" i="59"/>
  <c r="N285" i="59"/>
  <c r="M285" i="59"/>
  <c r="L285" i="59"/>
  <c r="K285" i="59"/>
  <c r="J285" i="59"/>
  <c r="I285" i="59"/>
  <c r="H285" i="59"/>
  <c r="G285" i="59"/>
  <c r="F285" i="59"/>
  <c r="E285" i="59"/>
  <c r="D285" i="59"/>
  <c r="C285" i="59"/>
  <c r="B285" i="59"/>
  <c r="A285" i="59"/>
  <c r="AF284" i="59"/>
  <c r="AE284" i="59"/>
  <c r="AD284" i="59"/>
  <c r="AC284" i="59"/>
  <c r="AB284" i="59"/>
  <c r="AA284" i="59"/>
  <c r="Z284" i="59"/>
  <c r="Y284" i="59"/>
  <c r="X284" i="59"/>
  <c r="W284" i="59"/>
  <c r="V284" i="59"/>
  <c r="U284" i="59"/>
  <c r="T284" i="59"/>
  <c r="S284" i="59"/>
  <c r="R284" i="59"/>
  <c r="Q284" i="59"/>
  <c r="P284" i="59"/>
  <c r="O284" i="59"/>
  <c r="N284" i="59"/>
  <c r="M284" i="59"/>
  <c r="L284" i="59"/>
  <c r="K284" i="59"/>
  <c r="J284" i="59"/>
  <c r="I284" i="59"/>
  <c r="H284" i="59"/>
  <c r="G284" i="59"/>
  <c r="F284" i="59"/>
  <c r="E284" i="59"/>
  <c r="D284" i="59"/>
  <c r="C284" i="59"/>
  <c r="B284" i="59"/>
  <c r="A284" i="59"/>
  <c r="AF283" i="59"/>
  <c r="AE283" i="59"/>
  <c r="AD283" i="59"/>
  <c r="AC283" i="59"/>
  <c r="AB283" i="59"/>
  <c r="AA283" i="59"/>
  <c r="Z283" i="59"/>
  <c r="Y283" i="59"/>
  <c r="X283" i="59"/>
  <c r="W283" i="59"/>
  <c r="V283" i="59"/>
  <c r="U283" i="59"/>
  <c r="T283" i="59"/>
  <c r="S283" i="59"/>
  <c r="R283" i="59"/>
  <c r="Q283" i="59"/>
  <c r="P283" i="59"/>
  <c r="O283" i="59"/>
  <c r="N283" i="59"/>
  <c r="M283" i="59"/>
  <c r="L283" i="59"/>
  <c r="K283" i="59"/>
  <c r="J283" i="59"/>
  <c r="I283" i="59"/>
  <c r="H283" i="59"/>
  <c r="G283" i="59"/>
  <c r="F283" i="59"/>
  <c r="E283" i="59"/>
  <c r="D283" i="59"/>
  <c r="C283" i="59"/>
  <c r="B283" i="59"/>
  <c r="A283" i="59"/>
  <c r="B282" i="59"/>
  <c r="S257" i="59"/>
  <c r="AG252" i="59"/>
  <c r="C252" i="59"/>
  <c r="D251" i="59"/>
  <c r="C282" i="59" s="1"/>
  <c r="D250" i="59"/>
  <c r="E250" i="59" s="1"/>
  <c r="F250" i="59" s="1"/>
  <c r="G250" i="59" s="1"/>
  <c r="H250" i="59" s="1"/>
  <c r="I250" i="59" s="1"/>
  <c r="J250" i="59" s="1"/>
  <c r="K250" i="59" s="1"/>
  <c r="L250" i="59" s="1"/>
  <c r="M250" i="59" s="1"/>
  <c r="N250" i="59" s="1"/>
  <c r="O250" i="59" s="1"/>
  <c r="P250" i="59" s="1"/>
  <c r="Q250" i="59" s="1"/>
  <c r="R250" i="59" s="1"/>
  <c r="S250" i="59" s="1"/>
  <c r="T250" i="59" s="1"/>
  <c r="U250" i="59" s="1"/>
  <c r="V250" i="59" s="1"/>
  <c r="W250" i="59" s="1"/>
  <c r="X250" i="59" s="1"/>
  <c r="Y250" i="59" s="1"/>
  <c r="Z250" i="59" s="1"/>
  <c r="AA250" i="59" s="1"/>
  <c r="AB250" i="59" s="1"/>
  <c r="AC250" i="59" s="1"/>
  <c r="AD250" i="59" s="1"/>
  <c r="AE250" i="59" s="1"/>
  <c r="AF250" i="59" s="1"/>
  <c r="B250" i="59" s="1"/>
  <c r="E249" i="59"/>
  <c r="F249" i="59" s="1"/>
  <c r="G249" i="59" s="1"/>
  <c r="H249" i="59" s="1"/>
  <c r="I249" i="59" s="1"/>
  <c r="J249" i="59" s="1"/>
  <c r="K249" i="59" s="1"/>
  <c r="L249" i="59" s="1"/>
  <c r="M249" i="59" s="1"/>
  <c r="N249" i="59" s="1"/>
  <c r="O249" i="59" s="1"/>
  <c r="P249" i="59" s="1"/>
  <c r="Q249" i="59" s="1"/>
  <c r="R249" i="59" s="1"/>
  <c r="S249" i="59" s="1"/>
  <c r="T249" i="59" s="1"/>
  <c r="U249" i="59" s="1"/>
  <c r="V249" i="59" s="1"/>
  <c r="W249" i="59" s="1"/>
  <c r="X249" i="59" s="1"/>
  <c r="Y249" i="59" s="1"/>
  <c r="Z249" i="59" s="1"/>
  <c r="AA249" i="59" s="1"/>
  <c r="AB249" i="59" s="1"/>
  <c r="AC249" i="59" s="1"/>
  <c r="AD249" i="59" s="1"/>
  <c r="AE249" i="59" s="1"/>
  <c r="AF249" i="59" s="1"/>
  <c r="B249" i="59" s="1"/>
  <c r="D249" i="59"/>
  <c r="D248" i="59"/>
  <c r="E248" i="59" s="1"/>
  <c r="F248" i="59" s="1"/>
  <c r="G248" i="59" s="1"/>
  <c r="H248" i="59" s="1"/>
  <c r="I248" i="59" s="1"/>
  <c r="J248" i="59" s="1"/>
  <c r="K248" i="59" s="1"/>
  <c r="L248" i="59" s="1"/>
  <c r="M248" i="59" s="1"/>
  <c r="N248" i="59" s="1"/>
  <c r="O248" i="59" s="1"/>
  <c r="P248" i="59" s="1"/>
  <c r="Q248" i="59" s="1"/>
  <c r="R248" i="59" s="1"/>
  <c r="S248" i="59" s="1"/>
  <c r="T248" i="59" s="1"/>
  <c r="U248" i="59" s="1"/>
  <c r="V248" i="59" s="1"/>
  <c r="W248" i="59" s="1"/>
  <c r="X248" i="59" s="1"/>
  <c r="Y248" i="59" s="1"/>
  <c r="Z248" i="59" s="1"/>
  <c r="AA248" i="59" s="1"/>
  <c r="AB248" i="59" s="1"/>
  <c r="AC248" i="59" s="1"/>
  <c r="AD248" i="59" s="1"/>
  <c r="AE248" i="59" s="1"/>
  <c r="AF248" i="59" s="1"/>
  <c r="B248" i="59" s="1"/>
  <c r="D247" i="59"/>
  <c r="E247" i="59" s="1"/>
  <c r="E246" i="59"/>
  <c r="F246" i="59" s="1"/>
  <c r="D246" i="59"/>
  <c r="D252" i="59" s="1"/>
  <c r="AG244" i="59"/>
  <c r="AF244" i="59"/>
  <c r="AE244" i="59"/>
  <c r="AD244" i="59"/>
  <c r="AC244" i="59"/>
  <c r="AB244" i="59"/>
  <c r="AA244" i="59"/>
  <c r="Z244" i="59"/>
  <c r="Z118" i="59" s="1"/>
  <c r="Y244" i="59"/>
  <c r="X244" i="59"/>
  <c r="W244" i="59"/>
  <c r="V244" i="59"/>
  <c r="U244" i="59"/>
  <c r="T244" i="59"/>
  <c r="S244" i="59"/>
  <c r="R244" i="59"/>
  <c r="Q244" i="59"/>
  <c r="P244" i="59"/>
  <c r="O244" i="59"/>
  <c r="N244" i="59"/>
  <c r="M244" i="59"/>
  <c r="L244" i="59"/>
  <c r="K244" i="59"/>
  <c r="J244" i="59"/>
  <c r="I244" i="59"/>
  <c r="H244" i="59"/>
  <c r="G244" i="59"/>
  <c r="F244" i="59"/>
  <c r="E244" i="59"/>
  <c r="D244" i="59"/>
  <c r="C244" i="59"/>
  <c r="B244" i="59"/>
  <c r="AI130" i="59"/>
  <c r="AH130" i="59"/>
  <c r="AI129" i="59"/>
  <c r="AH129" i="59"/>
  <c r="AI128" i="59"/>
  <c r="AH128" i="59"/>
  <c r="AI127" i="59"/>
  <c r="AH127" i="59"/>
  <c r="AI126" i="59"/>
  <c r="AH126" i="59"/>
  <c r="AI123" i="59"/>
  <c r="AH123" i="59"/>
  <c r="AI122" i="59"/>
  <c r="AH122" i="59"/>
  <c r="AI121" i="59"/>
  <c r="AH121" i="59"/>
  <c r="AI120" i="59"/>
  <c r="AH120" i="59"/>
  <c r="AI119" i="59"/>
  <c r="AH119" i="59"/>
  <c r="AI117" i="59"/>
  <c r="AH117" i="59"/>
  <c r="AI116" i="59"/>
  <c r="AH116" i="59"/>
  <c r="AI115" i="59"/>
  <c r="AH115" i="59"/>
  <c r="AI114" i="59"/>
  <c r="AH114" i="59"/>
  <c r="AI113" i="59"/>
  <c r="AH113" i="59"/>
  <c r="AI112" i="59"/>
  <c r="AH112" i="59"/>
  <c r="AI111" i="59"/>
  <c r="AH111" i="59"/>
  <c r="AI110" i="59"/>
  <c r="AH110" i="59"/>
  <c r="AI109" i="59"/>
  <c r="AH109" i="59"/>
  <c r="AF107" i="59"/>
  <c r="AI106" i="59"/>
  <c r="AH106" i="59"/>
  <c r="AF105" i="59"/>
  <c r="AE105" i="59"/>
  <c r="AD105" i="59"/>
  <c r="AC105" i="59"/>
  <c r="AB105" i="59"/>
  <c r="AA105" i="59"/>
  <c r="Z105" i="59"/>
  <c r="Y105" i="59"/>
  <c r="X105" i="59"/>
  <c r="W105" i="59"/>
  <c r="V105" i="59"/>
  <c r="U105" i="59"/>
  <c r="T105" i="59"/>
  <c r="S105" i="59"/>
  <c r="R105" i="59"/>
  <c r="Q105" i="59"/>
  <c r="P105" i="59"/>
  <c r="O105" i="59"/>
  <c r="N105" i="59"/>
  <c r="M105" i="59"/>
  <c r="L105" i="59"/>
  <c r="K105" i="59"/>
  <c r="J105" i="59"/>
  <c r="I105" i="59"/>
  <c r="H105" i="59"/>
  <c r="G105" i="59"/>
  <c r="F105" i="59"/>
  <c r="E105" i="59"/>
  <c r="AF104" i="59"/>
  <c r="AE104" i="59"/>
  <c r="AD104" i="59"/>
  <c r="AC104" i="59"/>
  <c r="AB104" i="59"/>
  <c r="AA104" i="59"/>
  <c r="Z104" i="59"/>
  <c r="Y104" i="59"/>
  <c r="X104" i="59"/>
  <c r="W104" i="59"/>
  <c r="V104" i="59"/>
  <c r="U104" i="59"/>
  <c r="T104" i="59"/>
  <c r="S104" i="59"/>
  <c r="R104" i="59"/>
  <c r="Q104" i="59"/>
  <c r="P104" i="59"/>
  <c r="O104" i="59"/>
  <c r="N104" i="59"/>
  <c r="M104" i="59"/>
  <c r="L104" i="59"/>
  <c r="K104" i="59"/>
  <c r="J104" i="59"/>
  <c r="I104" i="59"/>
  <c r="H104" i="59"/>
  <c r="G104" i="59"/>
  <c r="F104" i="59"/>
  <c r="E104" i="59"/>
  <c r="AF103" i="59"/>
  <c r="AE103" i="59"/>
  <c r="AD103" i="59"/>
  <c r="AC103" i="59"/>
  <c r="AB103" i="59"/>
  <c r="AA103" i="59"/>
  <c r="Z103" i="59"/>
  <c r="Y103" i="59"/>
  <c r="X103" i="59"/>
  <c r="W103" i="59"/>
  <c r="V103" i="59"/>
  <c r="U103" i="59"/>
  <c r="T103" i="59"/>
  <c r="S103" i="59"/>
  <c r="R103" i="59"/>
  <c r="Q103" i="59"/>
  <c r="P103" i="59"/>
  <c r="O103" i="59"/>
  <c r="N103" i="59"/>
  <c r="M103" i="59"/>
  <c r="L103" i="59"/>
  <c r="K103" i="59"/>
  <c r="J103" i="59"/>
  <c r="I103" i="59"/>
  <c r="H103" i="59"/>
  <c r="G103" i="59"/>
  <c r="F103" i="59"/>
  <c r="E103" i="59"/>
  <c r="AF102" i="59"/>
  <c r="AE102" i="59"/>
  <c r="AD102" i="59"/>
  <c r="AC102" i="59"/>
  <c r="AB102" i="59"/>
  <c r="AA102" i="59"/>
  <c r="Z102" i="59"/>
  <c r="Y102" i="59"/>
  <c r="X102" i="59"/>
  <c r="W102" i="59"/>
  <c r="V102" i="59"/>
  <c r="U102" i="59"/>
  <c r="T102" i="59"/>
  <c r="S102" i="59"/>
  <c r="R102" i="59"/>
  <c r="Q102" i="59"/>
  <c r="P102" i="59"/>
  <c r="O102" i="59"/>
  <c r="N102" i="59"/>
  <c r="M102" i="59"/>
  <c r="L102" i="59"/>
  <c r="K102" i="59"/>
  <c r="J102" i="59"/>
  <c r="I102" i="59"/>
  <c r="H102" i="59"/>
  <c r="G102" i="59"/>
  <c r="F102" i="59"/>
  <c r="E102" i="59"/>
  <c r="AF101" i="59"/>
  <c r="AE101" i="59"/>
  <c r="AD101" i="59"/>
  <c r="AD107" i="59" s="1"/>
  <c r="AC101" i="59"/>
  <c r="AB101" i="59"/>
  <c r="AB107" i="59" s="1"/>
  <c r="AA101" i="59"/>
  <c r="Z101" i="59"/>
  <c r="Y101" i="59"/>
  <c r="X101" i="59"/>
  <c r="W101" i="59"/>
  <c r="V101" i="59"/>
  <c r="U101" i="59"/>
  <c r="U107" i="59" s="1"/>
  <c r="T101" i="59"/>
  <c r="T107" i="59" s="1"/>
  <c r="S101" i="59"/>
  <c r="R101" i="59"/>
  <c r="Q101" i="59"/>
  <c r="P101" i="59"/>
  <c r="O101" i="59"/>
  <c r="N101" i="59"/>
  <c r="M101" i="59"/>
  <c r="M107" i="59" s="1"/>
  <c r="L101" i="59"/>
  <c r="K101" i="59"/>
  <c r="J101" i="59"/>
  <c r="I101" i="59"/>
  <c r="I107" i="59" s="1"/>
  <c r="H101" i="59"/>
  <c r="G101" i="59"/>
  <c r="F101" i="59"/>
  <c r="E101" i="59"/>
  <c r="AI98" i="59"/>
  <c r="AH98" i="59"/>
  <c r="AI96" i="59"/>
  <c r="AH96" i="59"/>
  <c r="AG96" i="59"/>
  <c r="AG99" i="59" s="1"/>
  <c r="AI95" i="59"/>
  <c r="AH95" i="59"/>
  <c r="AI94" i="59"/>
  <c r="AH94" i="59"/>
  <c r="AI93" i="59"/>
  <c r="AH93" i="59"/>
  <c r="AG92" i="59"/>
  <c r="AF92" i="59"/>
  <c r="AE92" i="59"/>
  <c r="AD5" i="59" s="1"/>
  <c r="AD92" i="59"/>
  <c r="AD108" i="59" s="1"/>
  <c r="AC92" i="59"/>
  <c r="AB92" i="59"/>
  <c r="AA5" i="59" s="1"/>
  <c r="AA92" i="59"/>
  <c r="Z5" i="59" s="1"/>
  <c r="Z92" i="59"/>
  <c r="Y5" i="59" s="1"/>
  <c r="Y92" i="59"/>
  <c r="X5" i="59" s="1"/>
  <c r="X92" i="59"/>
  <c r="W92" i="59"/>
  <c r="V5" i="59" s="1"/>
  <c r="V92" i="59"/>
  <c r="U5" i="59" s="1"/>
  <c r="U92" i="59"/>
  <c r="U108" i="59" s="1"/>
  <c r="T92" i="59"/>
  <c r="S5" i="59" s="1"/>
  <c r="S92" i="59"/>
  <c r="R5" i="59" s="1"/>
  <c r="R92" i="59"/>
  <c r="Q5" i="59" s="1"/>
  <c r="Q92" i="59"/>
  <c r="P5" i="59" s="1"/>
  <c r="P92" i="59"/>
  <c r="O92" i="59"/>
  <c r="N5" i="59" s="1"/>
  <c r="N92" i="59"/>
  <c r="M5" i="59" s="1"/>
  <c r="M92" i="59"/>
  <c r="M108" i="59" s="1"/>
  <c r="L92" i="59"/>
  <c r="K5" i="59" s="1"/>
  <c r="K92" i="59"/>
  <c r="J5" i="59" s="1"/>
  <c r="J92" i="59"/>
  <c r="I5" i="59" s="1"/>
  <c r="I92" i="59"/>
  <c r="H5" i="59" s="1"/>
  <c r="H92" i="59"/>
  <c r="G92" i="59"/>
  <c r="F5" i="59" s="1"/>
  <c r="F92" i="59"/>
  <c r="E92" i="59"/>
  <c r="D5" i="59" s="1"/>
  <c r="C5" i="59"/>
  <c r="AI91" i="59"/>
  <c r="AH91" i="59"/>
  <c r="AI90" i="59"/>
  <c r="AH90" i="59"/>
  <c r="AI89" i="59"/>
  <c r="AH89" i="59"/>
  <c r="AI88" i="59"/>
  <c r="AH88" i="59"/>
  <c r="AI87" i="59"/>
  <c r="AH87" i="59"/>
  <c r="AI85" i="59"/>
  <c r="AH85" i="59"/>
  <c r="AI84" i="59"/>
  <c r="AH84" i="59"/>
  <c r="AI83" i="59"/>
  <c r="AH83" i="59"/>
  <c r="AI82" i="59"/>
  <c r="AH82" i="59"/>
  <c r="AI81" i="59"/>
  <c r="AH81" i="59"/>
  <c r="AG80" i="59"/>
  <c r="AG4" i="59" s="1"/>
  <c r="AF80" i="59"/>
  <c r="AE80" i="59"/>
  <c r="AD80" i="59"/>
  <c r="AC80" i="59"/>
  <c r="AB80" i="59"/>
  <c r="AA80" i="59"/>
  <c r="Z80" i="59"/>
  <c r="Y80" i="59"/>
  <c r="X80" i="59"/>
  <c r="W80" i="59"/>
  <c r="V80" i="59"/>
  <c r="U80" i="59"/>
  <c r="T80" i="59"/>
  <c r="S80" i="59"/>
  <c r="R80" i="59"/>
  <c r="Q80" i="59"/>
  <c r="P80" i="59"/>
  <c r="O80" i="59"/>
  <c r="N80" i="59"/>
  <c r="M80" i="59"/>
  <c r="L80" i="59"/>
  <c r="K80" i="59"/>
  <c r="J80" i="59"/>
  <c r="I80" i="59"/>
  <c r="H80" i="59"/>
  <c r="G80" i="59"/>
  <c r="F80" i="59"/>
  <c r="E80" i="59"/>
  <c r="AI79" i="59"/>
  <c r="AH79" i="59"/>
  <c r="AI78" i="59"/>
  <c r="AH78" i="59"/>
  <c r="AI77" i="59"/>
  <c r="AH77" i="59"/>
  <c r="AG76" i="59"/>
  <c r="AG3" i="59" s="1"/>
  <c r="AF76" i="59"/>
  <c r="AE76" i="59"/>
  <c r="AD76" i="59"/>
  <c r="AC76" i="59"/>
  <c r="AB76" i="59"/>
  <c r="AA76" i="59"/>
  <c r="Z76" i="59"/>
  <c r="Y76" i="59"/>
  <c r="X76" i="59"/>
  <c r="W76" i="59"/>
  <c r="V76" i="59"/>
  <c r="U76" i="59"/>
  <c r="T76" i="59"/>
  <c r="S76" i="59"/>
  <c r="R76" i="59"/>
  <c r="Q76" i="59"/>
  <c r="P76" i="59"/>
  <c r="O76" i="59"/>
  <c r="N76" i="59"/>
  <c r="M76" i="59"/>
  <c r="L76" i="59"/>
  <c r="K76" i="59"/>
  <c r="J76" i="59"/>
  <c r="I76" i="59"/>
  <c r="H76" i="59"/>
  <c r="G76" i="59"/>
  <c r="F76" i="59"/>
  <c r="E76" i="59"/>
  <c r="AI75" i="59"/>
  <c r="AH75" i="59"/>
  <c r="AG75" i="59"/>
  <c r="AI74" i="59"/>
  <c r="AH74" i="59"/>
  <c r="AI73" i="59"/>
  <c r="AH73" i="59"/>
  <c r="AI72" i="59"/>
  <c r="AH72" i="59"/>
  <c r="AI71" i="59"/>
  <c r="AH71" i="59"/>
  <c r="AI70" i="59"/>
  <c r="AH70" i="59"/>
  <c r="AI69" i="59"/>
  <c r="AH69" i="59"/>
  <c r="AI68" i="59"/>
  <c r="AH68" i="59"/>
  <c r="AI67" i="59"/>
  <c r="AH67" i="59"/>
  <c r="AI66" i="59"/>
  <c r="AH66" i="59"/>
  <c r="AI65" i="59"/>
  <c r="AH65" i="59"/>
  <c r="AI64" i="59"/>
  <c r="AH64" i="59"/>
  <c r="AI63" i="59"/>
  <c r="AH63" i="59"/>
  <c r="AG62" i="59"/>
  <c r="AF62" i="59"/>
  <c r="AE62" i="59"/>
  <c r="AD62" i="59"/>
  <c r="AC62" i="59"/>
  <c r="AB62" i="59"/>
  <c r="AA62" i="59"/>
  <c r="Z62" i="59"/>
  <c r="Y62" i="59"/>
  <c r="X62" i="59"/>
  <c r="W62" i="59"/>
  <c r="V62" i="59"/>
  <c r="U62" i="59"/>
  <c r="T62" i="59"/>
  <c r="S62" i="59"/>
  <c r="R62" i="59"/>
  <c r="Q62" i="59"/>
  <c r="P62" i="59"/>
  <c r="O62" i="59"/>
  <c r="N62" i="59"/>
  <c r="M62" i="59"/>
  <c r="L62" i="59"/>
  <c r="K62" i="59"/>
  <c r="J62" i="59"/>
  <c r="I62" i="59"/>
  <c r="H62" i="59"/>
  <c r="G62" i="59"/>
  <c r="F62" i="59"/>
  <c r="E62" i="59"/>
  <c r="AI61" i="59"/>
  <c r="AH61" i="59"/>
  <c r="AI60" i="59"/>
  <c r="AH60" i="59"/>
  <c r="AI59" i="59"/>
  <c r="AH59" i="59"/>
  <c r="AG58" i="59"/>
  <c r="AG2" i="59" s="1"/>
  <c r="AG6" i="59" s="1"/>
  <c r="AF58" i="59"/>
  <c r="AE58" i="59"/>
  <c r="AD58" i="59"/>
  <c r="AC58" i="59"/>
  <c r="AB58" i="59"/>
  <c r="AA58" i="59"/>
  <c r="Z58" i="59"/>
  <c r="Y58" i="59"/>
  <c r="X58" i="59"/>
  <c r="W58" i="59"/>
  <c r="V58" i="59"/>
  <c r="U58" i="59"/>
  <c r="T58" i="59"/>
  <c r="S58" i="59"/>
  <c r="R58" i="59"/>
  <c r="Q58" i="59"/>
  <c r="P58" i="59"/>
  <c r="O58" i="59"/>
  <c r="N58" i="59"/>
  <c r="M58" i="59"/>
  <c r="L58" i="59"/>
  <c r="K58" i="59"/>
  <c r="J58" i="59"/>
  <c r="I58" i="59"/>
  <c r="H58" i="59"/>
  <c r="G58" i="59"/>
  <c r="F58" i="59"/>
  <c r="E58" i="59"/>
  <c r="AI57" i="59"/>
  <c r="AH57" i="59"/>
  <c r="AI56" i="59"/>
  <c r="AH56" i="59"/>
  <c r="AI55" i="59"/>
  <c r="AH55" i="59"/>
  <c r="AI54" i="59"/>
  <c r="AH54" i="59"/>
  <c r="AI53" i="59"/>
  <c r="AH53" i="59"/>
  <c r="AI52" i="59"/>
  <c r="AH52" i="59"/>
  <c r="AI51" i="59"/>
  <c r="AH51" i="59"/>
  <c r="AI50" i="59"/>
  <c r="AH50" i="59"/>
  <c r="AI49" i="59"/>
  <c r="AH49" i="59"/>
  <c r="AI48" i="59"/>
  <c r="AH48" i="59"/>
  <c r="AI47" i="59"/>
  <c r="AH47" i="59"/>
  <c r="AI46" i="59"/>
  <c r="AH46" i="59"/>
  <c r="AI45" i="59"/>
  <c r="AH45" i="59"/>
  <c r="AI44" i="59"/>
  <c r="AH44" i="59"/>
  <c r="AI43" i="59"/>
  <c r="AH43" i="59"/>
  <c r="AI42" i="59"/>
  <c r="AH42" i="59"/>
  <c r="AI41" i="59"/>
  <c r="AH41" i="59"/>
  <c r="AI40" i="59"/>
  <c r="AH40" i="59"/>
  <c r="AI39" i="59"/>
  <c r="AH39" i="59"/>
  <c r="AI38" i="59"/>
  <c r="AH38" i="59"/>
  <c r="AI37" i="59"/>
  <c r="AH37" i="59"/>
  <c r="AI36" i="59"/>
  <c r="AH36" i="59"/>
  <c r="AI35" i="59"/>
  <c r="AH35" i="59"/>
  <c r="AI34" i="59"/>
  <c r="AH34" i="59"/>
  <c r="AI33" i="59"/>
  <c r="AH33" i="59"/>
  <c r="AI32" i="59"/>
  <c r="AH32" i="59"/>
  <c r="AI31" i="59"/>
  <c r="AH31" i="59"/>
  <c r="AI30" i="59"/>
  <c r="AH30" i="59"/>
  <c r="AI29" i="59"/>
  <c r="AH29" i="59"/>
  <c r="AI28" i="59"/>
  <c r="AH28" i="59"/>
  <c r="AI27" i="59"/>
  <c r="AH27" i="59"/>
  <c r="AI26" i="59"/>
  <c r="AH26" i="59"/>
  <c r="AI25" i="59"/>
  <c r="AH25" i="59"/>
  <c r="AI24" i="59"/>
  <c r="AH24" i="59"/>
  <c r="AI23" i="59"/>
  <c r="AH23" i="59"/>
  <c r="AI22" i="59"/>
  <c r="AH22" i="59"/>
  <c r="AI21" i="59"/>
  <c r="AH21" i="59"/>
  <c r="AI20" i="59"/>
  <c r="AH20" i="59"/>
  <c r="AI19" i="59"/>
  <c r="AH19" i="59"/>
  <c r="AI18" i="59"/>
  <c r="AH18" i="59"/>
  <c r="AI17" i="59"/>
  <c r="AH17" i="59"/>
  <c r="AI16" i="59"/>
  <c r="AH16" i="59"/>
  <c r="AI15" i="59"/>
  <c r="AH15" i="59"/>
  <c r="AI14" i="59"/>
  <c r="AH14" i="59"/>
  <c r="AI13" i="59"/>
  <c r="AH13" i="59"/>
  <c r="AI12" i="59"/>
  <c r="AH12" i="59"/>
  <c r="AI11" i="59"/>
  <c r="AH11" i="59"/>
  <c r="AE5" i="59"/>
  <c r="B5" i="59"/>
  <c r="K4" i="59"/>
  <c r="E4" i="59"/>
  <c r="H4" i="59" s="1"/>
  <c r="B4" i="59"/>
  <c r="D258" i="59" s="1"/>
  <c r="AF123" i="58"/>
  <c r="AF58" i="58"/>
  <c r="AF62" i="58"/>
  <c r="AF76" i="58"/>
  <c r="AF80" i="58"/>
  <c r="AF92" i="58"/>
  <c r="AF101" i="58"/>
  <c r="AF102" i="58"/>
  <c r="AF103" i="58"/>
  <c r="AF104" i="58"/>
  <c r="AF105" i="58"/>
  <c r="AF118" i="58"/>
  <c r="AE123" i="58"/>
  <c r="AD58" i="58"/>
  <c r="AE58" i="58"/>
  <c r="AD62" i="58"/>
  <c r="AE62" i="58"/>
  <c r="AD76" i="58"/>
  <c r="AE76" i="58"/>
  <c r="AD80" i="58"/>
  <c r="AE80" i="58"/>
  <c r="AD92" i="58"/>
  <c r="AE92" i="58"/>
  <c r="AD101" i="58"/>
  <c r="AD107" i="58" s="1"/>
  <c r="AE101" i="58"/>
  <c r="AD102" i="58"/>
  <c r="AE102" i="58"/>
  <c r="AD103" i="58"/>
  <c r="AE103" i="58"/>
  <c r="AD104" i="58"/>
  <c r="AE104" i="58"/>
  <c r="AD105" i="58"/>
  <c r="AE105" i="58"/>
  <c r="AD123" i="58"/>
  <c r="AD118" i="58" s="1"/>
  <c r="AE118" i="58"/>
  <c r="AC123" i="58"/>
  <c r="AC58" i="58"/>
  <c r="AC62" i="58"/>
  <c r="AC76" i="58"/>
  <c r="AC80" i="58"/>
  <c r="AC92" i="58"/>
  <c r="AC101" i="58"/>
  <c r="AC102" i="58"/>
  <c r="AC103" i="58"/>
  <c r="AC104" i="58"/>
  <c r="AC105" i="58"/>
  <c r="AC118" i="58"/>
  <c r="AB123" i="58"/>
  <c r="AB58" i="58"/>
  <c r="AB62" i="58"/>
  <c r="AB76" i="58"/>
  <c r="AB80" i="58"/>
  <c r="AB92" i="58"/>
  <c r="AB101" i="58"/>
  <c r="AB102" i="58"/>
  <c r="AB103" i="58"/>
  <c r="AB104" i="58"/>
  <c r="AB105" i="58"/>
  <c r="AB118" i="58"/>
  <c r="AA123" i="58"/>
  <c r="Z123" i="58"/>
  <c r="X123" i="58"/>
  <c r="W123" i="58"/>
  <c r="V123" i="58"/>
  <c r="V57" i="58"/>
  <c r="H246" i="61" l="1"/>
  <c r="G252" i="61"/>
  <c r="G118" i="61"/>
  <c r="G282" i="61"/>
  <c r="I251" i="61"/>
  <c r="B7" i="61"/>
  <c r="A7" i="61" s="1"/>
  <c r="AH100" i="61"/>
  <c r="AI100" i="61"/>
  <c r="AF108" i="59"/>
  <c r="AF97" i="59"/>
  <c r="AF99" i="59" s="1"/>
  <c r="AE107" i="59"/>
  <c r="AE108" i="59" s="1"/>
  <c r="AE97" i="59"/>
  <c r="AE99" i="59" s="1"/>
  <c r="AD97" i="59"/>
  <c r="AD99" i="59" s="1"/>
  <c r="AV261" i="59" s="1"/>
  <c r="AC5" i="59"/>
  <c r="AC107" i="59"/>
  <c r="AC108" i="59" s="1"/>
  <c r="AB5" i="59"/>
  <c r="AC97" i="59"/>
  <c r="AC99" i="59" s="1"/>
  <c r="AC100" i="59" s="1"/>
  <c r="AC7" i="59" s="1"/>
  <c r="AB97" i="59"/>
  <c r="AB99" i="59" s="1"/>
  <c r="AT261" i="59" s="1"/>
  <c r="AA107" i="59"/>
  <c r="AA97" i="59"/>
  <c r="AA99" i="59" s="1"/>
  <c r="Z107" i="59"/>
  <c r="Z100" i="59" s="1"/>
  <c r="Z7" i="59" s="1"/>
  <c r="Z108" i="59"/>
  <c r="Z97" i="59"/>
  <c r="Z99" i="59" s="1"/>
  <c r="Y107" i="59"/>
  <c r="Y97" i="59"/>
  <c r="Y99" i="59" s="1"/>
  <c r="X107" i="59"/>
  <c r="X108" i="59" s="1"/>
  <c r="W5" i="59"/>
  <c r="X97" i="59"/>
  <c r="X99" i="59" s="1"/>
  <c r="W107" i="59"/>
  <c r="W108" i="59" s="1"/>
  <c r="W97" i="59"/>
  <c r="W99" i="59" s="1"/>
  <c r="V107" i="59"/>
  <c r="V108" i="59" s="1"/>
  <c r="V97" i="59"/>
  <c r="V99" i="59" s="1"/>
  <c r="U97" i="59"/>
  <c r="U99" i="59" s="1"/>
  <c r="T5" i="59"/>
  <c r="T97" i="59"/>
  <c r="T99" i="59" s="1"/>
  <c r="S107" i="59"/>
  <c r="S97" i="59"/>
  <c r="S99" i="59" s="1"/>
  <c r="C108" i="59"/>
  <c r="R107" i="59"/>
  <c r="R97" i="59"/>
  <c r="R99" i="59" s="1"/>
  <c r="R108" i="59"/>
  <c r="Q107" i="59"/>
  <c r="Q97" i="59"/>
  <c r="Q99" i="59" s="1"/>
  <c r="AI261" i="59" s="1"/>
  <c r="P97" i="59"/>
  <c r="P99" i="59" s="1"/>
  <c r="AH261" i="59" s="1"/>
  <c r="P107" i="59"/>
  <c r="P108" i="59" s="1"/>
  <c r="O5" i="59"/>
  <c r="O97" i="59"/>
  <c r="O99" i="59" s="1"/>
  <c r="O107" i="59"/>
  <c r="O108" i="59" s="1"/>
  <c r="AI103" i="59"/>
  <c r="AI104" i="59"/>
  <c r="N107" i="59"/>
  <c r="N108" i="59" s="1"/>
  <c r="N97" i="59"/>
  <c r="N99" i="59" s="1"/>
  <c r="AI102" i="59"/>
  <c r="AH102" i="59"/>
  <c r="L5" i="59"/>
  <c r="M97" i="59"/>
  <c r="M99" i="59" s="1"/>
  <c r="M100" i="59" s="1"/>
  <c r="M7" i="59" s="1"/>
  <c r="L107" i="59"/>
  <c r="L97" i="59"/>
  <c r="L99" i="59" s="1"/>
  <c r="K107" i="59"/>
  <c r="K97" i="59"/>
  <c r="K99" i="59" s="1"/>
  <c r="J107" i="59"/>
  <c r="J108" i="59" s="1"/>
  <c r="AI80" i="59"/>
  <c r="J97" i="59"/>
  <c r="J99" i="59" s="1"/>
  <c r="AB261" i="59" s="1"/>
  <c r="AH80" i="59"/>
  <c r="I97" i="59"/>
  <c r="I99" i="59" s="1"/>
  <c r="H107" i="59"/>
  <c r="H108" i="59"/>
  <c r="G5" i="59"/>
  <c r="H97" i="59"/>
  <c r="H99" i="59" s="1"/>
  <c r="Z261" i="59" s="1"/>
  <c r="AH62" i="59"/>
  <c r="G107" i="59"/>
  <c r="G108" i="59" s="1"/>
  <c r="G97" i="59"/>
  <c r="G99" i="59" s="1"/>
  <c r="F107" i="59"/>
  <c r="F108" i="59" s="1"/>
  <c r="AI101" i="59"/>
  <c r="F97" i="59"/>
  <c r="F99" i="59" s="1"/>
  <c r="X261" i="59" s="1"/>
  <c r="E5" i="59"/>
  <c r="AH92" i="59"/>
  <c r="AI105" i="59"/>
  <c r="E107" i="59"/>
  <c r="E108" i="59" s="1"/>
  <c r="E97" i="59"/>
  <c r="E99" i="59" s="1"/>
  <c r="W261" i="59" s="1"/>
  <c r="AD108" i="58"/>
  <c r="AD97" i="58"/>
  <c r="AD99" i="58" s="1"/>
  <c r="AF5" i="59"/>
  <c r="B97" i="59"/>
  <c r="B99" i="59" s="1"/>
  <c r="B100" i="59" s="1"/>
  <c r="AH76" i="59"/>
  <c r="AI76" i="59"/>
  <c r="B108" i="59"/>
  <c r="AI62" i="59"/>
  <c r="AO261" i="59"/>
  <c r="W100" i="59"/>
  <c r="W7" i="59" s="1"/>
  <c r="P100" i="59"/>
  <c r="P7" i="59" s="1"/>
  <c r="AP261" i="59"/>
  <c r="X100" i="59"/>
  <c r="X7" i="59" s="1"/>
  <c r="AF100" i="59"/>
  <c r="AF7" i="59" s="1"/>
  <c r="AX261" i="59"/>
  <c r="K108" i="59"/>
  <c r="S108" i="59"/>
  <c r="AA108" i="59"/>
  <c r="AG261" i="59"/>
  <c r="O100" i="59"/>
  <c r="O7" i="59" s="1"/>
  <c r="AJ261" i="59"/>
  <c r="R100" i="59"/>
  <c r="R7" i="59" s="1"/>
  <c r="AR261" i="59"/>
  <c r="AW261" i="59"/>
  <c r="AE100" i="59"/>
  <c r="AE7" i="59" s="1"/>
  <c r="AQ261" i="59"/>
  <c r="Y100" i="59"/>
  <c r="Y7" i="59" s="1"/>
  <c r="U261" i="59"/>
  <c r="C7" i="59"/>
  <c r="AC261" i="59"/>
  <c r="K100" i="59"/>
  <c r="K7" i="59" s="1"/>
  <c r="AK261" i="59"/>
  <c r="S100" i="59"/>
  <c r="S7" i="59" s="1"/>
  <c r="AS261" i="59"/>
  <c r="AA100" i="59"/>
  <c r="AA7" i="59" s="1"/>
  <c r="AD261" i="59"/>
  <c r="L100" i="59"/>
  <c r="L7" i="59" s="1"/>
  <c r="AL261" i="59"/>
  <c r="T100" i="59"/>
  <c r="T7" i="59" s="1"/>
  <c r="G246" i="59"/>
  <c r="Y261" i="59"/>
  <c r="G100" i="59"/>
  <c r="G7" i="59" s="1"/>
  <c r="V261" i="59"/>
  <c r="D7" i="59"/>
  <c r="AM261" i="59"/>
  <c r="U100" i="59"/>
  <c r="U7" i="59" s="1"/>
  <c r="F247" i="59"/>
  <c r="G247" i="59" s="1"/>
  <c r="H247" i="59" s="1"/>
  <c r="I247" i="59" s="1"/>
  <c r="J247" i="59" s="1"/>
  <c r="K247" i="59" s="1"/>
  <c r="L247" i="59" s="1"/>
  <c r="M247" i="59" s="1"/>
  <c r="N247" i="59" s="1"/>
  <c r="O247" i="59" s="1"/>
  <c r="P247" i="59" s="1"/>
  <c r="Q247" i="59" s="1"/>
  <c r="R247" i="59" s="1"/>
  <c r="S247" i="59" s="1"/>
  <c r="T247" i="59" s="1"/>
  <c r="U247" i="59" s="1"/>
  <c r="V247" i="59" s="1"/>
  <c r="W247" i="59" s="1"/>
  <c r="X247" i="59" s="1"/>
  <c r="Y247" i="59" s="1"/>
  <c r="Z247" i="59" s="1"/>
  <c r="AA247" i="59" s="1"/>
  <c r="AB247" i="59" s="1"/>
  <c r="AC247" i="59" s="1"/>
  <c r="AD247" i="59" s="1"/>
  <c r="AE247" i="59" s="1"/>
  <c r="AF247" i="59" s="1"/>
  <c r="B247" i="59" s="1"/>
  <c r="E252" i="59"/>
  <c r="AA261" i="59"/>
  <c r="I100" i="59"/>
  <c r="I7" i="59" s="1"/>
  <c r="F100" i="59"/>
  <c r="F7" i="59" s="1"/>
  <c r="AF261" i="59"/>
  <c r="N100" i="59"/>
  <c r="N7" i="59" s="1"/>
  <c r="AN261" i="59"/>
  <c r="V100" i="59"/>
  <c r="V7" i="59" s="1"/>
  <c r="AD100" i="59"/>
  <c r="AD7" i="59" s="1"/>
  <c r="E118" i="59"/>
  <c r="E251" i="59"/>
  <c r="S258" i="59"/>
  <c r="AI92" i="59"/>
  <c r="AH101" i="59"/>
  <c r="I108" i="59"/>
  <c r="Q108" i="59"/>
  <c r="Y108" i="59"/>
  <c r="AG97" i="59"/>
  <c r="AH58" i="59"/>
  <c r="AH103" i="59"/>
  <c r="AI58" i="59"/>
  <c r="AH104" i="59"/>
  <c r="L108" i="59"/>
  <c r="T108" i="59"/>
  <c r="AB108" i="59"/>
  <c r="AH105" i="59"/>
  <c r="AF107" i="58"/>
  <c r="AF108" i="58" s="1"/>
  <c r="AF97" i="58"/>
  <c r="AF99" i="58" s="1"/>
  <c r="AE107" i="58"/>
  <c r="AE108" i="58" s="1"/>
  <c r="AE97" i="58"/>
  <c r="AE99" i="58" s="1"/>
  <c r="AD100" i="58"/>
  <c r="AC97" i="58"/>
  <c r="AC99" i="58" s="1"/>
  <c r="AC107" i="58"/>
  <c r="AC108" i="58" s="1"/>
  <c r="AB107" i="58"/>
  <c r="AB108" i="58" s="1"/>
  <c r="AB97" i="58"/>
  <c r="AB99" i="58" s="1"/>
  <c r="AB100" i="58" s="1"/>
  <c r="H282" i="61" l="1"/>
  <c r="J251" i="61"/>
  <c r="I246" i="61"/>
  <c r="H118" i="61"/>
  <c r="H252" i="61"/>
  <c r="AU261" i="59"/>
  <c r="AB100" i="59"/>
  <c r="AB7" i="59" s="1"/>
  <c r="AC100" i="58"/>
  <c r="AF100" i="58"/>
  <c r="AE100" i="58"/>
  <c r="Q100" i="59"/>
  <c r="Q7" i="59" s="1"/>
  <c r="AE261" i="59"/>
  <c r="C256" i="59"/>
  <c r="K6" i="59" s="1"/>
  <c r="J100" i="59"/>
  <c r="J7" i="59" s="1"/>
  <c r="B256" i="59"/>
  <c r="H100" i="59"/>
  <c r="H7" i="59" s="1"/>
  <c r="AI97" i="59"/>
  <c r="E100" i="59"/>
  <c r="E7" i="59" s="1"/>
  <c r="AH97" i="59"/>
  <c r="D282" i="59"/>
  <c r="F251" i="59"/>
  <c r="H246" i="59"/>
  <c r="AH99" i="59"/>
  <c r="T261" i="59"/>
  <c r="AI99" i="59"/>
  <c r="AI107" i="59"/>
  <c r="AH107" i="59"/>
  <c r="I118" i="61" l="1"/>
  <c r="I252" i="61"/>
  <c r="J246" i="61"/>
  <c r="K251" i="61"/>
  <c r="I282" i="61"/>
  <c r="I246" i="59"/>
  <c r="E282" i="59"/>
  <c r="G251" i="59"/>
  <c r="F118" i="59"/>
  <c r="AI108" i="59"/>
  <c r="AH108" i="59"/>
  <c r="B7" i="59"/>
  <c r="A7" i="59" s="1"/>
  <c r="AI100" i="59"/>
  <c r="AH100" i="59"/>
  <c r="F252" i="59"/>
  <c r="J282" i="61" l="1"/>
  <c r="L251" i="61"/>
  <c r="J118" i="61"/>
  <c r="J252" i="61"/>
  <c r="K246" i="61"/>
  <c r="F282" i="59"/>
  <c r="H251" i="59"/>
  <c r="G118" i="59"/>
  <c r="G252" i="59"/>
  <c r="J246" i="59"/>
  <c r="K118" i="61" l="1"/>
  <c r="K252" i="61"/>
  <c r="L246" i="61"/>
  <c r="M251" i="61"/>
  <c r="K282" i="61"/>
  <c r="G282" i="59"/>
  <c r="I251" i="59"/>
  <c r="H118" i="59"/>
  <c r="H252" i="59"/>
  <c r="K246" i="59"/>
  <c r="U80" i="58"/>
  <c r="U57" i="58"/>
  <c r="U58" i="58"/>
  <c r="U62" i="58"/>
  <c r="L282" i="61" l="1"/>
  <c r="N251" i="61"/>
  <c r="L252" i="61"/>
  <c r="M246" i="61"/>
  <c r="L118" i="61"/>
  <c r="L246" i="59"/>
  <c r="H282" i="59"/>
  <c r="J251" i="59"/>
  <c r="I252" i="59"/>
  <c r="I118" i="59"/>
  <c r="T123" i="58"/>
  <c r="T57" i="58"/>
  <c r="N246" i="61" l="1"/>
  <c r="M118" i="61"/>
  <c r="M252" i="61"/>
  <c r="M282" i="61"/>
  <c r="O251" i="61"/>
  <c r="K251" i="59"/>
  <c r="I282" i="59"/>
  <c r="J118" i="59"/>
  <c r="J252" i="59"/>
  <c r="M246" i="59"/>
  <c r="S123" i="58"/>
  <c r="S57" i="58"/>
  <c r="R123" i="58"/>
  <c r="R121" i="58"/>
  <c r="R57" i="58"/>
  <c r="R58" i="58"/>
  <c r="R62" i="58"/>
  <c r="R76" i="58"/>
  <c r="R80" i="58"/>
  <c r="R92" i="58"/>
  <c r="R101" i="58"/>
  <c r="R102" i="58"/>
  <c r="R103" i="58"/>
  <c r="R104" i="58"/>
  <c r="R107" i="58" s="1"/>
  <c r="R105" i="58"/>
  <c r="R118" i="58"/>
  <c r="Q123" i="58"/>
  <c r="Q121" i="58"/>
  <c r="Q57" i="58"/>
  <c r="P123" i="58"/>
  <c r="P121" i="58"/>
  <c r="P57" i="58"/>
  <c r="O123" i="58"/>
  <c r="O121" i="58"/>
  <c r="O57" i="58"/>
  <c r="N123" i="58"/>
  <c r="N121" i="58"/>
  <c r="N57" i="58"/>
  <c r="N282" i="61" l="1"/>
  <c r="P251" i="61"/>
  <c r="O246" i="61"/>
  <c r="N252" i="61"/>
  <c r="N118" i="61"/>
  <c r="N246" i="59"/>
  <c r="L251" i="59"/>
  <c r="J282" i="59"/>
  <c r="K118" i="59"/>
  <c r="K252" i="59"/>
  <c r="R97" i="58"/>
  <c r="R99" i="58" s="1"/>
  <c r="R100" i="58" s="1"/>
  <c r="R108" i="58"/>
  <c r="M123" i="58"/>
  <c r="M121" i="58"/>
  <c r="M57" i="58"/>
  <c r="AH57" i="58" s="1"/>
  <c r="M58" i="58"/>
  <c r="M62" i="58"/>
  <c r="M76" i="58"/>
  <c r="M80" i="58"/>
  <c r="M92" i="58"/>
  <c r="L5" i="58" s="1"/>
  <c r="M101" i="58"/>
  <c r="M102" i="58"/>
  <c r="M103" i="58"/>
  <c r="M104" i="58"/>
  <c r="M105" i="58"/>
  <c r="M118" i="58"/>
  <c r="L123" i="58"/>
  <c r="K123" i="58"/>
  <c r="K58" i="58"/>
  <c r="K62" i="58"/>
  <c r="I123" i="58"/>
  <c r="H123" i="58"/>
  <c r="H58" i="58"/>
  <c r="H62" i="58"/>
  <c r="H76" i="58"/>
  <c r="G58" i="58"/>
  <c r="G62" i="58"/>
  <c r="G123" i="58"/>
  <c r="F123" i="58"/>
  <c r="E123" i="58"/>
  <c r="AH123" i="58" s="1"/>
  <c r="AH125" i="58"/>
  <c r="AI125" i="58"/>
  <c r="AH124" i="58"/>
  <c r="AI124" i="58"/>
  <c r="AF286" i="58"/>
  <c r="AE286" i="58"/>
  <c r="AD286" i="58"/>
  <c r="AC286" i="58"/>
  <c r="AB286" i="58"/>
  <c r="AA286" i="58"/>
  <c r="Z286" i="58"/>
  <c r="Y286" i="58"/>
  <c r="X286" i="58"/>
  <c r="W286" i="58"/>
  <c r="V286" i="58"/>
  <c r="U286" i="58"/>
  <c r="T286" i="58"/>
  <c r="S286" i="58"/>
  <c r="R286" i="58"/>
  <c r="Q286" i="58"/>
  <c r="P286" i="58"/>
  <c r="O286" i="58"/>
  <c r="N286" i="58"/>
  <c r="M286" i="58"/>
  <c r="L286" i="58"/>
  <c r="K286" i="58"/>
  <c r="J286" i="58"/>
  <c r="I286" i="58"/>
  <c r="H286" i="58"/>
  <c r="G286" i="58"/>
  <c r="F286" i="58"/>
  <c r="E286" i="58"/>
  <c r="D286" i="58"/>
  <c r="C286" i="58"/>
  <c r="B286" i="58"/>
  <c r="A286" i="58"/>
  <c r="AF285" i="58"/>
  <c r="AE285" i="58"/>
  <c r="AD285" i="58"/>
  <c r="AC285" i="58"/>
  <c r="AB285" i="58"/>
  <c r="AA285" i="58"/>
  <c r="Z285" i="58"/>
  <c r="Y285" i="58"/>
  <c r="X285" i="58"/>
  <c r="W285" i="58"/>
  <c r="V285" i="58"/>
  <c r="U285" i="58"/>
  <c r="T285" i="58"/>
  <c r="S285" i="58"/>
  <c r="R285" i="58"/>
  <c r="Q285" i="58"/>
  <c r="P285" i="58"/>
  <c r="O285" i="58"/>
  <c r="N285" i="58"/>
  <c r="M285" i="58"/>
  <c r="L285" i="58"/>
  <c r="K285" i="58"/>
  <c r="J285" i="58"/>
  <c r="I285" i="58"/>
  <c r="H285" i="58"/>
  <c r="G285" i="58"/>
  <c r="F285" i="58"/>
  <c r="E285" i="58"/>
  <c r="D285" i="58"/>
  <c r="C285" i="58"/>
  <c r="B285" i="58"/>
  <c r="A285" i="58"/>
  <c r="AF284" i="58"/>
  <c r="AE284" i="58"/>
  <c r="AD284" i="58"/>
  <c r="AC284" i="58"/>
  <c r="AB284" i="58"/>
  <c r="AA284" i="58"/>
  <c r="Z284" i="58"/>
  <c r="Y284" i="58"/>
  <c r="X284" i="58"/>
  <c r="W284" i="58"/>
  <c r="V284" i="58"/>
  <c r="U284" i="58"/>
  <c r="T284" i="58"/>
  <c r="S284" i="58"/>
  <c r="R284" i="58"/>
  <c r="Q284" i="58"/>
  <c r="P284" i="58"/>
  <c r="O284" i="58"/>
  <c r="N284" i="58"/>
  <c r="M284" i="58"/>
  <c r="L284" i="58"/>
  <c r="K284" i="58"/>
  <c r="J284" i="58"/>
  <c r="I284" i="58"/>
  <c r="H284" i="58"/>
  <c r="G284" i="58"/>
  <c r="F284" i="58"/>
  <c r="E284" i="58"/>
  <c r="D284" i="58"/>
  <c r="C284" i="58"/>
  <c r="B284" i="58"/>
  <c r="A284" i="58"/>
  <c r="AF283" i="58"/>
  <c r="AE283" i="58"/>
  <c r="AD283" i="58"/>
  <c r="AC283" i="58"/>
  <c r="AB283" i="58"/>
  <c r="AA283" i="58"/>
  <c r="Z283" i="58"/>
  <c r="Y283" i="58"/>
  <c r="X283" i="58"/>
  <c r="W283" i="58"/>
  <c r="V283" i="58"/>
  <c r="U283" i="58"/>
  <c r="T283" i="58"/>
  <c r="S283" i="58"/>
  <c r="R283" i="58"/>
  <c r="Q283" i="58"/>
  <c r="P283" i="58"/>
  <c r="O283" i="58"/>
  <c r="N283" i="58"/>
  <c r="M283" i="58"/>
  <c r="L283" i="58"/>
  <c r="K283" i="58"/>
  <c r="J283" i="58"/>
  <c r="I283" i="58"/>
  <c r="H283" i="58"/>
  <c r="G283" i="58"/>
  <c r="F283" i="58"/>
  <c r="E283" i="58"/>
  <c r="D283" i="58"/>
  <c r="C283" i="58"/>
  <c r="B283" i="58"/>
  <c r="A283" i="58"/>
  <c r="C282" i="58"/>
  <c r="B282" i="58"/>
  <c r="S257" i="58"/>
  <c r="AG252" i="58"/>
  <c r="C252" i="58"/>
  <c r="D251" i="58"/>
  <c r="E251" i="58" s="1"/>
  <c r="D282" i="58" s="1"/>
  <c r="L250" i="58"/>
  <c r="M250" i="58" s="1"/>
  <c r="N250" i="58" s="1"/>
  <c r="O250" i="58" s="1"/>
  <c r="P250" i="58" s="1"/>
  <c r="Q250" i="58" s="1"/>
  <c r="R250" i="58" s="1"/>
  <c r="S250" i="58" s="1"/>
  <c r="T250" i="58" s="1"/>
  <c r="U250" i="58" s="1"/>
  <c r="V250" i="58" s="1"/>
  <c r="W250" i="58" s="1"/>
  <c r="X250" i="58" s="1"/>
  <c r="Y250" i="58" s="1"/>
  <c r="Z250" i="58" s="1"/>
  <c r="AA250" i="58" s="1"/>
  <c r="AB250" i="58" s="1"/>
  <c r="AC250" i="58" s="1"/>
  <c r="AD250" i="58" s="1"/>
  <c r="AE250" i="58" s="1"/>
  <c r="AF250" i="58" s="1"/>
  <c r="B250" i="58" s="1"/>
  <c r="D250" i="58"/>
  <c r="E250" i="58" s="1"/>
  <c r="F250" i="58" s="1"/>
  <c r="G250" i="58" s="1"/>
  <c r="H250" i="58" s="1"/>
  <c r="I250" i="58" s="1"/>
  <c r="J250" i="58" s="1"/>
  <c r="K250" i="58" s="1"/>
  <c r="E249" i="58"/>
  <c r="F249" i="58" s="1"/>
  <c r="G249" i="58" s="1"/>
  <c r="H249" i="58" s="1"/>
  <c r="I249" i="58" s="1"/>
  <c r="J249" i="58" s="1"/>
  <c r="K249" i="58" s="1"/>
  <c r="L249" i="58" s="1"/>
  <c r="M249" i="58" s="1"/>
  <c r="N249" i="58" s="1"/>
  <c r="O249" i="58" s="1"/>
  <c r="P249" i="58" s="1"/>
  <c r="Q249" i="58" s="1"/>
  <c r="R249" i="58" s="1"/>
  <c r="S249" i="58" s="1"/>
  <c r="T249" i="58" s="1"/>
  <c r="U249" i="58" s="1"/>
  <c r="V249" i="58" s="1"/>
  <c r="W249" i="58" s="1"/>
  <c r="X249" i="58" s="1"/>
  <c r="Y249" i="58" s="1"/>
  <c r="Z249" i="58" s="1"/>
  <c r="AA249" i="58" s="1"/>
  <c r="AB249" i="58" s="1"/>
  <c r="AC249" i="58" s="1"/>
  <c r="AD249" i="58" s="1"/>
  <c r="AE249" i="58" s="1"/>
  <c r="AF249" i="58" s="1"/>
  <c r="B249" i="58" s="1"/>
  <c r="D249" i="58"/>
  <c r="E248" i="58"/>
  <c r="F248" i="58" s="1"/>
  <c r="G248" i="58" s="1"/>
  <c r="H248" i="58" s="1"/>
  <c r="I248" i="58" s="1"/>
  <c r="J248" i="58" s="1"/>
  <c r="K248" i="58" s="1"/>
  <c r="L248" i="58" s="1"/>
  <c r="M248" i="58" s="1"/>
  <c r="N248" i="58" s="1"/>
  <c r="O248" i="58" s="1"/>
  <c r="P248" i="58" s="1"/>
  <c r="Q248" i="58" s="1"/>
  <c r="R248" i="58" s="1"/>
  <c r="S248" i="58" s="1"/>
  <c r="T248" i="58" s="1"/>
  <c r="U248" i="58" s="1"/>
  <c r="V248" i="58" s="1"/>
  <c r="W248" i="58" s="1"/>
  <c r="X248" i="58" s="1"/>
  <c r="Y248" i="58" s="1"/>
  <c r="Z248" i="58" s="1"/>
  <c r="AA248" i="58" s="1"/>
  <c r="AB248" i="58" s="1"/>
  <c r="AC248" i="58" s="1"/>
  <c r="AD248" i="58" s="1"/>
  <c r="AE248" i="58" s="1"/>
  <c r="AF248" i="58" s="1"/>
  <c r="B248" i="58" s="1"/>
  <c r="D248" i="58"/>
  <c r="N247" i="58"/>
  <c r="O247" i="58" s="1"/>
  <c r="P247" i="58" s="1"/>
  <c r="Q247" i="58" s="1"/>
  <c r="R247" i="58" s="1"/>
  <c r="S247" i="58" s="1"/>
  <c r="T247" i="58" s="1"/>
  <c r="U247" i="58" s="1"/>
  <c r="V247" i="58" s="1"/>
  <c r="W247" i="58" s="1"/>
  <c r="X247" i="58" s="1"/>
  <c r="Y247" i="58" s="1"/>
  <c r="Z247" i="58" s="1"/>
  <c r="AA247" i="58" s="1"/>
  <c r="AB247" i="58" s="1"/>
  <c r="AC247" i="58" s="1"/>
  <c r="AD247" i="58" s="1"/>
  <c r="AE247" i="58" s="1"/>
  <c r="AF247" i="58" s="1"/>
  <c r="B247" i="58" s="1"/>
  <c r="G247" i="58"/>
  <c r="H247" i="58" s="1"/>
  <c r="I247" i="58" s="1"/>
  <c r="J247" i="58" s="1"/>
  <c r="K247" i="58" s="1"/>
  <c r="L247" i="58" s="1"/>
  <c r="M247" i="58" s="1"/>
  <c r="F247" i="58"/>
  <c r="E247" i="58"/>
  <c r="D247" i="58"/>
  <c r="D246" i="58"/>
  <c r="AG244" i="58"/>
  <c r="AF244" i="58"/>
  <c r="AE244" i="58"/>
  <c r="AD244" i="58"/>
  <c r="AC244" i="58"/>
  <c r="AB244" i="58"/>
  <c r="AA244" i="58"/>
  <c r="Z244" i="58"/>
  <c r="Y244" i="58"/>
  <c r="X244" i="58"/>
  <c r="W244" i="58"/>
  <c r="V244" i="58"/>
  <c r="U244" i="58"/>
  <c r="T244" i="58"/>
  <c r="S244" i="58"/>
  <c r="R244" i="58"/>
  <c r="Q244" i="58"/>
  <c r="P244" i="58"/>
  <c r="O244" i="58"/>
  <c r="N244" i="58"/>
  <c r="M244" i="58"/>
  <c r="L244" i="58"/>
  <c r="K244" i="58"/>
  <c r="J244" i="58"/>
  <c r="I244" i="58"/>
  <c r="H244" i="58"/>
  <c r="G244" i="58"/>
  <c r="F244" i="58"/>
  <c r="E244" i="58"/>
  <c r="D244" i="58"/>
  <c r="C244" i="58"/>
  <c r="B244" i="58"/>
  <c r="AI130" i="58"/>
  <c r="AH130" i="58"/>
  <c r="AI129" i="58"/>
  <c r="AH129" i="58"/>
  <c r="AI128" i="58"/>
  <c r="AH128" i="58"/>
  <c r="AI127" i="58"/>
  <c r="AH127" i="58"/>
  <c r="AI126" i="58"/>
  <c r="AH126" i="58"/>
  <c r="AI123" i="58"/>
  <c r="AI122" i="58"/>
  <c r="AH122" i="58"/>
  <c r="AI121" i="58"/>
  <c r="AH121" i="58"/>
  <c r="AI120" i="58"/>
  <c r="AH120" i="58"/>
  <c r="AI119" i="58"/>
  <c r="AH119" i="58"/>
  <c r="Z118" i="58"/>
  <c r="Y118" i="58"/>
  <c r="C118" i="58"/>
  <c r="AI117" i="58"/>
  <c r="AH117" i="58"/>
  <c r="AI116" i="58"/>
  <c r="AH116" i="58"/>
  <c r="AI115" i="58"/>
  <c r="AH115" i="58"/>
  <c r="AI114" i="58"/>
  <c r="AH114" i="58"/>
  <c r="AI113" i="58"/>
  <c r="AH113" i="58"/>
  <c r="AI112" i="58"/>
  <c r="AH112" i="58"/>
  <c r="AI111" i="58"/>
  <c r="AH111" i="58"/>
  <c r="AI110" i="58"/>
  <c r="AH110" i="58"/>
  <c r="AI109" i="58"/>
  <c r="AH109" i="58"/>
  <c r="AI106" i="58"/>
  <c r="AH106" i="58"/>
  <c r="AA105" i="58"/>
  <c r="Z105" i="58"/>
  <c r="Y105" i="58"/>
  <c r="X105" i="58"/>
  <c r="W105" i="58"/>
  <c r="V105" i="58"/>
  <c r="U105" i="58"/>
  <c r="T105" i="58"/>
  <c r="S105" i="58"/>
  <c r="Q105" i="58"/>
  <c r="P105" i="58"/>
  <c r="O105" i="58"/>
  <c r="N105" i="58"/>
  <c r="L105" i="58"/>
  <c r="K105" i="58"/>
  <c r="J105" i="58"/>
  <c r="I105" i="58"/>
  <c r="H105" i="58"/>
  <c r="G105" i="58"/>
  <c r="F105" i="58"/>
  <c r="E105" i="58"/>
  <c r="D105" i="58"/>
  <c r="C105" i="58"/>
  <c r="B105" i="58"/>
  <c r="AA104" i="58"/>
  <c r="Z104" i="58"/>
  <c r="Y104" i="58"/>
  <c r="X104" i="58"/>
  <c r="W104" i="58"/>
  <c r="V104" i="58"/>
  <c r="U104" i="58"/>
  <c r="T104" i="58"/>
  <c r="S104" i="58"/>
  <c r="Q104" i="58"/>
  <c r="P104" i="58"/>
  <c r="O104" i="58"/>
  <c r="N104" i="58"/>
  <c r="L104" i="58"/>
  <c r="K104" i="58"/>
  <c r="J104" i="58"/>
  <c r="I104" i="58"/>
  <c r="H104" i="58"/>
  <c r="G104" i="58"/>
  <c r="F104" i="58"/>
  <c r="E104" i="58"/>
  <c r="D104" i="58"/>
  <c r="C104" i="58"/>
  <c r="B104" i="58"/>
  <c r="AA103" i="58"/>
  <c r="Z103" i="58"/>
  <c r="Y103" i="58"/>
  <c r="X103" i="58"/>
  <c r="W103" i="58"/>
  <c r="V103" i="58"/>
  <c r="U103" i="58"/>
  <c r="T103" i="58"/>
  <c r="S103" i="58"/>
  <c r="Q103" i="58"/>
  <c r="P103" i="58"/>
  <c r="O103" i="58"/>
  <c r="N103" i="58"/>
  <c r="L103" i="58"/>
  <c r="K103" i="58"/>
  <c r="J103" i="58"/>
  <c r="I103" i="58"/>
  <c r="H103" i="58"/>
  <c r="G103" i="58"/>
  <c r="F103" i="58"/>
  <c r="E103" i="58"/>
  <c r="D103" i="58"/>
  <c r="C103" i="58"/>
  <c r="B103" i="58"/>
  <c r="AA102" i="58"/>
  <c r="Z102" i="58"/>
  <c r="Y102" i="58"/>
  <c r="X102" i="58"/>
  <c r="W102" i="58"/>
  <c r="V102" i="58"/>
  <c r="U102" i="58"/>
  <c r="T102" i="58"/>
  <c r="S102" i="58"/>
  <c r="Q102" i="58"/>
  <c r="P102" i="58"/>
  <c r="O102" i="58"/>
  <c r="N102" i="58"/>
  <c r="L102" i="58"/>
  <c r="K102" i="58"/>
  <c r="J102" i="58"/>
  <c r="I102" i="58"/>
  <c r="AH102" i="58" s="1"/>
  <c r="H102" i="58"/>
  <c r="G102" i="58"/>
  <c r="F102" i="58"/>
  <c r="E102" i="58"/>
  <c r="D102" i="58"/>
  <c r="C102" i="58"/>
  <c r="B102" i="58"/>
  <c r="AA101" i="58"/>
  <c r="Z101" i="58"/>
  <c r="Y101" i="58"/>
  <c r="X101" i="58"/>
  <c r="X107" i="58" s="1"/>
  <c r="W101" i="58"/>
  <c r="V101" i="58"/>
  <c r="V107" i="58" s="1"/>
  <c r="U101" i="58"/>
  <c r="T101" i="58"/>
  <c r="S101" i="58"/>
  <c r="Q101" i="58"/>
  <c r="P101" i="58"/>
  <c r="P107" i="58" s="1"/>
  <c r="O101" i="58"/>
  <c r="N101" i="58"/>
  <c r="N107" i="58" s="1"/>
  <c r="L101" i="58"/>
  <c r="K101" i="58"/>
  <c r="J101" i="58"/>
  <c r="J107" i="58" s="1"/>
  <c r="I101" i="58"/>
  <c r="H101" i="58"/>
  <c r="H107" i="58" s="1"/>
  <c r="G101" i="58"/>
  <c r="F101" i="58"/>
  <c r="F107" i="58" s="1"/>
  <c r="E101" i="58"/>
  <c r="D101" i="58"/>
  <c r="D107" i="58" s="1"/>
  <c r="C101" i="58"/>
  <c r="B101" i="58"/>
  <c r="AI98" i="58"/>
  <c r="AH98" i="58"/>
  <c r="AI96" i="58"/>
  <c r="AH96" i="58"/>
  <c r="AG96" i="58"/>
  <c r="AG99" i="58" s="1"/>
  <c r="AI95" i="58"/>
  <c r="AH95" i="58"/>
  <c r="AI94" i="58"/>
  <c r="AH94" i="58"/>
  <c r="AI93" i="58"/>
  <c r="AH93" i="58"/>
  <c r="AG92" i="58"/>
  <c r="AA92" i="58"/>
  <c r="Z92" i="58"/>
  <c r="Y5" i="58" s="1"/>
  <c r="Y92" i="58"/>
  <c r="X92" i="58"/>
  <c r="W5" i="58" s="1"/>
  <c r="W92" i="58"/>
  <c r="V5" i="58" s="1"/>
  <c r="V92" i="58"/>
  <c r="U92" i="58"/>
  <c r="T5" i="58" s="1"/>
  <c r="T92" i="58"/>
  <c r="S92" i="58"/>
  <c r="Q92" i="58"/>
  <c r="P5" i="58" s="1"/>
  <c r="P92" i="58"/>
  <c r="O5" i="58" s="1"/>
  <c r="O92" i="58"/>
  <c r="N5" i="58" s="1"/>
  <c r="N92" i="58"/>
  <c r="N108" i="58" s="1"/>
  <c r="L92" i="58"/>
  <c r="K92" i="58"/>
  <c r="J92" i="58"/>
  <c r="I5" i="58" s="1"/>
  <c r="I92" i="58"/>
  <c r="H5" i="58" s="1"/>
  <c r="H92" i="58"/>
  <c r="G5" i="58" s="1"/>
  <c r="G92" i="58"/>
  <c r="F5" i="58" s="1"/>
  <c r="F92" i="58"/>
  <c r="F108" i="58" s="1"/>
  <c r="E92" i="58"/>
  <c r="D92" i="58"/>
  <c r="C92" i="58"/>
  <c r="B92" i="58"/>
  <c r="AF5" i="58" s="1"/>
  <c r="AI91" i="58"/>
  <c r="AH91" i="58"/>
  <c r="AI90" i="58"/>
  <c r="AH90" i="58"/>
  <c r="AI89" i="58"/>
  <c r="AH89" i="58"/>
  <c r="AI88" i="58"/>
  <c r="AH88" i="58"/>
  <c r="AI87" i="58"/>
  <c r="AH87" i="58"/>
  <c r="AI86" i="58"/>
  <c r="AH86" i="58"/>
  <c r="AI85" i="58"/>
  <c r="AH85" i="58"/>
  <c r="AI84" i="58"/>
  <c r="AH84" i="58"/>
  <c r="AI83" i="58"/>
  <c r="AH83" i="58"/>
  <c r="AI82" i="58"/>
  <c r="AH82" i="58"/>
  <c r="AI81" i="58"/>
  <c r="AH81" i="58"/>
  <c r="AG80" i="58"/>
  <c r="AA80" i="58"/>
  <c r="Z80" i="58"/>
  <c r="Y80" i="58"/>
  <c r="X80" i="58"/>
  <c r="W80" i="58"/>
  <c r="V80" i="58"/>
  <c r="T80" i="58"/>
  <c r="S80" i="58"/>
  <c r="Q80" i="58"/>
  <c r="P80" i="58"/>
  <c r="O80" i="58"/>
  <c r="N80" i="58"/>
  <c r="L80" i="58"/>
  <c r="K80" i="58"/>
  <c r="J80" i="58"/>
  <c r="I80" i="58"/>
  <c r="H80" i="58"/>
  <c r="G80" i="58"/>
  <c r="F80" i="58"/>
  <c r="E80" i="58"/>
  <c r="D80" i="58"/>
  <c r="C80" i="58"/>
  <c r="B80" i="58"/>
  <c r="AI79" i="58"/>
  <c r="AH79" i="58"/>
  <c r="AI78" i="58"/>
  <c r="AH78" i="58"/>
  <c r="AI77" i="58"/>
  <c r="AH77" i="58"/>
  <c r="AA76" i="58"/>
  <c r="Z76" i="58"/>
  <c r="Y76" i="58"/>
  <c r="X76" i="58"/>
  <c r="W76" i="58"/>
  <c r="V76" i="58"/>
  <c r="U76" i="58"/>
  <c r="T76" i="58"/>
  <c r="S76" i="58"/>
  <c r="Q76" i="58"/>
  <c r="P76" i="58"/>
  <c r="O76" i="58"/>
  <c r="N76" i="58"/>
  <c r="L76" i="58"/>
  <c r="K76" i="58"/>
  <c r="J76" i="58"/>
  <c r="I76" i="58"/>
  <c r="G76" i="58"/>
  <c r="F76" i="58"/>
  <c r="E76" i="58"/>
  <c r="D76" i="58"/>
  <c r="C76" i="58"/>
  <c r="B76" i="58"/>
  <c r="AI75" i="58"/>
  <c r="AH75" i="58"/>
  <c r="AG75" i="58"/>
  <c r="AG76" i="58" s="1"/>
  <c r="AG3" i="58" s="1"/>
  <c r="AI74" i="58"/>
  <c r="AH74" i="58"/>
  <c r="AI73" i="58"/>
  <c r="AH73" i="58"/>
  <c r="AI72" i="58"/>
  <c r="AH72" i="58"/>
  <c r="AI71" i="58"/>
  <c r="AH71" i="58"/>
  <c r="AI70" i="58"/>
  <c r="AH70" i="58"/>
  <c r="AI69" i="58"/>
  <c r="AH69" i="58"/>
  <c r="AI68" i="58"/>
  <c r="AH68" i="58"/>
  <c r="AI67" i="58"/>
  <c r="AH67" i="58"/>
  <c r="AI66" i="58"/>
  <c r="AH66" i="58"/>
  <c r="AI65" i="58"/>
  <c r="AH65" i="58"/>
  <c r="AI64" i="58"/>
  <c r="AH64" i="58"/>
  <c r="AI63" i="58"/>
  <c r="AH63" i="58"/>
  <c r="AG62" i="58"/>
  <c r="AA62" i="58"/>
  <c r="Z62" i="58"/>
  <c r="Y62" i="58"/>
  <c r="X62" i="58"/>
  <c r="W62" i="58"/>
  <c r="V62" i="58"/>
  <c r="T62" i="58"/>
  <c r="S62" i="58"/>
  <c r="Q62" i="58"/>
  <c r="P62" i="58"/>
  <c r="O62" i="58"/>
  <c r="N62" i="58"/>
  <c r="L62" i="58"/>
  <c r="J62" i="58"/>
  <c r="I62" i="58"/>
  <c r="F62" i="58"/>
  <c r="E62" i="58"/>
  <c r="D62" i="58"/>
  <c r="C62" i="58"/>
  <c r="B62" i="58"/>
  <c r="AI61" i="58"/>
  <c r="AH61" i="58"/>
  <c r="AI60" i="58"/>
  <c r="AH60" i="58"/>
  <c r="AI59" i="58"/>
  <c r="AH59" i="58"/>
  <c r="AG58" i="58"/>
  <c r="AG2" i="58" s="1"/>
  <c r="AG6" i="58" s="1"/>
  <c r="AA58" i="58"/>
  <c r="Z58" i="58"/>
  <c r="Y58" i="58"/>
  <c r="X58" i="58"/>
  <c r="W58" i="58"/>
  <c r="V58" i="58"/>
  <c r="T58" i="58"/>
  <c r="S58" i="58"/>
  <c r="Q58" i="58"/>
  <c r="P58" i="58"/>
  <c r="O58" i="58"/>
  <c r="N58" i="58"/>
  <c r="L58" i="58"/>
  <c r="J58" i="58"/>
  <c r="I58" i="58"/>
  <c r="F58" i="58"/>
  <c r="E58" i="58"/>
  <c r="D58" i="58"/>
  <c r="C58" i="58"/>
  <c r="B58" i="58"/>
  <c r="AI57" i="58"/>
  <c r="AI56" i="58"/>
  <c r="AH56" i="58"/>
  <c r="AI55" i="58"/>
  <c r="AH55" i="58"/>
  <c r="AI54" i="58"/>
  <c r="AH54" i="58"/>
  <c r="AI53" i="58"/>
  <c r="AH53" i="58"/>
  <c r="AI52" i="58"/>
  <c r="AH52" i="58"/>
  <c r="AI51" i="58"/>
  <c r="AH51" i="58"/>
  <c r="AI50" i="58"/>
  <c r="AH50" i="58"/>
  <c r="AI49" i="58"/>
  <c r="AH49" i="58"/>
  <c r="AI48" i="58"/>
  <c r="AH48" i="58"/>
  <c r="AI47" i="58"/>
  <c r="AH47" i="58"/>
  <c r="AI46" i="58"/>
  <c r="AH46" i="58"/>
  <c r="AI45" i="58"/>
  <c r="AH45" i="58"/>
  <c r="AI44" i="58"/>
  <c r="AH44" i="58"/>
  <c r="AI43" i="58"/>
  <c r="AH43" i="58"/>
  <c r="AI42" i="58"/>
  <c r="AH42" i="58"/>
  <c r="AI41" i="58"/>
  <c r="AH41" i="58"/>
  <c r="AI40" i="58"/>
  <c r="AH40" i="58"/>
  <c r="AI39" i="58"/>
  <c r="AH39" i="58"/>
  <c r="AI38" i="58"/>
  <c r="AH38" i="58"/>
  <c r="AI37" i="58"/>
  <c r="AH37" i="58"/>
  <c r="AI36" i="58"/>
  <c r="AH36" i="58"/>
  <c r="AI35" i="58"/>
  <c r="AH35" i="58"/>
  <c r="AI34" i="58"/>
  <c r="AH34" i="58"/>
  <c r="AI33" i="58"/>
  <c r="AH33" i="58"/>
  <c r="AI32" i="58"/>
  <c r="AH32" i="58"/>
  <c r="AI31" i="58"/>
  <c r="AH31" i="58"/>
  <c r="AI30" i="58"/>
  <c r="AH30" i="58"/>
  <c r="AI29" i="58"/>
  <c r="AH29" i="58"/>
  <c r="AI28" i="58"/>
  <c r="AH28" i="58"/>
  <c r="AI27" i="58"/>
  <c r="AH27" i="58"/>
  <c r="AI26" i="58"/>
  <c r="AH26" i="58"/>
  <c r="AI25" i="58"/>
  <c r="AH25" i="58"/>
  <c r="AI24" i="58"/>
  <c r="AH24" i="58"/>
  <c r="AI23" i="58"/>
  <c r="AH23" i="58"/>
  <c r="AI22" i="58"/>
  <c r="AH22" i="58"/>
  <c r="AI21" i="58"/>
  <c r="AH21" i="58"/>
  <c r="AI20" i="58"/>
  <c r="AH20" i="58"/>
  <c r="AI19" i="58"/>
  <c r="AH19" i="58"/>
  <c r="AI18" i="58"/>
  <c r="AH18" i="58"/>
  <c r="AI17" i="58"/>
  <c r="AH17" i="58"/>
  <c r="AI16" i="58"/>
  <c r="AH16" i="58"/>
  <c r="AI15" i="58"/>
  <c r="AH15" i="58"/>
  <c r="AI14" i="58"/>
  <c r="AH14" i="58"/>
  <c r="AI13" i="58"/>
  <c r="AH13" i="58"/>
  <c r="AI12" i="58"/>
  <c r="AH12" i="58"/>
  <c r="AI11" i="58"/>
  <c r="AH11" i="58"/>
  <c r="AE5" i="58"/>
  <c r="AD5" i="58"/>
  <c r="AB5" i="58"/>
  <c r="X5" i="58"/>
  <c r="Q5" i="58"/>
  <c r="AG4" i="58"/>
  <c r="K4" i="58"/>
  <c r="E4" i="58"/>
  <c r="H4" i="58" s="1"/>
  <c r="B4" i="58"/>
  <c r="S258" i="58" s="1"/>
  <c r="AB123" i="57"/>
  <c r="AB58" i="57"/>
  <c r="AB62" i="57"/>
  <c r="AB76" i="57"/>
  <c r="AA123" i="57"/>
  <c r="Z123" i="57"/>
  <c r="Y123" i="57"/>
  <c r="X123" i="57"/>
  <c r="W123" i="57"/>
  <c r="V58" i="57"/>
  <c r="V62" i="57"/>
  <c r="V76" i="57"/>
  <c r="V80" i="57"/>
  <c r="V92" i="57"/>
  <c r="V101" i="57"/>
  <c r="V107" i="57" s="1"/>
  <c r="V102" i="57"/>
  <c r="V103" i="57"/>
  <c r="V104" i="57"/>
  <c r="V105" i="57"/>
  <c r="V118" i="57"/>
  <c r="U123" i="57"/>
  <c r="T123" i="57"/>
  <c r="T58" i="57"/>
  <c r="T62" i="57"/>
  <c r="T76" i="57"/>
  <c r="T80" i="57"/>
  <c r="T92" i="57"/>
  <c r="T101" i="57"/>
  <c r="T107" i="57" s="1"/>
  <c r="T102" i="57"/>
  <c r="T103" i="57"/>
  <c r="T104" i="57"/>
  <c r="T105" i="57"/>
  <c r="T118" i="57"/>
  <c r="P246" i="61" l="1"/>
  <c r="O118" i="61"/>
  <c r="O252" i="61"/>
  <c r="O282" i="61"/>
  <c r="Q251" i="61"/>
  <c r="K282" i="59"/>
  <c r="M251" i="59"/>
  <c r="L118" i="59"/>
  <c r="L252" i="59"/>
  <c r="O246" i="59"/>
  <c r="AA107" i="58"/>
  <c r="AA108" i="58" s="1"/>
  <c r="AA97" i="58"/>
  <c r="AA99" i="58" s="1"/>
  <c r="AS261" i="58" s="1"/>
  <c r="Z107" i="58"/>
  <c r="Z108" i="58" s="1"/>
  <c r="Z97" i="58"/>
  <c r="Z99" i="58" s="1"/>
  <c r="Y97" i="58"/>
  <c r="Y99" i="58" s="1"/>
  <c r="AQ261" i="58" s="1"/>
  <c r="X97" i="58"/>
  <c r="X99" i="58" s="1"/>
  <c r="AP261" i="58" s="1"/>
  <c r="W97" i="58"/>
  <c r="W99" i="58" s="1"/>
  <c r="V108" i="58"/>
  <c r="V97" i="58"/>
  <c r="V99" i="58" s="1"/>
  <c r="U107" i="58"/>
  <c r="U108" i="58" s="1"/>
  <c r="U97" i="58"/>
  <c r="U99" i="58" s="1"/>
  <c r="T107" i="58"/>
  <c r="S107" i="58"/>
  <c r="S97" i="58"/>
  <c r="S99" i="58" s="1"/>
  <c r="AK261" i="58" s="1"/>
  <c r="Q97" i="58"/>
  <c r="Q99" i="58" s="1"/>
  <c r="P97" i="58"/>
  <c r="P99" i="58" s="1"/>
  <c r="O97" i="58"/>
  <c r="O99" i="58" s="1"/>
  <c r="N97" i="58"/>
  <c r="N99" i="58" s="1"/>
  <c r="M107" i="58"/>
  <c r="M97" i="58"/>
  <c r="M99" i="58" s="1"/>
  <c r="M100" i="58" s="1"/>
  <c r="M7" i="58" s="1"/>
  <c r="M108" i="58"/>
  <c r="L97" i="58"/>
  <c r="L99" i="58" s="1"/>
  <c r="L107" i="58"/>
  <c r="K97" i="58"/>
  <c r="K99" i="58" s="1"/>
  <c r="AC261" i="58" s="1"/>
  <c r="K107" i="58"/>
  <c r="J108" i="58"/>
  <c r="J97" i="58"/>
  <c r="J99" i="58" s="1"/>
  <c r="AB261" i="58" s="1"/>
  <c r="I97" i="58"/>
  <c r="I99" i="58" s="1"/>
  <c r="H97" i="58"/>
  <c r="H99" i="58" s="1"/>
  <c r="Z261" i="58" s="1"/>
  <c r="AI80" i="58"/>
  <c r="G97" i="58"/>
  <c r="G99" i="58" s="1"/>
  <c r="Y261" i="58" s="1"/>
  <c r="F97" i="58"/>
  <c r="F99" i="58" s="1"/>
  <c r="X261" i="58" s="1"/>
  <c r="E107" i="58"/>
  <c r="E108" i="58" s="1"/>
  <c r="D5" i="58"/>
  <c r="E97" i="58"/>
  <c r="E99" i="58" s="1"/>
  <c r="W261" i="58" s="1"/>
  <c r="AI104" i="58"/>
  <c r="AH76" i="58"/>
  <c r="C107" i="58"/>
  <c r="C108" i="58" s="1"/>
  <c r="AI105" i="58"/>
  <c r="C97" i="58"/>
  <c r="C99" i="58" s="1"/>
  <c r="U261" i="58" s="1"/>
  <c r="B107" i="58"/>
  <c r="AI92" i="58"/>
  <c r="B97" i="58"/>
  <c r="B99" i="58" s="1"/>
  <c r="AI76" i="58"/>
  <c r="B108" i="58"/>
  <c r="AM261" i="58"/>
  <c r="U100" i="58"/>
  <c r="U7" i="58" s="1"/>
  <c r="AX261" i="58"/>
  <c r="AF7" i="58"/>
  <c r="J100" i="58"/>
  <c r="J7" i="58" s="1"/>
  <c r="R7" i="58"/>
  <c r="AA261" i="58"/>
  <c r="AU261" i="58"/>
  <c r="AC7" i="58"/>
  <c r="D97" i="58"/>
  <c r="D99" i="58" s="1"/>
  <c r="T97" i="58"/>
  <c r="T99" i="58" s="1"/>
  <c r="AH261" i="58"/>
  <c r="P100" i="58"/>
  <c r="P7" i="58" s="1"/>
  <c r="I107" i="58"/>
  <c r="I108" i="58" s="1"/>
  <c r="Q107" i="58"/>
  <c r="Q108" i="58" s="1"/>
  <c r="Y107" i="58"/>
  <c r="Y108" i="58" s="1"/>
  <c r="AH101" i="58"/>
  <c r="AJ261" i="58"/>
  <c r="AI261" i="58"/>
  <c r="X108" i="58"/>
  <c r="AI103" i="58"/>
  <c r="AI101" i="58"/>
  <c r="K100" i="58"/>
  <c r="K7" i="58" s="1"/>
  <c r="F251" i="58"/>
  <c r="AN261" i="58"/>
  <c r="V100" i="58"/>
  <c r="V7" i="58" s="1"/>
  <c r="P108" i="58"/>
  <c r="AI102" i="58"/>
  <c r="AW261" i="58"/>
  <c r="AH62" i="58"/>
  <c r="AH92" i="58"/>
  <c r="D252" i="58"/>
  <c r="D118" i="58"/>
  <c r="AR261" i="58"/>
  <c r="F100" i="58"/>
  <c r="F7" i="58" s="1"/>
  <c r="AV261" i="58"/>
  <c r="AD7" i="58"/>
  <c r="H108" i="58"/>
  <c r="AO261" i="58"/>
  <c r="AI62" i="58"/>
  <c r="AH80" i="58"/>
  <c r="B5" i="58"/>
  <c r="K108" i="58"/>
  <c r="J5" i="58"/>
  <c r="S108" i="58"/>
  <c r="R5" i="58"/>
  <c r="Z5" i="58"/>
  <c r="AG97" i="58"/>
  <c r="S100" i="58"/>
  <c r="S7" i="58" s="1"/>
  <c r="AH104" i="58"/>
  <c r="E246" i="58"/>
  <c r="D108" i="58"/>
  <c r="C5" i="58"/>
  <c r="L108" i="58"/>
  <c r="K5" i="58"/>
  <c r="T108" i="58"/>
  <c r="S5" i="58"/>
  <c r="AA5" i="58"/>
  <c r="H100" i="58"/>
  <c r="H7" i="58" s="1"/>
  <c r="G107" i="58"/>
  <c r="G108" i="58" s="1"/>
  <c r="O107" i="58"/>
  <c r="O108" i="58" s="1"/>
  <c r="W107" i="58"/>
  <c r="W108" i="58" s="1"/>
  <c r="AE7" i="58"/>
  <c r="E5" i="58"/>
  <c r="M5" i="58"/>
  <c r="U5" i="58"/>
  <c r="AC5" i="58"/>
  <c r="D258" i="58"/>
  <c r="AI58" i="58"/>
  <c r="AH58" i="58"/>
  <c r="AH103" i="58"/>
  <c r="AH105" i="58"/>
  <c r="V108" i="57"/>
  <c r="V97" i="57"/>
  <c r="V99" i="57" s="1"/>
  <c r="V100" i="57" s="1"/>
  <c r="T108" i="57"/>
  <c r="T97" i="57"/>
  <c r="T99" i="57" s="1"/>
  <c r="T100" i="57" s="1"/>
  <c r="S123" i="57"/>
  <c r="S58" i="57"/>
  <c r="S62" i="57"/>
  <c r="S76" i="57"/>
  <c r="S80" i="57"/>
  <c r="S92" i="57"/>
  <c r="S101" i="57"/>
  <c r="S102" i="57"/>
  <c r="S103" i="57"/>
  <c r="S104" i="57"/>
  <c r="S105" i="57"/>
  <c r="S118" i="57"/>
  <c r="R123" i="57"/>
  <c r="R121" i="57"/>
  <c r="R57" i="57"/>
  <c r="Q123" i="57"/>
  <c r="Q121" i="57"/>
  <c r="Q57" i="57"/>
  <c r="P123" i="57"/>
  <c r="P121" i="57"/>
  <c r="P57" i="57"/>
  <c r="P282" i="61" l="1"/>
  <c r="R251" i="61"/>
  <c r="Q246" i="61"/>
  <c r="P252" i="61"/>
  <c r="AA100" i="58"/>
  <c r="AA7" i="58" s="1"/>
  <c r="Z100" i="58"/>
  <c r="Z7" i="58" s="1"/>
  <c r="P246" i="59"/>
  <c r="L282" i="59"/>
  <c r="N251" i="59"/>
  <c r="M252" i="59"/>
  <c r="M118" i="59"/>
  <c r="X100" i="58"/>
  <c r="X7" i="58" s="1"/>
  <c r="W100" i="58"/>
  <c r="W7" i="58" s="1"/>
  <c r="O100" i="58"/>
  <c r="O7" i="58" s="1"/>
  <c r="AG261" i="58"/>
  <c r="AF261" i="58"/>
  <c r="N100" i="58"/>
  <c r="N7" i="58" s="1"/>
  <c r="AE261" i="58"/>
  <c r="B256" i="58"/>
  <c r="C256" i="58"/>
  <c r="E100" i="58"/>
  <c r="E7" i="58" s="1"/>
  <c r="C100" i="58"/>
  <c r="C7" i="58" s="1"/>
  <c r="AH107" i="58"/>
  <c r="AI97" i="58"/>
  <c r="AH97" i="58"/>
  <c r="V261" i="58"/>
  <c r="D100" i="58"/>
  <c r="D7" i="58" s="1"/>
  <c r="AI99" i="58"/>
  <c r="AH99" i="58"/>
  <c r="T261" i="58"/>
  <c r="B100" i="58"/>
  <c r="AH108" i="58"/>
  <c r="F246" i="58"/>
  <c r="E118" i="58"/>
  <c r="E252" i="58"/>
  <c r="Q100" i="58"/>
  <c r="Q7" i="58" s="1"/>
  <c r="E282" i="58"/>
  <c r="G251" i="58"/>
  <c r="G100" i="58"/>
  <c r="G7" i="58" s="1"/>
  <c r="AT261" i="58"/>
  <c r="AB7" i="58"/>
  <c r="I100" i="58"/>
  <c r="I7" i="58" s="1"/>
  <c r="Y100" i="58"/>
  <c r="Y7" i="58" s="1"/>
  <c r="AL261" i="58"/>
  <c r="T100" i="58"/>
  <c r="T7" i="58" s="1"/>
  <c r="AI107" i="58"/>
  <c r="AD261" i="58"/>
  <c r="L100" i="58"/>
  <c r="L7" i="58" s="1"/>
  <c r="S107" i="57"/>
  <c r="S108" i="57" s="1"/>
  <c r="S97" i="57"/>
  <c r="S99" i="57" s="1"/>
  <c r="S100" i="57" s="1"/>
  <c r="O123" i="57"/>
  <c r="O121" i="57"/>
  <c r="O57" i="57"/>
  <c r="Q252" i="61" l="1"/>
  <c r="Q118" i="61"/>
  <c r="R246" i="61"/>
  <c r="S251" i="61"/>
  <c r="Q282" i="61"/>
  <c r="M282" i="59"/>
  <c r="O251" i="59"/>
  <c r="N118" i="59"/>
  <c r="N252" i="59"/>
  <c r="Q246" i="59"/>
  <c r="K6" i="58"/>
  <c r="G246" i="58"/>
  <c r="F252" i="58"/>
  <c r="F118" i="58"/>
  <c r="AI108" i="58"/>
  <c r="B7" i="58"/>
  <c r="A7" i="58" s="1"/>
  <c r="AH100" i="58"/>
  <c r="AI100" i="58"/>
  <c r="F282" i="58"/>
  <c r="H251" i="58"/>
  <c r="R282" i="61" l="1"/>
  <c r="T251" i="61"/>
  <c r="R252" i="61"/>
  <c r="R118" i="61"/>
  <c r="S246" i="61"/>
  <c r="R246" i="59"/>
  <c r="N282" i="59"/>
  <c r="P251" i="59"/>
  <c r="O118" i="59"/>
  <c r="O252" i="59"/>
  <c r="G282" i="58"/>
  <c r="I251" i="58"/>
  <c r="H246" i="58"/>
  <c r="G118" i="58"/>
  <c r="G252" i="58"/>
  <c r="N123" i="57"/>
  <c r="N121" i="57"/>
  <c r="N57" i="57"/>
  <c r="U251" i="61" l="1"/>
  <c r="S282" i="61"/>
  <c r="S252" i="61"/>
  <c r="S118" i="61"/>
  <c r="T246" i="61"/>
  <c r="S246" i="59"/>
  <c r="O282" i="59"/>
  <c r="Q251" i="59"/>
  <c r="P252" i="59"/>
  <c r="I246" i="58"/>
  <c r="H252" i="58"/>
  <c r="H118" i="58"/>
  <c r="H282" i="58"/>
  <c r="J251" i="58"/>
  <c r="M123" i="57"/>
  <c r="M121" i="57"/>
  <c r="M57" i="57"/>
  <c r="M58" i="57"/>
  <c r="M62" i="57"/>
  <c r="L128" i="57"/>
  <c r="D123" i="57"/>
  <c r="D57" i="57"/>
  <c r="C123" i="57"/>
  <c r="C57" i="57"/>
  <c r="B57" i="57"/>
  <c r="B123" i="57"/>
  <c r="AI123" i="57" s="1"/>
  <c r="AF286" i="57"/>
  <c r="AE286" i="57"/>
  <c r="AD286" i="57"/>
  <c r="AC286" i="57"/>
  <c r="AB286" i="57"/>
  <c r="AA286" i="57"/>
  <c r="Z286" i="57"/>
  <c r="Y286" i="57"/>
  <c r="X286" i="57"/>
  <c r="W286" i="57"/>
  <c r="V286" i="57"/>
  <c r="U286" i="57"/>
  <c r="T286" i="57"/>
  <c r="S286" i="57"/>
  <c r="R286" i="57"/>
  <c r="Q286" i="57"/>
  <c r="P286" i="57"/>
  <c r="O286" i="57"/>
  <c r="N286" i="57"/>
  <c r="M286" i="57"/>
  <c r="L286" i="57"/>
  <c r="K286" i="57"/>
  <c r="J286" i="57"/>
  <c r="I286" i="57"/>
  <c r="H286" i="57"/>
  <c r="G286" i="57"/>
  <c r="F286" i="57"/>
  <c r="E286" i="57"/>
  <c r="D286" i="57"/>
  <c r="C286" i="57"/>
  <c r="B286" i="57"/>
  <c r="A286" i="57"/>
  <c r="AF285" i="57"/>
  <c r="AE285" i="57"/>
  <c r="AD285" i="57"/>
  <c r="AC285" i="57"/>
  <c r="AB285" i="57"/>
  <c r="AA285" i="57"/>
  <c r="Z285" i="57"/>
  <c r="Y285" i="57"/>
  <c r="X285" i="57"/>
  <c r="W285" i="57"/>
  <c r="V285" i="57"/>
  <c r="U285" i="57"/>
  <c r="T285" i="57"/>
  <c r="S285" i="57"/>
  <c r="R285" i="57"/>
  <c r="Q285" i="57"/>
  <c r="P285" i="57"/>
  <c r="O285" i="57"/>
  <c r="N285" i="57"/>
  <c r="M285" i="57"/>
  <c r="L285" i="57"/>
  <c r="K285" i="57"/>
  <c r="J285" i="57"/>
  <c r="I285" i="57"/>
  <c r="H285" i="57"/>
  <c r="G285" i="57"/>
  <c r="F285" i="57"/>
  <c r="E285" i="57"/>
  <c r="D285" i="57"/>
  <c r="C285" i="57"/>
  <c r="B285" i="57"/>
  <c r="A285" i="57"/>
  <c r="AF284" i="57"/>
  <c r="AE284" i="57"/>
  <c r="AD284" i="57"/>
  <c r="AC284" i="57"/>
  <c r="AB284" i="57"/>
  <c r="AA284" i="57"/>
  <c r="Z284" i="57"/>
  <c r="Y284" i="57"/>
  <c r="X284" i="57"/>
  <c r="W284" i="57"/>
  <c r="V284" i="57"/>
  <c r="U284" i="57"/>
  <c r="T284" i="57"/>
  <c r="S284" i="57"/>
  <c r="R284" i="57"/>
  <c r="Q284" i="57"/>
  <c r="P284" i="57"/>
  <c r="O284" i="57"/>
  <c r="N284" i="57"/>
  <c r="M284" i="57"/>
  <c r="L284" i="57"/>
  <c r="K284" i="57"/>
  <c r="J284" i="57"/>
  <c r="I284" i="57"/>
  <c r="H284" i="57"/>
  <c r="G284" i="57"/>
  <c r="F284" i="57"/>
  <c r="E284" i="57"/>
  <c r="D284" i="57"/>
  <c r="C284" i="57"/>
  <c r="B284" i="57"/>
  <c r="A284" i="57"/>
  <c r="AF283" i="57"/>
  <c r="AE283" i="57"/>
  <c r="AD283" i="57"/>
  <c r="AC283" i="57"/>
  <c r="AB283" i="57"/>
  <c r="AA283" i="57"/>
  <c r="Z283" i="57"/>
  <c r="Y283" i="57"/>
  <c r="X283" i="57"/>
  <c r="W283" i="57"/>
  <c r="V283" i="57"/>
  <c r="U283" i="57"/>
  <c r="T283" i="57"/>
  <c r="S283" i="57"/>
  <c r="R283" i="57"/>
  <c r="Q283" i="57"/>
  <c r="P283" i="57"/>
  <c r="O283" i="57"/>
  <c r="N283" i="57"/>
  <c r="M283" i="57"/>
  <c r="L283" i="57"/>
  <c r="K283" i="57"/>
  <c r="J283" i="57"/>
  <c r="I283" i="57"/>
  <c r="H283" i="57"/>
  <c r="G283" i="57"/>
  <c r="F283" i="57"/>
  <c r="E283" i="57"/>
  <c r="D283" i="57"/>
  <c r="C283" i="57"/>
  <c r="B283" i="57"/>
  <c r="A283" i="57"/>
  <c r="B282" i="57"/>
  <c r="S257" i="57"/>
  <c r="AG252" i="57"/>
  <c r="C252" i="57"/>
  <c r="D251" i="57"/>
  <c r="D250" i="57"/>
  <c r="E250" i="57" s="1"/>
  <c r="F250" i="57" s="1"/>
  <c r="G250" i="57" s="1"/>
  <c r="H250" i="57" s="1"/>
  <c r="I250" i="57" s="1"/>
  <c r="J250" i="57" s="1"/>
  <c r="K250" i="57" s="1"/>
  <c r="L250" i="57" s="1"/>
  <c r="M250" i="57" s="1"/>
  <c r="N250" i="57" s="1"/>
  <c r="O250" i="57" s="1"/>
  <c r="P250" i="57" s="1"/>
  <c r="Q250" i="57" s="1"/>
  <c r="R250" i="57" s="1"/>
  <c r="S250" i="57" s="1"/>
  <c r="T250" i="57" s="1"/>
  <c r="U250" i="57" s="1"/>
  <c r="V250" i="57" s="1"/>
  <c r="W250" i="57" s="1"/>
  <c r="X250" i="57" s="1"/>
  <c r="Y250" i="57" s="1"/>
  <c r="Z250" i="57" s="1"/>
  <c r="AA250" i="57" s="1"/>
  <c r="AB250" i="57" s="1"/>
  <c r="AC250" i="57" s="1"/>
  <c r="AD250" i="57" s="1"/>
  <c r="AE250" i="57" s="1"/>
  <c r="AF250" i="57" s="1"/>
  <c r="B250" i="57" s="1"/>
  <c r="D249" i="57"/>
  <c r="E249" i="57" s="1"/>
  <c r="F249" i="57" s="1"/>
  <c r="G249" i="57" s="1"/>
  <c r="H249" i="57" s="1"/>
  <c r="I249" i="57" s="1"/>
  <c r="J249" i="57" s="1"/>
  <c r="K249" i="57" s="1"/>
  <c r="L249" i="57" s="1"/>
  <c r="M249" i="57" s="1"/>
  <c r="N249" i="57" s="1"/>
  <c r="O249" i="57" s="1"/>
  <c r="P249" i="57" s="1"/>
  <c r="Q249" i="57" s="1"/>
  <c r="R249" i="57" s="1"/>
  <c r="S249" i="57" s="1"/>
  <c r="T249" i="57" s="1"/>
  <c r="U249" i="57" s="1"/>
  <c r="V249" i="57" s="1"/>
  <c r="W249" i="57" s="1"/>
  <c r="X249" i="57" s="1"/>
  <c r="Y249" i="57" s="1"/>
  <c r="Z249" i="57" s="1"/>
  <c r="AA249" i="57" s="1"/>
  <c r="AB249" i="57" s="1"/>
  <c r="AC249" i="57" s="1"/>
  <c r="AD249" i="57" s="1"/>
  <c r="AE249" i="57" s="1"/>
  <c r="AF249" i="57" s="1"/>
  <c r="B249" i="57" s="1"/>
  <c r="E248" i="57"/>
  <c r="F248" i="57" s="1"/>
  <c r="G248" i="57" s="1"/>
  <c r="H248" i="57" s="1"/>
  <c r="I248" i="57" s="1"/>
  <c r="J248" i="57" s="1"/>
  <c r="K248" i="57" s="1"/>
  <c r="L248" i="57" s="1"/>
  <c r="M248" i="57" s="1"/>
  <c r="N248" i="57" s="1"/>
  <c r="O248" i="57" s="1"/>
  <c r="P248" i="57" s="1"/>
  <c r="Q248" i="57" s="1"/>
  <c r="R248" i="57" s="1"/>
  <c r="S248" i="57" s="1"/>
  <c r="T248" i="57" s="1"/>
  <c r="U248" i="57" s="1"/>
  <c r="V248" i="57" s="1"/>
  <c r="W248" i="57" s="1"/>
  <c r="X248" i="57" s="1"/>
  <c r="Y248" i="57" s="1"/>
  <c r="Z248" i="57" s="1"/>
  <c r="AA248" i="57" s="1"/>
  <c r="AB248" i="57" s="1"/>
  <c r="AC248" i="57" s="1"/>
  <c r="AD248" i="57" s="1"/>
  <c r="AE248" i="57" s="1"/>
  <c r="AF248" i="57" s="1"/>
  <c r="B248" i="57" s="1"/>
  <c r="D248" i="57"/>
  <c r="D247" i="57"/>
  <c r="D246" i="57"/>
  <c r="E246" i="57" s="1"/>
  <c r="AG244" i="57"/>
  <c r="AF244" i="57"/>
  <c r="AE244" i="57"/>
  <c r="AD244" i="57"/>
  <c r="AC244" i="57"/>
  <c r="AB244" i="57"/>
  <c r="AA244" i="57"/>
  <c r="Z244" i="57"/>
  <c r="Z118" i="57" s="1"/>
  <c r="Y244" i="57"/>
  <c r="Y118" i="57" s="1"/>
  <c r="X244" i="57"/>
  <c r="W244" i="57"/>
  <c r="V244" i="57"/>
  <c r="U244" i="57"/>
  <c r="T244" i="57"/>
  <c r="S244" i="57"/>
  <c r="R244" i="57"/>
  <c r="Q244" i="57"/>
  <c r="P244" i="57"/>
  <c r="O244" i="57"/>
  <c r="N244" i="57"/>
  <c r="M244" i="57"/>
  <c r="L244" i="57"/>
  <c r="K244" i="57"/>
  <c r="J244" i="57"/>
  <c r="I244" i="57"/>
  <c r="H244" i="57"/>
  <c r="G244" i="57"/>
  <c r="F244" i="57"/>
  <c r="E244" i="57"/>
  <c r="D244" i="57"/>
  <c r="C244" i="57"/>
  <c r="B244" i="57"/>
  <c r="AI130" i="57"/>
  <c r="AH130" i="57"/>
  <c r="AI129" i="57"/>
  <c r="AH129" i="57"/>
  <c r="AI128" i="57"/>
  <c r="AH128" i="57"/>
  <c r="AI127" i="57"/>
  <c r="AH127" i="57"/>
  <c r="AI126" i="57"/>
  <c r="AH126" i="57"/>
  <c r="AI122" i="57"/>
  <c r="AH122" i="57"/>
  <c r="AI121" i="57"/>
  <c r="AH121" i="57"/>
  <c r="AI120" i="57"/>
  <c r="AH120" i="57"/>
  <c r="AI119" i="57"/>
  <c r="AH119" i="57"/>
  <c r="C118" i="57"/>
  <c r="AI117" i="57"/>
  <c r="AH117" i="57"/>
  <c r="AI116" i="57"/>
  <c r="AH116" i="57"/>
  <c r="AI115" i="57"/>
  <c r="AH115" i="57"/>
  <c r="AI114" i="57"/>
  <c r="AH114" i="57"/>
  <c r="AI113" i="57"/>
  <c r="AH113" i="57"/>
  <c r="AI112" i="57"/>
  <c r="AH112" i="57"/>
  <c r="AI111" i="57"/>
  <c r="AH111" i="57"/>
  <c r="AI110" i="57"/>
  <c r="AH110" i="57"/>
  <c r="AI109" i="57"/>
  <c r="AH109" i="57"/>
  <c r="AI106" i="57"/>
  <c r="AH106" i="57"/>
  <c r="AF105" i="57"/>
  <c r="AE105" i="57"/>
  <c r="AD105" i="57"/>
  <c r="AC105" i="57"/>
  <c r="AB105" i="57"/>
  <c r="AA105" i="57"/>
  <c r="Z105" i="57"/>
  <c r="Y105" i="57"/>
  <c r="X105" i="57"/>
  <c r="W105" i="57"/>
  <c r="U105" i="57"/>
  <c r="R105" i="57"/>
  <c r="Q105" i="57"/>
  <c r="P105" i="57"/>
  <c r="O105" i="57"/>
  <c r="N105" i="57"/>
  <c r="M105" i="57"/>
  <c r="L105" i="57"/>
  <c r="K105" i="57"/>
  <c r="J105" i="57"/>
  <c r="I105" i="57"/>
  <c r="H105" i="57"/>
  <c r="G105" i="57"/>
  <c r="F105" i="57"/>
  <c r="E105" i="57"/>
  <c r="D105" i="57"/>
  <c r="C105" i="57"/>
  <c r="B105" i="57"/>
  <c r="AF104" i="57"/>
  <c r="AE104" i="57"/>
  <c r="AD104" i="57"/>
  <c r="AC104" i="57"/>
  <c r="AB104" i="57"/>
  <c r="AA104" i="57"/>
  <c r="Z104" i="57"/>
  <c r="Y104" i="57"/>
  <c r="X104" i="57"/>
  <c r="W104" i="57"/>
  <c r="U104" i="57"/>
  <c r="R104" i="57"/>
  <c r="Q104" i="57"/>
  <c r="P104" i="57"/>
  <c r="O104" i="57"/>
  <c r="N104" i="57"/>
  <c r="M104" i="57"/>
  <c r="L104" i="57"/>
  <c r="K104" i="57"/>
  <c r="J104" i="57"/>
  <c r="I104" i="57"/>
  <c r="H104" i="57"/>
  <c r="G104" i="57"/>
  <c r="F104" i="57"/>
  <c r="E104" i="57"/>
  <c r="D104" i="57"/>
  <c r="C104" i="57"/>
  <c r="B104" i="57"/>
  <c r="AF103" i="57"/>
  <c r="AE103" i="57"/>
  <c r="AD103" i="57"/>
  <c r="AC103" i="57"/>
  <c r="AB103" i="57"/>
  <c r="AA103" i="57"/>
  <c r="X103" i="57"/>
  <c r="W103" i="57"/>
  <c r="U103" i="57"/>
  <c r="R103" i="57"/>
  <c r="Q103" i="57"/>
  <c r="P103" i="57"/>
  <c r="O103" i="57"/>
  <c r="N103" i="57"/>
  <c r="M103" i="57"/>
  <c r="L103" i="57"/>
  <c r="K103" i="57"/>
  <c r="J103" i="57"/>
  <c r="I103" i="57"/>
  <c r="H103" i="57"/>
  <c r="G103" i="57"/>
  <c r="F103" i="57"/>
  <c r="E103" i="57"/>
  <c r="D103" i="57"/>
  <c r="C103" i="57"/>
  <c r="B103" i="57"/>
  <c r="AF102" i="57"/>
  <c r="AE102" i="57"/>
  <c r="AD102" i="57"/>
  <c r="AC102" i="57"/>
  <c r="AB102" i="57"/>
  <c r="AA102" i="57"/>
  <c r="Z102" i="57"/>
  <c r="Y102" i="57"/>
  <c r="X102" i="57"/>
  <c r="W102" i="57"/>
  <c r="U102" i="57"/>
  <c r="R102" i="57"/>
  <c r="Q102" i="57"/>
  <c r="P102" i="57"/>
  <c r="O102" i="57"/>
  <c r="N102" i="57"/>
  <c r="M102" i="57"/>
  <c r="L102" i="57"/>
  <c r="K102" i="57"/>
  <c r="J102" i="57"/>
  <c r="I102" i="57"/>
  <c r="H102" i="57"/>
  <c r="G102" i="57"/>
  <c r="F102" i="57"/>
  <c r="E102" i="57"/>
  <c r="D102" i="57"/>
  <c r="C102" i="57"/>
  <c r="B102" i="57"/>
  <c r="AF101" i="57"/>
  <c r="AE101" i="57"/>
  <c r="AD101" i="57"/>
  <c r="AC101" i="57"/>
  <c r="AB101" i="57"/>
  <c r="AA101" i="57"/>
  <c r="Z101" i="57"/>
  <c r="Y101" i="57"/>
  <c r="X101" i="57"/>
  <c r="W101" i="57"/>
  <c r="U101" i="57"/>
  <c r="R101" i="57"/>
  <c r="Q101" i="57"/>
  <c r="P101" i="57"/>
  <c r="O101" i="57"/>
  <c r="N101" i="57"/>
  <c r="N107" i="57" s="1"/>
  <c r="M101" i="57"/>
  <c r="L101" i="57"/>
  <c r="K101" i="57"/>
  <c r="J101" i="57"/>
  <c r="I101" i="57"/>
  <c r="H101" i="57"/>
  <c r="G101" i="57"/>
  <c r="F101" i="57"/>
  <c r="F107" i="57" s="1"/>
  <c r="E101" i="57"/>
  <c r="D101" i="57"/>
  <c r="C101" i="57"/>
  <c r="B101" i="57"/>
  <c r="AI98" i="57"/>
  <c r="AH98" i="57"/>
  <c r="AI96" i="57"/>
  <c r="AH96" i="57"/>
  <c r="AG96" i="57"/>
  <c r="AI95" i="57"/>
  <c r="AH95" i="57"/>
  <c r="AI94" i="57"/>
  <c r="AH94" i="57"/>
  <c r="AI93" i="57"/>
  <c r="AH93" i="57"/>
  <c r="AG92" i="57"/>
  <c r="AF92" i="57"/>
  <c r="AE5" i="57" s="1"/>
  <c r="AE92" i="57"/>
  <c r="AD5" i="57" s="1"/>
  <c r="AD92" i="57"/>
  <c r="AC5" i="57" s="1"/>
  <c r="AC92" i="57"/>
  <c r="AB5" i="57" s="1"/>
  <c r="AB92" i="57"/>
  <c r="AA5" i="57" s="1"/>
  <c r="AA92" i="57"/>
  <c r="X92" i="57"/>
  <c r="W5" i="57" s="1"/>
  <c r="W92" i="57"/>
  <c r="V5" i="57" s="1"/>
  <c r="U92" i="57"/>
  <c r="T5" i="57" s="1"/>
  <c r="R92" i="57"/>
  <c r="Q5" i="57" s="1"/>
  <c r="Q92" i="57"/>
  <c r="P5" i="57" s="1"/>
  <c r="P92" i="57"/>
  <c r="O5" i="57" s="1"/>
  <c r="O92" i="57"/>
  <c r="N5" i="57" s="1"/>
  <c r="N92" i="57"/>
  <c r="M5" i="57" s="1"/>
  <c r="M92" i="57"/>
  <c r="L5" i="57" s="1"/>
  <c r="L92" i="57"/>
  <c r="K5" i="57" s="1"/>
  <c r="K92" i="57"/>
  <c r="J92" i="57"/>
  <c r="I5" i="57" s="1"/>
  <c r="I92" i="57"/>
  <c r="H5" i="57" s="1"/>
  <c r="H92" i="57"/>
  <c r="G5" i="57" s="1"/>
  <c r="G92" i="57"/>
  <c r="F5" i="57" s="1"/>
  <c r="F92" i="57"/>
  <c r="E5" i="57" s="1"/>
  <c r="E92" i="57"/>
  <c r="D92" i="57"/>
  <c r="C5" i="57" s="1"/>
  <c r="C92" i="57"/>
  <c r="B92" i="57"/>
  <c r="AF5" i="57" s="1"/>
  <c r="AI91" i="57"/>
  <c r="AH91" i="57"/>
  <c r="AI90" i="57"/>
  <c r="AH90" i="57"/>
  <c r="AI89" i="57"/>
  <c r="AH89" i="57"/>
  <c r="AI88" i="57"/>
  <c r="AH88" i="57"/>
  <c r="AI87" i="57"/>
  <c r="AH87" i="57"/>
  <c r="AI86" i="57"/>
  <c r="AH86" i="57"/>
  <c r="Z92" i="57"/>
  <c r="Y5" i="57" s="1"/>
  <c r="Y92" i="57"/>
  <c r="AI84" i="57"/>
  <c r="AH84" i="57"/>
  <c r="AI83" i="57"/>
  <c r="AH83" i="57"/>
  <c r="AI82" i="57"/>
  <c r="AH82" i="57"/>
  <c r="AI81" i="57"/>
  <c r="AH81" i="57"/>
  <c r="AG80" i="57"/>
  <c r="AF80" i="57"/>
  <c r="AE80" i="57"/>
  <c r="AD80" i="57"/>
  <c r="AC80" i="57"/>
  <c r="AB80" i="57"/>
  <c r="AA80" i="57"/>
  <c r="Z80" i="57"/>
  <c r="Y80" i="57"/>
  <c r="X80" i="57"/>
  <c r="W80" i="57"/>
  <c r="U80" i="57"/>
  <c r="R80" i="57"/>
  <c r="Q80" i="57"/>
  <c r="P80" i="57"/>
  <c r="O80" i="57"/>
  <c r="N80" i="57"/>
  <c r="M80" i="57"/>
  <c r="L80" i="57"/>
  <c r="K80" i="57"/>
  <c r="J80" i="57"/>
  <c r="I80" i="57"/>
  <c r="H80" i="57"/>
  <c r="G80" i="57"/>
  <c r="F80" i="57"/>
  <c r="E80" i="57"/>
  <c r="D80" i="57"/>
  <c r="C80" i="57"/>
  <c r="B80" i="57"/>
  <c r="AI79" i="57"/>
  <c r="AH79" i="57"/>
  <c r="AI78" i="57"/>
  <c r="AH78" i="57"/>
  <c r="AI77" i="57"/>
  <c r="AH77" i="57"/>
  <c r="AF76" i="57"/>
  <c r="AE76" i="57"/>
  <c r="AD76" i="57"/>
  <c r="AC76" i="57"/>
  <c r="AA76" i="57"/>
  <c r="Z76" i="57"/>
  <c r="Y76" i="57"/>
  <c r="X76" i="57"/>
  <c r="W76" i="57"/>
  <c r="U76" i="57"/>
  <c r="R76" i="57"/>
  <c r="Q76" i="57"/>
  <c r="P76" i="57"/>
  <c r="O76" i="57"/>
  <c r="N76" i="57"/>
  <c r="M76" i="57"/>
  <c r="L76" i="57"/>
  <c r="K76" i="57"/>
  <c r="J76" i="57"/>
  <c r="I76" i="57"/>
  <c r="H76" i="57"/>
  <c r="G76" i="57"/>
  <c r="F76" i="57"/>
  <c r="E76" i="57"/>
  <c r="D76" i="57"/>
  <c r="C76" i="57"/>
  <c r="B76" i="57"/>
  <c r="AI75" i="57"/>
  <c r="AH75" i="57"/>
  <c r="AG75" i="57"/>
  <c r="AG76" i="57" s="1"/>
  <c r="AI74" i="57"/>
  <c r="AH74" i="57"/>
  <c r="AI73" i="57"/>
  <c r="AH73" i="57"/>
  <c r="AI72" i="57"/>
  <c r="AH72" i="57"/>
  <c r="AI71" i="57"/>
  <c r="AH71" i="57"/>
  <c r="AI70" i="57"/>
  <c r="AH70" i="57"/>
  <c r="AI69" i="57"/>
  <c r="AH69" i="57"/>
  <c r="AI68" i="57"/>
  <c r="AH68" i="57"/>
  <c r="AI67" i="57"/>
  <c r="AH67" i="57"/>
  <c r="AI66" i="57"/>
  <c r="AH66" i="57"/>
  <c r="AI65" i="57"/>
  <c r="AH65" i="57"/>
  <c r="AI64" i="57"/>
  <c r="AH64" i="57"/>
  <c r="AI63" i="57"/>
  <c r="AH63" i="57"/>
  <c r="AG62" i="57"/>
  <c r="AF62" i="57"/>
  <c r="AE62" i="57"/>
  <c r="AD62" i="57"/>
  <c r="AC62" i="57"/>
  <c r="AA62" i="57"/>
  <c r="Z62" i="57"/>
  <c r="Y62" i="57"/>
  <c r="X62" i="57"/>
  <c r="W62" i="57"/>
  <c r="U62" i="57"/>
  <c r="R62" i="57"/>
  <c r="Q62" i="57"/>
  <c r="P62" i="57"/>
  <c r="O62" i="57"/>
  <c r="N62" i="57"/>
  <c r="L62" i="57"/>
  <c r="K62" i="57"/>
  <c r="J62" i="57"/>
  <c r="I62" i="57"/>
  <c r="H62" i="57"/>
  <c r="G62" i="57"/>
  <c r="F62" i="57"/>
  <c r="E62" i="57"/>
  <c r="D62" i="57"/>
  <c r="C62" i="57"/>
  <c r="B62" i="57"/>
  <c r="AI61" i="57"/>
  <c r="AH61" i="57"/>
  <c r="AI60" i="57"/>
  <c r="AH60" i="57"/>
  <c r="AI59" i="57"/>
  <c r="AH59" i="57"/>
  <c r="AG58" i="57"/>
  <c r="AF58" i="57"/>
  <c r="AE58" i="57"/>
  <c r="AD58" i="57"/>
  <c r="AC58" i="57"/>
  <c r="AA58" i="57"/>
  <c r="Z58" i="57"/>
  <c r="Y58" i="57"/>
  <c r="X58" i="57"/>
  <c r="W58" i="57"/>
  <c r="U58" i="57"/>
  <c r="R58" i="57"/>
  <c r="Q58" i="57"/>
  <c r="P58" i="57"/>
  <c r="O58" i="57"/>
  <c r="N58" i="57"/>
  <c r="L58" i="57"/>
  <c r="K58" i="57"/>
  <c r="J58" i="57"/>
  <c r="I58" i="57"/>
  <c r="H58" i="57"/>
  <c r="G58" i="57"/>
  <c r="F58" i="57"/>
  <c r="E58" i="57"/>
  <c r="D58" i="57"/>
  <c r="C58" i="57"/>
  <c r="B58" i="57"/>
  <c r="AI57" i="57"/>
  <c r="AH57" i="57"/>
  <c r="AI56" i="57"/>
  <c r="AH56" i="57"/>
  <c r="AI55" i="57"/>
  <c r="AH55" i="57"/>
  <c r="AI54" i="57"/>
  <c r="AH54" i="57"/>
  <c r="AI53" i="57"/>
  <c r="AH53" i="57"/>
  <c r="AI52" i="57"/>
  <c r="AH52" i="57"/>
  <c r="AI51" i="57"/>
  <c r="AH51" i="57"/>
  <c r="AI50" i="57"/>
  <c r="AH50" i="57"/>
  <c r="AI49" i="57"/>
  <c r="AH49" i="57"/>
  <c r="AI48" i="57"/>
  <c r="AH48" i="57"/>
  <c r="AI47" i="57"/>
  <c r="AH47" i="57"/>
  <c r="AI46" i="57"/>
  <c r="AH46" i="57"/>
  <c r="AI45" i="57"/>
  <c r="AH45" i="57"/>
  <c r="AI44" i="57"/>
  <c r="AH44" i="57"/>
  <c r="AI43" i="57"/>
  <c r="AH43" i="57"/>
  <c r="AI42" i="57"/>
  <c r="AH42" i="57"/>
  <c r="AI41" i="57"/>
  <c r="AH41" i="57"/>
  <c r="AI40" i="57"/>
  <c r="AH40" i="57"/>
  <c r="AI39" i="57"/>
  <c r="AH39" i="57"/>
  <c r="AI38" i="57"/>
  <c r="AH38" i="57"/>
  <c r="AI37" i="57"/>
  <c r="AH37" i="57"/>
  <c r="AI36" i="57"/>
  <c r="AH36" i="57"/>
  <c r="AI35" i="57"/>
  <c r="AH35" i="57"/>
  <c r="AI34" i="57"/>
  <c r="AH34" i="57"/>
  <c r="AI33" i="57"/>
  <c r="AH33" i="57"/>
  <c r="AI32" i="57"/>
  <c r="AH32" i="57"/>
  <c r="AI31" i="57"/>
  <c r="AH31" i="57"/>
  <c r="AI30" i="57"/>
  <c r="AH30" i="57"/>
  <c r="AI29" i="57"/>
  <c r="AH29" i="57"/>
  <c r="AI28" i="57"/>
  <c r="AH28" i="57"/>
  <c r="AI27" i="57"/>
  <c r="AH27" i="57"/>
  <c r="AI26" i="57"/>
  <c r="AH26" i="57"/>
  <c r="AI25" i="57"/>
  <c r="AH25" i="57"/>
  <c r="AI24" i="57"/>
  <c r="AH24" i="57"/>
  <c r="AI23" i="57"/>
  <c r="AH23" i="57"/>
  <c r="AI22" i="57"/>
  <c r="AH22" i="57"/>
  <c r="AI21" i="57"/>
  <c r="AH21" i="57"/>
  <c r="AI20" i="57"/>
  <c r="AH20" i="57"/>
  <c r="AI19" i="57"/>
  <c r="AH19" i="57"/>
  <c r="AI18" i="57"/>
  <c r="AH18" i="57"/>
  <c r="AI17" i="57"/>
  <c r="AH17" i="57"/>
  <c r="AI16" i="57"/>
  <c r="AH16" i="57"/>
  <c r="AI15" i="57"/>
  <c r="AH15" i="57"/>
  <c r="AI14" i="57"/>
  <c r="AH14" i="57"/>
  <c r="AI13" i="57"/>
  <c r="AH13" i="57"/>
  <c r="AI12" i="57"/>
  <c r="AH12" i="57"/>
  <c r="AI11" i="57"/>
  <c r="AH11" i="57"/>
  <c r="U5" i="57"/>
  <c r="S5" i="57"/>
  <c r="AG4" i="57"/>
  <c r="K4" i="57"/>
  <c r="E4" i="57"/>
  <c r="H4" i="57" s="1"/>
  <c r="B4" i="57"/>
  <c r="S258" i="57" s="1"/>
  <c r="AG2" i="57"/>
  <c r="AD118" i="56"/>
  <c r="AF123" i="56"/>
  <c r="AE123" i="56"/>
  <c r="AD123" i="56"/>
  <c r="AC123" i="56"/>
  <c r="AB123" i="56"/>
  <c r="AA123" i="56"/>
  <c r="Z123" i="56"/>
  <c r="Y123" i="56"/>
  <c r="Z58" i="56"/>
  <c r="Z62" i="56"/>
  <c r="Z76" i="56"/>
  <c r="Z80" i="56"/>
  <c r="Z92" i="56"/>
  <c r="Z108" i="56" s="1"/>
  <c r="Z101" i="56"/>
  <c r="Z102" i="56"/>
  <c r="Z103" i="56"/>
  <c r="Z104" i="56"/>
  <c r="Z105" i="56"/>
  <c r="Z118" i="56"/>
  <c r="Z244" i="56"/>
  <c r="Y105" i="56"/>
  <c r="Y104" i="56"/>
  <c r="Y103" i="56"/>
  <c r="Y102" i="56"/>
  <c r="Y101" i="56"/>
  <c r="Y92" i="56"/>
  <c r="Y108" i="56" s="1"/>
  <c r="Y80" i="56"/>
  <c r="Y76" i="56"/>
  <c r="Y62" i="56"/>
  <c r="Y58" i="56"/>
  <c r="Y97" i="56" s="1"/>
  <c r="Y99" i="56" s="1"/>
  <c r="Y100" i="56" s="1"/>
  <c r="X123" i="56"/>
  <c r="W123" i="56"/>
  <c r="X58" i="56"/>
  <c r="X62" i="56"/>
  <c r="X76" i="56"/>
  <c r="X80" i="56"/>
  <c r="X92" i="56"/>
  <c r="X101" i="56"/>
  <c r="X102" i="56"/>
  <c r="X103" i="56"/>
  <c r="X104" i="56"/>
  <c r="X105" i="56"/>
  <c r="X118" i="56"/>
  <c r="W58" i="56"/>
  <c r="W62" i="56"/>
  <c r="W76" i="56"/>
  <c r="W80" i="56"/>
  <c r="W92" i="56"/>
  <c r="W101" i="56"/>
  <c r="W102" i="56"/>
  <c r="W103" i="56"/>
  <c r="W104" i="56"/>
  <c r="W105" i="56"/>
  <c r="W118" i="56"/>
  <c r="T252" i="61" l="1"/>
  <c r="T118" i="61"/>
  <c r="U246" i="61"/>
  <c r="T282" i="61"/>
  <c r="V251" i="61"/>
  <c r="P282" i="59"/>
  <c r="R251" i="59"/>
  <c r="Q252" i="59"/>
  <c r="Q118" i="59"/>
  <c r="T246" i="59"/>
  <c r="K251" i="58"/>
  <c r="I282" i="58"/>
  <c r="I118" i="58"/>
  <c r="I252" i="58"/>
  <c r="J246" i="58"/>
  <c r="AD107" i="57"/>
  <c r="AF97" i="57"/>
  <c r="AF99" i="57" s="1"/>
  <c r="X97" i="57"/>
  <c r="X99" i="57" s="1"/>
  <c r="R107" i="57"/>
  <c r="R97" i="57"/>
  <c r="R99" i="57" s="1"/>
  <c r="AF107" i="57"/>
  <c r="AF108" i="57" s="1"/>
  <c r="U97" i="57"/>
  <c r="U99" i="57" s="1"/>
  <c r="AC97" i="57"/>
  <c r="AC99" i="57" s="1"/>
  <c r="AU261" i="57" s="1"/>
  <c r="P97" i="57"/>
  <c r="P99" i="57" s="1"/>
  <c r="M97" i="57"/>
  <c r="M99" i="57" s="1"/>
  <c r="J97" i="57"/>
  <c r="J99" i="57" s="1"/>
  <c r="J107" i="57"/>
  <c r="J108" i="57" s="1"/>
  <c r="K97" i="57"/>
  <c r="K99" i="57" s="1"/>
  <c r="AC261" i="57" s="1"/>
  <c r="H97" i="57"/>
  <c r="H99" i="57" s="1"/>
  <c r="Z261" i="57" s="1"/>
  <c r="L107" i="57"/>
  <c r="AB107" i="57"/>
  <c r="L97" i="57"/>
  <c r="L99" i="57" s="1"/>
  <c r="L100" i="57" s="1"/>
  <c r="L7" i="57" s="1"/>
  <c r="AL261" i="57"/>
  <c r="AB97" i="57"/>
  <c r="AB99" i="57" s="1"/>
  <c r="AT261" i="57" s="1"/>
  <c r="F97" i="57"/>
  <c r="F99" i="57" s="1"/>
  <c r="X261" i="57" s="1"/>
  <c r="N97" i="57"/>
  <c r="N99" i="57" s="1"/>
  <c r="N100" i="57" s="1"/>
  <c r="N7" i="57" s="1"/>
  <c r="V7" i="57"/>
  <c r="AD97" i="57"/>
  <c r="AD99" i="57" s="1"/>
  <c r="AV261" i="57" s="1"/>
  <c r="R108" i="57"/>
  <c r="G107" i="57"/>
  <c r="G108" i="57" s="1"/>
  <c r="O107" i="57"/>
  <c r="O108" i="57" s="1"/>
  <c r="W107" i="57"/>
  <c r="W108" i="57" s="1"/>
  <c r="AE107" i="57"/>
  <c r="AE108" i="57" s="1"/>
  <c r="M107" i="57"/>
  <c r="M100" i="57" s="1"/>
  <c r="M7" i="57" s="1"/>
  <c r="U107" i="57"/>
  <c r="U108" i="57" s="1"/>
  <c r="AC107" i="57"/>
  <c r="D252" i="57"/>
  <c r="G97" i="57"/>
  <c r="G99" i="57" s="1"/>
  <c r="G100" i="57" s="1"/>
  <c r="G7" i="57" s="1"/>
  <c r="O97" i="57"/>
  <c r="O99" i="57" s="1"/>
  <c r="W97" i="57"/>
  <c r="W99" i="57" s="1"/>
  <c r="AO261" i="57" s="1"/>
  <c r="AE97" i="57"/>
  <c r="AE99" i="57" s="1"/>
  <c r="H107" i="57"/>
  <c r="H108" i="57" s="1"/>
  <c r="P107" i="57"/>
  <c r="P108" i="57" s="1"/>
  <c r="AD108" i="57"/>
  <c r="I107" i="57"/>
  <c r="I108" i="57" s="1"/>
  <c r="Q107" i="57"/>
  <c r="Q108" i="57" s="1"/>
  <c r="D118" i="57"/>
  <c r="I97" i="57"/>
  <c r="I99" i="57" s="1"/>
  <c r="Q97" i="57"/>
  <c r="Q99" i="57" s="1"/>
  <c r="AI261" i="57" s="1"/>
  <c r="F108" i="57"/>
  <c r="N108" i="57"/>
  <c r="K107" i="57"/>
  <c r="K108" i="57" s="1"/>
  <c r="S7" i="57"/>
  <c r="E107" i="57"/>
  <c r="E108" i="57" s="1"/>
  <c r="E97" i="57"/>
  <c r="E99" i="57" s="1"/>
  <c r="W261" i="57" s="1"/>
  <c r="D5" i="57"/>
  <c r="AI80" i="57"/>
  <c r="AI104" i="57"/>
  <c r="Y97" i="57"/>
  <c r="Y99" i="57" s="1"/>
  <c r="AQ261" i="57" s="1"/>
  <c r="X107" i="57"/>
  <c r="X108" i="57" s="1"/>
  <c r="Z97" i="57"/>
  <c r="Z99" i="57" s="1"/>
  <c r="AR261" i="57" s="1"/>
  <c r="AA97" i="57"/>
  <c r="AA99" i="57" s="1"/>
  <c r="AS261" i="57" s="1"/>
  <c r="AI101" i="57"/>
  <c r="AA107" i="57"/>
  <c r="AA108" i="57" s="1"/>
  <c r="D97" i="57"/>
  <c r="D99" i="57" s="1"/>
  <c r="V261" i="57" s="1"/>
  <c r="D107" i="57"/>
  <c r="AI102" i="57"/>
  <c r="C107" i="57"/>
  <c r="C108" i="57" s="1"/>
  <c r="AI105" i="57"/>
  <c r="AI76" i="57"/>
  <c r="C97" i="57"/>
  <c r="C99" i="57" s="1"/>
  <c r="U261" i="57" s="1"/>
  <c r="AH104" i="57"/>
  <c r="B107" i="57"/>
  <c r="D258" i="57"/>
  <c r="AK261" i="57"/>
  <c r="AM261" i="57"/>
  <c r="AN261" i="57"/>
  <c r="AH92" i="57"/>
  <c r="AB108" i="57"/>
  <c r="AH261" i="57"/>
  <c r="R100" i="57"/>
  <c r="R7" i="57" s="1"/>
  <c r="AJ261" i="57"/>
  <c r="AE261" i="57"/>
  <c r="AI92" i="57"/>
  <c r="AP261" i="57"/>
  <c r="AH62" i="57"/>
  <c r="AI62" i="57"/>
  <c r="AG99" i="57"/>
  <c r="AG3" i="57"/>
  <c r="AG6" i="57" s="1"/>
  <c r="X5" i="57"/>
  <c r="D108" i="57"/>
  <c r="L108" i="57"/>
  <c r="AX261" i="57"/>
  <c r="AH58" i="57"/>
  <c r="B97" i="57"/>
  <c r="AI58" i="57"/>
  <c r="AG97" i="57"/>
  <c r="F246" i="57"/>
  <c r="B5" i="57"/>
  <c r="J5" i="57"/>
  <c r="R5" i="57"/>
  <c r="Z5" i="57"/>
  <c r="AH85" i="57"/>
  <c r="AH102" i="57"/>
  <c r="B108" i="57"/>
  <c r="E247" i="57"/>
  <c r="F247" i="57" s="1"/>
  <c r="G247" i="57" s="1"/>
  <c r="H247" i="57" s="1"/>
  <c r="I247" i="57" s="1"/>
  <c r="J247" i="57" s="1"/>
  <c r="K247" i="57" s="1"/>
  <c r="L247" i="57" s="1"/>
  <c r="M247" i="57" s="1"/>
  <c r="N247" i="57" s="1"/>
  <c r="O247" i="57" s="1"/>
  <c r="P247" i="57" s="1"/>
  <c r="Q247" i="57" s="1"/>
  <c r="R247" i="57" s="1"/>
  <c r="S247" i="57" s="1"/>
  <c r="T247" i="57" s="1"/>
  <c r="U247" i="57" s="1"/>
  <c r="V247" i="57" s="1"/>
  <c r="W247" i="57" s="1"/>
  <c r="X247" i="57" s="1"/>
  <c r="Y247" i="57" s="1"/>
  <c r="Z247" i="57" s="1"/>
  <c r="AA247" i="57" s="1"/>
  <c r="AB247" i="57" s="1"/>
  <c r="AC247" i="57" s="1"/>
  <c r="AD247" i="57" s="1"/>
  <c r="AE247" i="57" s="1"/>
  <c r="AF247" i="57" s="1"/>
  <c r="B247" i="57" s="1"/>
  <c r="E251" i="57"/>
  <c r="E118" i="57" s="1"/>
  <c r="AI85" i="57"/>
  <c r="Y103" i="57"/>
  <c r="C282" i="57"/>
  <c r="Z103" i="57"/>
  <c r="Z107" i="57" s="1"/>
  <c r="AH105" i="57"/>
  <c r="AH76" i="57"/>
  <c r="AH80" i="57"/>
  <c r="AH123" i="57"/>
  <c r="AH101" i="57"/>
  <c r="Z97" i="56"/>
  <c r="Z99" i="56" s="1"/>
  <c r="Z100" i="56" s="1"/>
  <c r="X97" i="56"/>
  <c r="X99" i="56" s="1"/>
  <c r="X100" i="56" s="1"/>
  <c r="X108" i="56"/>
  <c r="W97" i="56"/>
  <c r="W99" i="56" s="1"/>
  <c r="W100" i="56" s="1"/>
  <c r="W108" i="56"/>
  <c r="V123" i="56"/>
  <c r="V58" i="56"/>
  <c r="V62" i="56"/>
  <c r="V76" i="56"/>
  <c r="V80" i="56"/>
  <c r="V92" i="56"/>
  <c r="V108" i="56" s="1"/>
  <c r="V101" i="56"/>
  <c r="V102" i="56"/>
  <c r="V103" i="56"/>
  <c r="V104" i="56"/>
  <c r="V105" i="56"/>
  <c r="V118" i="56"/>
  <c r="U123" i="56"/>
  <c r="U58" i="56"/>
  <c r="U62" i="56"/>
  <c r="U76" i="56"/>
  <c r="U80" i="56"/>
  <c r="U92" i="56"/>
  <c r="U101" i="56"/>
  <c r="U102" i="56"/>
  <c r="U103" i="56"/>
  <c r="U104" i="56"/>
  <c r="U105" i="56"/>
  <c r="U118" i="56"/>
  <c r="U146" i="56"/>
  <c r="T123" i="56"/>
  <c r="T58" i="56"/>
  <c r="T62" i="56"/>
  <c r="T76" i="56"/>
  <c r="T80" i="56"/>
  <c r="T92" i="56"/>
  <c r="T101" i="56"/>
  <c r="T102" i="56"/>
  <c r="T103" i="56"/>
  <c r="T104" i="56"/>
  <c r="T105" i="56"/>
  <c r="T118" i="56"/>
  <c r="W251" i="61" l="1"/>
  <c r="U282" i="61"/>
  <c r="V246" i="61"/>
  <c r="U252" i="61"/>
  <c r="U118" i="61"/>
  <c r="U246" i="59"/>
  <c r="S251" i="59"/>
  <c r="Q282" i="59"/>
  <c r="R252" i="59"/>
  <c r="R118" i="59"/>
  <c r="J118" i="58"/>
  <c r="J252" i="58"/>
  <c r="K246" i="58"/>
  <c r="J282" i="58"/>
  <c r="L251" i="58"/>
  <c r="AE100" i="57"/>
  <c r="AE7" i="57" s="1"/>
  <c r="AF100" i="57"/>
  <c r="AF7" i="57" s="1"/>
  <c r="AD100" i="57"/>
  <c r="AD7" i="57" s="1"/>
  <c r="AW261" i="57"/>
  <c r="AC100" i="57"/>
  <c r="AC7" i="57" s="1"/>
  <c r="U100" i="57"/>
  <c r="U7" i="57" s="1"/>
  <c r="P100" i="57"/>
  <c r="P7" i="57" s="1"/>
  <c r="X100" i="57"/>
  <c r="X7" i="57" s="1"/>
  <c r="W100" i="57"/>
  <c r="W7" i="57" s="1"/>
  <c r="J100" i="57"/>
  <c r="J7" i="57" s="1"/>
  <c r="AB100" i="57"/>
  <c r="AB7" i="57" s="1"/>
  <c r="Q100" i="57"/>
  <c r="Q7" i="57" s="1"/>
  <c r="AB261" i="57"/>
  <c r="O100" i="57"/>
  <c r="O7" i="57" s="1"/>
  <c r="AG261" i="57"/>
  <c r="AF261" i="57"/>
  <c r="M108" i="57"/>
  <c r="AD261" i="57"/>
  <c r="K100" i="57"/>
  <c r="K7" i="57" s="1"/>
  <c r="Y261" i="57"/>
  <c r="C256" i="57"/>
  <c r="B256" i="57"/>
  <c r="AA261" i="57"/>
  <c r="I100" i="57"/>
  <c r="I7" i="57" s="1"/>
  <c r="F100" i="57"/>
  <c r="F7" i="57" s="1"/>
  <c r="AC108" i="57"/>
  <c r="E252" i="57"/>
  <c r="T7" i="57"/>
  <c r="Z100" i="57"/>
  <c r="Z7" i="57" s="1"/>
  <c r="H100" i="57"/>
  <c r="H7" i="57" s="1"/>
  <c r="AH103" i="57"/>
  <c r="E100" i="57"/>
  <c r="E7" i="57" s="1"/>
  <c r="Y107" i="57"/>
  <c r="AH107" i="57" s="1"/>
  <c r="AA100" i="57"/>
  <c r="AA7" i="57" s="1"/>
  <c r="AI103" i="57"/>
  <c r="Z108" i="57"/>
  <c r="D100" i="57"/>
  <c r="D7" i="57" s="1"/>
  <c r="C100" i="57"/>
  <c r="C7" i="57" s="1"/>
  <c r="B99" i="57"/>
  <c r="AI97" i="57"/>
  <c r="AH97" i="57"/>
  <c r="D282" i="57"/>
  <c r="F251" i="57"/>
  <c r="G246" i="57"/>
  <c r="V97" i="56"/>
  <c r="V99" i="56" s="1"/>
  <c r="V100" i="56" s="1"/>
  <c r="U97" i="56"/>
  <c r="U99" i="56" s="1"/>
  <c r="U100" i="56" s="1"/>
  <c r="U108" i="56"/>
  <c r="T97" i="56"/>
  <c r="T99" i="56" s="1"/>
  <c r="T100" i="56" s="1"/>
  <c r="T108" i="56"/>
  <c r="W246" i="61" l="1"/>
  <c r="V252" i="61"/>
  <c r="V118" i="61"/>
  <c r="V282" i="61"/>
  <c r="X251" i="61"/>
  <c r="R282" i="59"/>
  <c r="T251" i="59"/>
  <c r="S252" i="59"/>
  <c r="S118" i="59"/>
  <c r="V246" i="59"/>
  <c r="M251" i="58"/>
  <c r="K282" i="58"/>
  <c r="K118" i="58"/>
  <c r="K252" i="58"/>
  <c r="L246" i="58"/>
  <c r="K6" i="57"/>
  <c r="Y100" i="57"/>
  <c r="Y7" i="57" s="1"/>
  <c r="Y108" i="57"/>
  <c r="AI107" i="57"/>
  <c r="E282" i="57"/>
  <c r="G251" i="57"/>
  <c r="G252" i="57" s="1"/>
  <c r="F252" i="57"/>
  <c r="F118" i="57"/>
  <c r="H246" i="57"/>
  <c r="AI99" i="57"/>
  <c r="AH99" i="57"/>
  <c r="B100" i="57"/>
  <c r="T261" i="57"/>
  <c r="W282" i="61" l="1"/>
  <c r="Y251" i="61"/>
  <c r="X246" i="61"/>
  <c r="W118" i="61"/>
  <c r="W252" i="61"/>
  <c r="W246" i="59"/>
  <c r="S282" i="59"/>
  <c r="U251" i="59"/>
  <c r="T252" i="59"/>
  <c r="T118" i="59"/>
  <c r="L252" i="58"/>
  <c r="L118" i="58"/>
  <c r="M246" i="58"/>
  <c r="L282" i="58"/>
  <c r="N251" i="58"/>
  <c r="G118" i="57"/>
  <c r="AH108" i="57"/>
  <c r="AI108" i="57"/>
  <c r="AH100" i="57"/>
  <c r="AI100" i="57"/>
  <c r="B7" i="57"/>
  <c r="A7" i="57" s="1"/>
  <c r="F282" i="57"/>
  <c r="H251" i="57"/>
  <c r="H252" i="57" s="1"/>
  <c r="I246" i="57"/>
  <c r="S123" i="56"/>
  <c r="S58" i="56"/>
  <c r="S62" i="56"/>
  <c r="S76" i="56"/>
  <c r="S80" i="56"/>
  <c r="S92" i="56"/>
  <c r="S101" i="56"/>
  <c r="S102" i="56"/>
  <c r="S103" i="56"/>
  <c r="S104" i="56"/>
  <c r="S105" i="56"/>
  <c r="S118" i="56"/>
  <c r="P123" i="56"/>
  <c r="M123" i="56"/>
  <c r="L123" i="56"/>
  <c r="K123" i="56"/>
  <c r="J123" i="56"/>
  <c r="G123" i="56"/>
  <c r="I123" i="56"/>
  <c r="H123" i="56"/>
  <c r="Y246" i="61" l="1"/>
  <c r="X118" i="61"/>
  <c r="X252" i="61"/>
  <c r="X282" i="61"/>
  <c r="Z251" i="61"/>
  <c r="T282" i="59"/>
  <c r="V251" i="59"/>
  <c r="U252" i="59"/>
  <c r="U118" i="59"/>
  <c r="X246" i="59"/>
  <c r="M282" i="58"/>
  <c r="O251" i="58"/>
  <c r="N246" i="58"/>
  <c r="M252" i="58"/>
  <c r="H118" i="57"/>
  <c r="G282" i="57"/>
  <c r="I251" i="57"/>
  <c r="J246" i="57"/>
  <c r="I252" i="57"/>
  <c r="I118" i="57"/>
  <c r="S97" i="56"/>
  <c r="S99" i="56" s="1"/>
  <c r="S100" i="56" s="1"/>
  <c r="S108" i="56"/>
  <c r="F123" i="56"/>
  <c r="F57" i="56"/>
  <c r="E123" i="56"/>
  <c r="E57" i="56"/>
  <c r="D57" i="56"/>
  <c r="D58" i="56"/>
  <c r="D62" i="56"/>
  <c r="D76" i="56"/>
  <c r="D80" i="56"/>
  <c r="D92" i="56"/>
  <c r="D101" i="56"/>
  <c r="D102" i="56"/>
  <c r="D103" i="56"/>
  <c r="D104" i="56"/>
  <c r="D105" i="56"/>
  <c r="D118" i="56"/>
  <c r="C57" i="56"/>
  <c r="C58" i="56"/>
  <c r="C62" i="56"/>
  <c r="C76" i="56"/>
  <c r="C80" i="56"/>
  <c r="C92" i="56"/>
  <c r="C101" i="56"/>
  <c r="C102" i="56"/>
  <c r="C103" i="56"/>
  <c r="C104" i="56"/>
  <c r="C105" i="56"/>
  <c r="C118" i="56"/>
  <c r="B105" i="56"/>
  <c r="B104" i="56"/>
  <c r="B103" i="56"/>
  <c r="B102" i="56"/>
  <c r="B101" i="56"/>
  <c r="B92" i="56"/>
  <c r="AF5" i="56" s="1"/>
  <c r="B80" i="56"/>
  <c r="B76" i="56"/>
  <c r="B62" i="56"/>
  <c r="B58" i="56"/>
  <c r="B57" i="56"/>
  <c r="AI57" i="56" s="1"/>
  <c r="AF286" i="56"/>
  <c r="AE286" i="56"/>
  <c r="AD286" i="56"/>
  <c r="AC286" i="56"/>
  <c r="AB286" i="56"/>
  <c r="AA286" i="56"/>
  <c r="Z286" i="56"/>
  <c r="Y286" i="56"/>
  <c r="X286" i="56"/>
  <c r="W286" i="56"/>
  <c r="V286" i="56"/>
  <c r="U286" i="56"/>
  <c r="T286" i="56"/>
  <c r="S286" i="56"/>
  <c r="R286" i="56"/>
  <c r="Q286" i="56"/>
  <c r="P286" i="56"/>
  <c r="O286" i="56"/>
  <c r="N286" i="56"/>
  <c r="M286" i="56"/>
  <c r="L286" i="56"/>
  <c r="K286" i="56"/>
  <c r="J286" i="56"/>
  <c r="I286" i="56"/>
  <c r="H286" i="56"/>
  <c r="G286" i="56"/>
  <c r="F286" i="56"/>
  <c r="E286" i="56"/>
  <c r="D286" i="56"/>
  <c r="C286" i="56"/>
  <c r="B286" i="56"/>
  <c r="A286" i="56"/>
  <c r="AF285" i="56"/>
  <c r="AE285" i="56"/>
  <c r="AD285" i="56"/>
  <c r="AC285" i="56"/>
  <c r="AB285" i="56"/>
  <c r="AA285" i="56"/>
  <c r="Z285" i="56"/>
  <c r="Y285" i="56"/>
  <c r="X285" i="56"/>
  <c r="W285" i="56"/>
  <c r="V285" i="56"/>
  <c r="U285" i="56"/>
  <c r="T285" i="56"/>
  <c r="S285" i="56"/>
  <c r="R285" i="56"/>
  <c r="Q285" i="56"/>
  <c r="P285" i="56"/>
  <c r="O285" i="56"/>
  <c r="N285" i="56"/>
  <c r="M285" i="56"/>
  <c r="L285" i="56"/>
  <c r="K285" i="56"/>
  <c r="J285" i="56"/>
  <c r="I285" i="56"/>
  <c r="H285" i="56"/>
  <c r="G285" i="56"/>
  <c r="F285" i="56"/>
  <c r="E285" i="56"/>
  <c r="D285" i="56"/>
  <c r="C285" i="56"/>
  <c r="B285" i="56"/>
  <c r="A285" i="56"/>
  <c r="AF284" i="56"/>
  <c r="AE284" i="56"/>
  <c r="AD284" i="56"/>
  <c r="AC284" i="56"/>
  <c r="AB284" i="56"/>
  <c r="AA284" i="56"/>
  <c r="Z284" i="56"/>
  <c r="Y284" i="56"/>
  <c r="X284" i="56"/>
  <c r="W284" i="56"/>
  <c r="V284" i="56"/>
  <c r="U284" i="56"/>
  <c r="T284" i="56"/>
  <c r="S284" i="56"/>
  <c r="R284" i="56"/>
  <c r="Q284" i="56"/>
  <c r="P284" i="56"/>
  <c r="O284" i="56"/>
  <c r="N284" i="56"/>
  <c r="M284" i="56"/>
  <c r="L284" i="56"/>
  <c r="K284" i="56"/>
  <c r="J284" i="56"/>
  <c r="I284" i="56"/>
  <c r="H284" i="56"/>
  <c r="G284" i="56"/>
  <c r="F284" i="56"/>
  <c r="E284" i="56"/>
  <c r="D284" i="56"/>
  <c r="C284" i="56"/>
  <c r="B284" i="56"/>
  <c r="A284" i="56"/>
  <c r="AF283" i="56"/>
  <c r="AE283" i="56"/>
  <c r="AD283" i="56"/>
  <c r="AC283" i="56"/>
  <c r="AB283" i="56"/>
  <c r="AA283" i="56"/>
  <c r="Z283" i="56"/>
  <c r="Y283" i="56"/>
  <c r="X283" i="56"/>
  <c r="W283" i="56"/>
  <c r="V283" i="56"/>
  <c r="U283" i="56"/>
  <c r="T283" i="56"/>
  <c r="S283" i="56"/>
  <c r="R283" i="56"/>
  <c r="Q283" i="56"/>
  <c r="P283" i="56"/>
  <c r="O283" i="56"/>
  <c r="N283" i="56"/>
  <c r="M283" i="56"/>
  <c r="L283" i="56"/>
  <c r="K283" i="56"/>
  <c r="J283" i="56"/>
  <c r="I283" i="56"/>
  <c r="H283" i="56"/>
  <c r="G283" i="56"/>
  <c r="F283" i="56"/>
  <c r="E283" i="56"/>
  <c r="D283" i="56"/>
  <c r="C283" i="56"/>
  <c r="B283" i="56"/>
  <c r="A283" i="56"/>
  <c r="B282" i="56"/>
  <c r="S257" i="56"/>
  <c r="AG252" i="56"/>
  <c r="C252" i="56"/>
  <c r="D251" i="56"/>
  <c r="D250" i="56"/>
  <c r="E250" i="56" s="1"/>
  <c r="F250" i="56" s="1"/>
  <c r="G250" i="56" s="1"/>
  <c r="H250" i="56" s="1"/>
  <c r="I250" i="56" s="1"/>
  <c r="J250" i="56" s="1"/>
  <c r="K250" i="56" s="1"/>
  <c r="L250" i="56" s="1"/>
  <c r="M250" i="56" s="1"/>
  <c r="N250" i="56" s="1"/>
  <c r="O250" i="56" s="1"/>
  <c r="P250" i="56" s="1"/>
  <c r="Q250" i="56" s="1"/>
  <c r="R250" i="56" s="1"/>
  <c r="S250" i="56" s="1"/>
  <c r="T250" i="56" s="1"/>
  <c r="U250" i="56" s="1"/>
  <c r="V250" i="56" s="1"/>
  <c r="W250" i="56" s="1"/>
  <c r="X250" i="56" s="1"/>
  <c r="Y250" i="56" s="1"/>
  <c r="Z250" i="56" s="1"/>
  <c r="AA250" i="56" s="1"/>
  <c r="AB250" i="56" s="1"/>
  <c r="AC250" i="56" s="1"/>
  <c r="AD250" i="56" s="1"/>
  <c r="AE250" i="56" s="1"/>
  <c r="AF250" i="56" s="1"/>
  <c r="B250" i="56" s="1"/>
  <c r="E249" i="56"/>
  <c r="F249" i="56" s="1"/>
  <c r="G249" i="56" s="1"/>
  <c r="H249" i="56" s="1"/>
  <c r="I249" i="56" s="1"/>
  <c r="J249" i="56" s="1"/>
  <c r="K249" i="56" s="1"/>
  <c r="L249" i="56" s="1"/>
  <c r="M249" i="56" s="1"/>
  <c r="N249" i="56" s="1"/>
  <c r="O249" i="56" s="1"/>
  <c r="P249" i="56" s="1"/>
  <c r="Q249" i="56" s="1"/>
  <c r="R249" i="56" s="1"/>
  <c r="S249" i="56" s="1"/>
  <c r="T249" i="56" s="1"/>
  <c r="U249" i="56" s="1"/>
  <c r="V249" i="56" s="1"/>
  <c r="W249" i="56" s="1"/>
  <c r="X249" i="56" s="1"/>
  <c r="Y249" i="56" s="1"/>
  <c r="Z249" i="56" s="1"/>
  <c r="AA249" i="56" s="1"/>
  <c r="AB249" i="56" s="1"/>
  <c r="AC249" i="56" s="1"/>
  <c r="AD249" i="56" s="1"/>
  <c r="AE249" i="56" s="1"/>
  <c r="AF249" i="56" s="1"/>
  <c r="B249" i="56" s="1"/>
  <c r="D249" i="56"/>
  <c r="D248" i="56"/>
  <c r="E248" i="56" s="1"/>
  <c r="F248" i="56" s="1"/>
  <c r="G248" i="56" s="1"/>
  <c r="H248" i="56" s="1"/>
  <c r="I248" i="56" s="1"/>
  <c r="J248" i="56" s="1"/>
  <c r="K248" i="56" s="1"/>
  <c r="L248" i="56" s="1"/>
  <c r="M248" i="56" s="1"/>
  <c r="N248" i="56" s="1"/>
  <c r="O248" i="56" s="1"/>
  <c r="P248" i="56" s="1"/>
  <c r="Q248" i="56" s="1"/>
  <c r="R248" i="56" s="1"/>
  <c r="S248" i="56" s="1"/>
  <c r="T248" i="56" s="1"/>
  <c r="U248" i="56" s="1"/>
  <c r="V248" i="56" s="1"/>
  <c r="W248" i="56" s="1"/>
  <c r="X248" i="56" s="1"/>
  <c r="Y248" i="56" s="1"/>
  <c r="Z248" i="56" s="1"/>
  <c r="AA248" i="56" s="1"/>
  <c r="AB248" i="56" s="1"/>
  <c r="AC248" i="56" s="1"/>
  <c r="AD248" i="56" s="1"/>
  <c r="AE248" i="56" s="1"/>
  <c r="AF248" i="56" s="1"/>
  <c r="B248" i="56" s="1"/>
  <c r="D247" i="56"/>
  <c r="E247" i="56" s="1"/>
  <c r="F247" i="56" s="1"/>
  <c r="G247" i="56" s="1"/>
  <c r="H247" i="56" s="1"/>
  <c r="I247" i="56" s="1"/>
  <c r="J247" i="56" s="1"/>
  <c r="K247" i="56" s="1"/>
  <c r="L247" i="56" s="1"/>
  <c r="M247" i="56" s="1"/>
  <c r="N247" i="56" s="1"/>
  <c r="O247" i="56" s="1"/>
  <c r="P247" i="56" s="1"/>
  <c r="Q247" i="56" s="1"/>
  <c r="R247" i="56" s="1"/>
  <c r="S247" i="56" s="1"/>
  <c r="T247" i="56" s="1"/>
  <c r="U247" i="56" s="1"/>
  <c r="V247" i="56" s="1"/>
  <c r="W247" i="56" s="1"/>
  <c r="X247" i="56" s="1"/>
  <c r="Y247" i="56" s="1"/>
  <c r="Z247" i="56" s="1"/>
  <c r="AA247" i="56" s="1"/>
  <c r="AB247" i="56" s="1"/>
  <c r="AC247" i="56" s="1"/>
  <c r="AD247" i="56" s="1"/>
  <c r="AE247" i="56" s="1"/>
  <c r="AF247" i="56" s="1"/>
  <c r="B247" i="56" s="1"/>
  <c r="D246" i="56"/>
  <c r="D252" i="56" s="1"/>
  <c r="AG244" i="56"/>
  <c r="AF244" i="56"/>
  <c r="AE244" i="56"/>
  <c r="AD244" i="56"/>
  <c r="AC244" i="56"/>
  <c r="AB244" i="56"/>
  <c r="AA244" i="56"/>
  <c r="Y244" i="56"/>
  <c r="Y118" i="56" s="1"/>
  <c r="X244" i="56"/>
  <c r="W244" i="56"/>
  <c r="V244" i="56"/>
  <c r="U244" i="56"/>
  <c r="T244" i="56"/>
  <c r="S244" i="56"/>
  <c r="R244" i="56"/>
  <c r="Q244" i="56"/>
  <c r="P244" i="56"/>
  <c r="O244" i="56"/>
  <c r="N244" i="56"/>
  <c r="M244" i="56"/>
  <c r="L244" i="56"/>
  <c r="K244" i="56"/>
  <c r="J244" i="56"/>
  <c r="I244" i="56"/>
  <c r="H244" i="56"/>
  <c r="G244" i="56"/>
  <c r="F244" i="56"/>
  <c r="E244" i="56"/>
  <c r="D244" i="56"/>
  <c r="C244" i="56"/>
  <c r="B244" i="56"/>
  <c r="AI130" i="56"/>
  <c r="AH130" i="56"/>
  <c r="AI129" i="56"/>
  <c r="AH129" i="56"/>
  <c r="AI128" i="56"/>
  <c r="AH128" i="56"/>
  <c r="AI127" i="56"/>
  <c r="AH127" i="56"/>
  <c r="AI126" i="56"/>
  <c r="AH126" i="56"/>
  <c r="AH123" i="56"/>
  <c r="AI123" i="56"/>
  <c r="AI122" i="56"/>
  <c r="AH122" i="56"/>
  <c r="AI121" i="56"/>
  <c r="AH121" i="56"/>
  <c r="AI120" i="56"/>
  <c r="AH120" i="56"/>
  <c r="AI119" i="56"/>
  <c r="AH119" i="56"/>
  <c r="AI117" i="56"/>
  <c r="AH117" i="56"/>
  <c r="AI116" i="56"/>
  <c r="AH116" i="56"/>
  <c r="AI115" i="56"/>
  <c r="AH115" i="56"/>
  <c r="AI114" i="56"/>
  <c r="AH114" i="56"/>
  <c r="AI113" i="56"/>
  <c r="AH113" i="56"/>
  <c r="AI112" i="56"/>
  <c r="AH112" i="56"/>
  <c r="AI111" i="56"/>
  <c r="AH111" i="56"/>
  <c r="AI110" i="56"/>
  <c r="AH110" i="56"/>
  <c r="AI109" i="56"/>
  <c r="AH109" i="56"/>
  <c r="R107" i="56"/>
  <c r="AI106" i="56"/>
  <c r="AH106" i="56"/>
  <c r="AF105" i="56"/>
  <c r="AE105" i="56"/>
  <c r="AD105" i="56"/>
  <c r="AC105" i="56"/>
  <c r="AB105" i="56"/>
  <c r="AA105" i="56"/>
  <c r="R105" i="56"/>
  <c r="Q105" i="56"/>
  <c r="P105" i="56"/>
  <c r="O105" i="56"/>
  <c r="N105" i="56"/>
  <c r="M105" i="56"/>
  <c r="L105" i="56"/>
  <c r="K105" i="56"/>
  <c r="J105" i="56"/>
  <c r="I105" i="56"/>
  <c r="H105" i="56"/>
  <c r="G105" i="56"/>
  <c r="F105" i="56"/>
  <c r="E105" i="56"/>
  <c r="AF104" i="56"/>
  <c r="AE104" i="56"/>
  <c r="AD104" i="56"/>
  <c r="AC104" i="56"/>
  <c r="AB104" i="56"/>
  <c r="AA104" i="56"/>
  <c r="R104" i="56"/>
  <c r="Q104" i="56"/>
  <c r="P104" i="56"/>
  <c r="O104" i="56"/>
  <c r="N104" i="56"/>
  <c r="M104" i="56"/>
  <c r="L104" i="56"/>
  <c r="K104" i="56"/>
  <c r="J104" i="56"/>
  <c r="I104" i="56"/>
  <c r="H104" i="56"/>
  <c r="G104" i="56"/>
  <c r="F104" i="56"/>
  <c r="E104" i="56"/>
  <c r="AF103" i="56"/>
  <c r="AE103" i="56"/>
  <c r="AD103" i="56"/>
  <c r="AC103" i="56"/>
  <c r="AB103" i="56"/>
  <c r="AA103" i="56"/>
  <c r="R103" i="56"/>
  <c r="Q103" i="56"/>
  <c r="P103" i="56"/>
  <c r="O103" i="56"/>
  <c r="N103" i="56"/>
  <c r="M103" i="56"/>
  <c r="L103" i="56"/>
  <c r="K103" i="56"/>
  <c r="J103" i="56"/>
  <c r="I103" i="56"/>
  <c r="H103" i="56"/>
  <c r="G103" i="56"/>
  <c r="F103" i="56"/>
  <c r="E103" i="56"/>
  <c r="AF102" i="56"/>
  <c r="AE102" i="56"/>
  <c r="AD102" i="56"/>
  <c r="AC102" i="56"/>
  <c r="AB102" i="56"/>
  <c r="AA102" i="56"/>
  <c r="R102" i="56"/>
  <c r="Q102" i="56"/>
  <c r="P102" i="56"/>
  <c r="O102" i="56"/>
  <c r="N102" i="56"/>
  <c r="M102" i="56"/>
  <c r="L102" i="56"/>
  <c r="K102" i="56"/>
  <c r="J102" i="56"/>
  <c r="I102" i="56"/>
  <c r="H102" i="56"/>
  <c r="G102" i="56"/>
  <c r="F102" i="56"/>
  <c r="E102" i="56"/>
  <c r="AF101" i="56"/>
  <c r="AE101" i="56"/>
  <c r="AD101" i="56"/>
  <c r="AC101" i="56"/>
  <c r="AB101" i="56"/>
  <c r="AB107" i="56" s="1"/>
  <c r="AA101" i="56"/>
  <c r="AA107" i="56" s="1"/>
  <c r="R101" i="56"/>
  <c r="Q101" i="56"/>
  <c r="P101" i="56"/>
  <c r="O101" i="56"/>
  <c r="N101" i="56"/>
  <c r="M101" i="56"/>
  <c r="L101" i="56"/>
  <c r="K101" i="56"/>
  <c r="J101" i="56"/>
  <c r="I101" i="56"/>
  <c r="H101" i="56"/>
  <c r="G101" i="56"/>
  <c r="F101" i="56"/>
  <c r="E101" i="56"/>
  <c r="AI98" i="56"/>
  <c r="AH98" i="56"/>
  <c r="AI96" i="56"/>
  <c r="AH96" i="56"/>
  <c r="AG96" i="56"/>
  <c r="AI95" i="56"/>
  <c r="AH95" i="56"/>
  <c r="AI94" i="56"/>
  <c r="AH94" i="56"/>
  <c r="AI93" i="56"/>
  <c r="AH93" i="56"/>
  <c r="AG92" i="56"/>
  <c r="AF92" i="56"/>
  <c r="AE5" i="56" s="1"/>
  <c r="AE92" i="56"/>
  <c r="AD5" i="56" s="1"/>
  <c r="AD92" i="56"/>
  <c r="AC92" i="56"/>
  <c r="AB5" i="56" s="1"/>
  <c r="AB92" i="56"/>
  <c r="AA92" i="56"/>
  <c r="W5" i="56"/>
  <c r="T5" i="56"/>
  <c r="R92" i="56"/>
  <c r="R108" i="56" s="1"/>
  <c r="Q92" i="56"/>
  <c r="P5" i="56" s="1"/>
  <c r="P92" i="56"/>
  <c r="O5" i="56" s="1"/>
  <c r="O92" i="56"/>
  <c r="N5" i="56" s="1"/>
  <c r="N92" i="56"/>
  <c r="M92" i="56"/>
  <c r="L92" i="56"/>
  <c r="K5" i="56" s="1"/>
  <c r="K92" i="56"/>
  <c r="J92" i="56"/>
  <c r="I5" i="56" s="1"/>
  <c r="I92" i="56"/>
  <c r="H5" i="56" s="1"/>
  <c r="H92" i="56"/>
  <c r="G92" i="56"/>
  <c r="F5" i="56" s="1"/>
  <c r="F92" i="56"/>
  <c r="E92" i="56"/>
  <c r="D5" i="56" s="1"/>
  <c r="AI91" i="56"/>
  <c r="AH91" i="56"/>
  <c r="AI90" i="56"/>
  <c r="AH90" i="56"/>
  <c r="AI89" i="56"/>
  <c r="AH89" i="56"/>
  <c r="AI88" i="56"/>
  <c r="AH88" i="56"/>
  <c r="AI87" i="56"/>
  <c r="AH87" i="56"/>
  <c r="AI86" i="56"/>
  <c r="AH86" i="56"/>
  <c r="X5" i="56"/>
  <c r="AI84" i="56"/>
  <c r="AH84" i="56"/>
  <c r="AI83" i="56"/>
  <c r="AH83" i="56"/>
  <c r="AI82" i="56"/>
  <c r="AH82" i="56"/>
  <c r="AI81" i="56"/>
  <c r="AH81" i="56"/>
  <c r="AG80" i="56"/>
  <c r="AF80" i="56"/>
  <c r="AE80" i="56"/>
  <c r="AD80" i="56"/>
  <c r="AC80" i="56"/>
  <c r="AB80" i="56"/>
  <c r="AA80" i="56"/>
  <c r="R80" i="56"/>
  <c r="Q80" i="56"/>
  <c r="P80" i="56"/>
  <c r="O80" i="56"/>
  <c r="N80" i="56"/>
  <c r="M80" i="56"/>
  <c r="L80" i="56"/>
  <c r="K80" i="56"/>
  <c r="J80" i="56"/>
  <c r="I80" i="56"/>
  <c r="H80" i="56"/>
  <c r="G80" i="56"/>
  <c r="F80" i="56"/>
  <c r="E80" i="56"/>
  <c r="AI79" i="56"/>
  <c r="AH79" i="56"/>
  <c r="AI78" i="56"/>
  <c r="AH78" i="56"/>
  <c r="AI77" i="56"/>
  <c r="AH77" i="56"/>
  <c r="AF76" i="56"/>
  <c r="AE76" i="56"/>
  <c r="AD76" i="56"/>
  <c r="AC76" i="56"/>
  <c r="AB76" i="56"/>
  <c r="AA76" i="56"/>
  <c r="R76" i="56"/>
  <c r="Q76" i="56"/>
  <c r="P76" i="56"/>
  <c r="O76" i="56"/>
  <c r="N76" i="56"/>
  <c r="M76" i="56"/>
  <c r="L76" i="56"/>
  <c r="K76" i="56"/>
  <c r="J76" i="56"/>
  <c r="I76" i="56"/>
  <c r="H76" i="56"/>
  <c r="G76" i="56"/>
  <c r="F76" i="56"/>
  <c r="E76" i="56"/>
  <c r="AI75" i="56"/>
  <c r="AH75" i="56"/>
  <c r="AG75" i="56"/>
  <c r="AG76" i="56" s="1"/>
  <c r="AG3" i="56" s="1"/>
  <c r="AI74" i="56"/>
  <c r="AH74" i="56"/>
  <c r="AI73" i="56"/>
  <c r="AH73" i="56"/>
  <c r="AI72" i="56"/>
  <c r="AH72" i="56"/>
  <c r="AI71" i="56"/>
  <c r="AH71" i="56"/>
  <c r="AI70" i="56"/>
  <c r="AH70" i="56"/>
  <c r="AI69" i="56"/>
  <c r="AH69" i="56"/>
  <c r="AI68" i="56"/>
  <c r="AH68" i="56"/>
  <c r="AI67" i="56"/>
  <c r="AH67" i="56"/>
  <c r="AI66" i="56"/>
  <c r="AH66" i="56"/>
  <c r="AI65" i="56"/>
  <c r="AH65" i="56"/>
  <c r="AI64" i="56"/>
  <c r="AH64" i="56"/>
  <c r="AI63" i="56"/>
  <c r="AH63" i="56"/>
  <c r="AG62" i="56"/>
  <c r="AF62" i="56"/>
  <c r="AE62" i="56"/>
  <c r="AD62" i="56"/>
  <c r="AC62" i="56"/>
  <c r="AB62" i="56"/>
  <c r="AA62" i="56"/>
  <c r="R62" i="56"/>
  <c r="Q62" i="56"/>
  <c r="P62" i="56"/>
  <c r="O62" i="56"/>
  <c r="N62" i="56"/>
  <c r="M62" i="56"/>
  <c r="L62" i="56"/>
  <c r="K62" i="56"/>
  <c r="J62" i="56"/>
  <c r="I62" i="56"/>
  <c r="H62" i="56"/>
  <c r="G62" i="56"/>
  <c r="F62" i="56"/>
  <c r="E62" i="56"/>
  <c r="AI61" i="56"/>
  <c r="AH61" i="56"/>
  <c r="AI60" i="56"/>
  <c r="AH60" i="56"/>
  <c r="AI59" i="56"/>
  <c r="AH59" i="56"/>
  <c r="AG58" i="56"/>
  <c r="AG2" i="56" s="1"/>
  <c r="AF58" i="56"/>
  <c r="AE58" i="56"/>
  <c r="AD58" i="56"/>
  <c r="AC58" i="56"/>
  <c r="AB58" i="56"/>
  <c r="AA58" i="56"/>
  <c r="R58" i="56"/>
  <c r="Q58" i="56"/>
  <c r="P58" i="56"/>
  <c r="O58" i="56"/>
  <c r="N58" i="56"/>
  <c r="M58" i="56"/>
  <c r="L58" i="56"/>
  <c r="K58" i="56"/>
  <c r="J58" i="56"/>
  <c r="I58" i="56"/>
  <c r="H58" i="56"/>
  <c r="G58" i="56"/>
  <c r="F58" i="56"/>
  <c r="E58" i="56"/>
  <c r="AI56" i="56"/>
  <c r="AH56" i="56"/>
  <c r="AI55" i="56"/>
  <c r="AH55" i="56"/>
  <c r="AI54" i="56"/>
  <c r="AH54" i="56"/>
  <c r="AI53" i="56"/>
  <c r="AH53" i="56"/>
  <c r="AI52" i="56"/>
  <c r="AH52" i="56"/>
  <c r="AI51" i="56"/>
  <c r="AH51" i="56"/>
  <c r="AI50" i="56"/>
  <c r="AH50" i="56"/>
  <c r="AI49" i="56"/>
  <c r="AH49" i="56"/>
  <c r="AI48" i="56"/>
  <c r="AH48" i="56"/>
  <c r="AI47" i="56"/>
  <c r="AH47" i="56"/>
  <c r="AI46" i="56"/>
  <c r="AH46" i="56"/>
  <c r="AI45" i="56"/>
  <c r="AH45" i="56"/>
  <c r="AI44" i="56"/>
  <c r="AH44" i="56"/>
  <c r="AI43" i="56"/>
  <c r="AH43" i="56"/>
  <c r="AI42" i="56"/>
  <c r="AH42" i="56"/>
  <c r="AI41" i="56"/>
  <c r="AH41" i="56"/>
  <c r="AI40" i="56"/>
  <c r="AH40" i="56"/>
  <c r="AI39" i="56"/>
  <c r="AH39" i="56"/>
  <c r="AI38" i="56"/>
  <c r="AH38" i="56"/>
  <c r="AI37" i="56"/>
  <c r="AH37" i="56"/>
  <c r="AI36" i="56"/>
  <c r="AH36" i="56"/>
  <c r="AI35" i="56"/>
  <c r="AH35" i="56"/>
  <c r="AI34" i="56"/>
  <c r="AH34" i="56"/>
  <c r="AI33" i="56"/>
  <c r="AH33" i="56"/>
  <c r="AI32" i="56"/>
  <c r="AH32" i="56"/>
  <c r="AI31" i="56"/>
  <c r="AH31" i="56"/>
  <c r="AI30" i="56"/>
  <c r="AH30" i="56"/>
  <c r="AI29" i="56"/>
  <c r="AH29" i="56"/>
  <c r="AI28" i="56"/>
  <c r="AH28" i="56"/>
  <c r="AI27" i="56"/>
  <c r="AH27" i="56"/>
  <c r="AI26" i="56"/>
  <c r="AH26" i="56"/>
  <c r="AI25" i="56"/>
  <c r="AH25" i="56"/>
  <c r="AI24" i="56"/>
  <c r="AH24" i="56"/>
  <c r="AI23" i="56"/>
  <c r="AH23" i="56"/>
  <c r="AI22" i="56"/>
  <c r="AH22" i="56"/>
  <c r="AI21" i="56"/>
  <c r="AH21" i="56"/>
  <c r="AI20" i="56"/>
  <c r="AH20" i="56"/>
  <c r="AI19" i="56"/>
  <c r="AH19" i="56"/>
  <c r="AI18" i="56"/>
  <c r="AH18" i="56"/>
  <c r="AI17" i="56"/>
  <c r="AH17" i="56"/>
  <c r="AI16" i="56"/>
  <c r="AH16" i="56"/>
  <c r="AI15" i="56"/>
  <c r="AH15" i="56"/>
  <c r="AI14" i="56"/>
  <c r="AH14" i="56"/>
  <c r="AI13" i="56"/>
  <c r="AH13" i="56"/>
  <c r="AI12" i="56"/>
  <c r="AH12" i="56"/>
  <c r="AI11" i="56"/>
  <c r="AH11" i="56"/>
  <c r="V5" i="56"/>
  <c r="S5" i="56"/>
  <c r="AG4" i="56"/>
  <c r="K4" i="56"/>
  <c r="E4" i="56"/>
  <c r="H4" i="56" s="1"/>
  <c r="B4" i="56"/>
  <c r="S258" i="56" s="1"/>
  <c r="AF57" i="55"/>
  <c r="AF58" i="55"/>
  <c r="AF62" i="55"/>
  <c r="AF76" i="55"/>
  <c r="AF80" i="55"/>
  <c r="AF92" i="55"/>
  <c r="AF101" i="55"/>
  <c r="AF102" i="55"/>
  <c r="AF103" i="55"/>
  <c r="AF104" i="55"/>
  <c r="AF105" i="55"/>
  <c r="AF118" i="55"/>
  <c r="AE57" i="55"/>
  <c r="AE58" i="55"/>
  <c r="AE62" i="55"/>
  <c r="AE76" i="55"/>
  <c r="AE80" i="55"/>
  <c r="AE92" i="55"/>
  <c r="AE101" i="55"/>
  <c r="AE102" i="55"/>
  <c r="AE103" i="55"/>
  <c r="AE104" i="55"/>
  <c r="AE105" i="55"/>
  <c r="AE118" i="55"/>
  <c r="AD57" i="55"/>
  <c r="AD58" i="55"/>
  <c r="AD62" i="55"/>
  <c r="AD76" i="55"/>
  <c r="AD80" i="55"/>
  <c r="AD92" i="55"/>
  <c r="AD101" i="55"/>
  <c r="AD102" i="55"/>
  <c r="AD103" i="55"/>
  <c r="AD104" i="55"/>
  <c r="AD105" i="55"/>
  <c r="AD118" i="55"/>
  <c r="AC57" i="55"/>
  <c r="AC58" i="55"/>
  <c r="AC62" i="55"/>
  <c r="AC76" i="55"/>
  <c r="AC80" i="55"/>
  <c r="AC92" i="55"/>
  <c r="AC101" i="55"/>
  <c r="AC102" i="55"/>
  <c r="AC107" i="55" s="1"/>
  <c r="AC103" i="55"/>
  <c r="AC104" i="55"/>
  <c r="AC105" i="55"/>
  <c r="AC118" i="55"/>
  <c r="AB57" i="55"/>
  <c r="Y123" i="55"/>
  <c r="Y57" i="55"/>
  <c r="Z57" i="55"/>
  <c r="AA57" i="55"/>
  <c r="W123" i="55"/>
  <c r="X123" i="55"/>
  <c r="X57" i="55"/>
  <c r="W57" i="55"/>
  <c r="V57" i="55"/>
  <c r="V123" i="55"/>
  <c r="U123" i="55"/>
  <c r="T123" i="55"/>
  <c r="AA251" i="61" l="1"/>
  <c r="Y282" i="61"/>
  <c r="Y252" i="61"/>
  <c r="Z246" i="61"/>
  <c r="Y246" i="59"/>
  <c r="U282" i="59"/>
  <c r="W251" i="59"/>
  <c r="V252" i="59"/>
  <c r="V118" i="59"/>
  <c r="O246" i="58"/>
  <c r="N252" i="58"/>
  <c r="N118" i="58"/>
  <c r="N282" i="58"/>
  <c r="P251" i="58"/>
  <c r="K246" i="57"/>
  <c r="H282" i="57"/>
  <c r="J251" i="57"/>
  <c r="AF97" i="56"/>
  <c r="AF99" i="56" s="1"/>
  <c r="L107" i="56"/>
  <c r="AB108" i="56"/>
  <c r="AH57" i="56"/>
  <c r="P97" i="56"/>
  <c r="P99" i="56" s="1"/>
  <c r="L108" i="56"/>
  <c r="AA5" i="56"/>
  <c r="L97" i="56"/>
  <c r="L99" i="56" s="1"/>
  <c r="AD261" i="56" s="1"/>
  <c r="AB97" i="56"/>
  <c r="AB99" i="56" s="1"/>
  <c r="AB100" i="56" s="1"/>
  <c r="AB7" i="56" s="1"/>
  <c r="AE107" i="56"/>
  <c r="AE108" i="56" s="1"/>
  <c r="O107" i="56"/>
  <c r="O108" i="56" s="1"/>
  <c r="D107" i="56"/>
  <c r="N97" i="56"/>
  <c r="N99" i="56" s="1"/>
  <c r="AF261" i="56" s="1"/>
  <c r="AD97" i="56"/>
  <c r="AD99" i="56" s="1"/>
  <c r="P107" i="56"/>
  <c r="P108" i="56" s="1"/>
  <c r="AF107" i="56"/>
  <c r="AF108" i="56" s="1"/>
  <c r="Q107" i="56"/>
  <c r="Q108" i="56" s="1"/>
  <c r="K107" i="56"/>
  <c r="K108" i="56" s="1"/>
  <c r="Q5" i="56"/>
  <c r="AG99" i="56"/>
  <c r="O97" i="56"/>
  <c r="O99" i="56" s="1"/>
  <c r="AG261" i="56" s="1"/>
  <c r="W7" i="56"/>
  <c r="AE97" i="56"/>
  <c r="AE99" i="56" s="1"/>
  <c r="AW261" i="56" s="1"/>
  <c r="Q97" i="56"/>
  <c r="Q99" i="56" s="1"/>
  <c r="AG97" i="56"/>
  <c r="J107" i="56"/>
  <c r="I107" i="56"/>
  <c r="I108" i="56" s="1"/>
  <c r="I97" i="56"/>
  <c r="I99" i="56" s="1"/>
  <c r="G5" i="56"/>
  <c r="H107" i="56"/>
  <c r="H108" i="56" s="1"/>
  <c r="H97" i="56"/>
  <c r="H99" i="56" s="1"/>
  <c r="H100" i="56" s="1"/>
  <c r="H7" i="56" s="1"/>
  <c r="G97" i="56"/>
  <c r="G99" i="56" s="1"/>
  <c r="Y261" i="56" s="1"/>
  <c r="AI80" i="56"/>
  <c r="AI102" i="56"/>
  <c r="F97" i="56"/>
  <c r="F99" i="56" s="1"/>
  <c r="X261" i="56" s="1"/>
  <c r="AI62" i="56"/>
  <c r="D108" i="56"/>
  <c r="C5" i="56"/>
  <c r="D97" i="56"/>
  <c r="D99" i="56" s="1"/>
  <c r="D100" i="56" s="1"/>
  <c r="D7" i="56" s="1"/>
  <c r="C107" i="56"/>
  <c r="C108" i="56" s="1"/>
  <c r="C97" i="56"/>
  <c r="C99" i="56" s="1"/>
  <c r="C100" i="56" s="1"/>
  <c r="B107" i="56"/>
  <c r="B97" i="56"/>
  <c r="B99" i="56" s="1"/>
  <c r="B100" i="56" s="1"/>
  <c r="B108" i="56"/>
  <c r="D258" i="56"/>
  <c r="AH101" i="56"/>
  <c r="C282" i="56"/>
  <c r="E251" i="56"/>
  <c r="AA108" i="56"/>
  <c r="AA97" i="56"/>
  <c r="AA99" i="56" s="1"/>
  <c r="Z5" i="56"/>
  <c r="AI101" i="56"/>
  <c r="J108" i="56"/>
  <c r="T7" i="56"/>
  <c r="AL261" i="56"/>
  <c r="I100" i="56"/>
  <c r="I7" i="56" s="1"/>
  <c r="AA261" i="56"/>
  <c r="AQ261" i="56"/>
  <c r="AH62" i="56"/>
  <c r="B5" i="56"/>
  <c r="K97" i="56"/>
  <c r="K99" i="56" s="1"/>
  <c r="J5" i="56"/>
  <c r="R5" i="56"/>
  <c r="AN261" i="56"/>
  <c r="AI58" i="56"/>
  <c r="J97" i="56"/>
  <c r="J99" i="56" s="1"/>
  <c r="R97" i="56"/>
  <c r="R99" i="56" s="1"/>
  <c r="AH58" i="56"/>
  <c r="X7" i="56"/>
  <c r="AP261" i="56"/>
  <c r="E107" i="56"/>
  <c r="M107" i="56"/>
  <c r="M108" i="56" s="1"/>
  <c r="AC107" i="56"/>
  <c r="AC108" i="56" s="1"/>
  <c r="AI85" i="56"/>
  <c r="AX261" i="56"/>
  <c r="F107" i="56"/>
  <c r="N107" i="56"/>
  <c r="V7" i="56"/>
  <c r="AD107" i="56"/>
  <c r="AD108" i="56" s="1"/>
  <c r="G107" i="56"/>
  <c r="G108" i="56" s="1"/>
  <c r="AI105" i="56"/>
  <c r="AG6" i="56"/>
  <c r="AI104" i="56"/>
  <c r="E97" i="56"/>
  <c r="E99" i="56" s="1"/>
  <c r="M97" i="56"/>
  <c r="M99" i="56" s="1"/>
  <c r="AC97" i="56"/>
  <c r="AC99" i="56" s="1"/>
  <c r="AI76" i="56"/>
  <c r="AH104" i="56"/>
  <c r="AH85" i="56"/>
  <c r="AH102" i="56"/>
  <c r="L5" i="56"/>
  <c r="E246" i="56"/>
  <c r="E5" i="56"/>
  <c r="M5" i="56"/>
  <c r="U5" i="56"/>
  <c r="AC5" i="56"/>
  <c r="AH105" i="56"/>
  <c r="E108" i="56"/>
  <c r="AH76" i="56"/>
  <c r="AH80" i="56"/>
  <c r="AF107" i="55"/>
  <c r="AF108" i="55" s="1"/>
  <c r="AF97" i="55"/>
  <c r="AF99" i="55" s="1"/>
  <c r="AE107" i="55"/>
  <c r="AD107" i="55"/>
  <c r="AE97" i="55"/>
  <c r="AE99" i="55" s="1"/>
  <c r="AE100" i="55" s="1"/>
  <c r="AE108" i="55"/>
  <c r="AD97" i="55"/>
  <c r="AD99" i="55" s="1"/>
  <c r="AD100" i="55" s="1"/>
  <c r="AD108" i="55"/>
  <c r="AC97" i="55"/>
  <c r="AC99" i="55" s="1"/>
  <c r="AC100" i="55" s="1"/>
  <c r="AC108" i="55"/>
  <c r="Q123" i="55"/>
  <c r="P123" i="55"/>
  <c r="Z252" i="61" l="1"/>
  <c r="AA246" i="61"/>
  <c r="Z282" i="61"/>
  <c r="AB251" i="61"/>
  <c r="V282" i="59"/>
  <c r="X251" i="59"/>
  <c r="W252" i="59"/>
  <c r="W118" i="59"/>
  <c r="Z246" i="59"/>
  <c r="O282" i="58"/>
  <c r="Q251" i="58"/>
  <c r="P246" i="58"/>
  <c r="O252" i="58"/>
  <c r="O118" i="58"/>
  <c r="K251" i="57"/>
  <c r="I282" i="57"/>
  <c r="K252" i="57"/>
  <c r="K118" i="57"/>
  <c r="L246" i="57"/>
  <c r="J118" i="57"/>
  <c r="J252" i="57"/>
  <c r="AF100" i="56"/>
  <c r="AF7" i="56" s="1"/>
  <c r="AD100" i="56"/>
  <c r="AD7" i="56" s="1"/>
  <c r="AV261" i="56"/>
  <c r="AT261" i="56"/>
  <c r="Y7" i="56"/>
  <c r="Q100" i="56"/>
  <c r="Q7" i="56" s="1"/>
  <c r="AI261" i="56"/>
  <c r="P100" i="56"/>
  <c r="P7" i="56" s="1"/>
  <c r="AH261" i="56"/>
  <c r="AO261" i="56"/>
  <c r="O100" i="56"/>
  <c r="O7" i="56" s="1"/>
  <c r="L100" i="56"/>
  <c r="L7" i="56" s="1"/>
  <c r="N100" i="56"/>
  <c r="N7" i="56" s="1"/>
  <c r="AE100" i="56"/>
  <c r="AE7" i="56" s="1"/>
  <c r="C256" i="56"/>
  <c r="Z261" i="56"/>
  <c r="G100" i="56"/>
  <c r="G7" i="56" s="1"/>
  <c r="V261" i="56"/>
  <c r="AH107" i="56"/>
  <c r="Y5" i="56"/>
  <c r="AI92" i="56"/>
  <c r="AS261" i="56"/>
  <c r="AA100" i="56"/>
  <c r="AA7" i="56" s="1"/>
  <c r="F108" i="56"/>
  <c r="AH92" i="56"/>
  <c r="B256" i="56"/>
  <c r="N108" i="56"/>
  <c r="AJ261" i="56"/>
  <c r="R100" i="56"/>
  <c r="R7" i="56" s="1"/>
  <c r="U261" i="56"/>
  <c r="C7" i="56"/>
  <c r="F100" i="56"/>
  <c r="F7" i="56" s="1"/>
  <c r="AI103" i="56"/>
  <c r="E118" i="56"/>
  <c r="F246" i="56"/>
  <c r="E252" i="56"/>
  <c r="AE261" i="56"/>
  <c r="M100" i="56"/>
  <c r="M7" i="56" s="1"/>
  <c r="AB261" i="56"/>
  <c r="J100" i="56"/>
  <c r="J7" i="56" s="1"/>
  <c r="AU261" i="56"/>
  <c r="AC100" i="56"/>
  <c r="AC7" i="56" s="1"/>
  <c r="AI107" i="56"/>
  <c r="AH103" i="56"/>
  <c r="AK261" i="56"/>
  <c r="S7" i="56"/>
  <c r="D282" i="56"/>
  <c r="F251" i="56"/>
  <c r="AC261" i="56"/>
  <c r="K100" i="56"/>
  <c r="K7" i="56" s="1"/>
  <c r="AM261" i="56"/>
  <c r="U7" i="56"/>
  <c r="W261" i="56"/>
  <c r="E100" i="56"/>
  <c r="E7" i="56" s="1"/>
  <c r="AF100" i="55"/>
  <c r="O57" i="55"/>
  <c r="P57" i="55"/>
  <c r="AC251" i="61" l="1"/>
  <c r="AA282" i="61"/>
  <c r="AA252" i="61"/>
  <c r="AA118" i="61"/>
  <c r="AB246" i="61"/>
  <c r="AA246" i="59"/>
  <c r="W282" i="59"/>
  <c r="Y251" i="59"/>
  <c r="X252" i="59"/>
  <c r="X118" i="59"/>
  <c r="Q246" i="58"/>
  <c r="P252" i="58"/>
  <c r="P282" i="58"/>
  <c r="R251" i="58"/>
  <c r="M246" i="57"/>
  <c r="L251" i="57"/>
  <c r="J282" i="57"/>
  <c r="AI108" i="56"/>
  <c r="K6" i="56"/>
  <c r="AH108" i="56"/>
  <c r="AH97" i="56"/>
  <c r="AR261" i="56"/>
  <c r="Z7" i="56"/>
  <c r="E282" i="56"/>
  <c r="G251" i="56"/>
  <c r="AI99" i="56"/>
  <c r="AH99" i="56"/>
  <c r="T261" i="56"/>
  <c r="AI97" i="56"/>
  <c r="G246" i="56"/>
  <c r="F252" i="56"/>
  <c r="F118" i="56"/>
  <c r="AB252" i="61" l="1"/>
  <c r="AB118" i="61"/>
  <c r="AC246" i="61"/>
  <c r="AC118" i="61" s="1"/>
  <c r="AB282" i="61"/>
  <c r="AD251" i="61"/>
  <c r="AB246" i="59"/>
  <c r="X282" i="59"/>
  <c r="Z251" i="59"/>
  <c r="Y252" i="59"/>
  <c r="S251" i="58"/>
  <c r="Q282" i="58"/>
  <c r="Q252" i="58"/>
  <c r="Q118" i="58"/>
  <c r="R246" i="58"/>
  <c r="K282" i="57"/>
  <c r="M251" i="57"/>
  <c r="M118" i="57"/>
  <c r="M252" i="57"/>
  <c r="N246" i="57"/>
  <c r="L118" i="57"/>
  <c r="L252" i="57"/>
  <c r="AH100" i="56"/>
  <c r="B7" i="56"/>
  <c r="A7" i="56" s="1"/>
  <c r="AI100" i="56"/>
  <c r="F282" i="56"/>
  <c r="H251" i="56"/>
  <c r="H246" i="56"/>
  <c r="G252" i="56"/>
  <c r="G118" i="56"/>
  <c r="AC282" i="61" l="1"/>
  <c r="AE251" i="61"/>
  <c r="AD246" i="61"/>
  <c r="AD118" i="61" s="1"/>
  <c r="AC252" i="61"/>
  <c r="AA251" i="59"/>
  <c r="Y282" i="59"/>
  <c r="Z252" i="59"/>
  <c r="AC246" i="59"/>
  <c r="R252" i="58"/>
  <c r="S246" i="58"/>
  <c r="R282" i="58"/>
  <c r="T251" i="58"/>
  <c r="O246" i="57"/>
  <c r="L282" i="57"/>
  <c r="N251" i="57"/>
  <c r="N118" i="57" s="1"/>
  <c r="I246" i="56"/>
  <c r="H118" i="56"/>
  <c r="H252" i="56"/>
  <c r="G282" i="56"/>
  <c r="I251" i="56"/>
  <c r="AE246" i="61" l="1"/>
  <c r="AE118" i="61" s="1"/>
  <c r="AD252" i="61"/>
  <c r="AD282" i="61"/>
  <c r="AF251" i="61"/>
  <c r="AD246" i="59"/>
  <c r="AB251" i="59"/>
  <c r="Z282" i="59"/>
  <c r="AA252" i="59"/>
  <c r="AA118" i="59"/>
  <c r="U251" i="58"/>
  <c r="S282" i="58"/>
  <c r="S252" i="58"/>
  <c r="S118" i="58"/>
  <c r="T246" i="58"/>
  <c r="M282" i="57"/>
  <c r="O251" i="57"/>
  <c r="O252" i="57" s="1"/>
  <c r="N252" i="57"/>
  <c r="P246" i="57"/>
  <c r="O118" i="57"/>
  <c r="H282" i="56"/>
  <c r="J251" i="56"/>
  <c r="I252" i="56"/>
  <c r="I118" i="56"/>
  <c r="J246" i="56"/>
  <c r="B251" i="61" l="1"/>
  <c r="AF282" i="61" s="1"/>
  <c r="AE282" i="61"/>
  <c r="AF246" i="61"/>
  <c r="AF118" i="61" s="1"/>
  <c r="AE252" i="61"/>
  <c r="AA282" i="59"/>
  <c r="AC251" i="59"/>
  <c r="AB252" i="59"/>
  <c r="AB118" i="59"/>
  <c r="AE246" i="59"/>
  <c r="T252" i="58"/>
  <c r="T118" i="58"/>
  <c r="U246" i="58"/>
  <c r="T282" i="58"/>
  <c r="V251" i="58"/>
  <c r="Q246" i="57"/>
  <c r="N282" i="57"/>
  <c r="P251" i="57"/>
  <c r="P252" i="57" s="1"/>
  <c r="J252" i="56"/>
  <c r="J118" i="56"/>
  <c r="K246" i="56"/>
  <c r="K251" i="56"/>
  <c r="I282" i="56"/>
  <c r="AF252" i="61" l="1"/>
  <c r="B246" i="61"/>
  <c r="AB282" i="59"/>
  <c r="AD251" i="59"/>
  <c r="AC118" i="59"/>
  <c r="AC252" i="59"/>
  <c r="AF246" i="59"/>
  <c r="W251" i="58"/>
  <c r="U282" i="58"/>
  <c r="V246" i="58"/>
  <c r="U252" i="58"/>
  <c r="U118" i="58"/>
  <c r="O282" i="57"/>
  <c r="Q251" i="57"/>
  <c r="Q252" i="57"/>
  <c r="Q118" i="57"/>
  <c r="R246" i="57"/>
  <c r="K252" i="56"/>
  <c r="K118" i="56"/>
  <c r="L246" i="56"/>
  <c r="J282" i="56"/>
  <c r="L251" i="56"/>
  <c r="B118" i="61" l="1"/>
  <c r="B252" i="61"/>
  <c r="B246" i="59"/>
  <c r="AC282" i="59"/>
  <c r="AE251" i="59"/>
  <c r="AD252" i="59"/>
  <c r="W246" i="58"/>
  <c r="V252" i="58"/>
  <c r="V118" i="58"/>
  <c r="V282" i="58"/>
  <c r="X251" i="58"/>
  <c r="P282" i="57"/>
  <c r="R251" i="57"/>
  <c r="R252" i="57"/>
  <c r="R118" i="57"/>
  <c r="S246" i="57"/>
  <c r="L252" i="56"/>
  <c r="L118" i="56"/>
  <c r="M246" i="56"/>
  <c r="K282" i="56"/>
  <c r="M251" i="56"/>
  <c r="AI118" i="61" l="1"/>
  <c r="AH118" i="61"/>
  <c r="AD282" i="59"/>
  <c r="AF251" i="59"/>
  <c r="AE252" i="59"/>
  <c r="AE118" i="59"/>
  <c r="W282" i="58"/>
  <c r="Y251" i="58"/>
  <c r="X246" i="58"/>
  <c r="W252" i="58"/>
  <c r="W118" i="58"/>
  <c r="T246" i="57"/>
  <c r="S251" i="57"/>
  <c r="Q282" i="57"/>
  <c r="L282" i="56"/>
  <c r="N251" i="56"/>
  <c r="M118" i="56"/>
  <c r="N246" i="56"/>
  <c r="M252" i="56"/>
  <c r="B251" i="59" l="1"/>
  <c r="AE282" i="59"/>
  <c r="AF252" i="59"/>
  <c r="AF118" i="59"/>
  <c r="Y246" i="58"/>
  <c r="X252" i="58"/>
  <c r="X118" i="58"/>
  <c r="X282" i="58"/>
  <c r="Z251" i="58"/>
  <c r="T251" i="57"/>
  <c r="T252" i="57" s="1"/>
  <c r="R282" i="57"/>
  <c r="U246" i="57"/>
  <c r="S252" i="57"/>
  <c r="O246" i="56"/>
  <c r="N252" i="56"/>
  <c r="N118" i="56"/>
  <c r="M282" i="56"/>
  <c r="O251" i="56"/>
  <c r="AF282" i="59" l="1"/>
  <c r="B252" i="59"/>
  <c r="AA251" i="58"/>
  <c r="Y282" i="58"/>
  <c r="Y252" i="58"/>
  <c r="Z246" i="58"/>
  <c r="V246" i="57"/>
  <c r="S282" i="57"/>
  <c r="U251" i="57"/>
  <c r="N282" i="56"/>
  <c r="P251" i="56"/>
  <c r="P246" i="56"/>
  <c r="O252" i="56"/>
  <c r="O118" i="56"/>
  <c r="AI118" i="59" l="1"/>
  <c r="AH118" i="59"/>
  <c r="Z252" i="58"/>
  <c r="AA246" i="58"/>
  <c r="Z282" i="58"/>
  <c r="AB251" i="58"/>
  <c r="T282" i="57"/>
  <c r="V251" i="57"/>
  <c r="U252" i="57"/>
  <c r="W246" i="57"/>
  <c r="V252" i="57"/>
  <c r="U118" i="57"/>
  <c r="Q246" i="56"/>
  <c r="P252" i="56"/>
  <c r="O282" i="56"/>
  <c r="Q251" i="56"/>
  <c r="AC251" i="58" l="1"/>
  <c r="AA282" i="58"/>
  <c r="AA252" i="58"/>
  <c r="AA118" i="58"/>
  <c r="AB246" i="58"/>
  <c r="U282" i="57"/>
  <c r="W251" i="57"/>
  <c r="W118" i="57"/>
  <c r="X246" i="57"/>
  <c r="W252" i="57"/>
  <c r="P282" i="56"/>
  <c r="R251" i="56"/>
  <c r="Q252" i="56"/>
  <c r="Q118" i="56"/>
  <c r="R246" i="56"/>
  <c r="AB252" i="58" l="1"/>
  <c r="AC246" i="58"/>
  <c r="AB282" i="58"/>
  <c r="AD251" i="58"/>
  <c r="V282" i="57"/>
  <c r="X251" i="57"/>
  <c r="Y246" i="57"/>
  <c r="X252" i="57"/>
  <c r="X118" i="57"/>
  <c r="R252" i="56"/>
  <c r="R118" i="56"/>
  <c r="S246" i="56"/>
  <c r="S251" i="56"/>
  <c r="Q282" i="56"/>
  <c r="AC282" i="58" l="1"/>
  <c r="AE251" i="58"/>
  <c r="AD246" i="58"/>
  <c r="AC252" i="58"/>
  <c r="Z246" i="57"/>
  <c r="W282" i="57"/>
  <c r="Y251" i="57"/>
  <c r="R282" i="56"/>
  <c r="T251" i="56"/>
  <c r="S252" i="56"/>
  <c r="T246" i="56"/>
  <c r="AE246" i="58" l="1"/>
  <c r="AD252" i="58"/>
  <c r="AD282" i="58"/>
  <c r="AF251" i="58"/>
  <c r="X282" i="57"/>
  <c r="Z251" i="57"/>
  <c r="Z252" i="57"/>
  <c r="AA246" i="57"/>
  <c r="Y252" i="57"/>
  <c r="T252" i="56"/>
  <c r="U246" i="56"/>
  <c r="S282" i="56"/>
  <c r="U251" i="56"/>
  <c r="B251" i="58" l="1"/>
  <c r="AF282" i="58" s="1"/>
  <c r="AE282" i="58"/>
  <c r="AF246" i="58"/>
  <c r="AE252" i="58"/>
  <c r="AA251" i="57"/>
  <c r="Y282" i="57"/>
  <c r="AA252" i="57"/>
  <c r="AA118" i="57"/>
  <c r="AB246" i="57"/>
  <c r="V246" i="56"/>
  <c r="U252" i="56"/>
  <c r="T282" i="56"/>
  <c r="V251" i="56"/>
  <c r="B246" i="58" l="1"/>
  <c r="AF252" i="58"/>
  <c r="AC246" i="57"/>
  <c r="AB251" i="57"/>
  <c r="Z282" i="57"/>
  <c r="W246" i="56"/>
  <c r="V252" i="56"/>
  <c r="U282" i="56"/>
  <c r="W251" i="56"/>
  <c r="B118" i="58" l="1"/>
  <c r="B252" i="58"/>
  <c r="AA282" i="57"/>
  <c r="AC251" i="57"/>
  <c r="AC118" i="57"/>
  <c r="AC252" i="57"/>
  <c r="AD246" i="57"/>
  <c r="AB118" i="57"/>
  <c r="AB252" i="57"/>
  <c r="V282" i="56"/>
  <c r="X251" i="56"/>
  <c r="X246" i="56"/>
  <c r="W252" i="56"/>
  <c r="AI118" i="58" l="1"/>
  <c r="AH118" i="58"/>
  <c r="AE246" i="57"/>
  <c r="AB282" i="57"/>
  <c r="AD251" i="57"/>
  <c r="Y246" i="56"/>
  <c r="X252" i="56"/>
  <c r="W282" i="56"/>
  <c r="Y251" i="56"/>
  <c r="AC282" i="57" l="1"/>
  <c r="AE251" i="57"/>
  <c r="AD252" i="57"/>
  <c r="AE118" i="57"/>
  <c r="AF246" i="57"/>
  <c r="AE252" i="57"/>
  <c r="X282" i="56"/>
  <c r="Z251" i="56"/>
  <c r="Y252" i="56"/>
  <c r="Z246" i="56"/>
  <c r="B246" i="57" l="1"/>
  <c r="AD282" i="57"/>
  <c r="AF251" i="57"/>
  <c r="Z252" i="56"/>
  <c r="AA246" i="56"/>
  <c r="AA251" i="56"/>
  <c r="Y282" i="56"/>
  <c r="B251" i="57" l="1"/>
  <c r="AF282" i="57" s="1"/>
  <c r="AE282" i="57"/>
  <c r="B252" i="57"/>
  <c r="B118" i="57"/>
  <c r="AF252" i="57"/>
  <c r="AF118" i="57"/>
  <c r="Z282" i="56"/>
  <c r="AB251" i="56"/>
  <c r="AA252" i="56"/>
  <c r="AA118" i="56"/>
  <c r="AB246" i="56"/>
  <c r="AI118" i="57" l="1"/>
  <c r="AH118" i="57"/>
  <c r="AB252" i="56"/>
  <c r="AB118" i="56"/>
  <c r="AC246" i="56"/>
  <c r="AA282" i="56"/>
  <c r="AC251" i="56"/>
  <c r="AB282" i="56" l="1"/>
  <c r="AD251" i="56"/>
  <c r="AC118" i="56"/>
  <c r="AD246" i="56"/>
  <c r="AC252" i="56"/>
  <c r="AE246" i="56" l="1"/>
  <c r="AD252" i="56"/>
  <c r="AC282" i="56"/>
  <c r="AE251" i="56"/>
  <c r="AD282" i="56" l="1"/>
  <c r="AF251" i="56"/>
  <c r="AE118" i="56"/>
  <c r="AF246" i="56"/>
  <c r="AE252" i="56"/>
  <c r="AF252" i="56" l="1"/>
  <c r="B246" i="56"/>
  <c r="AF118" i="56"/>
  <c r="B251" i="56"/>
  <c r="AF282" i="56" s="1"/>
  <c r="AE282" i="56"/>
  <c r="B118" i="56" l="1"/>
  <c r="B252" i="56"/>
  <c r="AI118" i="56" l="1"/>
  <c r="AH118" i="56"/>
  <c r="N57" i="55" l="1"/>
  <c r="M123" i="55" l="1"/>
  <c r="M57" i="55"/>
  <c r="L123" i="55"/>
  <c r="L121" i="55"/>
  <c r="L57" i="55"/>
  <c r="K123" i="55"/>
  <c r="K121" i="55"/>
  <c r="K57" i="55"/>
  <c r="J123" i="55"/>
  <c r="J121" i="55"/>
  <c r="J57" i="55"/>
  <c r="I123" i="55"/>
  <c r="I121" i="55"/>
  <c r="I57" i="55"/>
  <c r="H123" i="55"/>
  <c r="H121" i="55"/>
  <c r="H57" i="55"/>
  <c r="G123" i="55"/>
  <c r="G121" i="55"/>
  <c r="G57" i="55"/>
  <c r="F123" i="55"/>
  <c r="F121" i="55"/>
  <c r="F57" i="55"/>
  <c r="E123" i="55"/>
  <c r="E121" i="55"/>
  <c r="E57" i="55"/>
  <c r="D123" i="55" l="1"/>
  <c r="D121" i="55"/>
  <c r="C123" i="55"/>
  <c r="C121" i="55"/>
  <c r="C57" i="55"/>
  <c r="D57" i="55"/>
  <c r="C58" i="55"/>
  <c r="D58" i="55"/>
  <c r="C62" i="55"/>
  <c r="D62" i="55"/>
  <c r="C76" i="55"/>
  <c r="D76" i="55"/>
  <c r="C80" i="55"/>
  <c r="D80" i="55"/>
  <c r="C92" i="55"/>
  <c r="B5" i="55" s="1"/>
  <c r="D92" i="55"/>
  <c r="C5" i="55" s="1"/>
  <c r="C101" i="55"/>
  <c r="D101" i="55"/>
  <c r="C102" i="55"/>
  <c r="D102" i="55"/>
  <c r="C103" i="55"/>
  <c r="D103" i="55"/>
  <c r="C104" i="55"/>
  <c r="D104" i="55"/>
  <c r="C105" i="55"/>
  <c r="D105" i="55"/>
  <c r="C118" i="55"/>
  <c r="D118" i="55"/>
  <c r="B123" i="55"/>
  <c r="B57" i="55"/>
  <c r="B118" i="55"/>
  <c r="B105" i="55"/>
  <c r="B104" i="55"/>
  <c r="B103" i="55"/>
  <c r="B107" i="55" s="1"/>
  <c r="B102" i="55"/>
  <c r="B101" i="55"/>
  <c r="B92" i="55"/>
  <c r="AF5" i="55" s="1"/>
  <c r="B80" i="55"/>
  <c r="B76" i="55"/>
  <c r="B62" i="55"/>
  <c r="B58" i="55"/>
  <c r="AF286" i="55"/>
  <c r="AE286" i="55"/>
  <c r="AD286" i="55"/>
  <c r="AC286" i="55"/>
  <c r="AB286" i="55"/>
  <c r="AA286" i="55"/>
  <c r="Z286" i="55"/>
  <c r="Y286" i="55"/>
  <c r="X286" i="55"/>
  <c r="W286" i="55"/>
  <c r="V286" i="55"/>
  <c r="U286" i="55"/>
  <c r="T286" i="55"/>
  <c r="S286" i="55"/>
  <c r="R286" i="55"/>
  <c r="Q286" i="55"/>
  <c r="P286" i="55"/>
  <c r="O286" i="55"/>
  <c r="N286" i="55"/>
  <c r="M286" i="55"/>
  <c r="L286" i="55"/>
  <c r="K286" i="55"/>
  <c r="J286" i="55"/>
  <c r="I286" i="55"/>
  <c r="H286" i="55"/>
  <c r="G286" i="55"/>
  <c r="F286" i="55"/>
  <c r="E286" i="55"/>
  <c r="D286" i="55"/>
  <c r="C286" i="55"/>
  <c r="B286" i="55"/>
  <c r="A286" i="55"/>
  <c r="AF285" i="55"/>
  <c r="AE285" i="55"/>
  <c r="AD285" i="55"/>
  <c r="AC285" i="55"/>
  <c r="AB285" i="55"/>
  <c r="AA285" i="55"/>
  <c r="Z285" i="55"/>
  <c r="Y285" i="55"/>
  <c r="X285" i="55"/>
  <c r="W285" i="55"/>
  <c r="V285" i="55"/>
  <c r="U285" i="55"/>
  <c r="T285" i="55"/>
  <c r="S285" i="55"/>
  <c r="R285" i="55"/>
  <c r="Q285" i="55"/>
  <c r="P285" i="55"/>
  <c r="O285" i="55"/>
  <c r="N285" i="55"/>
  <c r="M285" i="55"/>
  <c r="L285" i="55"/>
  <c r="K285" i="55"/>
  <c r="J285" i="55"/>
  <c r="I285" i="55"/>
  <c r="H285" i="55"/>
  <c r="G285" i="55"/>
  <c r="F285" i="55"/>
  <c r="E285" i="55"/>
  <c r="D285" i="55"/>
  <c r="C285" i="55"/>
  <c r="B285" i="55"/>
  <c r="A285" i="55"/>
  <c r="AF284" i="55"/>
  <c r="AE284" i="55"/>
  <c r="AD284" i="55"/>
  <c r="AC284" i="55"/>
  <c r="AB284" i="55"/>
  <c r="AA284" i="55"/>
  <c r="Z284" i="55"/>
  <c r="Y284" i="55"/>
  <c r="X284" i="55"/>
  <c r="W284" i="55"/>
  <c r="V284" i="55"/>
  <c r="U284" i="55"/>
  <c r="T284" i="55"/>
  <c r="S284" i="55"/>
  <c r="R284" i="55"/>
  <c r="Q284" i="55"/>
  <c r="P284" i="55"/>
  <c r="O284" i="55"/>
  <c r="N284" i="55"/>
  <c r="M284" i="55"/>
  <c r="L284" i="55"/>
  <c r="K284" i="55"/>
  <c r="J284" i="55"/>
  <c r="I284" i="55"/>
  <c r="H284" i="55"/>
  <c r="G284" i="55"/>
  <c r="F284" i="55"/>
  <c r="E284" i="55"/>
  <c r="D284" i="55"/>
  <c r="C284" i="55"/>
  <c r="B284" i="55"/>
  <c r="A284" i="55"/>
  <c r="AF283" i="55"/>
  <c r="AE283" i="55"/>
  <c r="AD283" i="55"/>
  <c r="AC283" i="55"/>
  <c r="AB283" i="55"/>
  <c r="AA283" i="55"/>
  <c r="Z283" i="55"/>
  <c r="Y283" i="55"/>
  <c r="X283" i="55"/>
  <c r="W283" i="55"/>
  <c r="V283" i="55"/>
  <c r="U283" i="55"/>
  <c r="T283" i="55"/>
  <c r="S283" i="55"/>
  <c r="R283" i="55"/>
  <c r="Q283" i="55"/>
  <c r="P283" i="55"/>
  <c r="O283" i="55"/>
  <c r="N283" i="55"/>
  <c r="M283" i="55"/>
  <c r="L283" i="55"/>
  <c r="K283" i="55"/>
  <c r="J283" i="55"/>
  <c r="I283" i="55"/>
  <c r="H283" i="55"/>
  <c r="G283" i="55"/>
  <c r="F283" i="55"/>
  <c r="E283" i="55"/>
  <c r="D283" i="55"/>
  <c r="C283" i="55"/>
  <c r="B283" i="55"/>
  <c r="A283" i="55"/>
  <c r="B282" i="55"/>
  <c r="S257" i="55"/>
  <c r="AG252" i="55"/>
  <c r="C252" i="55"/>
  <c r="D251" i="55"/>
  <c r="J250" i="55"/>
  <c r="K250" i="55" s="1"/>
  <c r="L250" i="55" s="1"/>
  <c r="M250" i="55" s="1"/>
  <c r="N250" i="55" s="1"/>
  <c r="O250" i="55" s="1"/>
  <c r="P250" i="55" s="1"/>
  <c r="Q250" i="55" s="1"/>
  <c r="R250" i="55" s="1"/>
  <c r="S250" i="55" s="1"/>
  <c r="T250" i="55" s="1"/>
  <c r="U250" i="55" s="1"/>
  <c r="V250" i="55" s="1"/>
  <c r="W250" i="55" s="1"/>
  <c r="X250" i="55" s="1"/>
  <c r="Y250" i="55" s="1"/>
  <c r="Z250" i="55" s="1"/>
  <c r="AA250" i="55" s="1"/>
  <c r="AB250" i="55" s="1"/>
  <c r="AC250" i="55" s="1"/>
  <c r="AD250" i="55" s="1"/>
  <c r="AE250" i="55" s="1"/>
  <c r="AF250" i="55" s="1"/>
  <c r="B250" i="55" s="1"/>
  <c r="D250" i="55"/>
  <c r="E250" i="55" s="1"/>
  <c r="F250" i="55" s="1"/>
  <c r="G250" i="55" s="1"/>
  <c r="H250" i="55" s="1"/>
  <c r="I250" i="55" s="1"/>
  <c r="D249" i="55"/>
  <c r="E249" i="55" s="1"/>
  <c r="F249" i="55" s="1"/>
  <c r="G249" i="55" s="1"/>
  <c r="H249" i="55" s="1"/>
  <c r="I249" i="55" s="1"/>
  <c r="J249" i="55" s="1"/>
  <c r="K249" i="55" s="1"/>
  <c r="L249" i="55" s="1"/>
  <c r="M249" i="55" s="1"/>
  <c r="N249" i="55" s="1"/>
  <c r="O249" i="55" s="1"/>
  <c r="P249" i="55" s="1"/>
  <c r="Q249" i="55" s="1"/>
  <c r="R249" i="55" s="1"/>
  <c r="S249" i="55" s="1"/>
  <c r="T249" i="55" s="1"/>
  <c r="U249" i="55" s="1"/>
  <c r="V249" i="55" s="1"/>
  <c r="W249" i="55" s="1"/>
  <c r="X249" i="55" s="1"/>
  <c r="Y249" i="55" s="1"/>
  <c r="Z249" i="55" s="1"/>
  <c r="AA249" i="55" s="1"/>
  <c r="AB249" i="55" s="1"/>
  <c r="AC249" i="55" s="1"/>
  <c r="AD249" i="55" s="1"/>
  <c r="AE249" i="55" s="1"/>
  <c r="AF249" i="55" s="1"/>
  <c r="B249" i="55" s="1"/>
  <c r="F248" i="55"/>
  <c r="G248" i="55" s="1"/>
  <c r="H248" i="55" s="1"/>
  <c r="I248" i="55" s="1"/>
  <c r="J248" i="55" s="1"/>
  <c r="K248" i="55" s="1"/>
  <c r="L248" i="55" s="1"/>
  <c r="M248" i="55" s="1"/>
  <c r="N248" i="55" s="1"/>
  <c r="O248" i="55" s="1"/>
  <c r="P248" i="55" s="1"/>
  <c r="Q248" i="55" s="1"/>
  <c r="R248" i="55" s="1"/>
  <c r="S248" i="55" s="1"/>
  <c r="T248" i="55" s="1"/>
  <c r="U248" i="55" s="1"/>
  <c r="V248" i="55" s="1"/>
  <c r="W248" i="55" s="1"/>
  <c r="X248" i="55" s="1"/>
  <c r="Y248" i="55" s="1"/>
  <c r="Z248" i="55" s="1"/>
  <c r="AA248" i="55" s="1"/>
  <c r="AB248" i="55" s="1"/>
  <c r="AC248" i="55" s="1"/>
  <c r="AD248" i="55" s="1"/>
  <c r="AE248" i="55" s="1"/>
  <c r="AF248" i="55" s="1"/>
  <c r="B248" i="55" s="1"/>
  <c r="E248" i="55"/>
  <c r="D248" i="55"/>
  <c r="F247" i="55"/>
  <c r="G247" i="55" s="1"/>
  <c r="H247" i="55" s="1"/>
  <c r="I247" i="55" s="1"/>
  <c r="J247" i="55" s="1"/>
  <c r="K247" i="55" s="1"/>
  <c r="L247" i="55" s="1"/>
  <c r="M247" i="55" s="1"/>
  <c r="N247" i="55" s="1"/>
  <c r="O247" i="55" s="1"/>
  <c r="P247" i="55" s="1"/>
  <c r="Q247" i="55" s="1"/>
  <c r="R247" i="55" s="1"/>
  <c r="S247" i="55" s="1"/>
  <c r="T247" i="55" s="1"/>
  <c r="U247" i="55" s="1"/>
  <c r="V247" i="55" s="1"/>
  <c r="W247" i="55" s="1"/>
  <c r="X247" i="55" s="1"/>
  <c r="Y247" i="55" s="1"/>
  <c r="Z247" i="55" s="1"/>
  <c r="AA247" i="55" s="1"/>
  <c r="AB247" i="55" s="1"/>
  <c r="AC247" i="55" s="1"/>
  <c r="AD247" i="55" s="1"/>
  <c r="AE247" i="55" s="1"/>
  <c r="AF247" i="55" s="1"/>
  <c r="B247" i="55" s="1"/>
  <c r="D247" i="55"/>
  <c r="E247" i="55" s="1"/>
  <c r="D246" i="55"/>
  <c r="AG244" i="55"/>
  <c r="AF244" i="55"/>
  <c r="AE244" i="55"/>
  <c r="AD244" i="55"/>
  <c r="AC244" i="55"/>
  <c r="AB244" i="55"/>
  <c r="AA244" i="55"/>
  <c r="Z244" i="55"/>
  <c r="Y244" i="55"/>
  <c r="X244" i="55"/>
  <c r="W244" i="55"/>
  <c r="V244" i="55"/>
  <c r="U244" i="55"/>
  <c r="T244" i="55"/>
  <c r="S244" i="55"/>
  <c r="R244" i="55"/>
  <c r="Q244" i="55"/>
  <c r="P244" i="55"/>
  <c r="O244" i="55"/>
  <c r="N244" i="55"/>
  <c r="M244" i="55"/>
  <c r="L244" i="55"/>
  <c r="K244" i="55"/>
  <c r="J244" i="55"/>
  <c r="I244" i="55"/>
  <c r="H244" i="55"/>
  <c r="G244" i="55"/>
  <c r="F244" i="55"/>
  <c r="E244" i="55"/>
  <c r="D244" i="55"/>
  <c r="C244" i="55"/>
  <c r="B244" i="55"/>
  <c r="AI130" i="55"/>
  <c r="AH130" i="55"/>
  <c r="AI129" i="55"/>
  <c r="AH129" i="55"/>
  <c r="AI128" i="55"/>
  <c r="AH128" i="55"/>
  <c r="AI127" i="55"/>
  <c r="AH127" i="55"/>
  <c r="AI126" i="55"/>
  <c r="AH126" i="55"/>
  <c r="AI123" i="55"/>
  <c r="AI122" i="55"/>
  <c r="AH122" i="55"/>
  <c r="AI121" i="55"/>
  <c r="AH121" i="55"/>
  <c r="AI120" i="55"/>
  <c r="AH120" i="55"/>
  <c r="AI119" i="55"/>
  <c r="AH119" i="55"/>
  <c r="Z118" i="55"/>
  <c r="Y118" i="55"/>
  <c r="AI117" i="55"/>
  <c r="AH117" i="55"/>
  <c r="AI116" i="55"/>
  <c r="AH116" i="55"/>
  <c r="AI115" i="55"/>
  <c r="AH115" i="55"/>
  <c r="AI114" i="55"/>
  <c r="AH114" i="55"/>
  <c r="AI113" i="55"/>
  <c r="AH113" i="55"/>
  <c r="AI112" i="55"/>
  <c r="AH112" i="55"/>
  <c r="AI111" i="55"/>
  <c r="AH111" i="55"/>
  <c r="AI110" i="55"/>
  <c r="AH110" i="55"/>
  <c r="AI109" i="55"/>
  <c r="AH109" i="55"/>
  <c r="L107" i="55"/>
  <c r="AI106" i="55"/>
  <c r="AH106" i="55"/>
  <c r="AB105" i="55"/>
  <c r="AA105" i="55"/>
  <c r="Z105" i="55"/>
  <c r="Y105" i="55"/>
  <c r="X105" i="55"/>
  <c r="W105" i="55"/>
  <c r="V105" i="55"/>
  <c r="U105" i="55"/>
  <c r="T105" i="55"/>
  <c r="S105" i="55"/>
  <c r="R105" i="55"/>
  <c r="Q105" i="55"/>
  <c r="P105" i="55"/>
  <c r="O105" i="55"/>
  <c r="N105" i="55"/>
  <c r="M105" i="55"/>
  <c r="L105" i="55"/>
  <c r="K105" i="55"/>
  <c r="J105" i="55"/>
  <c r="I105" i="55"/>
  <c r="H105" i="55"/>
  <c r="G105" i="55"/>
  <c r="F105" i="55"/>
  <c r="E105" i="55"/>
  <c r="AB104" i="55"/>
  <c r="AA104" i="55"/>
  <c r="Z104" i="55"/>
  <c r="Y104" i="55"/>
  <c r="X104" i="55"/>
  <c r="W104" i="55"/>
  <c r="V104" i="55"/>
  <c r="U104" i="55"/>
  <c r="T104" i="55"/>
  <c r="S104" i="55"/>
  <c r="R104" i="55"/>
  <c r="Q104" i="55"/>
  <c r="P104" i="55"/>
  <c r="O104" i="55"/>
  <c r="N104" i="55"/>
  <c r="M104" i="55"/>
  <c r="L104" i="55"/>
  <c r="K104" i="55"/>
  <c r="J104" i="55"/>
  <c r="I104" i="55"/>
  <c r="H104" i="55"/>
  <c r="G104" i="55"/>
  <c r="F104" i="55"/>
  <c r="E104" i="55"/>
  <c r="AB103" i="55"/>
  <c r="AA103" i="55"/>
  <c r="Y103" i="55"/>
  <c r="X103" i="55"/>
  <c r="W103" i="55"/>
  <c r="V103" i="55"/>
  <c r="U103" i="55"/>
  <c r="T103" i="55"/>
  <c r="S103" i="55"/>
  <c r="R103" i="55"/>
  <c r="Q103" i="55"/>
  <c r="P103" i="55"/>
  <c r="O103" i="55"/>
  <c r="N103" i="55"/>
  <c r="M103" i="55"/>
  <c r="L103" i="55"/>
  <c r="K103" i="55"/>
  <c r="J103" i="55"/>
  <c r="I103" i="55"/>
  <c r="H103" i="55"/>
  <c r="G103" i="55"/>
  <c r="F103" i="55"/>
  <c r="E103" i="55"/>
  <c r="AB102" i="55"/>
  <c r="AA102" i="55"/>
  <c r="Z102" i="55"/>
  <c r="Y102" i="55"/>
  <c r="X102" i="55"/>
  <c r="W102" i="55"/>
  <c r="V102" i="55"/>
  <c r="U102" i="55"/>
  <c r="T102" i="55"/>
  <c r="S102" i="55"/>
  <c r="R102" i="55"/>
  <c r="Q102" i="55"/>
  <c r="P102" i="55"/>
  <c r="O102" i="55"/>
  <c r="N102" i="55"/>
  <c r="M102" i="55"/>
  <c r="L102" i="55"/>
  <c r="K102" i="55"/>
  <c r="J102" i="55"/>
  <c r="I102" i="55"/>
  <c r="H102" i="55"/>
  <c r="G102" i="55"/>
  <c r="F102" i="55"/>
  <c r="E102" i="55"/>
  <c r="AB101" i="55"/>
  <c r="AB107" i="55" s="1"/>
  <c r="AA101" i="55"/>
  <c r="Z101" i="55"/>
  <c r="Y101" i="55"/>
  <c r="X101" i="55"/>
  <c r="W101" i="55"/>
  <c r="V101" i="55"/>
  <c r="U101" i="55"/>
  <c r="T101" i="55"/>
  <c r="S101" i="55"/>
  <c r="R101" i="55"/>
  <c r="Q101" i="55"/>
  <c r="Q107" i="55" s="1"/>
  <c r="P101" i="55"/>
  <c r="O101" i="55"/>
  <c r="N101" i="55"/>
  <c r="M101" i="55"/>
  <c r="L101" i="55"/>
  <c r="K101" i="55"/>
  <c r="J101" i="55"/>
  <c r="I101" i="55"/>
  <c r="H101" i="55"/>
  <c r="G101" i="55"/>
  <c r="F101" i="55"/>
  <c r="F107" i="55" s="1"/>
  <c r="E101" i="55"/>
  <c r="E107" i="55" s="1"/>
  <c r="AI98" i="55"/>
  <c r="AH98" i="55"/>
  <c r="AI96" i="55"/>
  <c r="AH96" i="55"/>
  <c r="AG96" i="55"/>
  <c r="AI95" i="55"/>
  <c r="AH95" i="55"/>
  <c r="AI94" i="55"/>
  <c r="AH94" i="55"/>
  <c r="AI93" i="55"/>
  <c r="AH93" i="55"/>
  <c r="AG92" i="55"/>
  <c r="AB92" i="55"/>
  <c r="AA5" i="55" s="1"/>
  <c r="AA92" i="55"/>
  <c r="Z5" i="55" s="1"/>
  <c r="X92" i="55"/>
  <c r="W5" i="55" s="1"/>
  <c r="W92" i="55"/>
  <c r="V5" i="55" s="1"/>
  <c r="V92" i="55"/>
  <c r="U92" i="55"/>
  <c r="T92" i="55"/>
  <c r="S92" i="55"/>
  <c r="R5" i="55" s="1"/>
  <c r="R92" i="55"/>
  <c r="Q5" i="55" s="1"/>
  <c r="Q92" i="55"/>
  <c r="P5" i="55" s="1"/>
  <c r="P92" i="55"/>
  <c r="O5" i="55" s="1"/>
  <c r="O92" i="55"/>
  <c r="N5" i="55" s="1"/>
  <c r="N92" i="55"/>
  <c r="M92" i="55"/>
  <c r="L92" i="55"/>
  <c r="K5" i="55" s="1"/>
  <c r="K92" i="55"/>
  <c r="J5" i="55" s="1"/>
  <c r="J92" i="55"/>
  <c r="I5" i="55" s="1"/>
  <c r="I92" i="55"/>
  <c r="H5" i="55" s="1"/>
  <c r="H92" i="55"/>
  <c r="G92" i="55"/>
  <c r="F5" i="55" s="1"/>
  <c r="F92" i="55"/>
  <c r="F108" i="55" s="1"/>
  <c r="E92" i="55"/>
  <c r="AI91" i="55"/>
  <c r="AH91" i="55"/>
  <c r="AI90" i="55"/>
  <c r="AH90" i="55"/>
  <c r="AI89" i="55"/>
  <c r="AH89" i="55"/>
  <c r="AI88" i="55"/>
  <c r="AH88" i="55"/>
  <c r="AI87" i="55"/>
  <c r="AH87" i="55"/>
  <c r="AI86" i="55"/>
  <c r="AH86" i="55"/>
  <c r="AI85" i="55"/>
  <c r="Y92" i="55"/>
  <c r="X5" i="55" s="1"/>
  <c r="AI84" i="55"/>
  <c r="AH84" i="55"/>
  <c r="AI83" i="55"/>
  <c r="AH83" i="55"/>
  <c r="AI82" i="55"/>
  <c r="AH82" i="55"/>
  <c r="AI81" i="55"/>
  <c r="AH81" i="55"/>
  <c r="AG80" i="55"/>
  <c r="AB80" i="55"/>
  <c r="AA80" i="55"/>
  <c r="Z80" i="55"/>
  <c r="Y80" i="55"/>
  <c r="X80" i="55"/>
  <c r="W80" i="55"/>
  <c r="V80" i="55"/>
  <c r="U80" i="55"/>
  <c r="T80" i="55"/>
  <c r="S80" i="55"/>
  <c r="R80" i="55"/>
  <c r="Q80" i="55"/>
  <c r="P80" i="55"/>
  <c r="O80" i="55"/>
  <c r="N80" i="55"/>
  <c r="M80" i="55"/>
  <c r="L80" i="55"/>
  <c r="K80" i="55"/>
  <c r="J80" i="55"/>
  <c r="I80" i="55"/>
  <c r="H80" i="55"/>
  <c r="G80" i="55"/>
  <c r="F80" i="55"/>
  <c r="E80" i="55"/>
  <c r="AI79" i="55"/>
  <c r="AH79" i="55"/>
  <c r="AI78" i="55"/>
  <c r="AH78" i="55"/>
  <c r="AI77" i="55"/>
  <c r="AH77" i="55"/>
  <c r="AB76" i="55"/>
  <c r="AA76" i="55"/>
  <c r="Z76" i="55"/>
  <c r="Y76" i="55"/>
  <c r="X76" i="55"/>
  <c r="W76" i="55"/>
  <c r="V76" i="55"/>
  <c r="U76" i="55"/>
  <c r="T76" i="55"/>
  <c r="S76" i="55"/>
  <c r="R76" i="55"/>
  <c r="Q76" i="55"/>
  <c r="P76" i="55"/>
  <c r="O76" i="55"/>
  <c r="N76" i="55"/>
  <c r="M76" i="55"/>
  <c r="L76" i="55"/>
  <c r="K76" i="55"/>
  <c r="J76" i="55"/>
  <c r="I76" i="55"/>
  <c r="H76" i="55"/>
  <c r="G76" i="55"/>
  <c r="F76" i="55"/>
  <c r="E76" i="55"/>
  <c r="AI75" i="55"/>
  <c r="AH75" i="55"/>
  <c r="AG75" i="55"/>
  <c r="AG76" i="55" s="1"/>
  <c r="AG3" i="55" s="1"/>
  <c r="AI74" i="55"/>
  <c r="AH74" i="55"/>
  <c r="AI73" i="55"/>
  <c r="AH73" i="55"/>
  <c r="AI72" i="55"/>
  <c r="AH72" i="55"/>
  <c r="AI71" i="55"/>
  <c r="AH71" i="55"/>
  <c r="AI70" i="55"/>
  <c r="AH70" i="55"/>
  <c r="AI69" i="55"/>
  <c r="AH69" i="55"/>
  <c r="AI68" i="55"/>
  <c r="AH68" i="55"/>
  <c r="AI67" i="55"/>
  <c r="AH67" i="55"/>
  <c r="AI66" i="55"/>
  <c r="AH66" i="55"/>
  <c r="AI65" i="55"/>
  <c r="AH65" i="55"/>
  <c r="AI64" i="55"/>
  <c r="AH64" i="55"/>
  <c r="AI63" i="55"/>
  <c r="AH63" i="55"/>
  <c r="AG62" i="55"/>
  <c r="AB62" i="55"/>
  <c r="AA62" i="55"/>
  <c r="Z62" i="55"/>
  <c r="Y62" i="55"/>
  <c r="X62" i="55"/>
  <c r="W62" i="55"/>
  <c r="V62" i="55"/>
  <c r="U62" i="55"/>
  <c r="T62" i="55"/>
  <c r="S62" i="55"/>
  <c r="R62" i="55"/>
  <c r="Q62" i="55"/>
  <c r="P62" i="55"/>
  <c r="O62" i="55"/>
  <c r="N62" i="55"/>
  <c r="M62" i="55"/>
  <c r="L62" i="55"/>
  <c r="K62" i="55"/>
  <c r="J62" i="55"/>
  <c r="I62" i="55"/>
  <c r="H62" i="55"/>
  <c r="G62" i="55"/>
  <c r="F62" i="55"/>
  <c r="E62" i="55"/>
  <c r="AI61" i="55"/>
  <c r="AH61" i="55"/>
  <c r="AI60" i="55"/>
  <c r="AH60" i="55"/>
  <c r="AI59" i="55"/>
  <c r="AH59" i="55"/>
  <c r="AG58" i="55"/>
  <c r="AG97" i="55" s="1"/>
  <c r="AB58" i="55"/>
  <c r="AA58" i="55"/>
  <c r="Z58" i="55"/>
  <c r="Y58" i="55"/>
  <c r="X58" i="55"/>
  <c r="W58" i="55"/>
  <c r="V58" i="55"/>
  <c r="U58" i="55"/>
  <c r="T58" i="55"/>
  <c r="S58" i="55"/>
  <c r="R58" i="55"/>
  <c r="Q58" i="55"/>
  <c r="P58" i="55"/>
  <c r="O58" i="55"/>
  <c r="N58" i="55"/>
  <c r="M58" i="55"/>
  <c r="L58" i="55"/>
  <c r="K58" i="55"/>
  <c r="J58" i="55"/>
  <c r="I58" i="55"/>
  <c r="H58" i="55"/>
  <c r="G58" i="55"/>
  <c r="F58" i="55"/>
  <c r="E58" i="55"/>
  <c r="AI57" i="55"/>
  <c r="AH57" i="55"/>
  <c r="AI56" i="55"/>
  <c r="AH56" i="55"/>
  <c r="AI55" i="55"/>
  <c r="AH55" i="55"/>
  <c r="AI54" i="55"/>
  <c r="AH54" i="55"/>
  <c r="AI53" i="55"/>
  <c r="AH53" i="55"/>
  <c r="AI52" i="55"/>
  <c r="AH52" i="55"/>
  <c r="AI51" i="55"/>
  <c r="AH51" i="55"/>
  <c r="AI50" i="55"/>
  <c r="AH50" i="55"/>
  <c r="AI49" i="55"/>
  <c r="AH49" i="55"/>
  <c r="AI48" i="55"/>
  <c r="AH48" i="55"/>
  <c r="AI47" i="55"/>
  <c r="AH47" i="55"/>
  <c r="AI46" i="55"/>
  <c r="AH46" i="55"/>
  <c r="AI45" i="55"/>
  <c r="AH45" i="55"/>
  <c r="AI44" i="55"/>
  <c r="AH44" i="55"/>
  <c r="AI43" i="55"/>
  <c r="AH43" i="55"/>
  <c r="AI42" i="55"/>
  <c r="AH42" i="55"/>
  <c r="AI41" i="55"/>
  <c r="AH41" i="55"/>
  <c r="AI40" i="55"/>
  <c r="AH40" i="55"/>
  <c r="AI39" i="55"/>
  <c r="AH39" i="55"/>
  <c r="AI38" i="55"/>
  <c r="AH38" i="55"/>
  <c r="AI37" i="55"/>
  <c r="AH37" i="55"/>
  <c r="AI36" i="55"/>
  <c r="AH36" i="55"/>
  <c r="AI35" i="55"/>
  <c r="AH35" i="55"/>
  <c r="AI34" i="55"/>
  <c r="AH34" i="55"/>
  <c r="AI33" i="55"/>
  <c r="AH33" i="55"/>
  <c r="AI32" i="55"/>
  <c r="AH32" i="55"/>
  <c r="AI31" i="55"/>
  <c r="AH31" i="55"/>
  <c r="AI30" i="55"/>
  <c r="AH30" i="55"/>
  <c r="AI29" i="55"/>
  <c r="AH29" i="55"/>
  <c r="AI28" i="55"/>
  <c r="AH28" i="55"/>
  <c r="AI27" i="55"/>
  <c r="AH27" i="55"/>
  <c r="AI26" i="55"/>
  <c r="AH26" i="55"/>
  <c r="AI25" i="55"/>
  <c r="AH25" i="55"/>
  <c r="AI24" i="55"/>
  <c r="AH24" i="55"/>
  <c r="AI23" i="55"/>
  <c r="AH23" i="55"/>
  <c r="AI22" i="55"/>
  <c r="AH22" i="55"/>
  <c r="AI21" i="55"/>
  <c r="AH21" i="55"/>
  <c r="AI20" i="55"/>
  <c r="AH20" i="55"/>
  <c r="AI19" i="55"/>
  <c r="AH19" i="55"/>
  <c r="AI18" i="55"/>
  <c r="AH18" i="55"/>
  <c r="AI17" i="55"/>
  <c r="AH17" i="55"/>
  <c r="AI16" i="55"/>
  <c r="AH16" i="55"/>
  <c r="AI15" i="55"/>
  <c r="AH15" i="55"/>
  <c r="AI14" i="55"/>
  <c r="AH14" i="55"/>
  <c r="AI13" i="55"/>
  <c r="AH13" i="55"/>
  <c r="AI12" i="55"/>
  <c r="AH12" i="55"/>
  <c r="AI11" i="55"/>
  <c r="AH11" i="55"/>
  <c r="AE5" i="55"/>
  <c r="AD5" i="55"/>
  <c r="AC5" i="55"/>
  <c r="AG4" i="55"/>
  <c r="K4" i="55"/>
  <c r="E4" i="55"/>
  <c r="H4" i="55" s="1"/>
  <c r="B4" i="55"/>
  <c r="S258" i="55" s="1"/>
  <c r="AG2" i="55"/>
  <c r="AF123" i="54"/>
  <c r="AF121" i="54"/>
  <c r="AF57" i="54"/>
  <c r="AF58" i="54"/>
  <c r="AF62" i="54"/>
  <c r="AF76" i="54"/>
  <c r="AF80" i="54"/>
  <c r="AF92" i="54"/>
  <c r="AF101" i="54"/>
  <c r="AF107" i="54" s="1"/>
  <c r="AF102" i="54"/>
  <c r="AF103" i="54"/>
  <c r="AF104" i="54"/>
  <c r="AF105" i="54"/>
  <c r="AF118" i="54"/>
  <c r="AE123" i="54"/>
  <c r="AE121" i="54"/>
  <c r="AE85" i="54"/>
  <c r="AE57" i="54"/>
  <c r="AD123" i="54"/>
  <c r="AD121" i="54"/>
  <c r="AD57" i="54"/>
  <c r="AC123" i="54"/>
  <c r="AC121" i="54"/>
  <c r="AC57" i="54"/>
  <c r="AB123" i="54"/>
  <c r="AB121" i="54"/>
  <c r="AB57" i="54"/>
  <c r="AA123" i="54"/>
  <c r="Z123" i="54"/>
  <c r="AB108" i="55" l="1"/>
  <c r="AB97" i="55"/>
  <c r="AB99" i="55" s="1"/>
  <c r="AA107" i="55"/>
  <c r="AA97" i="55"/>
  <c r="AA99" i="55" s="1"/>
  <c r="X107" i="55"/>
  <c r="X108" i="55" s="1"/>
  <c r="W97" i="55"/>
  <c r="W99" i="55" s="1"/>
  <c r="AO261" i="55" s="1"/>
  <c r="V107" i="55"/>
  <c r="V108" i="55" s="1"/>
  <c r="U5" i="55"/>
  <c r="V97" i="55"/>
  <c r="V99" i="55" s="1"/>
  <c r="AN261" i="55" s="1"/>
  <c r="U97" i="55"/>
  <c r="U99" i="55" s="1"/>
  <c r="AM261" i="55" s="1"/>
  <c r="U107" i="55"/>
  <c r="T107" i="55"/>
  <c r="T108" i="55"/>
  <c r="S5" i="55"/>
  <c r="T97" i="55"/>
  <c r="T99" i="55" s="1"/>
  <c r="AL261" i="55" s="1"/>
  <c r="S107" i="55"/>
  <c r="S108" i="55" s="1"/>
  <c r="S97" i="55"/>
  <c r="S99" i="55" s="1"/>
  <c r="AK261" i="55" s="1"/>
  <c r="X97" i="55"/>
  <c r="X99" i="55" s="1"/>
  <c r="AP261" i="55" s="1"/>
  <c r="AH102" i="55"/>
  <c r="Y107" i="55"/>
  <c r="Y108" i="55" s="1"/>
  <c r="Y97" i="55"/>
  <c r="Y99" i="55" s="1"/>
  <c r="R107" i="55"/>
  <c r="R108" i="55" s="1"/>
  <c r="R97" i="55"/>
  <c r="R99" i="55" s="1"/>
  <c r="AJ261" i="55" s="1"/>
  <c r="Q97" i="55"/>
  <c r="Q99" i="55" s="1"/>
  <c r="Q100" i="55" s="1"/>
  <c r="Q7" i="55" s="1"/>
  <c r="Q108" i="55"/>
  <c r="P107" i="55"/>
  <c r="P108" i="55" s="1"/>
  <c r="P97" i="55"/>
  <c r="P99" i="55" s="1"/>
  <c r="O97" i="55"/>
  <c r="O99" i="55" s="1"/>
  <c r="N107" i="55"/>
  <c r="N108" i="55" s="1"/>
  <c r="M5" i="55"/>
  <c r="N97" i="55"/>
  <c r="N99" i="55" s="1"/>
  <c r="M107" i="55"/>
  <c r="M97" i="55"/>
  <c r="M99" i="55" s="1"/>
  <c r="L97" i="55"/>
  <c r="L99" i="55" s="1"/>
  <c r="AD261" i="55" s="1"/>
  <c r="K107" i="55"/>
  <c r="K108" i="55" s="1"/>
  <c r="K97" i="55"/>
  <c r="K99" i="55" s="1"/>
  <c r="AC261" i="55" s="1"/>
  <c r="J107" i="55"/>
  <c r="J97" i="55"/>
  <c r="J99" i="55" s="1"/>
  <c r="AB261" i="55" s="1"/>
  <c r="I107" i="55"/>
  <c r="I108" i="55" s="1"/>
  <c r="I97" i="55"/>
  <c r="I99" i="55" s="1"/>
  <c r="AA261" i="55" s="1"/>
  <c r="G5" i="55"/>
  <c r="H107" i="55"/>
  <c r="H108" i="55" s="1"/>
  <c r="H97" i="55"/>
  <c r="H99" i="55" s="1"/>
  <c r="H100" i="55" s="1"/>
  <c r="H7" i="55" s="1"/>
  <c r="G97" i="55"/>
  <c r="G99" i="55" s="1"/>
  <c r="E5" i="55"/>
  <c r="F97" i="55"/>
  <c r="F99" i="55" s="1"/>
  <c r="AI101" i="55"/>
  <c r="E97" i="55"/>
  <c r="E99" i="55" s="1"/>
  <c r="W261" i="55" s="1"/>
  <c r="D97" i="55"/>
  <c r="D99" i="55" s="1"/>
  <c r="AH104" i="55"/>
  <c r="C107" i="55"/>
  <c r="C108" i="55" s="1"/>
  <c r="C97" i="55"/>
  <c r="C99" i="55" s="1"/>
  <c r="C100" i="55" s="1"/>
  <c r="C7" i="55" s="1"/>
  <c r="AI62" i="55"/>
  <c r="AI76" i="55"/>
  <c r="D107" i="55"/>
  <c r="D108" i="55" s="1"/>
  <c r="B97" i="55"/>
  <c r="B99" i="55" s="1"/>
  <c r="B100" i="55" s="1"/>
  <c r="B108" i="55"/>
  <c r="V261" i="55"/>
  <c r="AV261" i="55"/>
  <c r="AD7" i="55"/>
  <c r="AT261" i="55"/>
  <c r="AB100" i="55"/>
  <c r="AB7" i="55" s="1"/>
  <c r="AE261" i="55"/>
  <c r="M100" i="55"/>
  <c r="M7" i="55" s="1"/>
  <c r="D252" i="55"/>
  <c r="E246" i="55"/>
  <c r="AG99" i="55"/>
  <c r="AW261" i="55"/>
  <c r="AU261" i="55"/>
  <c r="AC7" i="55"/>
  <c r="X261" i="55"/>
  <c r="F100" i="55"/>
  <c r="F7" i="55" s="1"/>
  <c r="AG6" i="55"/>
  <c r="AF7" i="55"/>
  <c r="AX261" i="55"/>
  <c r="I100" i="55"/>
  <c r="I7" i="55" s="1"/>
  <c r="AH62" i="55"/>
  <c r="J108" i="55"/>
  <c r="AI58" i="55"/>
  <c r="AH58" i="55"/>
  <c r="AI80" i="55"/>
  <c r="AB5" i="55"/>
  <c r="G107" i="55"/>
  <c r="G108" i="55" s="1"/>
  <c r="O107" i="55"/>
  <c r="O108" i="55" s="1"/>
  <c r="W107" i="55"/>
  <c r="AE7" i="55"/>
  <c r="C282" i="55"/>
  <c r="E251" i="55"/>
  <c r="Z92" i="55"/>
  <c r="Z97" i="55" s="1"/>
  <c r="Z103" i="55"/>
  <c r="AH103" i="55" s="1"/>
  <c r="L108" i="55"/>
  <c r="AI105" i="55"/>
  <c r="AA108" i="55"/>
  <c r="E108" i="55"/>
  <c r="D5" i="55"/>
  <c r="M108" i="55"/>
  <c r="L5" i="55"/>
  <c r="U108" i="55"/>
  <c r="T5" i="55"/>
  <c r="AH101" i="55"/>
  <c r="AI102" i="55"/>
  <c r="AI104" i="55"/>
  <c r="D258" i="55"/>
  <c r="AH85" i="55"/>
  <c r="AH105" i="55"/>
  <c r="AH76" i="55"/>
  <c r="AH80" i="55"/>
  <c r="AH123" i="55"/>
  <c r="AF97" i="54"/>
  <c r="AF99" i="54" s="1"/>
  <c r="AF100" i="54" s="1"/>
  <c r="AF108" i="54"/>
  <c r="X123" i="54"/>
  <c r="W123" i="54"/>
  <c r="AA100" i="55" l="1"/>
  <c r="AA7" i="55" s="1"/>
  <c r="AS261" i="55"/>
  <c r="AH92" i="55"/>
  <c r="Y100" i="55"/>
  <c r="Y7" i="55" s="1"/>
  <c r="W100" i="55"/>
  <c r="W7" i="55" s="1"/>
  <c r="V100" i="55"/>
  <c r="V7" i="55" s="1"/>
  <c r="U100" i="55"/>
  <c r="U7" i="55" s="1"/>
  <c r="T100" i="55"/>
  <c r="T7" i="55" s="1"/>
  <c r="X100" i="55"/>
  <c r="X7" i="55" s="1"/>
  <c r="S100" i="55"/>
  <c r="S7" i="55" s="1"/>
  <c r="AQ261" i="55"/>
  <c r="AI261" i="55"/>
  <c r="R100" i="55"/>
  <c r="R7" i="55" s="1"/>
  <c r="P100" i="55"/>
  <c r="P7" i="55" s="1"/>
  <c r="O100" i="55"/>
  <c r="O7" i="55" s="1"/>
  <c r="AH261" i="55"/>
  <c r="AG261" i="55"/>
  <c r="N100" i="55"/>
  <c r="N7" i="55" s="1"/>
  <c r="AF261" i="55"/>
  <c r="L100" i="55"/>
  <c r="L7" i="55" s="1"/>
  <c r="K100" i="55"/>
  <c r="K7" i="55" s="1"/>
  <c r="J100" i="55"/>
  <c r="J7" i="55" s="1"/>
  <c r="Z261" i="55"/>
  <c r="B256" i="55"/>
  <c r="G100" i="55"/>
  <c r="G7" i="55" s="1"/>
  <c r="C256" i="55"/>
  <c r="Y261" i="55"/>
  <c r="E100" i="55"/>
  <c r="E7" i="55" s="1"/>
  <c r="U261" i="55"/>
  <c r="D100" i="55"/>
  <c r="D7" i="55" s="1"/>
  <c r="Z99" i="55"/>
  <c r="AH99" i="55" s="1"/>
  <c r="AI97" i="55"/>
  <c r="AH97" i="55"/>
  <c r="AI99" i="55"/>
  <c r="T261" i="55"/>
  <c r="AI103" i="55"/>
  <c r="Z107" i="55"/>
  <c r="AH107" i="55" s="1"/>
  <c r="W108" i="55"/>
  <c r="AI107" i="55"/>
  <c r="Z108" i="55"/>
  <c r="AH108" i="55" s="1"/>
  <c r="AI92" i="55"/>
  <c r="Y5" i="55"/>
  <c r="E118" i="55"/>
  <c r="F246" i="55"/>
  <c r="E252" i="55"/>
  <c r="D282" i="55"/>
  <c r="F251" i="55"/>
  <c r="V123" i="54"/>
  <c r="U123" i="54"/>
  <c r="T123" i="54"/>
  <c r="T57" i="54"/>
  <c r="S123" i="54"/>
  <c r="S57" i="54"/>
  <c r="AI108" i="55" l="1"/>
  <c r="K6" i="55"/>
  <c r="E282" i="55"/>
  <c r="G251" i="55"/>
  <c r="G246" i="55"/>
  <c r="F252" i="55"/>
  <c r="F118" i="55"/>
  <c r="B7" i="55"/>
  <c r="AR261" i="55"/>
  <c r="Z100" i="55"/>
  <c r="Z7" i="55" s="1"/>
  <c r="R123" i="54"/>
  <c r="R57" i="54"/>
  <c r="AH100" i="55" l="1"/>
  <c r="A7" i="55"/>
  <c r="AI100" i="55"/>
  <c r="H246" i="55"/>
  <c r="G252" i="55"/>
  <c r="G118" i="55"/>
  <c r="F282" i="55"/>
  <c r="H251" i="55"/>
  <c r="Q123" i="54"/>
  <c r="Q57" i="54"/>
  <c r="N57" i="54"/>
  <c r="O57" i="54"/>
  <c r="P57" i="54"/>
  <c r="P123" i="54"/>
  <c r="G282" i="55" l="1"/>
  <c r="I251" i="55"/>
  <c r="I246" i="55"/>
  <c r="H252" i="55"/>
  <c r="H118" i="55"/>
  <c r="M123" i="52"/>
  <c r="M123" i="53"/>
  <c r="M123" i="54"/>
  <c r="M57" i="54"/>
  <c r="L123" i="54"/>
  <c r="L57" i="54"/>
  <c r="L58" i="54"/>
  <c r="L62" i="54"/>
  <c r="L76" i="54"/>
  <c r="L80" i="54"/>
  <c r="L92" i="54"/>
  <c r="L101" i="54"/>
  <c r="L102" i="54"/>
  <c r="L103" i="54"/>
  <c r="L104" i="54"/>
  <c r="L105" i="54"/>
  <c r="L118" i="54"/>
  <c r="K57" i="54"/>
  <c r="K58" i="54"/>
  <c r="K62" i="54"/>
  <c r="K76" i="54"/>
  <c r="K80" i="54"/>
  <c r="K92" i="54"/>
  <c r="K101" i="54"/>
  <c r="K102" i="54"/>
  <c r="K103" i="54"/>
  <c r="K104" i="54"/>
  <c r="K105" i="54"/>
  <c r="K118" i="54"/>
  <c r="K123" i="54"/>
  <c r="I252" i="55" l="1"/>
  <c r="I118" i="55"/>
  <c r="J246" i="55"/>
  <c r="H282" i="55"/>
  <c r="J251" i="55"/>
  <c r="L108" i="54"/>
  <c r="K97" i="54"/>
  <c r="K99" i="54" s="1"/>
  <c r="K100" i="54" s="1"/>
  <c r="L97" i="54"/>
  <c r="L99" i="54" s="1"/>
  <c r="L100" i="54" s="1"/>
  <c r="K108" i="54"/>
  <c r="K251" i="55" l="1"/>
  <c r="I282" i="55"/>
  <c r="J252" i="55"/>
  <c r="J118" i="55"/>
  <c r="K246" i="55"/>
  <c r="J123" i="54"/>
  <c r="J57" i="54"/>
  <c r="J58" i="54"/>
  <c r="J62" i="54"/>
  <c r="J76" i="54"/>
  <c r="J80" i="54"/>
  <c r="J92" i="54"/>
  <c r="J108" i="54" s="1"/>
  <c r="J101" i="54"/>
  <c r="J102" i="54"/>
  <c r="J103" i="54"/>
  <c r="J104" i="54"/>
  <c r="J105" i="54"/>
  <c r="J118" i="54"/>
  <c r="I123" i="54"/>
  <c r="I57" i="54"/>
  <c r="I58" i="54"/>
  <c r="I62" i="54"/>
  <c r="I76" i="54"/>
  <c r="I80" i="54"/>
  <c r="I92" i="54"/>
  <c r="I101" i="54"/>
  <c r="I102" i="54"/>
  <c r="I103" i="54"/>
  <c r="I104" i="54"/>
  <c r="I105" i="54"/>
  <c r="I118" i="54"/>
  <c r="H123" i="54"/>
  <c r="H57" i="54"/>
  <c r="H58" i="54"/>
  <c r="H62" i="54"/>
  <c r="H76" i="54"/>
  <c r="H80" i="54"/>
  <c r="H92" i="54"/>
  <c r="H101" i="54"/>
  <c r="H102" i="54"/>
  <c r="H103" i="54"/>
  <c r="H104" i="54"/>
  <c r="H105" i="54"/>
  <c r="H118" i="54"/>
  <c r="G123" i="54"/>
  <c r="G57" i="54"/>
  <c r="G58" i="54"/>
  <c r="G62" i="54"/>
  <c r="G76" i="54"/>
  <c r="G80" i="54"/>
  <c r="G92" i="54"/>
  <c r="G101" i="54"/>
  <c r="G102" i="54"/>
  <c r="G103" i="54"/>
  <c r="G104" i="54"/>
  <c r="G105" i="54"/>
  <c r="G118" i="54"/>
  <c r="F123" i="54"/>
  <c r="F57" i="54"/>
  <c r="F58" i="54"/>
  <c r="F62" i="54"/>
  <c r="F76" i="54"/>
  <c r="F80" i="54"/>
  <c r="F92" i="54"/>
  <c r="F97" i="54" s="1"/>
  <c r="F99" i="54" s="1"/>
  <c r="F101" i="54"/>
  <c r="F102" i="54"/>
  <c r="F103" i="54"/>
  <c r="F104" i="54"/>
  <c r="F105" i="54"/>
  <c r="F118" i="54"/>
  <c r="E123" i="54"/>
  <c r="E57" i="54"/>
  <c r="E58" i="54"/>
  <c r="E62" i="54"/>
  <c r="E76" i="54"/>
  <c r="E80" i="54"/>
  <c r="E92" i="54"/>
  <c r="E101" i="54"/>
  <c r="E102" i="54"/>
  <c r="E103" i="54"/>
  <c r="E104" i="54"/>
  <c r="E105" i="54"/>
  <c r="E118" i="54"/>
  <c r="J282" i="55" l="1"/>
  <c r="L251" i="55"/>
  <c r="K252" i="55"/>
  <c r="K118" i="55"/>
  <c r="L246" i="55"/>
  <c r="J97" i="54"/>
  <c r="J99" i="54" s="1"/>
  <c r="J100" i="54" s="1"/>
  <c r="I97" i="54"/>
  <c r="I99" i="54" s="1"/>
  <c r="I100" i="54" s="1"/>
  <c r="I108" i="54"/>
  <c r="H97" i="54"/>
  <c r="H99" i="54" s="1"/>
  <c r="H100" i="54" s="1"/>
  <c r="H108" i="54"/>
  <c r="G97" i="54"/>
  <c r="G99" i="54" s="1"/>
  <c r="G108" i="54"/>
  <c r="F100" i="54"/>
  <c r="F108" i="54"/>
  <c r="E97" i="54"/>
  <c r="E99" i="54" s="1"/>
  <c r="E108" i="54"/>
  <c r="E100" i="54"/>
  <c r="D123" i="54"/>
  <c r="D121" i="54"/>
  <c r="C123" i="54"/>
  <c r="C57" i="54"/>
  <c r="D57" i="54"/>
  <c r="C58" i="54"/>
  <c r="D58" i="54"/>
  <c r="C62" i="54"/>
  <c r="D62" i="54"/>
  <c r="C76" i="54"/>
  <c r="D76" i="54"/>
  <c r="C80" i="54"/>
  <c r="D80" i="54"/>
  <c r="C92" i="54"/>
  <c r="D92" i="54"/>
  <c r="D97" i="54" s="1"/>
  <c r="D99" i="54" s="1"/>
  <c r="C101" i="54"/>
  <c r="D101" i="54"/>
  <c r="C102" i="54"/>
  <c r="D102" i="54"/>
  <c r="C103" i="54"/>
  <c r="D103" i="54"/>
  <c r="C104" i="54"/>
  <c r="D104" i="54"/>
  <c r="C105" i="54"/>
  <c r="D105" i="54"/>
  <c r="C118" i="54"/>
  <c r="D118" i="54"/>
  <c r="B57" i="54"/>
  <c r="B123" i="54"/>
  <c r="B121" i="54"/>
  <c r="B118" i="54"/>
  <c r="B105" i="54"/>
  <c r="B104" i="54"/>
  <c r="B103" i="54"/>
  <c r="B102" i="54"/>
  <c r="B101" i="54"/>
  <c r="B92" i="54"/>
  <c r="B80" i="54"/>
  <c r="B76" i="54"/>
  <c r="B62" i="54"/>
  <c r="B58" i="54"/>
  <c r="AF286" i="54"/>
  <c r="AE286" i="54"/>
  <c r="AD286" i="54"/>
  <c r="AC286" i="54"/>
  <c r="AB286" i="54"/>
  <c r="AA286" i="54"/>
  <c r="Z286" i="54"/>
  <c r="Y286" i="54"/>
  <c r="X286" i="54"/>
  <c r="W286" i="54"/>
  <c r="V286" i="54"/>
  <c r="U286" i="54"/>
  <c r="T286" i="54"/>
  <c r="S286" i="54"/>
  <c r="R286" i="54"/>
  <c r="Q286" i="54"/>
  <c r="P286" i="54"/>
  <c r="O286" i="54"/>
  <c r="N286" i="54"/>
  <c r="M286" i="54"/>
  <c r="L286" i="54"/>
  <c r="K286" i="54"/>
  <c r="J286" i="54"/>
  <c r="I286" i="54"/>
  <c r="H286" i="54"/>
  <c r="G286" i="54"/>
  <c r="F286" i="54"/>
  <c r="E286" i="54"/>
  <c r="D286" i="54"/>
  <c r="C286" i="54"/>
  <c r="B286" i="54"/>
  <c r="A286" i="54"/>
  <c r="AF285" i="54"/>
  <c r="AE285" i="54"/>
  <c r="AD285" i="54"/>
  <c r="AC285" i="54"/>
  <c r="AB285" i="54"/>
  <c r="AA285" i="54"/>
  <c r="Z285" i="54"/>
  <c r="Y285" i="54"/>
  <c r="X285" i="54"/>
  <c r="W285" i="54"/>
  <c r="V285" i="54"/>
  <c r="U285" i="54"/>
  <c r="T285" i="54"/>
  <c r="S285" i="54"/>
  <c r="R285" i="54"/>
  <c r="Q285" i="54"/>
  <c r="P285" i="54"/>
  <c r="O285" i="54"/>
  <c r="N285" i="54"/>
  <c r="M285" i="54"/>
  <c r="L285" i="54"/>
  <c r="K285" i="54"/>
  <c r="J285" i="54"/>
  <c r="I285" i="54"/>
  <c r="H285" i="54"/>
  <c r="G285" i="54"/>
  <c r="F285" i="54"/>
  <c r="E285" i="54"/>
  <c r="D285" i="54"/>
  <c r="C285" i="54"/>
  <c r="B285" i="54"/>
  <c r="A285" i="54"/>
  <c r="AF284" i="54"/>
  <c r="AE284" i="54"/>
  <c r="AD284" i="54"/>
  <c r="AC284" i="54"/>
  <c r="AB284" i="54"/>
  <c r="AA284" i="54"/>
  <c r="Z284" i="54"/>
  <c r="Y284" i="54"/>
  <c r="X284" i="54"/>
  <c r="W284" i="54"/>
  <c r="V284" i="54"/>
  <c r="U284" i="54"/>
  <c r="T284" i="54"/>
  <c r="S284" i="54"/>
  <c r="R284" i="54"/>
  <c r="Q284" i="54"/>
  <c r="P284" i="54"/>
  <c r="O284" i="54"/>
  <c r="N284" i="54"/>
  <c r="M284" i="54"/>
  <c r="L284" i="54"/>
  <c r="K284" i="54"/>
  <c r="J284" i="54"/>
  <c r="I284" i="54"/>
  <c r="H284" i="54"/>
  <c r="G284" i="54"/>
  <c r="F284" i="54"/>
  <c r="E284" i="54"/>
  <c r="D284" i="54"/>
  <c r="C284" i="54"/>
  <c r="B284" i="54"/>
  <c r="A284" i="54"/>
  <c r="AF283" i="54"/>
  <c r="AE283" i="54"/>
  <c r="AD283" i="54"/>
  <c r="AC283" i="54"/>
  <c r="AB283" i="54"/>
  <c r="AA283" i="54"/>
  <c r="Z283" i="54"/>
  <c r="Y283" i="54"/>
  <c r="X283" i="54"/>
  <c r="W283" i="54"/>
  <c r="V283" i="54"/>
  <c r="U283" i="54"/>
  <c r="T283" i="54"/>
  <c r="S283" i="54"/>
  <c r="R283" i="54"/>
  <c r="Q283" i="54"/>
  <c r="P283" i="54"/>
  <c r="O283" i="54"/>
  <c r="N283" i="54"/>
  <c r="M283" i="54"/>
  <c r="L283" i="54"/>
  <c r="K283" i="54"/>
  <c r="J283" i="54"/>
  <c r="I283" i="54"/>
  <c r="H283" i="54"/>
  <c r="G283" i="54"/>
  <c r="F283" i="54"/>
  <c r="E283" i="54"/>
  <c r="D283" i="54"/>
  <c r="C283" i="54"/>
  <c r="B283" i="54"/>
  <c r="A283" i="54"/>
  <c r="B282" i="54"/>
  <c r="S257" i="54"/>
  <c r="AG252" i="54"/>
  <c r="C252" i="54"/>
  <c r="D251" i="54"/>
  <c r="J250" i="54"/>
  <c r="K250" i="54" s="1"/>
  <c r="L250" i="54" s="1"/>
  <c r="M250" i="54" s="1"/>
  <c r="N250" i="54" s="1"/>
  <c r="O250" i="54" s="1"/>
  <c r="P250" i="54" s="1"/>
  <c r="Q250" i="54" s="1"/>
  <c r="R250" i="54" s="1"/>
  <c r="S250" i="54" s="1"/>
  <c r="T250" i="54" s="1"/>
  <c r="U250" i="54" s="1"/>
  <c r="V250" i="54" s="1"/>
  <c r="W250" i="54" s="1"/>
  <c r="X250" i="54" s="1"/>
  <c r="Y250" i="54" s="1"/>
  <c r="Z250" i="54" s="1"/>
  <c r="AA250" i="54" s="1"/>
  <c r="AB250" i="54" s="1"/>
  <c r="AC250" i="54" s="1"/>
  <c r="AD250" i="54" s="1"/>
  <c r="AE250" i="54" s="1"/>
  <c r="AF250" i="54" s="1"/>
  <c r="B250" i="54" s="1"/>
  <c r="D250" i="54"/>
  <c r="E250" i="54" s="1"/>
  <c r="F250" i="54" s="1"/>
  <c r="G250" i="54" s="1"/>
  <c r="H250" i="54" s="1"/>
  <c r="I250" i="54" s="1"/>
  <c r="H249" i="54"/>
  <c r="I249" i="54" s="1"/>
  <c r="J249" i="54" s="1"/>
  <c r="K249" i="54" s="1"/>
  <c r="L249" i="54" s="1"/>
  <c r="M249" i="54" s="1"/>
  <c r="N249" i="54" s="1"/>
  <c r="O249" i="54" s="1"/>
  <c r="P249" i="54" s="1"/>
  <c r="Q249" i="54" s="1"/>
  <c r="R249" i="54" s="1"/>
  <c r="S249" i="54" s="1"/>
  <c r="T249" i="54" s="1"/>
  <c r="U249" i="54" s="1"/>
  <c r="V249" i="54" s="1"/>
  <c r="W249" i="54" s="1"/>
  <c r="X249" i="54" s="1"/>
  <c r="Y249" i="54" s="1"/>
  <c r="Z249" i="54" s="1"/>
  <c r="AA249" i="54" s="1"/>
  <c r="AB249" i="54" s="1"/>
  <c r="AC249" i="54" s="1"/>
  <c r="AD249" i="54" s="1"/>
  <c r="AE249" i="54" s="1"/>
  <c r="AF249" i="54" s="1"/>
  <c r="B249" i="54" s="1"/>
  <c r="E249" i="54"/>
  <c r="F249" i="54" s="1"/>
  <c r="G249" i="54" s="1"/>
  <c r="D249" i="54"/>
  <c r="F248" i="54"/>
  <c r="G248" i="54" s="1"/>
  <c r="H248" i="54" s="1"/>
  <c r="I248" i="54" s="1"/>
  <c r="J248" i="54" s="1"/>
  <c r="K248" i="54" s="1"/>
  <c r="L248" i="54" s="1"/>
  <c r="M248" i="54" s="1"/>
  <c r="N248" i="54" s="1"/>
  <c r="O248" i="54" s="1"/>
  <c r="P248" i="54" s="1"/>
  <c r="Q248" i="54" s="1"/>
  <c r="R248" i="54" s="1"/>
  <c r="S248" i="54" s="1"/>
  <c r="T248" i="54" s="1"/>
  <c r="U248" i="54" s="1"/>
  <c r="V248" i="54" s="1"/>
  <c r="W248" i="54" s="1"/>
  <c r="X248" i="54" s="1"/>
  <c r="Y248" i="54" s="1"/>
  <c r="Z248" i="54" s="1"/>
  <c r="AA248" i="54" s="1"/>
  <c r="AB248" i="54" s="1"/>
  <c r="AC248" i="54" s="1"/>
  <c r="AD248" i="54" s="1"/>
  <c r="AE248" i="54" s="1"/>
  <c r="AF248" i="54" s="1"/>
  <c r="B248" i="54" s="1"/>
  <c r="E248" i="54"/>
  <c r="D248" i="54"/>
  <c r="L247" i="54"/>
  <c r="M247" i="54" s="1"/>
  <c r="N247" i="54" s="1"/>
  <c r="O247" i="54" s="1"/>
  <c r="P247" i="54" s="1"/>
  <c r="Q247" i="54" s="1"/>
  <c r="R247" i="54" s="1"/>
  <c r="S247" i="54" s="1"/>
  <c r="T247" i="54" s="1"/>
  <c r="U247" i="54" s="1"/>
  <c r="V247" i="54" s="1"/>
  <c r="W247" i="54" s="1"/>
  <c r="X247" i="54" s="1"/>
  <c r="Y247" i="54" s="1"/>
  <c r="Z247" i="54" s="1"/>
  <c r="AA247" i="54" s="1"/>
  <c r="AB247" i="54" s="1"/>
  <c r="AC247" i="54" s="1"/>
  <c r="AD247" i="54" s="1"/>
  <c r="AE247" i="54" s="1"/>
  <c r="AF247" i="54" s="1"/>
  <c r="B247" i="54" s="1"/>
  <c r="D247" i="54"/>
  <c r="E247" i="54" s="1"/>
  <c r="F247" i="54" s="1"/>
  <c r="G247" i="54" s="1"/>
  <c r="H247" i="54" s="1"/>
  <c r="I247" i="54" s="1"/>
  <c r="J247" i="54" s="1"/>
  <c r="K247" i="54" s="1"/>
  <c r="D246" i="54"/>
  <c r="D252" i="54" s="1"/>
  <c r="AG244" i="54"/>
  <c r="AF244" i="54"/>
  <c r="AE244" i="54"/>
  <c r="AD244" i="54"/>
  <c r="AC244" i="54"/>
  <c r="AB244" i="54"/>
  <c r="AA244" i="54"/>
  <c r="Z244" i="54"/>
  <c r="Y244" i="54"/>
  <c r="Y118" i="54" s="1"/>
  <c r="X244" i="54"/>
  <c r="W244" i="54"/>
  <c r="V244" i="54"/>
  <c r="U244" i="54"/>
  <c r="T244" i="54"/>
  <c r="S244" i="54"/>
  <c r="R244" i="54"/>
  <c r="Q244" i="54"/>
  <c r="P244" i="54"/>
  <c r="O244" i="54"/>
  <c r="N244" i="54"/>
  <c r="M244" i="54"/>
  <c r="L244" i="54"/>
  <c r="K244" i="54"/>
  <c r="J244" i="54"/>
  <c r="I244" i="54"/>
  <c r="H244" i="54"/>
  <c r="G244" i="54"/>
  <c r="F244" i="54"/>
  <c r="E244" i="54"/>
  <c r="D244" i="54"/>
  <c r="C244" i="54"/>
  <c r="B244" i="54"/>
  <c r="AI130" i="54"/>
  <c r="AH130" i="54"/>
  <c r="AI129" i="54"/>
  <c r="AH129" i="54"/>
  <c r="AI128" i="54"/>
  <c r="AH128" i="54"/>
  <c r="AI127" i="54"/>
  <c r="AH127" i="54"/>
  <c r="AI126" i="54"/>
  <c r="AH126" i="54"/>
  <c r="AI122" i="54"/>
  <c r="AH122" i="54"/>
  <c r="AI121" i="54"/>
  <c r="AH121" i="54"/>
  <c r="AI120" i="54"/>
  <c r="AH120" i="54"/>
  <c r="AI119" i="54"/>
  <c r="AH119" i="54"/>
  <c r="Z118" i="54"/>
  <c r="AI117" i="54"/>
  <c r="AH117" i="54"/>
  <c r="AI116" i="54"/>
  <c r="AH116" i="54"/>
  <c r="AI115" i="54"/>
  <c r="AH115" i="54"/>
  <c r="AI114" i="54"/>
  <c r="AH114" i="54"/>
  <c r="AI113" i="54"/>
  <c r="AH113" i="54"/>
  <c r="AI112" i="54"/>
  <c r="AH112" i="54"/>
  <c r="AI111" i="54"/>
  <c r="AH111" i="54"/>
  <c r="AI110" i="54"/>
  <c r="AH110" i="54"/>
  <c r="AI109" i="54"/>
  <c r="AH109" i="54"/>
  <c r="AI106" i="54"/>
  <c r="AH106" i="54"/>
  <c r="AE105" i="54"/>
  <c r="AD105" i="54"/>
  <c r="AC105" i="54"/>
  <c r="AB105" i="54"/>
  <c r="AA105" i="54"/>
  <c r="Z105" i="54"/>
  <c r="Y105" i="54"/>
  <c r="X105" i="54"/>
  <c r="W105" i="54"/>
  <c r="V105" i="54"/>
  <c r="U105" i="54"/>
  <c r="T105" i="54"/>
  <c r="S105" i="54"/>
  <c r="R105" i="54"/>
  <c r="Q105" i="54"/>
  <c r="P105" i="54"/>
  <c r="O105" i="54"/>
  <c r="N105" i="54"/>
  <c r="M105" i="54"/>
  <c r="AE104" i="54"/>
  <c r="AD104" i="54"/>
  <c r="AC104" i="54"/>
  <c r="AB104" i="54"/>
  <c r="AA104" i="54"/>
  <c r="Z104" i="54"/>
  <c r="Y104" i="54"/>
  <c r="X104" i="54"/>
  <c r="W104" i="54"/>
  <c r="V104" i="54"/>
  <c r="U104" i="54"/>
  <c r="T104" i="54"/>
  <c r="S104" i="54"/>
  <c r="R104" i="54"/>
  <c r="Q104" i="54"/>
  <c r="P104" i="54"/>
  <c r="O104" i="54"/>
  <c r="N104" i="54"/>
  <c r="M104" i="54"/>
  <c r="AE103" i="54"/>
  <c r="AD103" i="54"/>
  <c r="AC103" i="54"/>
  <c r="AB103" i="54"/>
  <c r="AA103" i="54"/>
  <c r="Y103" i="54"/>
  <c r="X103" i="54"/>
  <c r="W103" i="54"/>
  <c r="V103" i="54"/>
  <c r="U103" i="54"/>
  <c r="T103" i="54"/>
  <c r="S103" i="54"/>
  <c r="R103" i="54"/>
  <c r="Q103" i="54"/>
  <c r="P103" i="54"/>
  <c r="O103" i="54"/>
  <c r="N103" i="54"/>
  <c r="M103" i="54"/>
  <c r="AE102" i="54"/>
  <c r="AD102" i="54"/>
  <c r="AC102" i="54"/>
  <c r="AB102" i="54"/>
  <c r="AA102" i="54"/>
  <c r="Z102" i="54"/>
  <c r="Y102" i="54"/>
  <c r="X102" i="54"/>
  <c r="W102" i="54"/>
  <c r="V102" i="54"/>
  <c r="U102" i="54"/>
  <c r="T102" i="54"/>
  <c r="S102" i="54"/>
  <c r="R102" i="54"/>
  <c r="Q102" i="54"/>
  <c r="P102" i="54"/>
  <c r="O102" i="54"/>
  <c r="N102" i="54"/>
  <c r="M102" i="54"/>
  <c r="AE101" i="54"/>
  <c r="AD101" i="54"/>
  <c r="AC101" i="54"/>
  <c r="AB101" i="54"/>
  <c r="AA101" i="54"/>
  <c r="Z101" i="54"/>
  <c r="Y101" i="54"/>
  <c r="X101" i="54"/>
  <c r="W101" i="54"/>
  <c r="V101" i="54"/>
  <c r="U101" i="54"/>
  <c r="T101" i="54"/>
  <c r="S101" i="54"/>
  <c r="R101" i="54"/>
  <c r="Q101" i="54"/>
  <c r="P101" i="54"/>
  <c r="O101" i="54"/>
  <c r="O107" i="54" s="1"/>
  <c r="N101" i="54"/>
  <c r="M101" i="54"/>
  <c r="AI98" i="54"/>
  <c r="AH98" i="54"/>
  <c r="AI96" i="54"/>
  <c r="AH96" i="54"/>
  <c r="AG96" i="54"/>
  <c r="AG99" i="54" s="1"/>
  <c r="AI95" i="54"/>
  <c r="AH95" i="54"/>
  <c r="AI94" i="54"/>
  <c r="AH94" i="54"/>
  <c r="AI93" i="54"/>
  <c r="AH93" i="54"/>
  <c r="AG92" i="54"/>
  <c r="AE92" i="54"/>
  <c r="AD5" i="54" s="1"/>
  <c r="AD92" i="54"/>
  <c r="AC5" i="54" s="1"/>
  <c r="AC92" i="54"/>
  <c r="AB92" i="54"/>
  <c r="AA92" i="54"/>
  <c r="X92" i="54"/>
  <c r="W5" i="54" s="1"/>
  <c r="W92" i="54"/>
  <c r="V5" i="54" s="1"/>
  <c r="V92" i="54"/>
  <c r="U5" i="54" s="1"/>
  <c r="U92" i="54"/>
  <c r="T92" i="54"/>
  <c r="S5" i="54" s="1"/>
  <c r="S92" i="54"/>
  <c r="R92" i="54"/>
  <c r="Q5" i="54" s="1"/>
  <c r="Q92" i="54"/>
  <c r="P5" i="54" s="1"/>
  <c r="P92" i="54"/>
  <c r="O5" i="54" s="1"/>
  <c r="O92" i="54"/>
  <c r="O108" i="54" s="1"/>
  <c r="N92" i="54"/>
  <c r="M92" i="54"/>
  <c r="AI91" i="54"/>
  <c r="AH91" i="54"/>
  <c r="AI90" i="54"/>
  <c r="AH90" i="54"/>
  <c r="AI89" i="54"/>
  <c r="AH89" i="54"/>
  <c r="AI88" i="54"/>
  <c r="AH88" i="54"/>
  <c r="AI87" i="54"/>
  <c r="AH87" i="54"/>
  <c r="AI86" i="54"/>
  <c r="AH86" i="54"/>
  <c r="AI85" i="54"/>
  <c r="Y92" i="54"/>
  <c r="X5" i="54" s="1"/>
  <c r="AI84" i="54"/>
  <c r="AH84" i="54"/>
  <c r="AI83" i="54"/>
  <c r="AH83" i="54"/>
  <c r="AI82" i="54"/>
  <c r="AH82" i="54"/>
  <c r="AI81" i="54"/>
  <c r="AH81" i="54"/>
  <c r="AG80" i="54"/>
  <c r="AE80" i="54"/>
  <c r="AD80" i="54"/>
  <c r="AC80" i="54"/>
  <c r="AB80" i="54"/>
  <c r="AA80" i="54"/>
  <c r="Z80" i="54"/>
  <c r="Y80" i="54"/>
  <c r="X80" i="54"/>
  <c r="W80" i="54"/>
  <c r="V80" i="54"/>
  <c r="U80" i="54"/>
  <c r="T80" i="54"/>
  <c r="S80" i="54"/>
  <c r="R80" i="54"/>
  <c r="Q80" i="54"/>
  <c r="P80" i="54"/>
  <c r="O80" i="54"/>
  <c r="N80" i="54"/>
  <c r="M80" i="54"/>
  <c r="AI79" i="54"/>
  <c r="AH79" i="54"/>
  <c r="AI78" i="54"/>
  <c r="AH78" i="54"/>
  <c r="AI77" i="54"/>
  <c r="AH77" i="54"/>
  <c r="AE76" i="54"/>
  <c r="AD76" i="54"/>
  <c r="AC76" i="54"/>
  <c r="AB76" i="54"/>
  <c r="AA76" i="54"/>
  <c r="Z76" i="54"/>
  <c r="Y76" i="54"/>
  <c r="X76" i="54"/>
  <c r="W76" i="54"/>
  <c r="V76" i="54"/>
  <c r="U76" i="54"/>
  <c r="T76" i="54"/>
  <c r="S76" i="54"/>
  <c r="R76" i="54"/>
  <c r="Q76" i="54"/>
  <c r="P76" i="54"/>
  <c r="O76" i="54"/>
  <c r="N76" i="54"/>
  <c r="M76" i="54"/>
  <c r="AI75" i="54"/>
  <c r="AH75" i="54"/>
  <c r="AG75" i="54"/>
  <c r="AG76" i="54" s="1"/>
  <c r="AG3" i="54" s="1"/>
  <c r="AI74" i="54"/>
  <c r="AH74" i="54"/>
  <c r="AI73" i="54"/>
  <c r="AH73" i="54"/>
  <c r="AI72" i="54"/>
  <c r="AH72" i="54"/>
  <c r="AI71" i="54"/>
  <c r="AH71" i="54"/>
  <c r="AI70" i="54"/>
  <c r="AH70" i="54"/>
  <c r="AI69" i="54"/>
  <c r="AH69" i="54"/>
  <c r="AI68" i="54"/>
  <c r="AH68" i="54"/>
  <c r="AI67" i="54"/>
  <c r="AH67" i="54"/>
  <c r="AI66" i="54"/>
  <c r="AH66" i="54"/>
  <c r="AI65" i="54"/>
  <c r="AH65" i="54"/>
  <c r="AI64" i="54"/>
  <c r="AH64" i="54"/>
  <c r="AI63" i="54"/>
  <c r="AH63" i="54"/>
  <c r="AG62" i="54"/>
  <c r="AE62" i="54"/>
  <c r="AD62" i="54"/>
  <c r="AC62" i="54"/>
  <c r="AB62" i="54"/>
  <c r="AA62" i="54"/>
  <c r="Z62" i="54"/>
  <c r="Y62" i="54"/>
  <c r="X62" i="54"/>
  <c r="W62" i="54"/>
  <c r="V62" i="54"/>
  <c r="U62" i="54"/>
  <c r="T62" i="54"/>
  <c r="S62" i="54"/>
  <c r="R62" i="54"/>
  <c r="Q62" i="54"/>
  <c r="P62" i="54"/>
  <c r="O62" i="54"/>
  <c r="N62" i="54"/>
  <c r="M62" i="54"/>
  <c r="AI61" i="54"/>
  <c r="AH61" i="54"/>
  <c r="AI60" i="54"/>
  <c r="AH60" i="54"/>
  <c r="AI59" i="54"/>
  <c r="AH59" i="54"/>
  <c r="AG58" i="54"/>
  <c r="AE58" i="54"/>
  <c r="AD58" i="54"/>
  <c r="AC58" i="54"/>
  <c r="AB58" i="54"/>
  <c r="AA58" i="54"/>
  <c r="Z58" i="54"/>
  <c r="Y58" i="54"/>
  <c r="X58" i="54"/>
  <c r="W58" i="54"/>
  <c r="V58" i="54"/>
  <c r="U58" i="54"/>
  <c r="T58" i="54"/>
  <c r="S58" i="54"/>
  <c r="R58" i="54"/>
  <c r="Q58" i="54"/>
  <c r="P58" i="54"/>
  <c r="O58" i="54"/>
  <c r="N58" i="54"/>
  <c r="M58" i="54"/>
  <c r="AI57" i="54"/>
  <c r="AH57" i="54"/>
  <c r="AI56" i="54"/>
  <c r="AH56" i="54"/>
  <c r="AI55" i="54"/>
  <c r="AH55" i="54"/>
  <c r="AI54" i="54"/>
  <c r="AH54" i="54"/>
  <c r="AI53" i="54"/>
  <c r="AH53" i="54"/>
  <c r="AI52" i="54"/>
  <c r="AH52" i="54"/>
  <c r="AI51" i="54"/>
  <c r="AH51" i="54"/>
  <c r="AI50" i="54"/>
  <c r="AH50" i="54"/>
  <c r="AI49" i="54"/>
  <c r="AH49" i="54"/>
  <c r="AI48" i="54"/>
  <c r="AH48" i="54"/>
  <c r="AI47" i="54"/>
  <c r="AH47" i="54"/>
  <c r="AI46" i="54"/>
  <c r="AH46" i="54"/>
  <c r="AI45" i="54"/>
  <c r="AH45" i="54"/>
  <c r="AI44" i="54"/>
  <c r="AH44" i="54"/>
  <c r="AI43" i="54"/>
  <c r="AH43" i="54"/>
  <c r="AI42" i="54"/>
  <c r="AH42" i="54"/>
  <c r="AI41" i="54"/>
  <c r="AH41" i="54"/>
  <c r="AI40" i="54"/>
  <c r="AH40" i="54"/>
  <c r="AI39" i="54"/>
  <c r="AH39" i="54"/>
  <c r="AI38" i="54"/>
  <c r="AH38" i="54"/>
  <c r="AI37" i="54"/>
  <c r="AH37" i="54"/>
  <c r="AI36" i="54"/>
  <c r="AH36" i="54"/>
  <c r="AI35" i="54"/>
  <c r="AH35" i="54"/>
  <c r="AI34" i="54"/>
  <c r="AH34" i="54"/>
  <c r="AI33" i="54"/>
  <c r="AH33" i="54"/>
  <c r="AI32" i="54"/>
  <c r="AH32" i="54"/>
  <c r="AI31" i="54"/>
  <c r="AH31" i="54"/>
  <c r="AI30" i="54"/>
  <c r="AH30" i="54"/>
  <c r="AI29" i="54"/>
  <c r="AH29" i="54"/>
  <c r="AI28" i="54"/>
  <c r="AH28" i="54"/>
  <c r="AI27" i="54"/>
  <c r="AH27" i="54"/>
  <c r="AI26" i="54"/>
  <c r="AH26" i="54"/>
  <c r="AI25" i="54"/>
  <c r="AH25" i="54"/>
  <c r="AI24" i="54"/>
  <c r="AH24" i="54"/>
  <c r="AI23" i="54"/>
  <c r="AH23" i="54"/>
  <c r="AI22" i="54"/>
  <c r="AH22" i="54"/>
  <c r="AI21" i="54"/>
  <c r="AH21" i="54"/>
  <c r="AI20" i="54"/>
  <c r="AH20" i="54"/>
  <c r="AI19" i="54"/>
  <c r="AH19" i="54"/>
  <c r="AI18" i="54"/>
  <c r="AH18" i="54"/>
  <c r="AI17" i="54"/>
  <c r="AH17" i="54"/>
  <c r="AI16" i="54"/>
  <c r="AH16" i="54"/>
  <c r="AI15" i="54"/>
  <c r="AH15" i="54"/>
  <c r="AI14" i="54"/>
  <c r="AH14" i="54"/>
  <c r="AI13" i="54"/>
  <c r="AH13" i="54"/>
  <c r="AI12" i="54"/>
  <c r="AH12" i="54"/>
  <c r="AI11" i="54"/>
  <c r="AH11" i="54"/>
  <c r="AF5" i="54"/>
  <c r="AE5" i="54"/>
  <c r="K5" i="54"/>
  <c r="I5" i="54"/>
  <c r="H5" i="54"/>
  <c r="G5" i="54"/>
  <c r="F5" i="54"/>
  <c r="E5" i="54"/>
  <c r="C5" i="54"/>
  <c r="AG4" i="54"/>
  <c r="K4" i="54"/>
  <c r="E4" i="54"/>
  <c r="H4" i="54" s="1"/>
  <c r="B4" i="54"/>
  <c r="S258" i="54" s="1"/>
  <c r="AG2" i="54"/>
  <c r="AF123" i="53"/>
  <c r="AF121" i="53"/>
  <c r="AF57" i="53"/>
  <c r="AF58" i="53"/>
  <c r="AF62" i="53"/>
  <c r="AF76" i="53"/>
  <c r="AF80" i="53"/>
  <c r="AF92" i="53"/>
  <c r="AF101" i="53"/>
  <c r="AF102" i="53"/>
  <c r="AF103" i="53"/>
  <c r="AF104" i="53"/>
  <c r="AF105" i="53"/>
  <c r="AF107" i="53"/>
  <c r="AF118" i="53"/>
  <c r="AE123" i="53"/>
  <c r="AE121" i="53"/>
  <c r="AE57" i="53"/>
  <c r="AE58" i="53"/>
  <c r="AE62" i="53"/>
  <c r="AE76" i="53"/>
  <c r="AE80" i="53"/>
  <c r="AE92" i="53"/>
  <c r="AE108" i="53" s="1"/>
  <c r="AE101" i="53"/>
  <c r="AE102" i="53"/>
  <c r="AE103" i="53"/>
  <c r="AE104" i="53"/>
  <c r="AE105" i="53"/>
  <c r="AE107" i="53"/>
  <c r="AE118" i="53"/>
  <c r="AD123" i="53"/>
  <c r="AD121" i="53"/>
  <c r="AD57" i="53"/>
  <c r="AD58" i="53"/>
  <c r="AD62" i="53"/>
  <c r="AD76" i="53"/>
  <c r="AD80" i="53"/>
  <c r="AD92" i="53"/>
  <c r="AD101" i="53"/>
  <c r="AD102" i="53"/>
  <c r="AD103" i="53"/>
  <c r="AD104" i="53"/>
  <c r="AD105" i="53"/>
  <c r="AD118" i="53"/>
  <c r="AC123" i="53"/>
  <c r="AC121" i="53"/>
  <c r="AC57" i="53"/>
  <c r="AC58" i="53"/>
  <c r="AC62" i="53"/>
  <c r="AC76" i="53"/>
  <c r="AC80" i="53"/>
  <c r="AC92" i="53"/>
  <c r="AC101" i="53"/>
  <c r="AC102" i="53"/>
  <c r="AC103" i="53"/>
  <c r="AC104" i="53"/>
  <c r="AC105" i="53"/>
  <c r="AC118" i="53"/>
  <c r="AB123" i="53"/>
  <c r="AB58" i="53"/>
  <c r="AB62" i="53"/>
  <c r="AB76" i="53"/>
  <c r="AB80" i="53"/>
  <c r="AB92" i="53"/>
  <c r="AB101" i="53"/>
  <c r="AB102" i="53"/>
  <c r="AB103" i="53"/>
  <c r="AB107" i="53" s="1"/>
  <c r="AB104" i="53"/>
  <c r="AB105" i="53"/>
  <c r="AB118" i="53"/>
  <c r="U123" i="53"/>
  <c r="U57" i="53"/>
  <c r="L252" i="55" l="1"/>
  <c r="L118" i="55"/>
  <c r="M246" i="55"/>
  <c r="K282" i="55"/>
  <c r="M251" i="55"/>
  <c r="AD107" i="54"/>
  <c r="AD108" i="54" s="1"/>
  <c r="AD97" i="54"/>
  <c r="AD99" i="54" s="1"/>
  <c r="AV261" i="54" s="1"/>
  <c r="AC97" i="54"/>
  <c r="AC99" i="54" s="1"/>
  <c r="AU261" i="54" s="1"/>
  <c r="AB107" i="54"/>
  <c r="AB108" i="54"/>
  <c r="AA5" i="54"/>
  <c r="AB97" i="54"/>
  <c r="AB99" i="54" s="1"/>
  <c r="AT261" i="54" s="1"/>
  <c r="AA107" i="54"/>
  <c r="AA97" i="54"/>
  <c r="AA99" i="54" s="1"/>
  <c r="X107" i="54"/>
  <c r="X97" i="54"/>
  <c r="X99" i="54" s="1"/>
  <c r="W107" i="54"/>
  <c r="W108" i="54" s="1"/>
  <c r="V107" i="54"/>
  <c r="V108" i="54" s="1"/>
  <c r="V97" i="54"/>
  <c r="V99" i="54" s="1"/>
  <c r="V100" i="54" s="1"/>
  <c r="V7" i="54" s="1"/>
  <c r="T107" i="54"/>
  <c r="T108" i="54" s="1"/>
  <c r="T97" i="54"/>
  <c r="T99" i="54" s="1"/>
  <c r="S107" i="54"/>
  <c r="Y108" i="54"/>
  <c r="Y97" i="54"/>
  <c r="Y99" i="54" s="1"/>
  <c r="AQ261" i="54" s="1"/>
  <c r="S97" i="54"/>
  <c r="S99" i="54" s="1"/>
  <c r="AK261" i="54" s="1"/>
  <c r="R107" i="54"/>
  <c r="R97" i="54"/>
  <c r="R99" i="54" s="1"/>
  <c r="AJ261" i="54" s="1"/>
  <c r="Q107" i="54"/>
  <c r="Q108" i="54" s="1"/>
  <c r="Q97" i="54"/>
  <c r="Q99" i="54" s="1"/>
  <c r="P97" i="54"/>
  <c r="P99" i="54" s="1"/>
  <c r="P100" i="54" s="1"/>
  <c r="P7" i="54" s="1"/>
  <c r="P107" i="54"/>
  <c r="AI102" i="54"/>
  <c r="N5" i="54"/>
  <c r="AI104" i="54"/>
  <c r="N107" i="54"/>
  <c r="N108" i="54" s="1"/>
  <c r="M5" i="54"/>
  <c r="N97" i="54"/>
  <c r="N99" i="54" s="1"/>
  <c r="N100" i="54" s="1"/>
  <c r="N7" i="54" s="1"/>
  <c r="G100" i="54"/>
  <c r="D108" i="54"/>
  <c r="C97" i="54"/>
  <c r="C99" i="54" s="1"/>
  <c r="C100" i="54" s="1"/>
  <c r="C108" i="54"/>
  <c r="AI123" i="54"/>
  <c r="AH102" i="54"/>
  <c r="B108" i="54"/>
  <c r="B97" i="54"/>
  <c r="B99" i="54" s="1"/>
  <c r="B100" i="54" s="1"/>
  <c r="D258" i="54"/>
  <c r="AB261" i="54"/>
  <c r="J7" i="54"/>
  <c r="AD261" i="54"/>
  <c r="L7" i="54"/>
  <c r="V261" i="54"/>
  <c r="AL261" i="54"/>
  <c r="T100" i="54"/>
  <c r="T7" i="54" s="1"/>
  <c r="X261" i="54"/>
  <c r="F7" i="54"/>
  <c r="L5" i="54"/>
  <c r="AH101" i="54"/>
  <c r="C282" i="54"/>
  <c r="E251" i="54"/>
  <c r="M97" i="54"/>
  <c r="M99" i="54" s="1"/>
  <c r="U97" i="54"/>
  <c r="U99" i="54" s="1"/>
  <c r="AI76" i="54"/>
  <c r="AI101" i="54"/>
  <c r="AH261" i="54"/>
  <c r="O97" i="54"/>
  <c r="O99" i="54" s="1"/>
  <c r="P108" i="54"/>
  <c r="X108" i="54"/>
  <c r="T5" i="54"/>
  <c r="X100" i="54"/>
  <c r="X7" i="54" s="1"/>
  <c r="AP261" i="54"/>
  <c r="W97" i="54"/>
  <c r="W99" i="54" s="1"/>
  <c r="AE97" i="54"/>
  <c r="AE99" i="54" s="1"/>
  <c r="AG6" i="54"/>
  <c r="AA108" i="54"/>
  <c r="Z5" i="54"/>
  <c r="AF7" i="54"/>
  <c r="AX261" i="54"/>
  <c r="M107" i="54"/>
  <c r="M108" i="54" s="1"/>
  <c r="U107" i="54"/>
  <c r="U108" i="54" s="1"/>
  <c r="AC107" i="54"/>
  <c r="AC108" i="54" s="1"/>
  <c r="I7" i="54"/>
  <c r="AA261" i="54"/>
  <c r="Q100" i="54"/>
  <c r="Q7" i="54" s="1"/>
  <c r="AI261" i="54"/>
  <c r="AG97" i="54"/>
  <c r="AI62" i="54"/>
  <c r="AH62" i="54"/>
  <c r="R108" i="54"/>
  <c r="AI58" i="54"/>
  <c r="AH58" i="54"/>
  <c r="AI80" i="54"/>
  <c r="B5" i="54"/>
  <c r="J5" i="54"/>
  <c r="S108" i="54"/>
  <c r="R5" i="54"/>
  <c r="AB5" i="54"/>
  <c r="H7" i="54"/>
  <c r="Z261" i="54"/>
  <c r="AE107" i="54"/>
  <c r="AE108" i="54" s="1"/>
  <c r="AI105" i="54"/>
  <c r="D5" i="54"/>
  <c r="U261" i="54"/>
  <c r="C7" i="54"/>
  <c r="AC261" i="54"/>
  <c r="K7" i="54"/>
  <c r="AS261" i="54"/>
  <c r="AA100" i="54"/>
  <c r="AA7" i="54" s="1"/>
  <c r="Z92" i="54"/>
  <c r="AH92" i="54" s="1"/>
  <c r="Z103" i="54"/>
  <c r="AH103" i="54" s="1"/>
  <c r="AH85" i="54"/>
  <c r="AH104" i="54"/>
  <c r="E246" i="54"/>
  <c r="AH105" i="54"/>
  <c r="AH76" i="54"/>
  <c r="AH80" i="54"/>
  <c r="AH123" i="54"/>
  <c r="AF97" i="53"/>
  <c r="AF99" i="53" s="1"/>
  <c r="AF100" i="53" s="1"/>
  <c r="AF108" i="53"/>
  <c r="AE97" i="53"/>
  <c r="AE99" i="53" s="1"/>
  <c r="AE100" i="53" s="1"/>
  <c r="AD107" i="53"/>
  <c r="AD97" i="53"/>
  <c r="AD99" i="53" s="1"/>
  <c r="AD100" i="53" s="1"/>
  <c r="AD108" i="53"/>
  <c r="AC107" i="53"/>
  <c r="AC97" i="53"/>
  <c r="AC99" i="53" s="1"/>
  <c r="AC100" i="53" s="1"/>
  <c r="AC108" i="53"/>
  <c r="AB97" i="53"/>
  <c r="AB99" i="53" s="1"/>
  <c r="AB100" i="53" s="1"/>
  <c r="AB108" i="53"/>
  <c r="T57" i="53"/>
  <c r="T58" i="53"/>
  <c r="T62" i="53"/>
  <c r="T76" i="53"/>
  <c r="T80" i="53"/>
  <c r="T92" i="53"/>
  <c r="T101" i="53"/>
  <c r="T102" i="53"/>
  <c r="T103" i="53"/>
  <c r="T104" i="53"/>
  <c r="T105" i="53"/>
  <c r="T118" i="53"/>
  <c r="S57" i="53"/>
  <c r="S58" i="53"/>
  <c r="S62" i="53"/>
  <c r="S76" i="53"/>
  <c r="S80" i="53"/>
  <c r="S92" i="53"/>
  <c r="S101" i="53"/>
  <c r="S102" i="53"/>
  <c r="S103" i="53"/>
  <c r="S104" i="53"/>
  <c r="S105" i="53"/>
  <c r="S118" i="53"/>
  <c r="L282" i="55" l="1"/>
  <c r="N251" i="55"/>
  <c r="M118" i="55"/>
  <c r="N246" i="55"/>
  <c r="M252" i="55"/>
  <c r="AD100" i="54"/>
  <c r="AD7" i="54" s="1"/>
  <c r="AB100" i="54"/>
  <c r="AB7" i="54" s="1"/>
  <c r="Z107" i="54"/>
  <c r="Y100" i="54"/>
  <c r="Y7" i="54" s="1"/>
  <c r="AN261" i="54"/>
  <c r="S100" i="54"/>
  <c r="S7" i="54" s="1"/>
  <c r="AI103" i="54"/>
  <c r="R100" i="54"/>
  <c r="R7" i="54" s="1"/>
  <c r="AF261" i="54"/>
  <c r="D100" i="54"/>
  <c r="D7" i="54" s="1"/>
  <c r="AW261" i="54"/>
  <c r="AE100" i="54"/>
  <c r="AE7" i="54" s="1"/>
  <c r="AC100" i="54"/>
  <c r="AC7" i="54" s="1"/>
  <c r="Y5" i="54"/>
  <c r="AO261" i="54"/>
  <c r="W100" i="54"/>
  <c r="W7" i="54" s="1"/>
  <c r="F251" i="54"/>
  <c r="D282" i="54"/>
  <c r="F246" i="54"/>
  <c r="E252" i="54"/>
  <c r="Y261" i="54"/>
  <c r="C256" i="54"/>
  <c r="B256" i="54"/>
  <c r="G7" i="54"/>
  <c r="AG261" i="54"/>
  <c r="O100" i="54"/>
  <c r="O7" i="54" s="1"/>
  <c r="AM261" i="54"/>
  <c r="U100" i="54"/>
  <c r="U7" i="54" s="1"/>
  <c r="AE261" i="54"/>
  <c r="M100" i="54"/>
  <c r="M7" i="54" s="1"/>
  <c r="AI107" i="54"/>
  <c r="T261" i="54"/>
  <c r="W261" i="54"/>
  <c r="E7" i="54"/>
  <c r="Z97" i="54"/>
  <c r="Z99" i="54" s="1"/>
  <c r="AI99" i="54" s="1"/>
  <c r="AI92" i="54"/>
  <c r="S107" i="53"/>
  <c r="T107" i="53"/>
  <c r="T108" i="53" s="1"/>
  <c r="T97" i="53"/>
  <c r="T99" i="53" s="1"/>
  <c r="T100" i="53" s="1"/>
  <c r="S97" i="53"/>
  <c r="S99" i="53" s="1"/>
  <c r="S108" i="53"/>
  <c r="O246" i="55" l="1"/>
  <c r="N252" i="55"/>
  <c r="N118" i="55"/>
  <c r="M282" i="55"/>
  <c r="O251" i="55"/>
  <c r="AH99" i="54"/>
  <c r="AH107" i="54"/>
  <c r="Z108" i="54"/>
  <c r="AH108" i="54" s="1"/>
  <c r="AH97" i="54"/>
  <c r="AI97" i="54"/>
  <c r="G246" i="54"/>
  <c r="F252" i="54"/>
  <c r="AI108" i="54"/>
  <c r="B7" i="54"/>
  <c r="K6" i="54"/>
  <c r="AR261" i="54"/>
  <c r="Z100" i="54"/>
  <c r="Z7" i="54" s="1"/>
  <c r="E282" i="54"/>
  <c r="G251" i="54"/>
  <c r="S100" i="53"/>
  <c r="N282" i="55" l="1"/>
  <c r="P251" i="55"/>
  <c r="P246" i="55"/>
  <c r="O252" i="55"/>
  <c r="O118" i="55"/>
  <c r="A7" i="54"/>
  <c r="AH100" i="54"/>
  <c r="AI100" i="54"/>
  <c r="F282" i="54"/>
  <c r="H251" i="54"/>
  <c r="H246" i="54"/>
  <c r="G252" i="54"/>
  <c r="R123" i="53"/>
  <c r="R121" i="53"/>
  <c r="R57" i="53"/>
  <c r="Q123" i="53"/>
  <c r="Q121" i="53"/>
  <c r="Q57" i="53"/>
  <c r="P123" i="53"/>
  <c r="P121" i="53"/>
  <c r="P57" i="53"/>
  <c r="O123" i="53"/>
  <c r="O121" i="53"/>
  <c r="O57" i="53"/>
  <c r="O282" i="55" l="1"/>
  <c r="Q251" i="55"/>
  <c r="Q246" i="55"/>
  <c r="P252" i="55"/>
  <c r="G282" i="54"/>
  <c r="I251" i="54"/>
  <c r="I246" i="54"/>
  <c r="H252" i="54"/>
  <c r="N123" i="53"/>
  <c r="N121" i="53"/>
  <c r="N57" i="53"/>
  <c r="Q252" i="55" l="1"/>
  <c r="Q118" i="55"/>
  <c r="R246" i="55"/>
  <c r="P282" i="55"/>
  <c r="R251" i="55"/>
  <c r="I252" i="54"/>
  <c r="J246" i="54"/>
  <c r="H282" i="54"/>
  <c r="J251" i="54"/>
  <c r="S251" i="55" l="1"/>
  <c r="Q282" i="55"/>
  <c r="R252" i="55"/>
  <c r="R118" i="55"/>
  <c r="S246" i="55"/>
  <c r="K251" i="54"/>
  <c r="I282" i="54"/>
  <c r="J252" i="54"/>
  <c r="K246" i="54"/>
  <c r="AH125" i="53"/>
  <c r="AI125" i="53"/>
  <c r="AH124" i="53"/>
  <c r="AI124" i="53"/>
  <c r="C58" i="53"/>
  <c r="C62" i="53"/>
  <c r="AF286" i="53"/>
  <c r="AE286" i="53"/>
  <c r="AD286" i="53"/>
  <c r="AC286" i="53"/>
  <c r="AB286" i="53"/>
  <c r="AA286" i="53"/>
  <c r="Z286" i="53"/>
  <c r="Y286" i="53"/>
  <c r="X286" i="53"/>
  <c r="W286" i="53"/>
  <c r="V286" i="53"/>
  <c r="U286" i="53"/>
  <c r="T286" i="53"/>
  <c r="S286" i="53"/>
  <c r="R286" i="53"/>
  <c r="Q286" i="53"/>
  <c r="P286" i="53"/>
  <c r="O286" i="53"/>
  <c r="N286" i="53"/>
  <c r="M286" i="53"/>
  <c r="L286" i="53"/>
  <c r="K286" i="53"/>
  <c r="J286" i="53"/>
  <c r="I286" i="53"/>
  <c r="H286" i="53"/>
  <c r="G286" i="53"/>
  <c r="F286" i="53"/>
  <c r="E286" i="53"/>
  <c r="D286" i="53"/>
  <c r="C286" i="53"/>
  <c r="B286" i="53"/>
  <c r="A286" i="53"/>
  <c r="AF285" i="53"/>
  <c r="AE285" i="53"/>
  <c r="AD285" i="53"/>
  <c r="AC285" i="53"/>
  <c r="AB285" i="53"/>
  <c r="AA285" i="53"/>
  <c r="Z285" i="53"/>
  <c r="Y285" i="53"/>
  <c r="X285" i="53"/>
  <c r="W285" i="53"/>
  <c r="V285" i="53"/>
  <c r="U285" i="53"/>
  <c r="T285" i="53"/>
  <c r="S285" i="53"/>
  <c r="R285" i="53"/>
  <c r="Q285" i="53"/>
  <c r="P285" i="53"/>
  <c r="O285" i="53"/>
  <c r="N285" i="53"/>
  <c r="M285" i="53"/>
  <c r="L285" i="53"/>
  <c r="K285" i="53"/>
  <c r="J285" i="53"/>
  <c r="I285" i="53"/>
  <c r="H285" i="53"/>
  <c r="G285" i="53"/>
  <c r="F285" i="53"/>
  <c r="E285" i="53"/>
  <c r="D285" i="53"/>
  <c r="C285" i="53"/>
  <c r="B285" i="53"/>
  <c r="A285" i="53"/>
  <c r="AF284" i="53"/>
  <c r="AE284" i="53"/>
  <c r="AD284" i="53"/>
  <c r="AC284" i="53"/>
  <c r="AB284" i="53"/>
  <c r="AA284" i="53"/>
  <c r="Z284" i="53"/>
  <c r="Y284" i="53"/>
  <c r="X284" i="53"/>
  <c r="W284" i="53"/>
  <c r="V284" i="53"/>
  <c r="U284" i="53"/>
  <c r="T284" i="53"/>
  <c r="S284" i="53"/>
  <c r="R284" i="53"/>
  <c r="Q284" i="53"/>
  <c r="P284" i="53"/>
  <c r="O284" i="53"/>
  <c r="N284" i="53"/>
  <c r="M284" i="53"/>
  <c r="L284" i="53"/>
  <c r="K284" i="53"/>
  <c r="J284" i="53"/>
  <c r="I284" i="53"/>
  <c r="H284" i="53"/>
  <c r="G284" i="53"/>
  <c r="F284" i="53"/>
  <c r="E284" i="53"/>
  <c r="D284" i="53"/>
  <c r="C284" i="53"/>
  <c r="B284" i="53"/>
  <c r="A284" i="53"/>
  <c r="AF283" i="53"/>
  <c r="AE283" i="53"/>
  <c r="AD283" i="53"/>
  <c r="AC283" i="53"/>
  <c r="AB283" i="53"/>
  <c r="AA283" i="53"/>
  <c r="Z283" i="53"/>
  <c r="Y283" i="53"/>
  <c r="X283" i="53"/>
  <c r="W283" i="53"/>
  <c r="V283" i="53"/>
  <c r="U283" i="53"/>
  <c r="T283" i="53"/>
  <c r="S283" i="53"/>
  <c r="R283" i="53"/>
  <c r="Q283" i="53"/>
  <c r="P283" i="53"/>
  <c r="O283" i="53"/>
  <c r="N283" i="53"/>
  <c r="M283" i="53"/>
  <c r="L283" i="53"/>
  <c r="K283" i="53"/>
  <c r="J283" i="53"/>
  <c r="I283" i="53"/>
  <c r="H283" i="53"/>
  <c r="G283" i="53"/>
  <c r="F283" i="53"/>
  <c r="E283" i="53"/>
  <c r="D283" i="53"/>
  <c r="C283" i="53"/>
  <c r="B283" i="53"/>
  <c r="A283" i="53"/>
  <c r="B282" i="53"/>
  <c r="S257" i="53"/>
  <c r="AG252" i="53"/>
  <c r="C252" i="53"/>
  <c r="D251" i="53"/>
  <c r="D118" i="53" s="1"/>
  <c r="D250" i="53"/>
  <c r="E250" i="53" s="1"/>
  <c r="F250" i="53" s="1"/>
  <c r="G250" i="53" s="1"/>
  <c r="H250" i="53" s="1"/>
  <c r="I250" i="53" s="1"/>
  <c r="J250" i="53" s="1"/>
  <c r="K250" i="53" s="1"/>
  <c r="L250" i="53" s="1"/>
  <c r="M250" i="53" s="1"/>
  <c r="N250" i="53" s="1"/>
  <c r="O250" i="53" s="1"/>
  <c r="P250" i="53" s="1"/>
  <c r="Q250" i="53" s="1"/>
  <c r="R250" i="53" s="1"/>
  <c r="S250" i="53" s="1"/>
  <c r="T250" i="53" s="1"/>
  <c r="U250" i="53" s="1"/>
  <c r="V250" i="53" s="1"/>
  <c r="W250" i="53" s="1"/>
  <c r="X250" i="53" s="1"/>
  <c r="Y250" i="53" s="1"/>
  <c r="Z250" i="53" s="1"/>
  <c r="AA250" i="53" s="1"/>
  <c r="AB250" i="53" s="1"/>
  <c r="AC250" i="53" s="1"/>
  <c r="AD250" i="53" s="1"/>
  <c r="AE250" i="53" s="1"/>
  <c r="AF250" i="53" s="1"/>
  <c r="B250" i="53" s="1"/>
  <c r="D249" i="53"/>
  <c r="E249" i="53" s="1"/>
  <c r="F249" i="53" s="1"/>
  <c r="G249" i="53" s="1"/>
  <c r="H249" i="53" s="1"/>
  <c r="I249" i="53" s="1"/>
  <c r="J249" i="53" s="1"/>
  <c r="K249" i="53" s="1"/>
  <c r="L249" i="53" s="1"/>
  <c r="M249" i="53" s="1"/>
  <c r="N249" i="53" s="1"/>
  <c r="O249" i="53" s="1"/>
  <c r="P249" i="53" s="1"/>
  <c r="Q249" i="53" s="1"/>
  <c r="R249" i="53" s="1"/>
  <c r="S249" i="53" s="1"/>
  <c r="T249" i="53" s="1"/>
  <c r="U249" i="53" s="1"/>
  <c r="V249" i="53" s="1"/>
  <c r="W249" i="53" s="1"/>
  <c r="X249" i="53" s="1"/>
  <c r="Y249" i="53" s="1"/>
  <c r="Z249" i="53" s="1"/>
  <c r="AA249" i="53" s="1"/>
  <c r="AB249" i="53" s="1"/>
  <c r="AC249" i="53" s="1"/>
  <c r="AD249" i="53" s="1"/>
  <c r="AE249" i="53" s="1"/>
  <c r="AF249" i="53" s="1"/>
  <c r="B249" i="53" s="1"/>
  <c r="F248" i="53"/>
  <c r="G248" i="53" s="1"/>
  <c r="H248" i="53" s="1"/>
  <c r="I248" i="53" s="1"/>
  <c r="J248" i="53" s="1"/>
  <c r="K248" i="53" s="1"/>
  <c r="L248" i="53" s="1"/>
  <c r="M248" i="53" s="1"/>
  <c r="N248" i="53" s="1"/>
  <c r="O248" i="53" s="1"/>
  <c r="P248" i="53" s="1"/>
  <c r="Q248" i="53" s="1"/>
  <c r="R248" i="53" s="1"/>
  <c r="S248" i="53" s="1"/>
  <c r="T248" i="53" s="1"/>
  <c r="U248" i="53" s="1"/>
  <c r="V248" i="53" s="1"/>
  <c r="W248" i="53" s="1"/>
  <c r="X248" i="53" s="1"/>
  <c r="Y248" i="53" s="1"/>
  <c r="Z248" i="53" s="1"/>
  <c r="AA248" i="53" s="1"/>
  <c r="AB248" i="53" s="1"/>
  <c r="AC248" i="53" s="1"/>
  <c r="AD248" i="53" s="1"/>
  <c r="AE248" i="53" s="1"/>
  <c r="AF248" i="53" s="1"/>
  <c r="B248" i="53" s="1"/>
  <c r="E248" i="53"/>
  <c r="D248" i="53"/>
  <c r="D247" i="53"/>
  <c r="D252" i="53" s="1"/>
  <c r="D246" i="53"/>
  <c r="E246" i="53" s="1"/>
  <c r="AG244" i="53"/>
  <c r="AF244" i="53"/>
  <c r="AE244" i="53"/>
  <c r="AD244" i="53"/>
  <c r="AC244" i="53"/>
  <c r="AB244" i="53"/>
  <c r="AA244" i="53"/>
  <c r="Z244" i="53"/>
  <c r="Y244" i="53"/>
  <c r="Y118" i="53" s="1"/>
  <c r="X244" i="53"/>
  <c r="W244" i="53"/>
  <c r="V244" i="53"/>
  <c r="U244" i="53"/>
  <c r="T244" i="53"/>
  <c r="S244" i="53"/>
  <c r="R244" i="53"/>
  <c r="Q244" i="53"/>
  <c r="P244" i="53"/>
  <c r="O244" i="53"/>
  <c r="N244" i="53"/>
  <c r="M244" i="53"/>
  <c r="L244" i="53"/>
  <c r="K244" i="53"/>
  <c r="J244" i="53"/>
  <c r="I244" i="53"/>
  <c r="H244" i="53"/>
  <c r="G244" i="53"/>
  <c r="F244" i="53"/>
  <c r="E244" i="53"/>
  <c r="D244" i="53"/>
  <c r="C244" i="53"/>
  <c r="B244" i="53"/>
  <c r="AI130" i="53"/>
  <c r="AH130" i="53"/>
  <c r="AI129" i="53"/>
  <c r="AH129" i="53"/>
  <c r="AI128" i="53"/>
  <c r="AH128" i="53"/>
  <c r="AI127" i="53"/>
  <c r="AH127" i="53"/>
  <c r="AI126" i="53"/>
  <c r="AH126" i="53"/>
  <c r="AI123" i="53"/>
  <c r="AH123" i="53"/>
  <c r="AI122" i="53"/>
  <c r="AH122" i="53"/>
  <c r="AI121" i="53"/>
  <c r="AH121" i="53"/>
  <c r="AI120" i="53"/>
  <c r="AH120" i="53"/>
  <c r="AI119" i="53"/>
  <c r="AH119" i="53"/>
  <c r="C118" i="53"/>
  <c r="AI117" i="53"/>
  <c r="AH117" i="53"/>
  <c r="AI116" i="53"/>
  <c r="AH116" i="53"/>
  <c r="AI115" i="53"/>
  <c r="AH115" i="53"/>
  <c r="AI114" i="53"/>
  <c r="AH114" i="53"/>
  <c r="AI113" i="53"/>
  <c r="AH113" i="53"/>
  <c r="AI112" i="53"/>
  <c r="AH112" i="53"/>
  <c r="AI111" i="53"/>
  <c r="AH111" i="53"/>
  <c r="AI110" i="53"/>
  <c r="AH110" i="53"/>
  <c r="AI109" i="53"/>
  <c r="AH109" i="53"/>
  <c r="AI106" i="53"/>
  <c r="AH106" i="53"/>
  <c r="AA105" i="53"/>
  <c r="Z105" i="53"/>
  <c r="Y105" i="53"/>
  <c r="X105" i="53"/>
  <c r="W105" i="53"/>
  <c r="V105" i="53"/>
  <c r="U105" i="53"/>
  <c r="R105" i="53"/>
  <c r="Q105" i="53"/>
  <c r="P105" i="53"/>
  <c r="O105" i="53"/>
  <c r="N105" i="53"/>
  <c r="M105" i="53"/>
  <c r="L105" i="53"/>
  <c r="K105" i="53"/>
  <c r="J105" i="53"/>
  <c r="I105" i="53"/>
  <c r="H105" i="53"/>
  <c r="G105" i="53"/>
  <c r="F105" i="53"/>
  <c r="E105" i="53"/>
  <c r="D105" i="53"/>
  <c r="C105" i="53"/>
  <c r="B105" i="53"/>
  <c r="AA104" i="53"/>
  <c r="Z104" i="53"/>
  <c r="Y104" i="53"/>
  <c r="X104" i="53"/>
  <c r="W104" i="53"/>
  <c r="V104" i="53"/>
  <c r="U104" i="53"/>
  <c r="R104" i="53"/>
  <c r="Q104" i="53"/>
  <c r="P104" i="53"/>
  <c r="O104" i="53"/>
  <c r="N104" i="53"/>
  <c r="M104" i="53"/>
  <c r="L104" i="53"/>
  <c r="K104" i="53"/>
  <c r="J104" i="53"/>
  <c r="I104" i="53"/>
  <c r="H104" i="53"/>
  <c r="G104" i="53"/>
  <c r="F104" i="53"/>
  <c r="E104" i="53"/>
  <c r="D104" i="53"/>
  <c r="C104" i="53"/>
  <c r="B104" i="53"/>
  <c r="AA103" i="53"/>
  <c r="X103" i="53"/>
  <c r="W103" i="53"/>
  <c r="V103" i="53"/>
  <c r="U103" i="53"/>
  <c r="R103" i="53"/>
  <c r="Q103" i="53"/>
  <c r="P103" i="53"/>
  <c r="O103" i="53"/>
  <c r="N103" i="53"/>
  <c r="M103" i="53"/>
  <c r="L103" i="53"/>
  <c r="K103" i="53"/>
  <c r="J103" i="53"/>
  <c r="I103" i="53"/>
  <c r="H103" i="53"/>
  <c r="G103" i="53"/>
  <c r="F103" i="53"/>
  <c r="E103" i="53"/>
  <c r="D103" i="53"/>
  <c r="C103" i="53"/>
  <c r="B103" i="53"/>
  <c r="AA102" i="53"/>
  <c r="Z102" i="53"/>
  <c r="Y102" i="53"/>
  <c r="X102" i="53"/>
  <c r="W102" i="53"/>
  <c r="V102" i="53"/>
  <c r="U102" i="53"/>
  <c r="R102" i="53"/>
  <c r="Q102" i="53"/>
  <c r="P102" i="53"/>
  <c r="P107" i="53" s="1"/>
  <c r="O102" i="53"/>
  <c r="N102" i="53"/>
  <c r="M102" i="53"/>
  <c r="L102" i="53"/>
  <c r="K102" i="53"/>
  <c r="J102" i="53"/>
  <c r="I102" i="53"/>
  <c r="H102" i="53"/>
  <c r="H107" i="53" s="1"/>
  <c r="G102" i="53"/>
  <c r="F102" i="53"/>
  <c r="E102" i="53"/>
  <c r="D102" i="53"/>
  <c r="C102" i="53"/>
  <c r="B102" i="53"/>
  <c r="AA101" i="53"/>
  <c r="Z101" i="53"/>
  <c r="Y101" i="53"/>
  <c r="X101" i="53"/>
  <c r="W101" i="53"/>
  <c r="W107" i="53" s="1"/>
  <c r="V101" i="53"/>
  <c r="U101" i="53"/>
  <c r="R101" i="53"/>
  <c r="Q101" i="53"/>
  <c r="P101" i="53"/>
  <c r="O101" i="53"/>
  <c r="O107" i="53" s="1"/>
  <c r="N101" i="53"/>
  <c r="M101" i="53"/>
  <c r="L101" i="53"/>
  <c r="K101" i="53"/>
  <c r="J101" i="53"/>
  <c r="I101" i="53"/>
  <c r="H101" i="53"/>
  <c r="G101" i="53"/>
  <c r="F101" i="53"/>
  <c r="E101" i="53"/>
  <c r="D101" i="53"/>
  <c r="C101" i="53"/>
  <c r="B101" i="53"/>
  <c r="AI98" i="53"/>
  <c r="AH98" i="53"/>
  <c r="AI96" i="53"/>
  <c r="AH96" i="53"/>
  <c r="AG96" i="53"/>
  <c r="AI95" i="53"/>
  <c r="AH95" i="53"/>
  <c r="AI94" i="53"/>
  <c r="AH94" i="53"/>
  <c r="AI93" i="53"/>
  <c r="AH93" i="53"/>
  <c r="AG92" i="53"/>
  <c r="AA92" i="53"/>
  <c r="Y92" i="53"/>
  <c r="X5" i="53" s="1"/>
  <c r="X92" i="53"/>
  <c r="W92" i="53"/>
  <c r="W108" i="53" s="1"/>
  <c r="V92" i="53"/>
  <c r="U5" i="53" s="1"/>
  <c r="U92" i="53"/>
  <c r="T5" i="53" s="1"/>
  <c r="R92" i="53"/>
  <c r="Q92" i="53"/>
  <c r="P5" i="53" s="1"/>
  <c r="P92" i="53"/>
  <c r="O5" i="53" s="1"/>
  <c r="O92" i="53"/>
  <c r="N92" i="53"/>
  <c r="M5" i="53" s="1"/>
  <c r="M92" i="53"/>
  <c r="L5" i="53" s="1"/>
  <c r="L92" i="53"/>
  <c r="K92" i="53"/>
  <c r="J92" i="53"/>
  <c r="I5" i="53" s="1"/>
  <c r="I92" i="53"/>
  <c r="H5" i="53" s="1"/>
  <c r="H92" i="53"/>
  <c r="H108" i="53" s="1"/>
  <c r="G92" i="53"/>
  <c r="F92" i="53"/>
  <c r="E5" i="53" s="1"/>
  <c r="E92" i="53"/>
  <c r="D5" i="53" s="1"/>
  <c r="D92" i="53"/>
  <c r="C5" i="53" s="1"/>
  <c r="C92" i="53"/>
  <c r="C97" i="53" s="1"/>
  <c r="C99" i="53" s="1"/>
  <c r="B92" i="53"/>
  <c r="AI91" i="53"/>
  <c r="AH91" i="53"/>
  <c r="AI90" i="53"/>
  <c r="AH90" i="53"/>
  <c r="AI89" i="53"/>
  <c r="AH89" i="53"/>
  <c r="AI88" i="53"/>
  <c r="AH88" i="53"/>
  <c r="AI87" i="53"/>
  <c r="AH87" i="53"/>
  <c r="AI86" i="53"/>
  <c r="AH86" i="53"/>
  <c r="Z92" i="53"/>
  <c r="Y103" i="53"/>
  <c r="AI84" i="53"/>
  <c r="AH84" i="53"/>
  <c r="AI83" i="53"/>
  <c r="AH83" i="53"/>
  <c r="AI82" i="53"/>
  <c r="AH82" i="53"/>
  <c r="AI81" i="53"/>
  <c r="AH81" i="53"/>
  <c r="AG80" i="53"/>
  <c r="AA80" i="53"/>
  <c r="Z80" i="53"/>
  <c r="Y80" i="53"/>
  <c r="X80" i="53"/>
  <c r="W80" i="53"/>
  <c r="V80" i="53"/>
  <c r="U80" i="53"/>
  <c r="R80" i="53"/>
  <c r="Q80" i="53"/>
  <c r="P80" i="53"/>
  <c r="O80" i="53"/>
  <c r="N80" i="53"/>
  <c r="M80" i="53"/>
  <c r="L80" i="53"/>
  <c r="K80" i="53"/>
  <c r="J80" i="53"/>
  <c r="I80" i="53"/>
  <c r="H80" i="53"/>
  <c r="G80" i="53"/>
  <c r="F80" i="53"/>
  <c r="E80" i="53"/>
  <c r="D80" i="53"/>
  <c r="C80" i="53"/>
  <c r="B80" i="53"/>
  <c r="AI79" i="53"/>
  <c r="AH79" i="53"/>
  <c r="AI78" i="53"/>
  <c r="AH78" i="53"/>
  <c r="AI77" i="53"/>
  <c r="AH77" i="53"/>
  <c r="AA76" i="53"/>
  <c r="Z76" i="53"/>
  <c r="Y76" i="53"/>
  <c r="X76" i="53"/>
  <c r="W76" i="53"/>
  <c r="V76" i="53"/>
  <c r="U76" i="53"/>
  <c r="R76" i="53"/>
  <c r="Q76" i="53"/>
  <c r="P76" i="53"/>
  <c r="O76" i="53"/>
  <c r="N76" i="53"/>
  <c r="M76" i="53"/>
  <c r="L76" i="53"/>
  <c r="K76" i="53"/>
  <c r="J76" i="53"/>
  <c r="I76" i="53"/>
  <c r="H76" i="53"/>
  <c r="G76" i="53"/>
  <c r="F76" i="53"/>
  <c r="E76" i="53"/>
  <c r="D76" i="53"/>
  <c r="C76" i="53"/>
  <c r="B76" i="53"/>
  <c r="AI75" i="53"/>
  <c r="AH75" i="53"/>
  <c r="AG75" i="53"/>
  <c r="AG76" i="53" s="1"/>
  <c r="AG3" i="53" s="1"/>
  <c r="AI74" i="53"/>
  <c r="AH74" i="53"/>
  <c r="AI73" i="53"/>
  <c r="AH73" i="53"/>
  <c r="AI72" i="53"/>
  <c r="AH72" i="53"/>
  <c r="AI71" i="53"/>
  <c r="AH71" i="53"/>
  <c r="AI70" i="53"/>
  <c r="AH70" i="53"/>
  <c r="AI69" i="53"/>
  <c r="AH69" i="53"/>
  <c r="AI68" i="53"/>
  <c r="AH68" i="53"/>
  <c r="AI67" i="53"/>
  <c r="AH67" i="53"/>
  <c r="AI66" i="53"/>
  <c r="AH66" i="53"/>
  <c r="AI65" i="53"/>
  <c r="AH65" i="53"/>
  <c r="AI64" i="53"/>
  <c r="AH64" i="53"/>
  <c r="AI63" i="53"/>
  <c r="AH63" i="53"/>
  <c r="AG62" i="53"/>
  <c r="AA62" i="53"/>
  <c r="Z62" i="53"/>
  <c r="Y62" i="53"/>
  <c r="X62" i="53"/>
  <c r="W62" i="53"/>
  <c r="V62" i="53"/>
  <c r="U62" i="53"/>
  <c r="R62" i="53"/>
  <c r="Q62" i="53"/>
  <c r="P62" i="53"/>
  <c r="O62" i="53"/>
  <c r="N62" i="53"/>
  <c r="M62" i="53"/>
  <c r="L62" i="53"/>
  <c r="K62" i="53"/>
  <c r="J62" i="53"/>
  <c r="I62" i="53"/>
  <c r="H62" i="53"/>
  <c r="G62" i="53"/>
  <c r="F62" i="53"/>
  <c r="E62" i="53"/>
  <c r="D62" i="53"/>
  <c r="B62" i="53"/>
  <c r="AI61" i="53"/>
  <c r="AH61" i="53"/>
  <c r="AI60" i="53"/>
  <c r="AH60" i="53"/>
  <c r="AI59" i="53"/>
  <c r="AH59" i="53"/>
  <c r="AG58" i="53"/>
  <c r="AG97" i="53" s="1"/>
  <c r="AA58" i="53"/>
  <c r="Z58" i="53"/>
  <c r="Y58" i="53"/>
  <c r="X58" i="53"/>
  <c r="W58" i="53"/>
  <c r="V58" i="53"/>
  <c r="U58" i="53"/>
  <c r="R58" i="53"/>
  <c r="Q58" i="53"/>
  <c r="P58" i="53"/>
  <c r="O58" i="53"/>
  <c r="N58" i="53"/>
  <c r="M58" i="53"/>
  <c r="L58" i="53"/>
  <c r="K58" i="53"/>
  <c r="J58" i="53"/>
  <c r="I58" i="53"/>
  <c r="H58" i="53"/>
  <c r="G58" i="53"/>
  <c r="F58" i="53"/>
  <c r="E58" i="53"/>
  <c r="D58" i="53"/>
  <c r="B58" i="53"/>
  <c r="AI57" i="53"/>
  <c r="AH57" i="53"/>
  <c r="AI56" i="53"/>
  <c r="AH56" i="53"/>
  <c r="AI55" i="53"/>
  <c r="AH55" i="53"/>
  <c r="AI54" i="53"/>
  <c r="AH54" i="53"/>
  <c r="AI53" i="53"/>
  <c r="AH53" i="53"/>
  <c r="AI52" i="53"/>
  <c r="AH52" i="53"/>
  <c r="AI51" i="53"/>
  <c r="AH51" i="53"/>
  <c r="AI50" i="53"/>
  <c r="AH50" i="53"/>
  <c r="AI49" i="53"/>
  <c r="AH49" i="53"/>
  <c r="AI48" i="53"/>
  <c r="AH48" i="53"/>
  <c r="AI47" i="53"/>
  <c r="AH47" i="53"/>
  <c r="AI46" i="53"/>
  <c r="AH46" i="53"/>
  <c r="AI45" i="53"/>
  <c r="AH45" i="53"/>
  <c r="AI44" i="53"/>
  <c r="AH44" i="53"/>
  <c r="AI43" i="53"/>
  <c r="AH43" i="53"/>
  <c r="AI42" i="53"/>
  <c r="AH42" i="53"/>
  <c r="AI41" i="53"/>
  <c r="AH41" i="53"/>
  <c r="AI40" i="53"/>
  <c r="AH40" i="53"/>
  <c r="AI39" i="53"/>
  <c r="AH39" i="53"/>
  <c r="AI38" i="53"/>
  <c r="AH38" i="53"/>
  <c r="AI37" i="53"/>
  <c r="AH37" i="53"/>
  <c r="AI36" i="53"/>
  <c r="AH36" i="53"/>
  <c r="AI35" i="53"/>
  <c r="AH35" i="53"/>
  <c r="AI34" i="53"/>
  <c r="AH34" i="53"/>
  <c r="AI33" i="53"/>
  <c r="AH33" i="53"/>
  <c r="AI32" i="53"/>
  <c r="AH32" i="53"/>
  <c r="AI31" i="53"/>
  <c r="AH31" i="53"/>
  <c r="AI30" i="53"/>
  <c r="AH30" i="53"/>
  <c r="AI29" i="53"/>
  <c r="AH29" i="53"/>
  <c r="AI28" i="53"/>
  <c r="AH28" i="53"/>
  <c r="AI27" i="53"/>
  <c r="AH27" i="53"/>
  <c r="AI26" i="53"/>
  <c r="AH26" i="53"/>
  <c r="AI25" i="53"/>
  <c r="AH25" i="53"/>
  <c r="AI24" i="53"/>
  <c r="AH24" i="53"/>
  <c r="AI23" i="53"/>
  <c r="AH23" i="53"/>
  <c r="AI22" i="53"/>
  <c r="AH22" i="53"/>
  <c r="AI21" i="53"/>
  <c r="AH21" i="53"/>
  <c r="AI20" i="53"/>
  <c r="AH20" i="53"/>
  <c r="AI19" i="53"/>
  <c r="AH19" i="53"/>
  <c r="AI18" i="53"/>
  <c r="AH18" i="53"/>
  <c r="AI17" i="53"/>
  <c r="AH17" i="53"/>
  <c r="AI16" i="53"/>
  <c r="AH16" i="53"/>
  <c r="AI15" i="53"/>
  <c r="AH15" i="53"/>
  <c r="AI14" i="53"/>
  <c r="AH14" i="53"/>
  <c r="AI13" i="53"/>
  <c r="AH13" i="53"/>
  <c r="AI12" i="53"/>
  <c r="AH12" i="53"/>
  <c r="AI11" i="53"/>
  <c r="AH11" i="53"/>
  <c r="AE5" i="53"/>
  <c r="AD5" i="53"/>
  <c r="AC5" i="53"/>
  <c r="AB5" i="53"/>
  <c r="AA5" i="53"/>
  <c r="S5" i="53"/>
  <c r="AG4" i="53"/>
  <c r="K4" i="53"/>
  <c r="E4" i="53"/>
  <c r="H4" i="53" s="1"/>
  <c r="B4" i="53"/>
  <c r="S258" i="53" s="1"/>
  <c r="AG2" i="53"/>
  <c r="AA123" i="52"/>
  <c r="AA57" i="52"/>
  <c r="AA58" i="52"/>
  <c r="AA62" i="52"/>
  <c r="AA76" i="52"/>
  <c r="AA80" i="52"/>
  <c r="AA92" i="52"/>
  <c r="AA101" i="52"/>
  <c r="AA102" i="52"/>
  <c r="AA103" i="52"/>
  <c r="AA104" i="52"/>
  <c r="AA105" i="52"/>
  <c r="AA118" i="52"/>
  <c r="Z123" i="52"/>
  <c r="Z57" i="52"/>
  <c r="Z58" i="52"/>
  <c r="Z62" i="52"/>
  <c r="Z76" i="52"/>
  <c r="Z80" i="52"/>
  <c r="Z92" i="52"/>
  <c r="Z101" i="52"/>
  <c r="Z102" i="52"/>
  <c r="Z103" i="52"/>
  <c r="Z104" i="52"/>
  <c r="Z105" i="52"/>
  <c r="Z118" i="52"/>
  <c r="Y123" i="52"/>
  <c r="Y118" i="52"/>
  <c r="Y105" i="52"/>
  <c r="Y104" i="52"/>
  <c r="Y103" i="52"/>
  <c r="Y102" i="52"/>
  <c r="Y101" i="52"/>
  <c r="Y107" i="52" s="1"/>
  <c r="Y92" i="52"/>
  <c r="Y108" i="52" s="1"/>
  <c r="Y80" i="52"/>
  <c r="Y76" i="52"/>
  <c r="Y62" i="52"/>
  <c r="Y58" i="52"/>
  <c r="Y97" i="52" s="1"/>
  <c r="Y99" i="52" s="1"/>
  <c r="Y57" i="52"/>
  <c r="X123" i="52"/>
  <c r="X57" i="52"/>
  <c r="X58" i="52"/>
  <c r="X62" i="52"/>
  <c r="X76" i="52"/>
  <c r="X80" i="52"/>
  <c r="X92" i="52"/>
  <c r="X101" i="52"/>
  <c r="X102" i="52"/>
  <c r="X103" i="52"/>
  <c r="X104" i="52"/>
  <c r="X105" i="52"/>
  <c r="X118" i="52"/>
  <c r="W123" i="52"/>
  <c r="W57" i="52"/>
  <c r="W58" i="52"/>
  <c r="W62" i="52"/>
  <c r="W76" i="52"/>
  <c r="W80" i="52"/>
  <c r="W92" i="52"/>
  <c r="W101" i="52"/>
  <c r="W102" i="52"/>
  <c r="W103" i="52"/>
  <c r="W104" i="52"/>
  <c r="W105" i="52"/>
  <c r="W118" i="52"/>
  <c r="V123" i="52"/>
  <c r="V57" i="52"/>
  <c r="U123" i="52"/>
  <c r="U118" i="52" s="1"/>
  <c r="U57" i="52"/>
  <c r="U58" i="52"/>
  <c r="U62" i="52"/>
  <c r="U76" i="52"/>
  <c r="U80" i="52"/>
  <c r="U103" i="52"/>
  <c r="U101" i="52"/>
  <c r="U102" i="52"/>
  <c r="U104" i="52"/>
  <c r="U105" i="52"/>
  <c r="T85" i="52"/>
  <c r="T123" i="52"/>
  <c r="T57" i="52"/>
  <c r="T58" i="52"/>
  <c r="T62" i="52"/>
  <c r="T76" i="52"/>
  <c r="T80" i="52"/>
  <c r="T103" i="52"/>
  <c r="T92" i="52"/>
  <c r="T101" i="52"/>
  <c r="T102" i="52"/>
  <c r="T104" i="52"/>
  <c r="T105" i="52"/>
  <c r="T118" i="52"/>
  <c r="S123" i="52"/>
  <c r="S85" i="52"/>
  <c r="S103" i="52" s="1"/>
  <c r="S57" i="52"/>
  <c r="S58" i="52"/>
  <c r="S62" i="52"/>
  <c r="S76" i="52"/>
  <c r="S80" i="52"/>
  <c r="S92" i="52"/>
  <c r="S101" i="52"/>
  <c r="S102" i="52"/>
  <c r="S104" i="52"/>
  <c r="S105" i="52"/>
  <c r="S118" i="52"/>
  <c r="R123" i="52"/>
  <c r="R121" i="52"/>
  <c r="R57" i="52"/>
  <c r="R58" i="52"/>
  <c r="R62" i="52"/>
  <c r="R76" i="52"/>
  <c r="R80" i="52"/>
  <c r="R92" i="52"/>
  <c r="R101" i="52"/>
  <c r="R102" i="52"/>
  <c r="R103" i="52"/>
  <c r="R104" i="52"/>
  <c r="R105" i="52"/>
  <c r="R118" i="52"/>
  <c r="Q123" i="52"/>
  <c r="Q121" i="52"/>
  <c r="Q57" i="52"/>
  <c r="P123" i="52"/>
  <c r="P121" i="52"/>
  <c r="P57" i="52"/>
  <c r="O123" i="52"/>
  <c r="O121" i="52"/>
  <c r="O57" i="52"/>
  <c r="N123" i="52"/>
  <c r="N121" i="52"/>
  <c r="N57" i="52"/>
  <c r="S252" i="55" l="1"/>
  <c r="S118" i="55"/>
  <c r="T246" i="55"/>
  <c r="R282" i="55"/>
  <c r="T251" i="55"/>
  <c r="K252" i="54"/>
  <c r="L246" i="54"/>
  <c r="J282" i="54"/>
  <c r="L251" i="54"/>
  <c r="Q107" i="53"/>
  <c r="AA107" i="53"/>
  <c r="AA108" i="53" s="1"/>
  <c r="X107" i="53"/>
  <c r="X108" i="53" s="1"/>
  <c r="W5" i="53"/>
  <c r="X97" i="53"/>
  <c r="X99" i="53" s="1"/>
  <c r="AP261" i="53" s="1"/>
  <c r="V5" i="53"/>
  <c r="AA97" i="53"/>
  <c r="AA99" i="53" s="1"/>
  <c r="AA100" i="53" s="1"/>
  <c r="AA7" i="53" s="1"/>
  <c r="W97" i="53"/>
  <c r="W99" i="53" s="1"/>
  <c r="W100" i="53" s="1"/>
  <c r="W7" i="53" s="1"/>
  <c r="V107" i="53"/>
  <c r="V97" i="53"/>
  <c r="V99" i="53" s="1"/>
  <c r="U107" i="53"/>
  <c r="U97" i="53"/>
  <c r="U99" i="53" s="1"/>
  <c r="U100" i="53" s="1"/>
  <c r="U7" i="53" s="1"/>
  <c r="R107" i="53"/>
  <c r="R108" i="53"/>
  <c r="Q5" i="53"/>
  <c r="R97" i="53"/>
  <c r="R99" i="53" s="1"/>
  <c r="AJ261" i="53" s="1"/>
  <c r="Q108" i="53"/>
  <c r="Q97" i="53"/>
  <c r="Q99" i="53" s="1"/>
  <c r="AI261" i="53" s="1"/>
  <c r="P108" i="53"/>
  <c r="P97" i="53"/>
  <c r="P99" i="53" s="1"/>
  <c r="P100" i="53" s="1"/>
  <c r="P7" i="53" s="1"/>
  <c r="O108" i="53"/>
  <c r="N5" i="53"/>
  <c r="O97" i="53"/>
  <c r="O99" i="53" s="1"/>
  <c r="O100" i="53" s="1"/>
  <c r="O7" i="53" s="1"/>
  <c r="N107" i="53"/>
  <c r="N108" i="53" s="1"/>
  <c r="N97" i="53"/>
  <c r="N99" i="53" s="1"/>
  <c r="AF261" i="53" s="1"/>
  <c r="M107" i="53"/>
  <c r="M108" i="53" s="1"/>
  <c r="M97" i="53"/>
  <c r="M99" i="53" s="1"/>
  <c r="AE261" i="53" s="1"/>
  <c r="L107" i="53"/>
  <c r="L108" i="53" s="1"/>
  <c r="K5" i="53"/>
  <c r="AH80" i="53"/>
  <c r="K107" i="53"/>
  <c r="K108" i="53" s="1"/>
  <c r="K97" i="53"/>
  <c r="K99" i="53" s="1"/>
  <c r="AC261" i="53" s="1"/>
  <c r="J107" i="53"/>
  <c r="J108" i="53"/>
  <c r="J97" i="53"/>
  <c r="J99" i="53" s="1"/>
  <c r="J100" i="53" s="1"/>
  <c r="J7" i="53" s="1"/>
  <c r="I107" i="53"/>
  <c r="I97" i="53"/>
  <c r="I99" i="53" s="1"/>
  <c r="AA261" i="53" s="1"/>
  <c r="I108" i="53"/>
  <c r="G5" i="53"/>
  <c r="L97" i="53"/>
  <c r="L99" i="53" s="1"/>
  <c r="AD261" i="53" s="1"/>
  <c r="F5" i="53"/>
  <c r="G107" i="53"/>
  <c r="G108" i="53" s="1"/>
  <c r="F107" i="53"/>
  <c r="AI105" i="53"/>
  <c r="E107" i="53"/>
  <c r="E97" i="53"/>
  <c r="E99" i="53" s="1"/>
  <c r="W261" i="53" s="1"/>
  <c r="H97" i="53"/>
  <c r="H99" i="53" s="1"/>
  <c r="Z261" i="53" s="1"/>
  <c r="Y97" i="53"/>
  <c r="Y99" i="53" s="1"/>
  <c r="AQ261" i="53" s="1"/>
  <c r="AI102" i="53"/>
  <c r="Z97" i="53"/>
  <c r="Z99" i="53" s="1"/>
  <c r="AR261" i="53" s="1"/>
  <c r="D107" i="53"/>
  <c r="AI104" i="53"/>
  <c r="AH105" i="53"/>
  <c r="D108" i="53"/>
  <c r="AH76" i="53"/>
  <c r="F97" i="53"/>
  <c r="F99" i="53" s="1"/>
  <c r="X261" i="53" s="1"/>
  <c r="G97" i="53"/>
  <c r="G99" i="53" s="1"/>
  <c r="AI62" i="53"/>
  <c r="D97" i="53"/>
  <c r="D99" i="53" s="1"/>
  <c r="D100" i="53" s="1"/>
  <c r="D7" i="53" s="1"/>
  <c r="AH58" i="53"/>
  <c r="AI101" i="53"/>
  <c r="AH92" i="53"/>
  <c r="C107" i="53"/>
  <c r="AF5" i="53"/>
  <c r="AI92" i="53"/>
  <c r="B107" i="53"/>
  <c r="AI80" i="53"/>
  <c r="AI76" i="53"/>
  <c r="AH62" i="53"/>
  <c r="D258" i="53"/>
  <c r="AG261" i="53"/>
  <c r="AO261" i="53"/>
  <c r="AW261" i="53"/>
  <c r="AE7" i="53"/>
  <c r="H100" i="53"/>
  <c r="H7" i="53" s="1"/>
  <c r="I100" i="53"/>
  <c r="I7" i="53" s="1"/>
  <c r="Y5" i="53"/>
  <c r="E108" i="53"/>
  <c r="U108" i="53"/>
  <c r="AF7" i="53"/>
  <c r="AX261" i="53"/>
  <c r="E118" i="53"/>
  <c r="F246" i="53"/>
  <c r="U261" i="53"/>
  <c r="C100" i="53"/>
  <c r="C7" i="53" s="1"/>
  <c r="AK261" i="53"/>
  <c r="S7" i="53"/>
  <c r="F108" i="53"/>
  <c r="V108" i="53"/>
  <c r="AL261" i="53"/>
  <c r="T7" i="53"/>
  <c r="Y107" i="53"/>
  <c r="Y108" i="53" s="1"/>
  <c r="AG6" i="53"/>
  <c r="AM261" i="53"/>
  <c r="AU261" i="53"/>
  <c r="AC7" i="53"/>
  <c r="Q100" i="53"/>
  <c r="Q7" i="53" s="1"/>
  <c r="AT261" i="53"/>
  <c r="AB7" i="53"/>
  <c r="AG99" i="53"/>
  <c r="AV261" i="53"/>
  <c r="AD7" i="53"/>
  <c r="B5" i="53"/>
  <c r="J5" i="53"/>
  <c r="R5" i="53"/>
  <c r="Z5" i="53"/>
  <c r="AI58" i="53"/>
  <c r="AH85" i="53"/>
  <c r="AH102" i="53"/>
  <c r="B108" i="53"/>
  <c r="E247" i="53"/>
  <c r="F247" i="53" s="1"/>
  <c r="G247" i="53" s="1"/>
  <c r="H247" i="53" s="1"/>
  <c r="I247" i="53" s="1"/>
  <c r="J247" i="53" s="1"/>
  <c r="K247" i="53" s="1"/>
  <c r="L247" i="53" s="1"/>
  <c r="M247" i="53" s="1"/>
  <c r="N247" i="53" s="1"/>
  <c r="O247" i="53" s="1"/>
  <c r="P247" i="53" s="1"/>
  <c r="Q247" i="53" s="1"/>
  <c r="R247" i="53" s="1"/>
  <c r="S247" i="53" s="1"/>
  <c r="T247" i="53" s="1"/>
  <c r="U247" i="53" s="1"/>
  <c r="V247" i="53" s="1"/>
  <c r="W247" i="53" s="1"/>
  <c r="X247" i="53" s="1"/>
  <c r="Y247" i="53" s="1"/>
  <c r="Z247" i="53" s="1"/>
  <c r="AA247" i="53" s="1"/>
  <c r="AB247" i="53" s="1"/>
  <c r="AC247" i="53" s="1"/>
  <c r="AD247" i="53" s="1"/>
  <c r="AE247" i="53" s="1"/>
  <c r="AF247" i="53" s="1"/>
  <c r="B247" i="53" s="1"/>
  <c r="E251" i="53"/>
  <c r="AI85" i="53"/>
  <c r="B97" i="53"/>
  <c r="C108" i="53"/>
  <c r="C282" i="53"/>
  <c r="Z103" i="53"/>
  <c r="Z107" i="53" s="1"/>
  <c r="Z108" i="53" s="1"/>
  <c r="AH104" i="53"/>
  <c r="Z118" i="53"/>
  <c r="AH101" i="53"/>
  <c r="AA97" i="52"/>
  <c r="AA99" i="52" s="1"/>
  <c r="AA107" i="52"/>
  <c r="Z107" i="52"/>
  <c r="Z108" i="52" s="1"/>
  <c r="Z97" i="52"/>
  <c r="Z99" i="52" s="1"/>
  <c r="Y100" i="52"/>
  <c r="X97" i="52"/>
  <c r="X99" i="52" s="1"/>
  <c r="X107" i="52"/>
  <c r="X108" i="52" s="1"/>
  <c r="W107" i="52"/>
  <c r="W108" i="52" s="1"/>
  <c r="W97" i="52"/>
  <c r="W99" i="52" s="1"/>
  <c r="U107" i="52"/>
  <c r="U92" i="52"/>
  <c r="T107" i="52"/>
  <c r="T108" i="52" s="1"/>
  <c r="T97" i="52"/>
  <c r="T99" i="52" s="1"/>
  <c r="T100" i="52" s="1"/>
  <c r="S97" i="52"/>
  <c r="S99" i="52" s="1"/>
  <c r="S107" i="52"/>
  <c r="S108" i="52" s="1"/>
  <c r="R107" i="52"/>
  <c r="R108" i="52" s="1"/>
  <c r="R97" i="52"/>
  <c r="R99" i="52" s="1"/>
  <c r="D123" i="52"/>
  <c r="C123" i="52"/>
  <c r="B123" i="52"/>
  <c r="AF286" i="52"/>
  <c r="AE286" i="52"/>
  <c r="AD286" i="52"/>
  <c r="AC286" i="52"/>
  <c r="AB286" i="52"/>
  <c r="AA286" i="52"/>
  <c r="Z286" i="52"/>
  <c r="Y286" i="52"/>
  <c r="X286" i="52"/>
  <c r="W286" i="52"/>
  <c r="V286" i="52"/>
  <c r="U286" i="52"/>
  <c r="T286" i="52"/>
  <c r="S286" i="52"/>
  <c r="R286" i="52"/>
  <c r="Q286" i="52"/>
  <c r="P286" i="52"/>
  <c r="O286" i="52"/>
  <c r="N286" i="52"/>
  <c r="M286" i="52"/>
  <c r="L286" i="52"/>
  <c r="K286" i="52"/>
  <c r="J286" i="52"/>
  <c r="I286" i="52"/>
  <c r="H286" i="52"/>
  <c r="G286" i="52"/>
  <c r="F286" i="52"/>
  <c r="E286" i="52"/>
  <c r="D286" i="52"/>
  <c r="C286" i="52"/>
  <c r="B286" i="52"/>
  <c r="A286" i="52"/>
  <c r="AF285" i="52"/>
  <c r="AE285" i="52"/>
  <c r="AD285" i="52"/>
  <c r="AC285" i="52"/>
  <c r="AB285" i="52"/>
  <c r="AA285" i="52"/>
  <c r="Z285" i="52"/>
  <c r="Y285" i="52"/>
  <c r="X285" i="52"/>
  <c r="W285" i="52"/>
  <c r="V285" i="52"/>
  <c r="U285" i="52"/>
  <c r="T285" i="52"/>
  <c r="S285" i="52"/>
  <c r="R285" i="52"/>
  <c r="Q285" i="52"/>
  <c r="P285" i="52"/>
  <c r="O285" i="52"/>
  <c r="N285" i="52"/>
  <c r="M285" i="52"/>
  <c r="L285" i="52"/>
  <c r="K285" i="52"/>
  <c r="J285" i="52"/>
  <c r="I285" i="52"/>
  <c r="H285" i="52"/>
  <c r="G285" i="52"/>
  <c r="F285" i="52"/>
  <c r="E285" i="52"/>
  <c r="D285" i="52"/>
  <c r="C285" i="52"/>
  <c r="B285" i="52"/>
  <c r="A285" i="52"/>
  <c r="AF284" i="52"/>
  <c r="AE284" i="52"/>
  <c r="AD284" i="52"/>
  <c r="AC284" i="52"/>
  <c r="AB284" i="52"/>
  <c r="AA284" i="52"/>
  <c r="Z284" i="52"/>
  <c r="Y284" i="52"/>
  <c r="X284" i="52"/>
  <c r="W284" i="52"/>
  <c r="V284" i="52"/>
  <c r="U284" i="52"/>
  <c r="T284" i="52"/>
  <c r="S284" i="52"/>
  <c r="R284" i="52"/>
  <c r="Q284" i="52"/>
  <c r="P284" i="52"/>
  <c r="O284" i="52"/>
  <c r="N284" i="52"/>
  <c r="M284" i="52"/>
  <c r="L284" i="52"/>
  <c r="K284" i="52"/>
  <c r="J284" i="52"/>
  <c r="I284" i="52"/>
  <c r="H284" i="52"/>
  <c r="G284" i="52"/>
  <c r="F284" i="52"/>
  <c r="E284" i="52"/>
  <c r="D284" i="52"/>
  <c r="C284" i="52"/>
  <c r="B284" i="52"/>
  <c r="A284" i="52"/>
  <c r="AF283" i="52"/>
  <c r="AE283" i="52"/>
  <c r="AD283" i="52"/>
  <c r="AC283" i="52"/>
  <c r="AB283" i="52"/>
  <c r="AA283" i="52"/>
  <c r="Z283" i="52"/>
  <c r="Y283" i="52"/>
  <c r="X283" i="52"/>
  <c r="W283" i="52"/>
  <c r="V283" i="52"/>
  <c r="U283" i="52"/>
  <c r="T283" i="52"/>
  <c r="S283" i="52"/>
  <c r="R283" i="52"/>
  <c r="Q283" i="52"/>
  <c r="P283" i="52"/>
  <c r="O283" i="52"/>
  <c r="N283" i="52"/>
  <c r="M283" i="52"/>
  <c r="L283" i="52"/>
  <c r="K283" i="52"/>
  <c r="J283" i="52"/>
  <c r="I283" i="52"/>
  <c r="H283" i="52"/>
  <c r="G283" i="52"/>
  <c r="F283" i="52"/>
  <c r="E283" i="52"/>
  <c r="D283" i="52"/>
  <c r="C283" i="52"/>
  <c r="B283" i="52"/>
  <c r="A283" i="52"/>
  <c r="B282" i="52"/>
  <c r="S257" i="52"/>
  <c r="AG252" i="52"/>
  <c r="C252" i="52"/>
  <c r="D251" i="52"/>
  <c r="J250" i="52"/>
  <c r="K250" i="52" s="1"/>
  <c r="L250" i="52" s="1"/>
  <c r="M250" i="52" s="1"/>
  <c r="N250" i="52" s="1"/>
  <c r="O250" i="52" s="1"/>
  <c r="P250" i="52" s="1"/>
  <c r="Q250" i="52" s="1"/>
  <c r="R250" i="52" s="1"/>
  <c r="S250" i="52" s="1"/>
  <c r="T250" i="52" s="1"/>
  <c r="U250" i="52" s="1"/>
  <c r="V250" i="52" s="1"/>
  <c r="W250" i="52" s="1"/>
  <c r="X250" i="52" s="1"/>
  <c r="Y250" i="52" s="1"/>
  <c r="Z250" i="52" s="1"/>
  <c r="AA250" i="52" s="1"/>
  <c r="AB250" i="52" s="1"/>
  <c r="AC250" i="52" s="1"/>
  <c r="AD250" i="52" s="1"/>
  <c r="AE250" i="52" s="1"/>
  <c r="AF250" i="52" s="1"/>
  <c r="B250" i="52" s="1"/>
  <c r="E250" i="52"/>
  <c r="F250" i="52" s="1"/>
  <c r="G250" i="52" s="1"/>
  <c r="H250" i="52" s="1"/>
  <c r="I250" i="52" s="1"/>
  <c r="D250" i="52"/>
  <c r="H249" i="52"/>
  <c r="I249" i="52" s="1"/>
  <c r="J249" i="52" s="1"/>
  <c r="K249" i="52" s="1"/>
  <c r="L249" i="52" s="1"/>
  <c r="M249" i="52" s="1"/>
  <c r="N249" i="52" s="1"/>
  <c r="O249" i="52" s="1"/>
  <c r="P249" i="52" s="1"/>
  <c r="Q249" i="52" s="1"/>
  <c r="R249" i="52" s="1"/>
  <c r="S249" i="52" s="1"/>
  <c r="T249" i="52" s="1"/>
  <c r="U249" i="52" s="1"/>
  <c r="V249" i="52" s="1"/>
  <c r="W249" i="52" s="1"/>
  <c r="X249" i="52" s="1"/>
  <c r="Y249" i="52" s="1"/>
  <c r="Z249" i="52" s="1"/>
  <c r="AA249" i="52" s="1"/>
  <c r="AB249" i="52" s="1"/>
  <c r="AC249" i="52" s="1"/>
  <c r="AD249" i="52" s="1"/>
  <c r="AE249" i="52" s="1"/>
  <c r="AF249" i="52" s="1"/>
  <c r="B249" i="52" s="1"/>
  <c r="D249" i="52"/>
  <c r="E249" i="52" s="1"/>
  <c r="F249" i="52" s="1"/>
  <c r="G249" i="52" s="1"/>
  <c r="N248" i="52"/>
  <c r="O248" i="52" s="1"/>
  <c r="P248" i="52" s="1"/>
  <c r="Q248" i="52" s="1"/>
  <c r="R248" i="52" s="1"/>
  <c r="S248" i="52" s="1"/>
  <c r="T248" i="52" s="1"/>
  <c r="U248" i="52" s="1"/>
  <c r="V248" i="52" s="1"/>
  <c r="W248" i="52" s="1"/>
  <c r="X248" i="52" s="1"/>
  <c r="Y248" i="52" s="1"/>
  <c r="Z248" i="52" s="1"/>
  <c r="AA248" i="52" s="1"/>
  <c r="AB248" i="52" s="1"/>
  <c r="AC248" i="52" s="1"/>
  <c r="AD248" i="52" s="1"/>
  <c r="AE248" i="52" s="1"/>
  <c r="AF248" i="52" s="1"/>
  <c r="B248" i="52" s="1"/>
  <c r="F248" i="52"/>
  <c r="G248" i="52" s="1"/>
  <c r="H248" i="52" s="1"/>
  <c r="I248" i="52" s="1"/>
  <c r="J248" i="52" s="1"/>
  <c r="K248" i="52" s="1"/>
  <c r="L248" i="52" s="1"/>
  <c r="M248" i="52" s="1"/>
  <c r="E248" i="52"/>
  <c r="D248" i="52"/>
  <c r="D247" i="52"/>
  <c r="D252" i="52" s="1"/>
  <c r="E246" i="52"/>
  <c r="F246" i="52" s="1"/>
  <c r="D246" i="52"/>
  <c r="AG244" i="52"/>
  <c r="AF244" i="52"/>
  <c r="AE244" i="52"/>
  <c r="AD244" i="52"/>
  <c r="AC244" i="52"/>
  <c r="AB244" i="52"/>
  <c r="AA244" i="52"/>
  <c r="Z244" i="52"/>
  <c r="Y244" i="52"/>
  <c r="X244" i="52"/>
  <c r="W244" i="52"/>
  <c r="V244" i="52"/>
  <c r="U244" i="52"/>
  <c r="T244" i="52"/>
  <c r="S244" i="52"/>
  <c r="R244" i="52"/>
  <c r="Q244" i="52"/>
  <c r="P244" i="52"/>
  <c r="O244" i="52"/>
  <c r="N244" i="52"/>
  <c r="M244" i="52"/>
  <c r="L244" i="52"/>
  <c r="K244" i="52"/>
  <c r="J244" i="52"/>
  <c r="I244" i="52"/>
  <c r="H244" i="52"/>
  <c r="G244" i="52"/>
  <c r="F244" i="52"/>
  <c r="E244" i="52"/>
  <c r="D244" i="52"/>
  <c r="C244" i="52"/>
  <c r="B244" i="52"/>
  <c r="AI130" i="52"/>
  <c r="AH130" i="52"/>
  <c r="AI129" i="52"/>
  <c r="AH129" i="52"/>
  <c r="AI128" i="52"/>
  <c r="AH128" i="52"/>
  <c r="AI127" i="52"/>
  <c r="AH127" i="52"/>
  <c r="AI126" i="52"/>
  <c r="AH126" i="52"/>
  <c r="AI122" i="52"/>
  <c r="AH122" i="52"/>
  <c r="AI121" i="52"/>
  <c r="AH121" i="52"/>
  <c r="AI120" i="52"/>
  <c r="AH120" i="52"/>
  <c r="AI119" i="52"/>
  <c r="AH119" i="52"/>
  <c r="C118" i="52"/>
  <c r="AI117" i="52"/>
  <c r="AH117" i="52"/>
  <c r="AI116" i="52"/>
  <c r="AH116" i="52"/>
  <c r="AI115" i="52"/>
  <c r="AH115" i="52"/>
  <c r="AI114" i="52"/>
  <c r="AH114" i="52"/>
  <c r="AI113" i="52"/>
  <c r="AH113" i="52"/>
  <c r="AI112" i="52"/>
  <c r="AH112" i="52"/>
  <c r="AI111" i="52"/>
  <c r="AH111" i="52"/>
  <c r="AI110" i="52"/>
  <c r="AH110" i="52"/>
  <c r="AI109" i="52"/>
  <c r="AH109" i="52"/>
  <c r="AI106" i="52"/>
  <c r="AH106" i="52"/>
  <c r="AF105" i="52"/>
  <c r="AE105" i="52"/>
  <c r="AD105" i="52"/>
  <c r="AC105" i="52"/>
  <c r="AB105" i="52"/>
  <c r="V105" i="52"/>
  <c r="Q105" i="52"/>
  <c r="P105" i="52"/>
  <c r="O105" i="52"/>
  <c r="N105" i="52"/>
  <c r="M105" i="52"/>
  <c r="L105" i="52"/>
  <c r="K105" i="52"/>
  <c r="J105" i="52"/>
  <c r="I105" i="52"/>
  <c r="H105" i="52"/>
  <c r="G105" i="52"/>
  <c r="F105" i="52"/>
  <c r="E105" i="52"/>
  <c r="D105" i="52"/>
  <c r="C105" i="52"/>
  <c r="B105" i="52"/>
  <c r="AF104" i="52"/>
  <c r="AE104" i="52"/>
  <c r="AD104" i="52"/>
  <c r="AC104" i="52"/>
  <c r="AB104" i="52"/>
  <c r="V104" i="52"/>
  <c r="Q104" i="52"/>
  <c r="P104" i="52"/>
  <c r="O104" i="52"/>
  <c r="N104" i="52"/>
  <c r="M104" i="52"/>
  <c r="L104" i="52"/>
  <c r="K104" i="52"/>
  <c r="J104" i="52"/>
  <c r="I104" i="52"/>
  <c r="H104" i="52"/>
  <c r="G104" i="52"/>
  <c r="F104" i="52"/>
  <c r="E104" i="52"/>
  <c r="D104" i="52"/>
  <c r="C104" i="52"/>
  <c r="B104" i="52"/>
  <c r="AF103" i="52"/>
  <c r="AE103" i="52"/>
  <c r="AD103" i="52"/>
  <c r="AC103" i="52"/>
  <c r="AB103" i="52"/>
  <c r="V103" i="52"/>
  <c r="Q103" i="52"/>
  <c r="P103" i="52"/>
  <c r="O103" i="52"/>
  <c r="N103" i="52"/>
  <c r="M103" i="52"/>
  <c r="L103" i="52"/>
  <c r="K103" i="52"/>
  <c r="J103" i="52"/>
  <c r="I103" i="52"/>
  <c r="H103" i="52"/>
  <c r="G103" i="52"/>
  <c r="F103" i="52"/>
  <c r="E103" i="52"/>
  <c r="D103" i="52"/>
  <c r="C103" i="52"/>
  <c r="B103" i="52"/>
  <c r="AF102" i="52"/>
  <c r="AE102" i="52"/>
  <c r="AD102" i="52"/>
  <c r="AC102" i="52"/>
  <c r="AB102" i="52"/>
  <c r="V102" i="52"/>
  <c r="Q102" i="52"/>
  <c r="P102" i="52"/>
  <c r="O102" i="52"/>
  <c r="N102" i="52"/>
  <c r="M102" i="52"/>
  <c r="L102" i="52"/>
  <c r="K102" i="52"/>
  <c r="J102" i="52"/>
  <c r="I102" i="52"/>
  <c r="H102" i="52"/>
  <c r="G102" i="52"/>
  <c r="F102" i="52"/>
  <c r="E102" i="52"/>
  <c r="D102" i="52"/>
  <c r="C102" i="52"/>
  <c r="B102" i="52"/>
  <c r="AF101" i="52"/>
  <c r="AF107" i="52" s="1"/>
  <c r="AE101" i="52"/>
  <c r="AD101" i="52"/>
  <c r="AC101" i="52"/>
  <c r="AB101" i="52"/>
  <c r="V101" i="52"/>
  <c r="Q101" i="52"/>
  <c r="P101" i="52"/>
  <c r="O101" i="52"/>
  <c r="N101" i="52"/>
  <c r="M101" i="52"/>
  <c r="L101" i="52"/>
  <c r="K101" i="52"/>
  <c r="J101" i="52"/>
  <c r="I101" i="52"/>
  <c r="H101" i="52"/>
  <c r="G101" i="52"/>
  <c r="F101" i="52"/>
  <c r="E101" i="52"/>
  <c r="D101" i="52"/>
  <c r="C101" i="52"/>
  <c r="B101" i="52"/>
  <c r="AI98" i="52"/>
  <c r="AH98" i="52"/>
  <c r="AI96" i="52"/>
  <c r="AH96" i="52"/>
  <c r="AG96" i="52"/>
  <c r="AI95" i="52"/>
  <c r="AH95" i="52"/>
  <c r="AI94" i="52"/>
  <c r="AH94" i="52"/>
  <c r="AI93" i="52"/>
  <c r="AH93" i="52"/>
  <c r="AG92" i="52"/>
  <c r="AF92" i="52"/>
  <c r="AE5" i="52" s="1"/>
  <c r="AE92" i="52"/>
  <c r="AD92" i="52"/>
  <c r="AC5" i="52" s="1"/>
  <c r="AC92" i="52"/>
  <c r="AB5" i="52" s="1"/>
  <c r="AB92" i="52"/>
  <c r="V92" i="52"/>
  <c r="U5" i="52" s="1"/>
  <c r="Q5" i="52"/>
  <c r="Q92" i="52"/>
  <c r="P92" i="52"/>
  <c r="O5" i="52" s="1"/>
  <c r="O92" i="52"/>
  <c r="N92" i="52"/>
  <c r="M92" i="52"/>
  <c r="L5" i="52" s="1"/>
  <c r="L92" i="52"/>
  <c r="K92" i="52"/>
  <c r="J5" i="52" s="1"/>
  <c r="J92" i="52"/>
  <c r="I5" i="52" s="1"/>
  <c r="I92" i="52"/>
  <c r="H5" i="52" s="1"/>
  <c r="H92" i="52"/>
  <c r="G5" i="52" s="1"/>
  <c r="G92" i="52"/>
  <c r="F92" i="52"/>
  <c r="E5" i="52" s="1"/>
  <c r="E92" i="52"/>
  <c r="D5" i="52" s="1"/>
  <c r="D92" i="52"/>
  <c r="C92" i="52"/>
  <c r="B92" i="52"/>
  <c r="AI91" i="52"/>
  <c r="AH91" i="52"/>
  <c r="AI90" i="52"/>
  <c r="AH90" i="52"/>
  <c r="AI89" i="52"/>
  <c r="AH89" i="52"/>
  <c r="AI88" i="52"/>
  <c r="AH88" i="52"/>
  <c r="AI87" i="52"/>
  <c r="AH87" i="52"/>
  <c r="AI86" i="52"/>
  <c r="AH86" i="52"/>
  <c r="AI84" i="52"/>
  <c r="AH84" i="52"/>
  <c r="AI83" i="52"/>
  <c r="AH83" i="52"/>
  <c r="AI82" i="52"/>
  <c r="AH82" i="52"/>
  <c r="AI81" i="52"/>
  <c r="AH81" i="52"/>
  <c r="AG80" i="52"/>
  <c r="AF80" i="52"/>
  <c r="AE80" i="52"/>
  <c r="AD80" i="52"/>
  <c r="AC80" i="52"/>
  <c r="AB80" i="52"/>
  <c r="V80" i="52"/>
  <c r="Q80" i="52"/>
  <c r="P80" i="52"/>
  <c r="O80" i="52"/>
  <c r="N80" i="52"/>
  <c r="M80" i="52"/>
  <c r="L80" i="52"/>
  <c r="K80" i="52"/>
  <c r="J80" i="52"/>
  <c r="I80" i="52"/>
  <c r="H80" i="52"/>
  <c r="G80" i="52"/>
  <c r="F80" i="52"/>
  <c r="E80" i="52"/>
  <c r="D80" i="52"/>
  <c r="C80" i="52"/>
  <c r="B80" i="52"/>
  <c r="AI79" i="52"/>
  <c r="AH79" i="52"/>
  <c r="AI78" i="52"/>
  <c r="AH78" i="52"/>
  <c r="AI77" i="52"/>
  <c r="AH77" i="52"/>
  <c r="AG76" i="52"/>
  <c r="AF76" i="52"/>
  <c r="AE76" i="52"/>
  <c r="AD76" i="52"/>
  <c r="AC76" i="52"/>
  <c r="AB76" i="52"/>
  <c r="V76" i="52"/>
  <c r="Q76" i="52"/>
  <c r="P76" i="52"/>
  <c r="O76" i="52"/>
  <c r="N76" i="52"/>
  <c r="M76" i="52"/>
  <c r="L76" i="52"/>
  <c r="K76" i="52"/>
  <c r="J76" i="52"/>
  <c r="I76" i="52"/>
  <c r="H76" i="52"/>
  <c r="G76" i="52"/>
  <c r="F76" i="52"/>
  <c r="E76" i="52"/>
  <c r="D76" i="52"/>
  <c r="C76" i="52"/>
  <c r="B76" i="52"/>
  <c r="AI75" i="52"/>
  <c r="AH75" i="52"/>
  <c r="AG75" i="52"/>
  <c r="AI74" i="52"/>
  <c r="AH74" i="52"/>
  <c r="AI73" i="52"/>
  <c r="AH73" i="52"/>
  <c r="AI72" i="52"/>
  <c r="AH72" i="52"/>
  <c r="AI71" i="52"/>
  <c r="AH71" i="52"/>
  <c r="AI70" i="52"/>
  <c r="AH70" i="52"/>
  <c r="AI69" i="52"/>
  <c r="AH69" i="52"/>
  <c r="AI68" i="52"/>
  <c r="AH68" i="52"/>
  <c r="AI67" i="52"/>
  <c r="AH67" i="52"/>
  <c r="AI66" i="52"/>
  <c r="AH66" i="52"/>
  <c r="AI65" i="52"/>
  <c r="AH65" i="52"/>
  <c r="AI64" i="52"/>
  <c r="AH64" i="52"/>
  <c r="AI63" i="52"/>
  <c r="AH63" i="52"/>
  <c r="AG62" i="52"/>
  <c r="AF62" i="52"/>
  <c r="AE62" i="52"/>
  <c r="AD62" i="52"/>
  <c r="AC62" i="52"/>
  <c r="AB62" i="52"/>
  <c r="V62" i="52"/>
  <c r="Q62" i="52"/>
  <c r="P62" i="52"/>
  <c r="O62" i="52"/>
  <c r="N62" i="52"/>
  <c r="M62" i="52"/>
  <c r="L62" i="52"/>
  <c r="K62" i="52"/>
  <c r="J62" i="52"/>
  <c r="I62" i="52"/>
  <c r="H62" i="52"/>
  <c r="G62" i="52"/>
  <c r="F62" i="52"/>
  <c r="E62" i="52"/>
  <c r="D62" i="52"/>
  <c r="C62" i="52"/>
  <c r="B62" i="52"/>
  <c r="AI61" i="52"/>
  <c r="AH61" i="52"/>
  <c r="AI60" i="52"/>
  <c r="AH60" i="52"/>
  <c r="AI59" i="52"/>
  <c r="AH59" i="52"/>
  <c r="AG58" i="52"/>
  <c r="AG2" i="52" s="1"/>
  <c r="AG6" i="52" s="1"/>
  <c r="AF58" i="52"/>
  <c r="AE58" i="52"/>
  <c r="AD58" i="52"/>
  <c r="AC58" i="52"/>
  <c r="AB58" i="52"/>
  <c r="AS261" i="52"/>
  <c r="V58" i="52"/>
  <c r="AK261" i="52"/>
  <c r="Q58" i="52"/>
  <c r="P58" i="52"/>
  <c r="O58" i="52"/>
  <c r="N58" i="52"/>
  <c r="M58" i="52"/>
  <c r="L58" i="52"/>
  <c r="K58" i="52"/>
  <c r="J58" i="52"/>
  <c r="I58" i="52"/>
  <c r="H58" i="52"/>
  <c r="G58" i="52"/>
  <c r="F58" i="52"/>
  <c r="E58" i="52"/>
  <c r="D58" i="52"/>
  <c r="C58" i="52"/>
  <c r="B58" i="52"/>
  <c r="AI57" i="52"/>
  <c r="AH57" i="52"/>
  <c r="AI56" i="52"/>
  <c r="AH56" i="52"/>
  <c r="AI55" i="52"/>
  <c r="AH55" i="52"/>
  <c r="AI54" i="52"/>
  <c r="AH54" i="52"/>
  <c r="AI53" i="52"/>
  <c r="AH53" i="52"/>
  <c r="AI52" i="52"/>
  <c r="AH52" i="52"/>
  <c r="AI51" i="52"/>
  <c r="AH51" i="52"/>
  <c r="AI50" i="52"/>
  <c r="AH50" i="52"/>
  <c r="AI49" i="52"/>
  <c r="AH49" i="52"/>
  <c r="AI48" i="52"/>
  <c r="AH48" i="52"/>
  <c r="AI47" i="52"/>
  <c r="AH47" i="52"/>
  <c r="AI46" i="52"/>
  <c r="AH46" i="52"/>
  <c r="AI45" i="52"/>
  <c r="AH45" i="52"/>
  <c r="AI44" i="52"/>
  <c r="AH44" i="52"/>
  <c r="AI43" i="52"/>
  <c r="AH43" i="52"/>
  <c r="AI42" i="52"/>
  <c r="AH42" i="52"/>
  <c r="AI41" i="52"/>
  <c r="AH41" i="52"/>
  <c r="AI40" i="52"/>
  <c r="AH40" i="52"/>
  <c r="AI39" i="52"/>
  <c r="AH39" i="52"/>
  <c r="AI38" i="52"/>
  <c r="AH38" i="52"/>
  <c r="AI37" i="52"/>
  <c r="AH37" i="52"/>
  <c r="AI36" i="52"/>
  <c r="AH36" i="52"/>
  <c r="AI35" i="52"/>
  <c r="AH35" i="52"/>
  <c r="AI34" i="52"/>
  <c r="AH34" i="52"/>
  <c r="AI33" i="52"/>
  <c r="AH33" i="52"/>
  <c r="AI32" i="52"/>
  <c r="AH32" i="52"/>
  <c r="AI31" i="52"/>
  <c r="AH31" i="52"/>
  <c r="AI30" i="52"/>
  <c r="AH30" i="52"/>
  <c r="AI29" i="52"/>
  <c r="AH29" i="52"/>
  <c r="AI28" i="52"/>
  <c r="AH28" i="52"/>
  <c r="AI27" i="52"/>
  <c r="AH27" i="52"/>
  <c r="AI26" i="52"/>
  <c r="AH26" i="52"/>
  <c r="AI25" i="52"/>
  <c r="AH25" i="52"/>
  <c r="AI24" i="52"/>
  <c r="AH24" i="52"/>
  <c r="AI23" i="52"/>
  <c r="AH23" i="52"/>
  <c r="AI22" i="52"/>
  <c r="AH22" i="52"/>
  <c r="AI21" i="52"/>
  <c r="AH21" i="52"/>
  <c r="AI20" i="52"/>
  <c r="AH20" i="52"/>
  <c r="AI19" i="52"/>
  <c r="AH19" i="52"/>
  <c r="AI18" i="52"/>
  <c r="AH18" i="52"/>
  <c r="AI17" i="52"/>
  <c r="AH17" i="52"/>
  <c r="AI16" i="52"/>
  <c r="AH16" i="52"/>
  <c r="AI15" i="52"/>
  <c r="AH15" i="52"/>
  <c r="AI14" i="52"/>
  <c r="AH14" i="52"/>
  <c r="AI13" i="52"/>
  <c r="AH13" i="52"/>
  <c r="AI12" i="52"/>
  <c r="AH12" i="52"/>
  <c r="AI11" i="52"/>
  <c r="AH11" i="52"/>
  <c r="W5" i="52"/>
  <c r="T5" i="52"/>
  <c r="R5" i="52"/>
  <c r="P5" i="52"/>
  <c r="M5" i="52"/>
  <c r="AG4" i="52"/>
  <c r="K4" i="52"/>
  <c r="E4" i="52"/>
  <c r="H4" i="52" s="1"/>
  <c r="B4" i="52"/>
  <c r="S258" i="52" s="1"/>
  <c r="AG3" i="52"/>
  <c r="AF123" i="51"/>
  <c r="AE123" i="51"/>
  <c r="AD123" i="51"/>
  <c r="AB123" i="51"/>
  <c r="AA123" i="51"/>
  <c r="AA85" i="51"/>
  <c r="AA58" i="51"/>
  <c r="AA62" i="51"/>
  <c r="AA76" i="51"/>
  <c r="AA80" i="51"/>
  <c r="AA92" i="51"/>
  <c r="AA108" i="51" s="1"/>
  <c r="AA101" i="51"/>
  <c r="AA102" i="51"/>
  <c r="AA103" i="51"/>
  <c r="AA104" i="51"/>
  <c r="AA105" i="51"/>
  <c r="AA118" i="51"/>
  <c r="Z124" i="51"/>
  <c r="Z85" i="51"/>
  <c r="Z103" i="51" s="1"/>
  <c r="Z58" i="16"/>
  <c r="Z62" i="16"/>
  <c r="Z76" i="16"/>
  <c r="Z80" i="16"/>
  <c r="Z92" i="16"/>
  <c r="Z101" i="16"/>
  <c r="Z107" i="16" s="1"/>
  <c r="Z102" i="16"/>
  <c r="Z103" i="16"/>
  <c r="Z104" i="16"/>
  <c r="Z105" i="16"/>
  <c r="Z118" i="16"/>
  <c r="Z58" i="51"/>
  <c r="Z62" i="51"/>
  <c r="Z76" i="51"/>
  <c r="Z80" i="51"/>
  <c r="Z101" i="51"/>
  <c r="Z102" i="51"/>
  <c r="Z104" i="51"/>
  <c r="Z105" i="51"/>
  <c r="Z118" i="51"/>
  <c r="Y118" i="16"/>
  <c r="Y105" i="16"/>
  <c r="Y104" i="16"/>
  <c r="Y103" i="16"/>
  <c r="Y102" i="16"/>
  <c r="Y101" i="16"/>
  <c r="Y92" i="16"/>
  <c r="Y80" i="16"/>
  <c r="Y76" i="16"/>
  <c r="Y62" i="16"/>
  <c r="Y58" i="16"/>
  <c r="Y123" i="51"/>
  <c r="Y118" i="51"/>
  <c r="Y105" i="51"/>
  <c r="Y104" i="51"/>
  <c r="Y102" i="51"/>
  <c r="Y101" i="51"/>
  <c r="Y92" i="51"/>
  <c r="Y108" i="51" s="1"/>
  <c r="Y85" i="51"/>
  <c r="Y103" i="51" s="1"/>
  <c r="Y80" i="51"/>
  <c r="Y76" i="51"/>
  <c r="Y62" i="51"/>
  <c r="Y58" i="51"/>
  <c r="X123" i="51"/>
  <c r="X85" i="51"/>
  <c r="X58" i="51"/>
  <c r="X62" i="51"/>
  <c r="X76" i="51"/>
  <c r="X80" i="51"/>
  <c r="X103" i="51"/>
  <c r="X92" i="51"/>
  <c r="X101" i="51"/>
  <c r="X102" i="51"/>
  <c r="X104" i="51"/>
  <c r="X105" i="51"/>
  <c r="X118" i="51"/>
  <c r="W85" i="51"/>
  <c r="W103" i="51" s="1"/>
  <c r="W123" i="51"/>
  <c r="W118" i="51" s="1"/>
  <c r="W58" i="51"/>
  <c r="W62" i="51"/>
  <c r="W76" i="51"/>
  <c r="W80" i="51"/>
  <c r="W92" i="51"/>
  <c r="W101" i="51"/>
  <c r="W102" i="51"/>
  <c r="W104" i="51"/>
  <c r="W105" i="51"/>
  <c r="V123" i="51"/>
  <c r="V85" i="51"/>
  <c r="V58" i="51"/>
  <c r="V62" i="51"/>
  <c r="V76" i="51"/>
  <c r="V80" i="51"/>
  <c r="V92" i="51"/>
  <c r="V101" i="51"/>
  <c r="V107" i="51" s="1"/>
  <c r="V102" i="51"/>
  <c r="V103" i="51"/>
  <c r="V104" i="51"/>
  <c r="V105" i="51"/>
  <c r="V118" i="51"/>
  <c r="U85" i="51"/>
  <c r="U103" i="51" s="1"/>
  <c r="U122" i="51"/>
  <c r="U58" i="51"/>
  <c r="U62" i="51"/>
  <c r="U76" i="51"/>
  <c r="U80" i="51"/>
  <c r="U92" i="51"/>
  <c r="U101" i="51"/>
  <c r="U102" i="51"/>
  <c r="U104" i="51"/>
  <c r="U105" i="51"/>
  <c r="U118" i="51"/>
  <c r="Z108" i="16" l="1"/>
  <c r="Y107" i="16"/>
  <c r="Y108" i="16" s="1"/>
  <c r="Z97" i="16"/>
  <c r="Z99" i="16" s="1"/>
  <c r="Z100" i="16" s="1"/>
  <c r="S282" i="55"/>
  <c r="U251" i="55"/>
  <c r="T252" i="55"/>
  <c r="T118" i="55"/>
  <c r="U246" i="55"/>
  <c r="M97" i="52"/>
  <c r="M99" i="52" s="1"/>
  <c r="M100" i="53"/>
  <c r="M7" i="53" s="1"/>
  <c r="K282" i="54"/>
  <c r="M251" i="54"/>
  <c r="L252" i="54"/>
  <c r="M246" i="54"/>
  <c r="AI103" i="53"/>
  <c r="AS261" i="53"/>
  <c r="X100" i="53"/>
  <c r="X7" i="53" s="1"/>
  <c r="V100" i="53"/>
  <c r="V7" i="53" s="1"/>
  <c r="AN261" i="53"/>
  <c r="R100" i="53"/>
  <c r="R7" i="53" s="1"/>
  <c r="AH261" i="53"/>
  <c r="N100" i="53"/>
  <c r="N7" i="53" s="1"/>
  <c r="L100" i="53"/>
  <c r="L7" i="53" s="1"/>
  <c r="K100" i="53"/>
  <c r="K7" i="53" s="1"/>
  <c r="AB261" i="53"/>
  <c r="G100" i="53"/>
  <c r="G7" i="53" s="1"/>
  <c r="Y261" i="53"/>
  <c r="B256" i="53"/>
  <c r="C256" i="53"/>
  <c r="F100" i="53"/>
  <c r="F7" i="53" s="1"/>
  <c r="E100" i="53"/>
  <c r="E7" i="53" s="1"/>
  <c r="Z100" i="53"/>
  <c r="Z7" i="53" s="1"/>
  <c r="V261" i="53"/>
  <c r="AI107" i="53"/>
  <c r="B99" i="53"/>
  <c r="AI97" i="53"/>
  <c r="AH97" i="53"/>
  <c r="D282" i="53"/>
  <c r="F251" i="53"/>
  <c r="F118" i="53"/>
  <c r="G246" i="53"/>
  <c r="AH108" i="53"/>
  <c r="AI108" i="53"/>
  <c r="AH103" i="53"/>
  <c r="AH107" i="53"/>
  <c r="Y100" i="53"/>
  <c r="Y7" i="53" s="1"/>
  <c r="E252" i="53"/>
  <c r="AF108" i="52"/>
  <c r="AF97" i="52"/>
  <c r="AF99" i="52" s="1"/>
  <c r="AF100" i="52" s="1"/>
  <c r="AF7" i="52" s="1"/>
  <c r="AE97" i="52"/>
  <c r="AE99" i="52" s="1"/>
  <c r="AC97" i="52"/>
  <c r="AC99" i="52" s="1"/>
  <c r="AB107" i="52"/>
  <c r="AA100" i="52"/>
  <c r="AA108" i="52"/>
  <c r="Z100" i="52"/>
  <c r="W100" i="52"/>
  <c r="X100" i="52"/>
  <c r="X7" i="52" s="1"/>
  <c r="U108" i="52"/>
  <c r="U97" i="52"/>
  <c r="U99" i="52" s="1"/>
  <c r="U100" i="52" s="1"/>
  <c r="S100" i="52"/>
  <c r="R100" i="52"/>
  <c r="Q97" i="52"/>
  <c r="Q99" i="52" s="1"/>
  <c r="P107" i="52"/>
  <c r="P108" i="52" s="1"/>
  <c r="P97" i="52"/>
  <c r="P99" i="52" s="1"/>
  <c r="AH261" i="52" s="1"/>
  <c r="O97" i="52"/>
  <c r="O99" i="52" s="1"/>
  <c r="L107" i="52"/>
  <c r="L108" i="52" s="1"/>
  <c r="K107" i="52"/>
  <c r="K97" i="52"/>
  <c r="K99" i="52" s="1"/>
  <c r="AC261" i="52" s="1"/>
  <c r="J107" i="52"/>
  <c r="H107" i="52"/>
  <c r="H108" i="52" s="1"/>
  <c r="H97" i="52"/>
  <c r="H99" i="52" s="1"/>
  <c r="Z261" i="52" s="1"/>
  <c r="G97" i="52"/>
  <c r="G99" i="52" s="1"/>
  <c r="AH101" i="52"/>
  <c r="E97" i="52"/>
  <c r="E99" i="52" s="1"/>
  <c r="W261" i="52" s="1"/>
  <c r="I97" i="52"/>
  <c r="I99" i="52" s="1"/>
  <c r="AA261" i="52" s="1"/>
  <c r="D107" i="52"/>
  <c r="AI58" i="52"/>
  <c r="AH62" i="52"/>
  <c r="AH104" i="52"/>
  <c r="C107" i="52"/>
  <c r="C108" i="52" s="1"/>
  <c r="B5" i="52"/>
  <c r="AI123" i="52"/>
  <c r="AH102" i="52"/>
  <c r="AI62" i="52"/>
  <c r="D258" i="52"/>
  <c r="AE261" i="52"/>
  <c r="AM261" i="52"/>
  <c r="AU261" i="52"/>
  <c r="AI261" i="52"/>
  <c r="AI102" i="52"/>
  <c r="J108" i="52"/>
  <c r="G246" i="52"/>
  <c r="E247" i="52"/>
  <c r="D118" i="52"/>
  <c r="C282" i="52"/>
  <c r="E251" i="52"/>
  <c r="AP261" i="52"/>
  <c r="AF5" i="52"/>
  <c r="AI80" i="52"/>
  <c r="AI85" i="52"/>
  <c r="K108" i="52"/>
  <c r="AW261" i="52"/>
  <c r="C97" i="52"/>
  <c r="C99" i="52" s="1"/>
  <c r="K5" i="52"/>
  <c r="E107" i="52"/>
  <c r="E108" i="52" s="1"/>
  <c r="AI76" i="52"/>
  <c r="D97" i="52"/>
  <c r="D99" i="52" s="1"/>
  <c r="L97" i="52"/>
  <c r="L99" i="52" s="1"/>
  <c r="AB97" i="52"/>
  <c r="AB99" i="52" s="1"/>
  <c r="AH85" i="52"/>
  <c r="AG261" i="52"/>
  <c r="AG97" i="52"/>
  <c r="S7" i="52"/>
  <c r="V97" i="52"/>
  <c r="V99" i="52" s="1"/>
  <c r="D108" i="52"/>
  <c r="C5" i="52"/>
  <c r="M107" i="52"/>
  <c r="M100" i="52" s="1"/>
  <c r="M7" i="52" s="1"/>
  <c r="AC107" i="52"/>
  <c r="AC100" i="52" s="1"/>
  <c r="AC7" i="52" s="1"/>
  <c r="AD107" i="52"/>
  <c r="AD108" i="52" s="1"/>
  <c r="AX261" i="52"/>
  <c r="P100" i="52"/>
  <c r="P7" i="52" s="1"/>
  <c r="G107" i="52"/>
  <c r="G108" i="52" s="1"/>
  <c r="O107" i="52"/>
  <c r="O100" i="52" s="1"/>
  <c r="O7" i="52" s="1"/>
  <c r="W7" i="52"/>
  <c r="AE107" i="52"/>
  <c r="AE100" i="52" s="1"/>
  <c r="AE7" i="52" s="1"/>
  <c r="F107" i="52"/>
  <c r="F108" i="52" s="1"/>
  <c r="N107" i="52"/>
  <c r="N108" i="52" s="1"/>
  <c r="V107" i="52"/>
  <c r="V108" i="52" s="1"/>
  <c r="AI105" i="52"/>
  <c r="AI101" i="52"/>
  <c r="Y261" i="52"/>
  <c r="F97" i="52"/>
  <c r="F99" i="52" s="1"/>
  <c r="S5" i="52"/>
  <c r="Z5" i="52"/>
  <c r="AG99" i="52"/>
  <c r="AA7" i="52"/>
  <c r="AI104" i="52"/>
  <c r="B107" i="52"/>
  <c r="B108" i="52" s="1"/>
  <c r="AB108" i="52"/>
  <c r="AA5" i="52"/>
  <c r="N97" i="52"/>
  <c r="N99" i="52" s="1"/>
  <c r="AD97" i="52"/>
  <c r="AD99" i="52" s="1"/>
  <c r="U7" i="52"/>
  <c r="B97" i="52"/>
  <c r="J97" i="52"/>
  <c r="J99" i="52" s="1"/>
  <c r="AH58" i="52"/>
  <c r="AO261" i="52"/>
  <c r="I107" i="52"/>
  <c r="I108" i="52" s="1"/>
  <c r="Q107" i="52"/>
  <c r="Q108" i="52" s="1"/>
  <c r="AH105" i="52"/>
  <c r="F5" i="52"/>
  <c r="N5" i="52"/>
  <c r="V5" i="52"/>
  <c r="AD5" i="52"/>
  <c r="AH76" i="52"/>
  <c r="AH80" i="52"/>
  <c r="AH123" i="52"/>
  <c r="AA97" i="51"/>
  <c r="AA99" i="51" s="1"/>
  <c r="AA100" i="51" s="1"/>
  <c r="Z92" i="51"/>
  <c r="Z108" i="51" s="1"/>
  <c r="Y97" i="16"/>
  <c r="Y99" i="16" s="1"/>
  <c r="Y100" i="16" s="1"/>
  <c r="Y97" i="51"/>
  <c r="Y99" i="51" s="1"/>
  <c r="Y100" i="51" s="1"/>
  <c r="X107" i="51"/>
  <c r="X97" i="51"/>
  <c r="X99" i="51" s="1"/>
  <c r="X100" i="51" s="1"/>
  <c r="X108" i="51"/>
  <c r="W107" i="51"/>
  <c r="W97" i="51"/>
  <c r="W99" i="51" s="1"/>
  <c r="W100" i="51" s="1"/>
  <c r="W108" i="51"/>
  <c r="U97" i="51"/>
  <c r="U99" i="51" s="1"/>
  <c r="V97" i="51"/>
  <c r="V99" i="51" s="1"/>
  <c r="V100" i="51" s="1"/>
  <c r="V108" i="51"/>
  <c r="U107" i="51"/>
  <c r="U100" i="51" s="1"/>
  <c r="T123" i="51"/>
  <c r="T85" i="51"/>
  <c r="T58" i="51"/>
  <c r="T62" i="51"/>
  <c r="T76" i="51"/>
  <c r="T80" i="51"/>
  <c r="T92" i="51"/>
  <c r="S5" i="51" s="1"/>
  <c r="T101" i="51"/>
  <c r="T102" i="51"/>
  <c r="T103" i="51"/>
  <c r="T104" i="51"/>
  <c r="T105" i="51"/>
  <c r="T118" i="51"/>
  <c r="S85" i="51"/>
  <c r="S123" i="51"/>
  <c r="S118" i="51" s="1"/>
  <c r="S58" i="51"/>
  <c r="S62" i="51"/>
  <c r="S76" i="51"/>
  <c r="S80" i="51"/>
  <c r="S92" i="51"/>
  <c r="S101" i="51"/>
  <c r="S102" i="51"/>
  <c r="S103" i="51"/>
  <c r="S104" i="51"/>
  <c r="S105" i="51"/>
  <c r="Q123" i="51"/>
  <c r="P58" i="51"/>
  <c r="P62" i="51"/>
  <c r="L58" i="51"/>
  <c r="L62" i="51"/>
  <c r="L76" i="51"/>
  <c r="L80" i="51"/>
  <c r="L92" i="51"/>
  <c r="L101" i="51"/>
  <c r="L102" i="51"/>
  <c r="L103" i="51"/>
  <c r="L104" i="51"/>
  <c r="L105" i="51"/>
  <c r="K58" i="51"/>
  <c r="K62" i="51"/>
  <c r="K76" i="51"/>
  <c r="K80" i="51"/>
  <c r="K92" i="51"/>
  <c r="K101" i="51"/>
  <c r="K102" i="51"/>
  <c r="K103" i="51"/>
  <c r="K104" i="51"/>
  <c r="K105" i="51"/>
  <c r="J58" i="51"/>
  <c r="J62" i="51"/>
  <c r="J76" i="51"/>
  <c r="J80" i="51"/>
  <c r="J92" i="51"/>
  <c r="J101" i="51"/>
  <c r="J102" i="51"/>
  <c r="J103" i="51"/>
  <c r="J104" i="51"/>
  <c r="J105" i="51"/>
  <c r="I58" i="51"/>
  <c r="I62" i="51"/>
  <c r="I76" i="51"/>
  <c r="I80" i="51"/>
  <c r="I92" i="51"/>
  <c r="H5" i="51" s="1"/>
  <c r="I101" i="51"/>
  <c r="I102" i="51"/>
  <c r="I103" i="51"/>
  <c r="I104" i="51"/>
  <c r="I105" i="51"/>
  <c r="H58" i="51"/>
  <c r="H62" i="51"/>
  <c r="H76" i="51"/>
  <c r="H80" i="51"/>
  <c r="H92" i="51"/>
  <c r="H101" i="51"/>
  <c r="H102" i="51"/>
  <c r="H103" i="51"/>
  <c r="H104" i="51"/>
  <c r="H105" i="51"/>
  <c r="F58" i="51"/>
  <c r="G58" i="51"/>
  <c r="F62" i="51"/>
  <c r="G62" i="51"/>
  <c r="F76" i="51"/>
  <c r="G76" i="51"/>
  <c r="F80" i="51"/>
  <c r="G80" i="51"/>
  <c r="F92" i="51"/>
  <c r="G92" i="51"/>
  <c r="F5" i="51" s="1"/>
  <c r="F101" i="51"/>
  <c r="G101" i="51"/>
  <c r="F102" i="51"/>
  <c r="G102" i="51"/>
  <c r="F103" i="51"/>
  <c r="G103" i="51"/>
  <c r="F104" i="51"/>
  <c r="G104" i="51"/>
  <c r="F105" i="51"/>
  <c r="G105" i="51"/>
  <c r="E58" i="51"/>
  <c r="E62" i="51"/>
  <c r="E76" i="51"/>
  <c r="E80" i="51"/>
  <c r="E92" i="51"/>
  <c r="E101" i="51"/>
  <c r="E102" i="51"/>
  <c r="E103" i="51"/>
  <c r="E104" i="51"/>
  <c r="E105" i="51"/>
  <c r="D123" i="51"/>
  <c r="C123" i="51"/>
  <c r="B123" i="51"/>
  <c r="AF286" i="51"/>
  <c r="AE286" i="51"/>
  <c r="AD286" i="51"/>
  <c r="AC286" i="51"/>
  <c r="AB286" i="51"/>
  <c r="AA286" i="51"/>
  <c r="Z286" i="51"/>
  <c r="Y286" i="51"/>
  <c r="X286" i="51"/>
  <c r="W286" i="51"/>
  <c r="V286" i="51"/>
  <c r="U286" i="51"/>
  <c r="T286" i="51"/>
  <c r="S286" i="51"/>
  <c r="R286" i="51"/>
  <c r="Q286" i="51"/>
  <c r="P286" i="51"/>
  <c r="O286" i="51"/>
  <c r="N286" i="51"/>
  <c r="M286" i="51"/>
  <c r="L286" i="51"/>
  <c r="K286" i="51"/>
  <c r="J286" i="51"/>
  <c r="I286" i="51"/>
  <c r="H286" i="51"/>
  <c r="G286" i="51"/>
  <c r="F286" i="51"/>
  <c r="E286" i="51"/>
  <c r="D286" i="51"/>
  <c r="C286" i="51"/>
  <c r="B286" i="51"/>
  <c r="A286" i="51"/>
  <c r="AF285" i="51"/>
  <c r="AE285" i="51"/>
  <c r="AD285" i="51"/>
  <c r="AC285" i="51"/>
  <c r="AB285" i="51"/>
  <c r="AA285" i="51"/>
  <c r="Z285" i="51"/>
  <c r="Y285" i="51"/>
  <c r="X285" i="51"/>
  <c r="W285" i="51"/>
  <c r="V285" i="51"/>
  <c r="U285" i="51"/>
  <c r="T285" i="51"/>
  <c r="S285" i="51"/>
  <c r="R285" i="51"/>
  <c r="Q285" i="51"/>
  <c r="P285" i="51"/>
  <c r="O285" i="51"/>
  <c r="N285" i="51"/>
  <c r="M285" i="51"/>
  <c r="L285" i="51"/>
  <c r="K285" i="51"/>
  <c r="J285" i="51"/>
  <c r="I285" i="51"/>
  <c r="H285" i="51"/>
  <c r="G285" i="51"/>
  <c r="F285" i="51"/>
  <c r="E285" i="51"/>
  <c r="D285" i="51"/>
  <c r="C285" i="51"/>
  <c r="B285" i="51"/>
  <c r="A285" i="51"/>
  <c r="AF284" i="51"/>
  <c r="AE284" i="51"/>
  <c r="AD284" i="51"/>
  <c r="AC284" i="51"/>
  <c r="AB284" i="51"/>
  <c r="AA284" i="51"/>
  <c r="Z284" i="51"/>
  <c r="Y284" i="51"/>
  <c r="X284" i="51"/>
  <c r="W284" i="51"/>
  <c r="V284" i="51"/>
  <c r="U284" i="51"/>
  <c r="T284" i="51"/>
  <c r="S284" i="51"/>
  <c r="R284" i="51"/>
  <c r="Q284" i="51"/>
  <c r="P284" i="51"/>
  <c r="O284" i="51"/>
  <c r="N284" i="51"/>
  <c r="M284" i="51"/>
  <c r="L284" i="51"/>
  <c r="K284" i="51"/>
  <c r="J284" i="51"/>
  <c r="I284" i="51"/>
  <c r="H284" i="51"/>
  <c r="G284" i="51"/>
  <c r="F284" i="51"/>
  <c r="E284" i="51"/>
  <c r="D284" i="51"/>
  <c r="C284" i="51"/>
  <c r="B284" i="51"/>
  <c r="A284" i="51"/>
  <c r="AF283" i="51"/>
  <c r="AE283" i="51"/>
  <c r="AD283" i="51"/>
  <c r="AC283" i="51"/>
  <c r="AB283" i="51"/>
  <c r="AA283" i="51"/>
  <c r="Z283" i="51"/>
  <c r="Y283" i="51"/>
  <c r="X283" i="51"/>
  <c r="W283" i="51"/>
  <c r="V283" i="51"/>
  <c r="U283" i="51"/>
  <c r="T283" i="51"/>
  <c r="S283" i="51"/>
  <c r="R283" i="51"/>
  <c r="Q283" i="51"/>
  <c r="P283" i="51"/>
  <c r="O283" i="51"/>
  <c r="N283" i="51"/>
  <c r="M283" i="51"/>
  <c r="L283" i="51"/>
  <c r="K283" i="51"/>
  <c r="J283" i="51"/>
  <c r="I283" i="51"/>
  <c r="H283" i="51"/>
  <c r="G283" i="51"/>
  <c r="F283" i="51"/>
  <c r="E283" i="51"/>
  <c r="D283" i="51"/>
  <c r="C283" i="51"/>
  <c r="B283" i="51"/>
  <c r="A283" i="51"/>
  <c r="B282" i="51"/>
  <c r="S257" i="51"/>
  <c r="AG252" i="51"/>
  <c r="D252" i="51"/>
  <c r="C252" i="51"/>
  <c r="E251" i="51"/>
  <c r="D282" i="51" s="1"/>
  <c r="D251" i="51"/>
  <c r="C282" i="51" s="1"/>
  <c r="D250" i="51"/>
  <c r="E250" i="51" s="1"/>
  <c r="F250" i="51" s="1"/>
  <c r="G250" i="51" s="1"/>
  <c r="H250" i="51" s="1"/>
  <c r="I250" i="51" s="1"/>
  <c r="J250" i="51" s="1"/>
  <c r="K250" i="51" s="1"/>
  <c r="L250" i="51" s="1"/>
  <c r="M250" i="51" s="1"/>
  <c r="N250" i="51" s="1"/>
  <c r="O250" i="51" s="1"/>
  <c r="P250" i="51" s="1"/>
  <c r="Q250" i="51" s="1"/>
  <c r="R250" i="51" s="1"/>
  <c r="S250" i="51" s="1"/>
  <c r="T250" i="51" s="1"/>
  <c r="U250" i="51" s="1"/>
  <c r="V250" i="51" s="1"/>
  <c r="W250" i="51" s="1"/>
  <c r="X250" i="51" s="1"/>
  <c r="Y250" i="51" s="1"/>
  <c r="Z250" i="51" s="1"/>
  <c r="AA250" i="51" s="1"/>
  <c r="AB250" i="51" s="1"/>
  <c r="AC250" i="51" s="1"/>
  <c r="AD250" i="51" s="1"/>
  <c r="AE250" i="51" s="1"/>
  <c r="AF250" i="51" s="1"/>
  <c r="B250" i="51" s="1"/>
  <c r="D249" i="51"/>
  <c r="E249" i="51" s="1"/>
  <c r="F249" i="51" s="1"/>
  <c r="G249" i="51" s="1"/>
  <c r="H249" i="51" s="1"/>
  <c r="I249" i="51" s="1"/>
  <c r="J249" i="51" s="1"/>
  <c r="K249" i="51" s="1"/>
  <c r="L249" i="51" s="1"/>
  <c r="M249" i="51" s="1"/>
  <c r="N249" i="51" s="1"/>
  <c r="O249" i="51" s="1"/>
  <c r="P249" i="51" s="1"/>
  <c r="Q249" i="51" s="1"/>
  <c r="R249" i="51" s="1"/>
  <c r="S249" i="51" s="1"/>
  <c r="T249" i="51" s="1"/>
  <c r="U249" i="51" s="1"/>
  <c r="V249" i="51" s="1"/>
  <c r="W249" i="51" s="1"/>
  <c r="X249" i="51" s="1"/>
  <c r="Y249" i="51" s="1"/>
  <c r="Z249" i="51" s="1"/>
  <c r="AA249" i="51" s="1"/>
  <c r="AB249" i="51" s="1"/>
  <c r="AC249" i="51" s="1"/>
  <c r="AD249" i="51" s="1"/>
  <c r="AE249" i="51" s="1"/>
  <c r="AF249" i="51" s="1"/>
  <c r="B249" i="51" s="1"/>
  <c r="E248" i="51"/>
  <c r="F248" i="51" s="1"/>
  <c r="G248" i="51" s="1"/>
  <c r="H248" i="51" s="1"/>
  <c r="I248" i="51" s="1"/>
  <c r="J248" i="51" s="1"/>
  <c r="K248" i="51" s="1"/>
  <c r="L248" i="51" s="1"/>
  <c r="M248" i="51" s="1"/>
  <c r="N248" i="51" s="1"/>
  <c r="O248" i="51" s="1"/>
  <c r="P248" i="51" s="1"/>
  <c r="Q248" i="51" s="1"/>
  <c r="R248" i="51" s="1"/>
  <c r="S248" i="51" s="1"/>
  <c r="T248" i="51" s="1"/>
  <c r="U248" i="51" s="1"/>
  <c r="V248" i="51" s="1"/>
  <c r="W248" i="51" s="1"/>
  <c r="X248" i="51" s="1"/>
  <c r="Y248" i="51" s="1"/>
  <c r="Z248" i="51" s="1"/>
  <c r="AA248" i="51" s="1"/>
  <c r="AB248" i="51" s="1"/>
  <c r="AC248" i="51" s="1"/>
  <c r="AD248" i="51" s="1"/>
  <c r="AE248" i="51" s="1"/>
  <c r="AF248" i="51" s="1"/>
  <c r="B248" i="51" s="1"/>
  <c r="D248" i="51"/>
  <c r="E247" i="51"/>
  <c r="F247" i="51" s="1"/>
  <c r="D247" i="51"/>
  <c r="D246" i="51"/>
  <c r="D118" i="51" s="1"/>
  <c r="AG244" i="51"/>
  <c r="AF244" i="51"/>
  <c r="AE244" i="51"/>
  <c r="AD244" i="51"/>
  <c r="AC244" i="51"/>
  <c r="AB244" i="51"/>
  <c r="AA244" i="51"/>
  <c r="Z244" i="51"/>
  <c r="Y244" i="51"/>
  <c r="X244" i="51"/>
  <c r="W244" i="51"/>
  <c r="V244" i="51"/>
  <c r="U244" i="51"/>
  <c r="T244" i="51"/>
  <c r="S244" i="51"/>
  <c r="R244" i="51"/>
  <c r="Q244" i="51"/>
  <c r="P244" i="51"/>
  <c r="O244" i="51"/>
  <c r="N244" i="51"/>
  <c r="M244" i="51"/>
  <c r="L244" i="51"/>
  <c r="K244" i="51"/>
  <c r="J244" i="51"/>
  <c r="I244" i="51"/>
  <c r="H244" i="51"/>
  <c r="G244" i="51"/>
  <c r="F244" i="51"/>
  <c r="E244" i="51"/>
  <c r="D244" i="51"/>
  <c r="C244" i="51"/>
  <c r="B244" i="51"/>
  <c r="AI130" i="51"/>
  <c r="AH130" i="51"/>
  <c r="AI129" i="51"/>
  <c r="AH129" i="51"/>
  <c r="AI128" i="51"/>
  <c r="AH128" i="51"/>
  <c r="AI127" i="51"/>
  <c r="AH127" i="51"/>
  <c r="AI126" i="51"/>
  <c r="AH126" i="51"/>
  <c r="AI122" i="51"/>
  <c r="AH122" i="51"/>
  <c r="AI121" i="51"/>
  <c r="AH121" i="51"/>
  <c r="AI120" i="51"/>
  <c r="AH120" i="51"/>
  <c r="AI119" i="51"/>
  <c r="AH119" i="51"/>
  <c r="C118" i="51"/>
  <c r="AI117" i="51"/>
  <c r="AH117" i="51"/>
  <c r="AI116" i="51"/>
  <c r="AH116" i="51"/>
  <c r="AI115" i="51"/>
  <c r="AH115" i="51"/>
  <c r="AI114" i="51"/>
  <c r="AH114" i="51"/>
  <c r="AI113" i="51"/>
  <c r="AH113" i="51"/>
  <c r="AI112" i="51"/>
  <c r="AH112" i="51"/>
  <c r="AI111" i="51"/>
  <c r="AH111" i="51"/>
  <c r="AI110" i="51"/>
  <c r="AH110" i="51"/>
  <c r="AI109" i="51"/>
  <c r="AH109" i="51"/>
  <c r="AI106" i="51"/>
  <c r="AH106" i="51"/>
  <c r="AF105" i="51"/>
  <c r="AE105" i="51"/>
  <c r="AD105" i="51"/>
  <c r="AC105" i="51"/>
  <c r="AB105" i="51"/>
  <c r="R105" i="51"/>
  <c r="Q105" i="51"/>
  <c r="P105" i="51"/>
  <c r="O105" i="51"/>
  <c r="N105" i="51"/>
  <c r="M105" i="51"/>
  <c r="D105" i="51"/>
  <c r="C105" i="51"/>
  <c r="B105" i="51"/>
  <c r="AF104" i="51"/>
  <c r="AE104" i="51"/>
  <c r="AD104" i="51"/>
  <c r="AC104" i="51"/>
  <c r="AB104" i="51"/>
  <c r="R104" i="51"/>
  <c r="Q104" i="51"/>
  <c r="P104" i="51"/>
  <c r="O104" i="51"/>
  <c r="N104" i="51"/>
  <c r="M104" i="51"/>
  <c r="D104" i="51"/>
  <c r="C104" i="51"/>
  <c r="B104" i="51"/>
  <c r="AF103" i="51"/>
  <c r="AE103" i="51"/>
  <c r="AD103" i="51"/>
  <c r="AC103" i="51"/>
  <c r="AB103" i="51"/>
  <c r="R103" i="51"/>
  <c r="Q103" i="51"/>
  <c r="P103" i="51"/>
  <c r="O103" i="51"/>
  <c r="N103" i="51"/>
  <c r="M103" i="51"/>
  <c r="D103" i="51"/>
  <c r="C103" i="51"/>
  <c r="B103" i="51"/>
  <c r="AF102" i="51"/>
  <c r="AE102" i="51"/>
  <c r="AD102" i="51"/>
  <c r="AC102" i="51"/>
  <c r="AB102" i="51"/>
  <c r="R102" i="51"/>
  <c r="Q102" i="51"/>
  <c r="P102" i="51"/>
  <c r="O102" i="51"/>
  <c r="N102" i="51"/>
  <c r="M102" i="51"/>
  <c r="D102" i="51"/>
  <c r="C102" i="51"/>
  <c r="B102" i="51"/>
  <c r="AF101" i="51"/>
  <c r="AE101" i="51"/>
  <c r="AD101" i="51"/>
  <c r="AC101" i="51"/>
  <c r="AB101" i="51"/>
  <c r="R101" i="51"/>
  <c r="Q101" i="51"/>
  <c r="P101" i="51"/>
  <c r="O101" i="51"/>
  <c r="N101" i="51"/>
  <c r="N107" i="51" s="1"/>
  <c r="M101" i="51"/>
  <c r="D101" i="51"/>
  <c r="C101" i="51"/>
  <c r="B101" i="51"/>
  <c r="AI98" i="51"/>
  <c r="AH98" i="51"/>
  <c r="AI96" i="51"/>
  <c r="AH96" i="51"/>
  <c r="AG96" i="51"/>
  <c r="AI95" i="51"/>
  <c r="AH95" i="51"/>
  <c r="AI94" i="51"/>
  <c r="AH94" i="51"/>
  <c r="AI93" i="51"/>
  <c r="AH93" i="51"/>
  <c r="AG92" i="51"/>
  <c r="AF92" i="51"/>
  <c r="AE5" i="51" s="1"/>
  <c r="AE92" i="51"/>
  <c r="AD5" i="51" s="1"/>
  <c r="AD92" i="51"/>
  <c r="AC5" i="51" s="1"/>
  <c r="AC92" i="51"/>
  <c r="AB5" i="51" s="1"/>
  <c r="AB92" i="51"/>
  <c r="AA5" i="51" s="1"/>
  <c r="Y5" i="51"/>
  <c r="R92" i="51"/>
  <c r="Q5" i="51" s="1"/>
  <c r="Q92" i="51"/>
  <c r="P5" i="51" s="1"/>
  <c r="P92" i="51"/>
  <c r="O5" i="51" s="1"/>
  <c r="O92" i="51"/>
  <c r="N5" i="51" s="1"/>
  <c r="N92" i="51"/>
  <c r="M5" i="51" s="1"/>
  <c r="M92" i="51"/>
  <c r="L5" i="51" s="1"/>
  <c r="D92" i="51"/>
  <c r="C92" i="51"/>
  <c r="B92" i="51"/>
  <c r="AI91" i="51"/>
  <c r="AH91" i="51"/>
  <c r="AI90" i="51"/>
  <c r="AH90" i="51"/>
  <c r="AI89" i="51"/>
  <c r="AH89" i="51"/>
  <c r="AI88" i="51"/>
  <c r="AH88" i="51"/>
  <c r="AI87" i="51"/>
  <c r="AH87" i="51"/>
  <c r="AI86" i="51"/>
  <c r="AH86" i="51"/>
  <c r="AI85" i="51"/>
  <c r="AH85" i="51"/>
  <c r="AI84" i="51"/>
  <c r="AH84" i="51"/>
  <c r="AI83" i="51"/>
  <c r="AH83" i="51"/>
  <c r="AI82" i="51"/>
  <c r="AH82" i="51"/>
  <c r="AI81" i="51"/>
  <c r="AH81" i="51"/>
  <c r="AG80" i="51"/>
  <c r="AG4" i="51" s="1"/>
  <c r="AF80" i="51"/>
  <c r="AE80" i="51"/>
  <c r="AD80" i="51"/>
  <c r="AC80" i="51"/>
  <c r="AB80" i="51"/>
  <c r="R80" i="51"/>
  <c r="Q80" i="51"/>
  <c r="P80" i="51"/>
  <c r="O80" i="51"/>
  <c r="N80" i="51"/>
  <c r="M80" i="51"/>
  <c r="D80" i="51"/>
  <c r="C80" i="51"/>
  <c r="B80" i="51"/>
  <c r="AI79" i="51"/>
  <c r="AH79" i="51"/>
  <c r="AI78" i="51"/>
  <c r="AH78" i="51"/>
  <c r="AI77" i="51"/>
  <c r="AH77" i="51"/>
  <c r="AF76" i="51"/>
  <c r="AE76" i="51"/>
  <c r="AD76" i="51"/>
  <c r="AC76" i="51"/>
  <c r="AB76" i="51"/>
  <c r="R76" i="51"/>
  <c r="Q76" i="51"/>
  <c r="P76" i="51"/>
  <c r="O76" i="51"/>
  <c r="N76" i="51"/>
  <c r="M76" i="51"/>
  <c r="D76" i="51"/>
  <c r="C76" i="51"/>
  <c r="B76" i="51"/>
  <c r="AI75" i="51"/>
  <c r="AH75" i="51"/>
  <c r="AG75" i="51"/>
  <c r="AG76" i="51" s="1"/>
  <c r="AG3" i="51" s="1"/>
  <c r="AI74" i="51"/>
  <c r="AH74" i="51"/>
  <c r="AI73" i="51"/>
  <c r="AH73" i="51"/>
  <c r="AI72" i="51"/>
  <c r="AH72" i="51"/>
  <c r="AI71" i="51"/>
  <c r="AH71" i="51"/>
  <c r="AI70" i="51"/>
  <c r="AH70" i="51"/>
  <c r="AI69" i="51"/>
  <c r="AH69" i="51"/>
  <c r="AI68" i="51"/>
  <c r="AH68" i="51"/>
  <c r="AI67" i="51"/>
  <c r="AH67" i="51"/>
  <c r="AI66" i="51"/>
  <c r="AH66" i="51"/>
  <c r="AI65" i="51"/>
  <c r="AH65" i="51"/>
  <c r="AI64" i="51"/>
  <c r="AH64" i="51"/>
  <c r="AI63" i="51"/>
  <c r="AH63" i="51"/>
  <c r="AG62" i="51"/>
  <c r="AF62" i="51"/>
  <c r="AE62" i="51"/>
  <c r="AD62" i="51"/>
  <c r="AC62" i="51"/>
  <c r="AB62" i="51"/>
  <c r="R62" i="51"/>
  <c r="Q62" i="51"/>
  <c r="O62" i="51"/>
  <c r="N62" i="51"/>
  <c r="M62" i="51"/>
  <c r="D62" i="51"/>
  <c r="C62" i="51"/>
  <c r="B62" i="51"/>
  <c r="AI61" i="51"/>
  <c r="AH61" i="51"/>
  <c r="AI60" i="51"/>
  <c r="AH60" i="51"/>
  <c r="AI59" i="51"/>
  <c r="AH59" i="51"/>
  <c r="AG58" i="51"/>
  <c r="AF58" i="51"/>
  <c r="AE58" i="51"/>
  <c r="AD58" i="51"/>
  <c r="AC58" i="51"/>
  <c r="AB58" i="51"/>
  <c r="R58" i="51"/>
  <c r="Q58" i="51"/>
  <c r="O58" i="51"/>
  <c r="N58" i="51"/>
  <c r="M58" i="51"/>
  <c r="D58" i="51"/>
  <c r="C58" i="51"/>
  <c r="B58" i="51"/>
  <c r="AI57" i="51"/>
  <c r="AH57" i="51"/>
  <c r="AI56" i="51"/>
  <c r="AH56" i="51"/>
  <c r="AI55" i="51"/>
  <c r="AH55" i="51"/>
  <c r="AI54" i="51"/>
  <c r="AH54" i="51"/>
  <c r="AI53" i="51"/>
  <c r="AH53" i="51"/>
  <c r="AI52" i="51"/>
  <c r="AH52" i="51"/>
  <c r="AI51" i="51"/>
  <c r="AH51" i="51"/>
  <c r="AI50" i="51"/>
  <c r="AH50" i="51"/>
  <c r="AI49" i="51"/>
  <c r="AH49" i="51"/>
  <c r="AI48" i="51"/>
  <c r="AH48" i="51"/>
  <c r="AI47" i="51"/>
  <c r="AH47" i="51"/>
  <c r="AI46" i="51"/>
  <c r="AH46" i="51"/>
  <c r="AI45" i="51"/>
  <c r="AH45" i="51"/>
  <c r="AI44" i="51"/>
  <c r="AH44" i="51"/>
  <c r="AI43" i="51"/>
  <c r="AH43" i="51"/>
  <c r="AI42" i="51"/>
  <c r="AH42" i="51"/>
  <c r="AI41" i="51"/>
  <c r="AH41" i="51"/>
  <c r="AI40" i="51"/>
  <c r="AH40" i="51"/>
  <c r="AI39" i="51"/>
  <c r="AH39" i="51"/>
  <c r="AI38" i="51"/>
  <c r="AH38" i="51"/>
  <c r="AI37" i="51"/>
  <c r="AH37" i="51"/>
  <c r="AI36" i="51"/>
  <c r="AH36" i="51"/>
  <c r="AI35" i="51"/>
  <c r="AH35" i="51"/>
  <c r="AI34" i="51"/>
  <c r="AH34" i="51"/>
  <c r="AI33" i="51"/>
  <c r="AH33" i="51"/>
  <c r="AI32" i="51"/>
  <c r="AH32" i="51"/>
  <c r="AI31" i="51"/>
  <c r="AH31" i="51"/>
  <c r="AI30" i="51"/>
  <c r="AH30" i="51"/>
  <c r="AI29" i="51"/>
  <c r="AH29" i="51"/>
  <c r="AI28" i="51"/>
  <c r="AH28" i="51"/>
  <c r="AI27" i="51"/>
  <c r="AH27" i="51"/>
  <c r="AI26" i="51"/>
  <c r="AH26" i="51"/>
  <c r="AI25" i="51"/>
  <c r="AH25" i="51"/>
  <c r="AI24" i="51"/>
  <c r="AH24" i="51"/>
  <c r="AI23" i="51"/>
  <c r="AH23" i="51"/>
  <c r="AI22" i="51"/>
  <c r="AH22" i="51"/>
  <c r="AI21" i="51"/>
  <c r="AH21" i="51"/>
  <c r="AI20" i="51"/>
  <c r="AH20" i="51"/>
  <c r="AI19" i="51"/>
  <c r="AH19" i="51"/>
  <c r="AI18" i="51"/>
  <c r="AH18" i="51"/>
  <c r="AI17" i="51"/>
  <c r="AH17" i="51"/>
  <c r="AI16" i="51"/>
  <c r="AH16" i="51"/>
  <c r="AI15" i="51"/>
  <c r="AH15" i="51"/>
  <c r="AI14" i="51"/>
  <c r="AH14" i="51"/>
  <c r="AI13" i="51"/>
  <c r="AH13" i="51"/>
  <c r="AI12" i="51"/>
  <c r="AH12" i="51"/>
  <c r="AI11" i="51"/>
  <c r="AH11" i="51"/>
  <c r="Z5" i="51"/>
  <c r="X5" i="51"/>
  <c r="W5" i="51"/>
  <c r="V5" i="51"/>
  <c r="U5" i="51"/>
  <c r="T5" i="51"/>
  <c r="R5" i="51"/>
  <c r="J5" i="51"/>
  <c r="C5" i="51"/>
  <c r="K4" i="51"/>
  <c r="E4" i="51"/>
  <c r="H4" i="51" s="1"/>
  <c r="B4" i="51"/>
  <c r="D258" i="51" s="1"/>
  <c r="AG2" i="51"/>
  <c r="AF123" i="50"/>
  <c r="AE123" i="50"/>
  <c r="AD118" i="50"/>
  <c r="AD123" i="50"/>
  <c r="AC123" i="50"/>
  <c r="AB123" i="50"/>
  <c r="AA123" i="50"/>
  <c r="Z123" i="50"/>
  <c r="Z58" i="50"/>
  <c r="AA58" i="50"/>
  <c r="Z62" i="50"/>
  <c r="AA62" i="50"/>
  <c r="Y123" i="50"/>
  <c r="X125" i="50"/>
  <c r="W129" i="50"/>
  <c r="V123" i="50"/>
  <c r="U123" i="50"/>
  <c r="U58" i="50"/>
  <c r="U62" i="50"/>
  <c r="T123" i="50"/>
  <c r="T58" i="50"/>
  <c r="T62" i="50"/>
  <c r="T76" i="50"/>
  <c r="R57" i="50"/>
  <c r="R123" i="50"/>
  <c r="Q123" i="50"/>
  <c r="Q57" i="50"/>
  <c r="P57" i="50"/>
  <c r="P123" i="50"/>
  <c r="O57" i="50"/>
  <c r="N123" i="50"/>
  <c r="N57" i="50"/>
  <c r="U118" i="55" l="1"/>
  <c r="V246" i="55"/>
  <c r="U252" i="55"/>
  <c r="T282" i="55"/>
  <c r="V251" i="55"/>
  <c r="M118" i="54"/>
  <c r="N246" i="54"/>
  <c r="M252" i="54"/>
  <c r="N251" i="54"/>
  <c r="L282" i="54"/>
  <c r="K6" i="53"/>
  <c r="E282" i="53"/>
  <c r="G251" i="53"/>
  <c r="G252" i="53" s="1"/>
  <c r="H246" i="53"/>
  <c r="F252" i="53"/>
  <c r="AI99" i="53"/>
  <c r="B100" i="53"/>
  <c r="AH99" i="53"/>
  <c r="T261" i="53"/>
  <c r="AE108" i="52"/>
  <c r="AC108" i="52"/>
  <c r="Q100" i="52"/>
  <c r="Q7" i="52" s="1"/>
  <c r="O108" i="52"/>
  <c r="M108" i="52"/>
  <c r="K100" i="52"/>
  <c r="K7" i="52" s="1"/>
  <c r="I100" i="52"/>
  <c r="I7" i="52" s="1"/>
  <c r="H100" i="52"/>
  <c r="H7" i="52" s="1"/>
  <c r="G100" i="52"/>
  <c r="G7" i="52" s="1"/>
  <c r="E100" i="52"/>
  <c r="E7" i="52" s="1"/>
  <c r="AH103" i="52"/>
  <c r="AV261" i="52"/>
  <c r="AD100" i="52"/>
  <c r="AD7" i="52" s="1"/>
  <c r="V261" i="52"/>
  <c r="D100" i="52"/>
  <c r="D7" i="52" s="1"/>
  <c r="F247" i="52"/>
  <c r="E252" i="52"/>
  <c r="AB261" i="52"/>
  <c r="J100" i="52"/>
  <c r="J7" i="52" s="1"/>
  <c r="AN261" i="52"/>
  <c r="V100" i="52"/>
  <c r="V7" i="52" s="1"/>
  <c r="B99" i="52"/>
  <c r="AI97" i="52"/>
  <c r="AH97" i="52"/>
  <c r="AI103" i="52"/>
  <c r="X5" i="52"/>
  <c r="AH107" i="52"/>
  <c r="AI107" i="52"/>
  <c r="AT261" i="52"/>
  <c r="AB100" i="52"/>
  <c r="AB7" i="52" s="1"/>
  <c r="E118" i="52"/>
  <c r="D282" i="52"/>
  <c r="F251" i="52"/>
  <c r="AF261" i="52"/>
  <c r="N100" i="52"/>
  <c r="N7" i="52" s="1"/>
  <c r="H246" i="52"/>
  <c r="AJ261" i="52"/>
  <c r="R7" i="52"/>
  <c r="AL261" i="52"/>
  <c r="T7" i="52"/>
  <c r="AH92" i="52"/>
  <c r="AR261" i="52"/>
  <c r="Z7" i="52"/>
  <c r="B256" i="52"/>
  <c r="C256" i="52"/>
  <c r="AI92" i="52"/>
  <c r="Y5" i="52"/>
  <c r="X261" i="52"/>
  <c r="F100" i="52"/>
  <c r="F7" i="52" s="1"/>
  <c r="AD261" i="52"/>
  <c r="L100" i="52"/>
  <c r="L7" i="52" s="1"/>
  <c r="U261" i="52"/>
  <c r="C100" i="52"/>
  <c r="C7" i="52" s="1"/>
  <c r="AD107" i="51"/>
  <c r="AD97" i="51"/>
  <c r="AD99" i="51" s="1"/>
  <c r="AC97" i="51"/>
  <c r="AC99" i="51" s="1"/>
  <c r="AC107" i="51"/>
  <c r="Z97" i="51"/>
  <c r="Z99" i="51" s="1"/>
  <c r="Z100" i="51" s="1"/>
  <c r="U108" i="51"/>
  <c r="T107" i="51"/>
  <c r="T97" i="51"/>
  <c r="T99" i="51" s="1"/>
  <c r="T108" i="51"/>
  <c r="AH123" i="51"/>
  <c r="AI123" i="51"/>
  <c r="S107" i="51"/>
  <c r="S108" i="51" s="1"/>
  <c r="S97" i="51"/>
  <c r="S99" i="51" s="1"/>
  <c r="Q107" i="51"/>
  <c r="N97" i="51"/>
  <c r="N99" i="51" s="1"/>
  <c r="AG6" i="51"/>
  <c r="AB97" i="51"/>
  <c r="AB99" i="51" s="1"/>
  <c r="AT261" i="51" s="1"/>
  <c r="F107" i="51"/>
  <c r="O107" i="51"/>
  <c r="O108" i="51" s="1"/>
  <c r="AE107" i="51"/>
  <c r="AE108" i="51" s="1"/>
  <c r="P107" i="51"/>
  <c r="P108" i="51" s="1"/>
  <c r="AF107" i="51"/>
  <c r="AF108" i="51" s="1"/>
  <c r="O97" i="51"/>
  <c r="O99" i="51" s="1"/>
  <c r="AG261" i="51" s="1"/>
  <c r="P97" i="51"/>
  <c r="P99" i="51" s="1"/>
  <c r="AH261" i="51" s="1"/>
  <c r="X7" i="51"/>
  <c r="AF97" i="51"/>
  <c r="AF99" i="51" s="1"/>
  <c r="E246" i="51"/>
  <c r="F246" i="51" s="1"/>
  <c r="Q108" i="51"/>
  <c r="Q97" i="51"/>
  <c r="Q99" i="51" s="1"/>
  <c r="Q100" i="51" s="1"/>
  <c r="Q7" i="51" s="1"/>
  <c r="AQ261" i="51"/>
  <c r="R107" i="51"/>
  <c r="E107" i="51"/>
  <c r="AE97" i="51"/>
  <c r="AE99" i="51" s="1"/>
  <c r="AW261" i="51" s="1"/>
  <c r="R97" i="51"/>
  <c r="R99" i="51" s="1"/>
  <c r="AJ261" i="51" s="1"/>
  <c r="E108" i="51"/>
  <c r="AB107" i="51"/>
  <c r="AB108" i="51" s="1"/>
  <c r="H97" i="51"/>
  <c r="H99" i="51" s="1"/>
  <c r="M107" i="51"/>
  <c r="M108" i="51" s="1"/>
  <c r="M97" i="51"/>
  <c r="M99" i="51" s="1"/>
  <c r="AE261" i="51" s="1"/>
  <c r="L107" i="51"/>
  <c r="L108" i="51" s="1"/>
  <c r="K5" i="51"/>
  <c r="L97" i="51"/>
  <c r="L99" i="51" s="1"/>
  <c r="L100" i="51" s="1"/>
  <c r="K107" i="51"/>
  <c r="K108" i="51" s="1"/>
  <c r="K97" i="51"/>
  <c r="K99" i="51" s="1"/>
  <c r="J107" i="51"/>
  <c r="J108" i="51" s="1"/>
  <c r="J97" i="51"/>
  <c r="J99" i="51" s="1"/>
  <c r="J100" i="51" s="1"/>
  <c r="J7" i="51" s="1"/>
  <c r="I5" i="51"/>
  <c r="I97" i="51"/>
  <c r="I99" i="51" s="1"/>
  <c r="I107" i="51"/>
  <c r="I108" i="51"/>
  <c r="H107" i="51"/>
  <c r="H100" i="51" s="1"/>
  <c r="H7" i="51" s="1"/>
  <c r="G5" i="51"/>
  <c r="H108" i="51"/>
  <c r="AH80" i="51"/>
  <c r="F108" i="51"/>
  <c r="G107" i="51"/>
  <c r="G97" i="51"/>
  <c r="G99" i="51" s="1"/>
  <c r="F97" i="51"/>
  <c r="F99" i="51" s="1"/>
  <c r="F100" i="51" s="1"/>
  <c r="F7" i="51" s="1"/>
  <c r="AI105" i="51"/>
  <c r="E5" i="51"/>
  <c r="G108" i="51"/>
  <c r="D5" i="51"/>
  <c r="E97" i="51"/>
  <c r="E99" i="51" s="1"/>
  <c r="E100" i="51" s="1"/>
  <c r="E7" i="51" s="1"/>
  <c r="E118" i="51"/>
  <c r="AI58" i="51"/>
  <c r="AI102" i="51"/>
  <c r="AI103" i="51"/>
  <c r="D107" i="51"/>
  <c r="D108" i="51" s="1"/>
  <c r="D97" i="51"/>
  <c r="D99" i="51" s="1"/>
  <c r="D100" i="51" s="1"/>
  <c r="D7" i="51" s="1"/>
  <c r="AI101" i="51"/>
  <c r="AI104" i="51"/>
  <c r="C107" i="51"/>
  <c r="C108" i="51" s="1"/>
  <c r="AH92" i="51"/>
  <c r="B5" i="51"/>
  <c r="C97" i="51"/>
  <c r="C99" i="51" s="1"/>
  <c r="U261" i="51" s="1"/>
  <c r="AH76" i="51"/>
  <c r="AI62" i="51"/>
  <c r="S258" i="51"/>
  <c r="W261" i="51"/>
  <c r="AM261" i="51"/>
  <c r="U7" i="51"/>
  <c r="AU261" i="51"/>
  <c r="AC100" i="51"/>
  <c r="AC7" i="51" s="1"/>
  <c r="X261" i="51"/>
  <c r="AF261" i="51"/>
  <c r="N100" i="51"/>
  <c r="N7" i="51" s="1"/>
  <c r="AN261" i="51"/>
  <c r="V7" i="51"/>
  <c r="AV261" i="51"/>
  <c r="AD100" i="51"/>
  <c r="AD7" i="51" s="1"/>
  <c r="G247" i="51"/>
  <c r="H247" i="51" s="1"/>
  <c r="I247" i="51" s="1"/>
  <c r="J247" i="51" s="1"/>
  <c r="K247" i="51" s="1"/>
  <c r="L247" i="51" s="1"/>
  <c r="M247" i="51" s="1"/>
  <c r="N247" i="51" s="1"/>
  <c r="O247" i="51" s="1"/>
  <c r="P247" i="51" s="1"/>
  <c r="Q247" i="51" s="1"/>
  <c r="R247" i="51" s="1"/>
  <c r="S247" i="51" s="1"/>
  <c r="T247" i="51" s="1"/>
  <c r="U247" i="51" s="1"/>
  <c r="V247" i="51" s="1"/>
  <c r="W247" i="51" s="1"/>
  <c r="X247" i="51" s="1"/>
  <c r="Y247" i="51" s="1"/>
  <c r="Z247" i="51" s="1"/>
  <c r="AA247" i="51" s="1"/>
  <c r="AB247" i="51" s="1"/>
  <c r="AC247" i="51" s="1"/>
  <c r="AD247" i="51" s="1"/>
  <c r="AE247" i="51" s="1"/>
  <c r="AF247" i="51" s="1"/>
  <c r="B247" i="51" s="1"/>
  <c r="Y261" i="51"/>
  <c r="Z261" i="51"/>
  <c r="AP261" i="51"/>
  <c r="AA261" i="51"/>
  <c r="AG97" i="51"/>
  <c r="AC108" i="51"/>
  <c r="AO261" i="51"/>
  <c r="W7" i="51"/>
  <c r="AR261" i="51"/>
  <c r="Z7" i="51"/>
  <c r="N108" i="51"/>
  <c r="AD108" i="51"/>
  <c r="AC261" i="51"/>
  <c r="AK261" i="51"/>
  <c r="AS261" i="51"/>
  <c r="E252" i="51"/>
  <c r="V261" i="51"/>
  <c r="AD261" i="51"/>
  <c r="L7" i="51"/>
  <c r="AL261" i="51"/>
  <c r="AG99" i="51"/>
  <c r="AI76" i="51"/>
  <c r="AI80" i="51"/>
  <c r="AI92" i="51"/>
  <c r="AH101" i="51"/>
  <c r="B107" i="51"/>
  <c r="F251" i="51"/>
  <c r="AF5" i="51"/>
  <c r="AH102" i="51"/>
  <c r="R108" i="51"/>
  <c r="AH58" i="51"/>
  <c r="AH62" i="51"/>
  <c r="B97" i="51"/>
  <c r="AH103" i="51"/>
  <c r="AH104" i="51"/>
  <c r="AH105" i="51"/>
  <c r="U282" i="55" l="1"/>
  <c r="W251" i="55"/>
  <c r="V118" i="55"/>
  <c r="W246" i="55"/>
  <c r="V252" i="55"/>
  <c r="M282" i="54"/>
  <c r="O251" i="54"/>
  <c r="O246" i="54"/>
  <c r="N252" i="54"/>
  <c r="N118" i="54"/>
  <c r="AH100" i="53"/>
  <c r="B7" i="53"/>
  <c r="A7" i="53" s="1"/>
  <c r="AI100" i="53"/>
  <c r="G118" i="53"/>
  <c r="I246" i="53"/>
  <c r="H252" i="53"/>
  <c r="H118" i="53"/>
  <c r="F282" i="53"/>
  <c r="H251" i="53"/>
  <c r="AH108" i="52"/>
  <c r="AI108" i="52"/>
  <c r="G247" i="52"/>
  <c r="F252" i="52"/>
  <c r="I246" i="52"/>
  <c r="AI99" i="52"/>
  <c r="AH99" i="52"/>
  <c r="T261" i="52"/>
  <c r="B100" i="52"/>
  <c r="Y7" i="52"/>
  <c r="AQ261" i="52"/>
  <c r="E282" i="52"/>
  <c r="G251" i="52"/>
  <c r="F118" i="52"/>
  <c r="K6" i="52"/>
  <c r="AF100" i="51"/>
  <c r="AF7" i="51" s="1"/>
  <c r="AX261" i="51"/>
  <c r="AB100" i="51"/>
  <c r="AB7" i="51" s="1"/>
  <c r="S100" i="51"/>
  <c r="S7" i="51" s="1"/>
  <c r="T100" i="51"/>
  <c r="T7" i="51" s="1"/>
  <c r="R100" i="51"/>
  <c r="R7" i="51" s="1"/>
  <c r="AI261" i="51"/>
  <c r="P100" i="51"/>
  <c r="P7" i="51" s="1"/>
  <c r="O100" i="51"/>
  <c r="O7" i="51" s="1"/>
  <c r="K100" i="51"/>
  <c r="K7" i="51" s="1"/>
  <c r="AE100" i="51"/>
  <c r="AE7" i="51" s="1"/>
  <c r="Y7" i="51"/>
  <c r="G246" i="51"/>
  <c r="F118" i="51"/>
  <c r="AB261" i="51"/>
  <c r="I100" i="51"/>
  <c r="I7" i="51" s="1"/>
  <c r="AA7" i="51"/>
  <c r="M100" i="51"/>
  <c r="M7" i="51" s="1"/>
  <c r="C256" i="51"/>
  <c r="B256" i="51"/>
  <c r="G100" i="51"/>
  <c r="G7" i="51" s="1"/>
  <c r="C100" i="51"/>
  <c r="C7" i="51" s="1"/>
  <c r="E282" i="51"/>
  <c r="G251" i="51"/>
  <c r="AH107" i="51"/>
  <c r="AI107" i="51"/>
  <c r="B108" i="51"/>
  <c r="AI97" i="51"/>
  <c r="AH97" i="51"/>
  <c r="B99" i="51"/>
  <c r="F252" i="51"/>
  <c r="X246" i="55" l="1"/>
  <c r="W252" i="55"/>
  <c r="W118" i="55"/>
  <c r="V282" i="55"/>
  <c r="X251" i="55"/>
  <c r="O252" i="54"/>
  <c r="P246" i="54"/>
  <c r="O118" i="54"/>
  <c r="N282" i="54"/>
  <c r="P251" i="54"/>
  <c r="J246" i="53"/>
  <c r="I118" i="53"/>
  <c r="G282" i="53"/>
  <c r="I251" i="53"/>
  <c r="F282" i="52"/>
  <c r="H251" i="52"/>
  <c r="G118" i="52"/>
  <c r="J246" i="52"/>
  <c r="AH100" i="52"/>
  <c r="B7" i="52"/>
  <c r="A7" i="52" s="1"/>
  <c r="AI100" i="52"/>
  <c r="H247" i="52"/>
  <c r="G252" i="52"/>
  <c r="K6" i="51"/>
  <c r="G118" i="51"/>
  <c r="H246" i="51"/>
  <c r="AI99" i="51"/>
  <c r="T261" i="51"/>
  <c r="B100" i="51"/>
  <c r="AH99" i="51"/>
  <c r="AI108" i="51"/>
  <c r="AH108" i="51"/>
  <c r="F282" i="51"/>
  <c r="H251" i="51"/>
  <c r="G252" i="51"/>
  <c r="W282" i="55" l="1"/>
  <c r="Y251" i="55"/>
  <c r="Y246" i="55"/>
  <c r="X252" i="55"/>
  <c r="X118" i="55"/>
  <c r="O282" i="54"/>
  <c r="Q251" i="54"/>
  <c r="Q246" i="54"/>
  <c r="P252" i="54"/>
  <c r="H282" i="53"/>
  <c r="J251" i="53"/>
  <c r="I252" i="53"/>
  <c r="J252" i="53"/>
  <c r="J118" i="53"/>
  <c r="K246" i="53"/>
  <c r="K246" i="52"/>
  <c r="I247" i="52"/>
  <c r="H252" i="52"/>
  <c r="G282" i="52"/>
  <c r="I251" i="52"/>
  <c r="H118" i="52"/>
  <c r="H118" i="51"/>
  <c r="I246" i="51"/>
  <c r="G282" i="51"/>
  <c r="I251" i="51"/>
  <c r="H252" i="51"/>
  <c r="B7" i="51"/>
  <c r="A7" i="51" s="1"/>
  <c r="AI100" i="51"/>
  <c r="AH100" i="51"/>
  <c r="Y252" i="55" l="1"/>
  <c r="Z246" i="55"/>
  <c r="X282" i="55"/>
  <c r="Z251" i="55"/>
  <c r="P282" i="54"/>
  <c r="R251" i="54"/>
  <c r="Q118" i="54"/>
  <c r="Q252" i="54"/>
  <c r="R246" i="54"/>
  <c r="L246" i="53"/>
  <c r="K251" i="53"/>
  <c r="K118" i="53" s="1"/>
  <c r="I282" i="53"/>
  <c r="H282" i="52"/>
  <c r="J251" i="52"/>
  <c r="I118" i="52"/>
  <c r="J247" i="52"/>
  <c r="I252" i="52"/>
  <c r="L246" i="52"/>
  <c r="I118" i="51"/>
  <c r="J246" i="51"/>
  <c r="H282" i="51"/>
  <c r="J251" i="51"/>
  <c r="I252" i="51"/>
  <c r="AA251" i="55" l="1"/>
  <c r="Y282" i="55"/>
  <c r="Z252" i="55"/>
  <c r="AA246" i="55"/>
  <c r="R252" i="54"/>
  <c r="R118" i="54"/>
  <c r="S246" i="54"/>
  <c r="S251" i="54"/>
  <c r="Q282" i="54"/>
  <c r="M246" i="53"/>
  <c r="L251" i="53"/>
  <c r="J282" i="53"/>
  <c r="K252" i="53"/>
  <c r="M246" i="52"/>
  <c r="K247" i="52"/>
  <c r="J252" i="52"/>
  <c r="K251" i="52"/>
  <c r="I282" i="52"/>
  <c r="J118" i="52"/>
  <c r="J118" i="51"/>
  <c r="K246" i="51"/>
  <c r="K251" i="51"/>
  <c r="I282" i="51"/>
  <c r="J252" i="51"/>
  <c r="AA252" i="55" l="1"/>
  <c r="AA118" i="55"/>
  <c r="AB246" i="55"/>
  <c r="Z282" i="55"/>
  <c r="AB251" i="55"/>
  <c r="R282" i="54"/>
  <c r="T251" i="54"/>
  <c r="T246" i="54"/>
  <c r="S252" i="54"/>
  <c r="S118" i="54"/>
  <c r="K282" i="53"/>
  <c r="M251" i="53"/>
  <c r="M118" i="53"/>
  <c r="M252" i="53"/>
  <c r="N246" i="53"/>
  <c r="L118" i="53"/>
  <c r="L252" i="53"/>
  <c r="J282" i="52"/>
  <c r="L251" i="52"/>
  <c r="K118" i="52"/>
  <c r="L247" i="52"/>
  <c r="K252" i="52"/>
  <c r="N246" i="52"/>
  <c r="K118" i="51"/>
  <c r="L246" i="51"/>
  <c r="L251" i="51"/>
  <c r="J282" i="51"/>
  <c r="K252" i="51"/>
  <c r="AA282" i="55" l="1"/>
  <c r="AC251" i="55"/>
  <c r="AB252" i="55"/>
  <c r="AB118" i="55"/>
  <c r="AC246" i="55"/>
  <c r="S282" i="54"/>
  <c r="U251" i="54"/>
  <c r="T252" i="54"/>
  <c r="T118" i="54"/>
  <c r="U246" i="54"/>
  <c r="O246" i="53"/>
  <c r="L282" i="53"/>
  <c r="N251" i="53"/>
  <c r="O246" i="52"/>
  <c r="M247" i="52"/>
  <c r="L252" i="52"/>
  <c r="M251" i="52"/>
  <c r="K282" i="52"/>
  <c r="L118" i="52"/>
  <c r="L118" i="51"/>
  <c r="M246" i="51"/>
  <c r="N246" i="51" s="1"/>
  <c r="M251" i="51"/>
  <c r="K282" i="51"/>
  <c r="L252" i="51"/>
  <c r="O246" i="51"/>
  <c r="AD246" i="55" l="1"/>
  <c r="AC252" i="55"/>
  <c r="AD251" i="55"/>
  <c r="AB282" i="55"/>
  <c r="U118" i="54"/>
  <c r="V246" i="54"/>
  <c r="U252" i="54"/>
  <c r="T282" i="54"/>
  <c r="V251" i="54"/>
  <c r="M282" i="53"/>
  <c r="O251" i="53"/>
  <c r="N252" i="53"/>
  <c r="N118" i="53"/>
  <c r="P246" i="53"/>
  <c r="O252" i="53"/>
  <c r="O118" i="53"/>
  <c r="L282" i="52"/>
  <c r="N251" i="52"/>
  <c r="M118" i="52"/>
  <c r="N247" i="52"/>
  <c r="M252" i="52"/>
  <c r="P246" i="52"/>
  <c r="P246" i="51"/>
  <c r="L282" i="51"/>
  <c r="N251" i="51"/>
  <c r="M252" i="51"/>
  <c r="M118" i="51"/>
  <c r="AC282" i="55" l="1"/>
  <c r="AE251" i="55"/>
  <c r="AE246" i="55"/>
  <c r="AD252" i="55"/>
  <c r="U282" i="54"/>
  <c r="W251" i="54"/>
  <c r="V118" i="54"/>
  <c r="W246" i="54"/>
  <c r="V252" i="54"/>
  <c r="Q246" i="53"/>
  <c r="N282" i="53"/>
  <c r="P251" i="53"/>
  <c r="Q246" i="52"/>
  <c r="O247" i="52"/>
  <c r="N252" i="52"/>
  <c r="M282" i="52"/>
  <c r="O251" i="52"/>
  <c r="N118" i="52"/>
  <c r="M282" i="51"/>
  <c r="O251" i="51"/>
  <c r="N252" i="51"/>
  <c r="N118" i="51"/>
  <c r="Q246" i="51"/>
  <c r="AF246" i="55" l="1"/>
  <c r="AE252" i="55"/>
  <c r="AD282" i="55"/>
  <c r="AF251" i="55"/>
  <c r="X246" i="54"/>
  <c r="W252" i="54"/>
  <c r="W118" i="54"/>
  <c r="V282" i="54"/>
  <c r="X251" i="54"/>
  <c r="O282" i="53"/>
  <c r="Q251" i="53"/>
  <c r="P252" i="53"/>
  <c r="R246" i="53"/>
  <c r="Q252" i="53"/>
  <c r="Q118" i="53"/>
  <c r="N282" i="52"/>
  <c r="P251" i="52"/>
  <c r="O118" i="52"/>
  <c r="P247" i="52"/>
  <c r="O252" i="52"/>
  <c r="R246" i="52"/>
  <c r="R246" i="51"/>
  <c r="N282" i="51"/>
  <c r="P251" i="51"/>
  <c r="O118" i="51"/>
  <c r="O252" i="51"/>
  <c r="AF252" i="55" l="1"/>
  <c r="B246" i="55"/>
  <c r="B251" i="55"/>
  <c r="AF282" i="55" s="1"/>
  <c r="AE282" i="55"/>
  <c r="W282" i="54"/>
  <c r="Y251" i="54"/>
  <c r="Y246" i="54"/>
  <c r="X252" i="54"/>
  <c r="X118" i="54"/>
  <c r="R118" i="53"/>
  <c r="S246" i="53"/>
  <c r="P282" i="53"/>
  <c r="R251" i="53"/>
  <c r="S246" i="52"/>
  <c r="Q247" i="52"/>
  <c r="P252" i="52"/>
  <c r="O282" i="52"/>
  <c r="Q251" i="52"/>
  <c r="O282" i="51"/>
  <c r="Q251" i="51"/>
  <c r="P252" i="51"/>
  <c r="S246" i="51"/>
  <c r="B252" i="55" l="1"/>
  <c r="X282" i="54"/>
  <c r="Z251" i="54"/>
  <c r="Y252" i="54"/>
  <c r="Z246" i="54"/>
  <c r="S251" i="53"/>
  <c r="Q282" i="53"/>
  <c r="S252" i="53"/>
  <c r="T246" i="53"/>
  <c r="R252" i="53"/>
  <c r="R247" i="52"/>
  <c r="Q252" i="52"/>
  <c r="T246" i="52"/>
  <c r="P282" i="52"/>
  <c r="R251" i="52"/>
  <c r="Q118" i="52"/>
  <c r="T246" i="51"/>
  <c r="P282" i="51"/>
  <c r="R251" i="51"/>
  <c r="Q252" i="51"/>
  <c r="Q118" i="51"/>
  <c r="AH118" i="55" l="1"/>
  <c r="AI118" i="55"/>
  <c r="AA251" i="54"/>
  <c r="Y282" i="54"/>
  <c r="Z252" i="54"/>
  <c r="AA246" i="54"/>
  <c r="U246" i="53"/>
  <c r="R282" i="53"/>
  <c r="T251" i="53"/>
  <c r="U246" i="52"/>
  <c r="S251" i="52"/>
  <c r="Q282" i="52"/>
  <c r="S247" i="52"/>
  <c r="R252" i="52"/>
  <c r="S251" i="51"/>
  <c r="Q282" i="51"/>
  <c r="R118" i="51"/>
  <c r="R252" i="51"/>
  <c r="U246" i="51"/>
  <c r="AA252" i="54" l="1"/>
  <c r="AB246" i="54"/>
  <c r="AA118" i="54"/>
  <c r="Z282" i="54"/>
  <c r="AB251" i="54"/>
  <c r="V246" i="53"/>
  <c r="U252" i="53"/>
  <c r="S282" i="53"/>
  <c r="U251" i="53"/>
  <c r="T252" i="53"/>
  <c r="T247" i="52"/>
  <c r="S252" i="52"/>
  <c r="R282" i="52"/>
  <c r="T251" i="52"/>
  <c r="V246" i="52"/>
  <c r="V246" i="51"/>
  <c r="R282" i="51"/>
  <c r="T251" i="51"/>
  <c r="S252" i="51"/>
  <c r="AA282" i="54" l="1"/>
  <c r="AC251" i="54"/>
  <c r="AB252" i="54"/>
  <c r="AB118" i="54"/>
  <c r="AC246" i="54"/>
  <c r="T282" i="53"/>
  <c r="V251" i="53"/>
  <c r="V118" i="53"/>
  <c r="W246" i="53"/>
  <c r="V252" i="53"/>
  <c r="U118" i="53"/>
  <c r="W246" i="52"/>
  <c r="U251" i="52"/>
  <c r="S282" i="52"/>
  <c r="U247" i="52"/>
  <c r="T252" i="52"/>
  <c r="S282" i="51"/>
  <c r="U251" i="51"/>
  <c r="T252" i="51"/>
  <c r="W246" i="51"/>
  <c r="AD251" i="54" l="1"/>
  <c r="AB282" i="54"/>
  <c r="AC118" i="54"/>
  <c r="AD246" i="54"/>
  <c r="AC252" i="54"/>
  <c r="X246" i="53"/>
  <c r="U282" i="53"/>
  <c r="W251" i="53"/>
  <c r="V247" i="52"/>
  <c r="U252" i="52"/>
  <c r="T282" i="52"/>
  <c r="V251" i="52"/>
  <c r="X246" i="52"/>
  <c r="X246" i="51"/>
  <c r="T282" i="51"/>
  <c r="V251" i="51"/>
  <c r="U252" i="51"/>
  <c r="AE246" i="54" l="1"/>
  <c r="AD252" i="54"/>
  <c r="AC282" i="54"/>
  <c r="AE251" i="54"/>
  <c r="V282" i="53"/>
  <c r="X251" i="53"/>
  <c r="W252" i="53"/>
  <c r="W118" i="53"/>
  <c r="Y246" i="53"/>
  <c r="X252" i="53"/>
  <c r="X118" i="53"/>
  <c r="Y246" i="52"/>
  <c r="U282" i="52"/>
  <c r="W251" i="52"/>
  <c r="V118" i="52"/>
  <c r="W247" i="52"/>
  <c r="V252" i="52"/>
  <c r="U282" i="51"/>
  <c r="W251" i="51"/>
  <c r="V252" i="51"/>
  <c r="Y246" i="51"/>
  <c r="AD282" i="54" l="1"/>
  <c r="AF251" i="54"/>
  <c r="AE118" i="54"/>
  <c r="AF246" i="54"/>
  <c r="AE252" i="54"/>
  <c r="Z246" i="53"/>
  <c r="W282" i="53"/>
  <c r="Y251" i="53"/>
  <c r="X247" i="52"/>
  <c r="W252" i="52"/>
  <c r="V282" i="52"/>
  <c r="X251" i="52"/>
  <c r="Z246" i="52"/>
  <c r="Z246" i="51"/>
  <c r="V282" i="51"/>
  <c r="X251" i="51"/>
  <c r="W252" i="51"/>
  <c r="AF252" i="54" l="1"/>
  <c r="B246" i="54"/>
  <c r="B251" i="54"/>
  <c r="AF282" i="54" s="1"/>
  <c r="AE282" i="54"/>
  <c r="X282" i="53"/>
  <c r="Z251" i="53"/>
  <c r="Z252" i="53"/>
  <c r="AA246" i="53"/>
  <c r="Y252" i="53"/>
  <c r="AA246" i="52"/>
  <c r="W282" i="52"/>
  <c r="Y251" i="52"/>
  <c r="Y247" i="52"/>
  <c r="X252" i="52"/>
  <c r="W282" i="51"/>
  <c r="Y251" i="51"/>
  <c r="X252" i="51"/>
  <c r="AA246" i="51"/>
  <c r="B252" i="54" l="1"/>
  <c r="AA118" i="53"/>
  <c r="AB246" i="53"/>
  <c r="AA251" i="53"/>
  <c r="Y282" i="53"/>
  <c r="Z247" i="52"/>
  <c r="Y252" i="52"/>
  <c r="X282" i="52"/>
  <c r="Z251" i="52"/>
  <c r="AB246" i="52"/>
  <c r="X282" i="51"/>
  <c r="Z251" i="51"/>
  <c r="Y252" i="51"/>
  <c r="AB246" i="51"/>
  <c r="AI118" i="54" l="1"/>
  <c r="AH118" i="54"/>
  <c r="AB251" i="53"/>
  <c r="Z282" i="53"/>
  <c r="AB252" i="53"/>
  <c r="AC246" i="53"/>
  <c r="AA252" i="53"/>
  <c r="AC246" i="52"/>
  <c r="AA251" i="52"/>
  <c r="Y282" i="52"/>
  <c r="AA247" i="52"/>
  <c r="Z252" i="52"/>
  <c r="AA251" i="51"/>
  <c r="Y282" i="51"/>
  <c r="Z252" i="51"/>
  <c r="AC246" i="51"/>
  <c r="AD246" i="53" l="1"/>
  <c r="AA282" i="53"/>
  <c r="AC251" i="53"/>
  <c r="AB247" i="52"/>
  <c r="AA252" i="52"/>
  <c r="Z282" i="52"/>
  <c r="AB251" i="52"/>
  <c r="AD246" i="52"/>
  <c r="AD246" i="51"/>
  <c r="Z282" i="51"/>
  <c r="AB251" i="51"/>
  <c r="AA252" i="51"/>
  <c r="AE246" i="53" l="1"/>
  <c r="AB282" i="53"/>
  <c r="AD251" i="53"/>
  <c r="AD252" i="53" s="1"/>
  <c r="AC252" i="53"/>
  <c r="AE246" i="52"/>
  <c r="AC251" i="52"/>
  <c r="AA282" i="52"/>
  <c r="AB118" i="52"/>
  <c r="AC247" i="52"/>
  <c r="AB252" i="52"/>
  <c r="AC251" i="51"/>
  <c r="AA282" i="51"/>
  <c r="AB118" i="51"/>
  <c r="AB252" i="51"/>
  <c r="AE246" i="51"/>
  <c r="AC282" i="53" l="1"/>
  <c r="AE251" i="53"/>
  <c r="AF246" i="53"/>
  <c r="AE252" i="53"/>
  <c r="AB282" i="52"/>
  <c r="AD251" i="52"/>
  <c r="AC118" i="52"/>
  <c r="AD247" i="52"/>
  <c r="AC252" i="52"/>
  <c r="AF246" i="52"/>
  <c r="AF246" i="51"/>
  <c r="AB282" i="51"/>
  <c r="AD251" i="51"/>
  <c r="AC252" i="51"/>
  <c r="AC118" i="51"/>
  <c r="B246" i="53" l="1"/>
  <c r="AD282" i="53"/>
  <c r="AF251" i="53"/>
  <c r="B246" i="52"/>
  <c r="AE247" i="52"/>
  <c r="AD252" i="52"/>
  <c r="AC282" i="52"/>
  <c r="AE251" i="52"/>
  <c r="AC282" i="51"/>
  <c r="AE251" i="51"/>
  <c r="AD252" i="51"/>
  <c r="B246" i="51"/>
  <c r="B251" i="53" l="1"/>
  <c r="AF282" i="53" s="1"/>
  <c r="AE282" i="53"/>
  <c r="B252" i="53"/>
  <c r="B118" i="53"/>
  <c r="AF252" i="53"/>
  <c r="AD282" i="52"/>
  <c r="AF251" i="52"/>
  <c r="AE118" i="52"/>
  <c r="AF247" i="52"/>
  <c r="AE252" i="52"/>
  <c r="AD282" i="51"/>
  <c r="AF251" i="51"/>
  <c r="AE252" i="51"/>
  <c r="AE118" i="51"/>
  <c r="AI118" i="53" l="1"/>
  <c r="AH118" i="53"/>
  <c r="B247" i="52"/>
  <c r="B252" i="52" s="1"/>
  <c r="AF252" i="52"/>
  <c r="B251" i="52"/>
  <c r="AE282" i="52"/>
  <c r="AF118" i="52"/>
  <c r="B251" i="51"/>
  <c r="AE282" i="51"/>
  <c r="AF252" i="51"/>
  <c r="AF118" i="51"/>
  <c r="AF282" i="52" l="1"/>
  <c r="B118" i="52"/>
  <c r="AF282" i="51"/>
  <c r="B118" i="51"/>
  <c r="B252" i="51"/>
  <c r="AI118" i="52" l="1"/>
  <c r="AH118" i="52"/>
  <c r="AI118" i="51"/>
  <c r="AH118" i="51"/>
  <c r="M123" i="50" l="1"/>
  <c r="M80" i="50"/>
  <c r="M57" i="50"/>
  <c r="M58" i="50"/>
  <c r="M62" i="50"/>
  <c r="M76" i="50"/>
  <c r="K121" i="50"/>
  <c r="K123" i="50"/>
  <c r="L123" i="50"/>
  <c r="L121" i="50"/>
  <c r="L57" i="50"/>
  <c r="K57" i="50"/>
  <c r="K58" i="50"/>
  <c r="K62" i="50"/>
  <c r="J123" i="50" l="1"/>
  <c r="J121" i="50"/>
  <c r="J57" i="50"/>
  <c r="I123" i="50"/>
  <c r="I121" i="50"/>
  <c r="I57" i="50"/>
  <c r="H123" i="50"/>
  <c r="H121" i="50"/>
  <c r="H57" i="50"/>
  <c r="G123" i="50"/>
  <c r="G121" i="50"/>
  <c r="G57" i="50"/>
  <c r="F123" i="50" l="1"/>
  <c r="F121" i="50"/>
  <c r="F57" i="50"/>
  <c r="E123" i="50" l="1"/>
  <c r="E121" i="50"/>
  <c r="E57" i="50"/>
  <c r="E58" i="50"/>
  <c r="E62" i="50"/>
  <c r="E76" i="50"/>
  <c r="E80" i="50"/>
  <c r="D123" i="50"/>
  <c r="D121" i="50"/>
  <c r="D118" i="50" s="1"/>
  <c r="D57" i="50"/>
  <c r="C123" i="50"/>
  <c r="C121" i="50"/>
  <c r="C118" i="50" s="1"/>
  <c r="C57" i="50"/>
  <c r="D58" i="50"/>
  <c r="D62" i="50"/>
  <c r="D76" i="50"/>
  <c r="D80" i="50"/>
  <c r="D92" i="50"/>
  <c r="C5" i="50" s="1"/>
  <c r="D101" i="50"/>
  <c r="D102" i="50"/>
  <c r="D103" i="50"/>
  <c r="D104" i="50"/>
  <c r="D105" i="50"/>
  <c r="D107" i="50" s="1"/>
  <c r="C58" i="50"/>
  <c r="C62" i="50"/>
  <c r="C76" i="50"/>
  <c r="C80" i="50"/>
  <c r="C92" i="50"/>
  <c r="B5" i="50" s="1"/>
  <c r="C101" i="50"/>
  <c r="C102" i="50"/>
  <c r="C103" i="50"/>
  <c r="C104" i="50"/>
  <c r="C105" i="50"/>
  <c r="B123" i="50"/>
  <c r="B121" i="50"/>
  <c r="B57" i="50"/>
  <c r="AH57" i="50" s="1"/>
  <c r="B118" i="50"/>
  <c r="B105" i="50"/>
  <c r="B104" i="50"/>
  <c r="B103" i="50"/>
  <c r="B102" i="50"/>
  <c r="B101" i="50"/>
  <c r="B92" i="50"/>
  <c r="AF5" i="50" s="1"/>
  <c r="B80" i="50"/>
  <c r="B76" i="50"/>
  <c r="B62" i="50"/>
  <c r="B58" i="50"/>
  <c r="AF286" i="50"/>
  <c r="AE286" i="50"/>
  <c r="AD286" i="50"/>
  <c r="AC286" i="50"/>
  <c r="AB286" i="50"/>
  <c r="AA286" i="50"/>
  <c r="Z286" i="50"/>
  <c r="Y286" i="50"/>
  <c r="X286" i="50"/>
  <c r="W286" i="50"/>
  <c r="V286" i="50"/>
  <c r="U286" i="50"/>
  <c r="T286" i="50"/>
  <c r="S286" i="50"/>
  <c r="R286" i="50"/>
  <c r="Q286" i="50"/>
  <c r="P286" i="50"/>
  <c r="O286" i="50"/>
  <c r="N286" i="50"/>
  <c r="M286" i="50"/>
  <c r="L286" i="50"/>
  <c r="K286" i="50"/>
  <c r="J286" i="50"/>
  <c r="I286" i="50"/>
  <c r="H286" i="50"/>
  <c r="G286" i="50"/>
  <c r="F286" i="50"/>
  <c r="E286" i="50"/>
  <c r="D286" i="50"/>
  <c r="C286" i="50"/>
  <c r="B286" i="50"/>
  <c r="A286" i="50"/>
  <c r="AF285" i="50"/>
  <c r="AE285" i="50"/>
  <c r="AD285" i="50"/>
  <c r="AC285" i="50"/>
  <c r="AB285" i="50"/>
  <c r="AA285" i="50"/>
  <c r="Z285" i="50"/>
  <c r="Y285" i="50"/>
  <c r="X285" i="50"/>
  <c r="W285" i="50"/>
  <c r="V285" i="50"/>
  <c r="U285" i="50"/>
  <c r="T285" i="50"/>
  <c r="S285" i="50"/>
  <c r="R285" i="50"/>
  <c r="Q285" i="50"/>
  <c r="P285" i="50"/>
  <c r="O285" i="50"/>
  <c r="N285" i="50"/>
  <c r="M285" i="50"/>
  <c r="L285" i="50"/>
  <c r="K285" i="50"/>
  <c r="J285" i="50"/>
  <c r="I285" i="50"/>
  <c r="H285" i="50"/>
  <c r="G285" i="50"/>
  <c r="F285" i="50"/>
  <c r="E285" i="50"/>
  <c r="D285" i="50"/>
  <c r="C285" i="50"/>
  <c r="B285" i="50"/>
  <c r="A285" i="50"/>
  <c r="AF284" i="50"/>
  <c r="AE284" i="50"/>
  <c r="AD284" i="50"/>
  <c r="AC284" i="50"/>
  <c r="AB284" i="50"/>
  <c r="AA284" i="50"/>
  <c r="Z284" i="50"/>
  <c r="Y284" i="50"/>
  <c r="X284" i="50"/>
  <c r="W284" i="50"/>
  <c r="V284" i="50"/>
  <c r="U284" i="50"/>
  <c r="T284" i="50"/>
  <c r="S284" i="50"/>
  <c r="R284" i="50"/>
  <c r="Q284" i="50"/>
  <c r="P284" i="50"/>
  <c r="O284" i="50"/>
  <c r="N284" i="50"/>
  <c r="M284" i="50"/>
  <c r="L284" i="50"/>
  <c r="K284" i="50"/>
  <c r="J284" i="50"/>
  <c r="I284" i="50"/>
  <c r="H284" i="50"/>
  <c r="G284" i="50"/>
  <c r="F284" i="50"/>
  <c r="E284" i="50"/>
  <c r="D284" i="50"/>
  <c r="C284" i="50"/>
  <c r="B284" i="50"/>
  <c r="A284" i="50"/>
  <c r="AF283" i="50"/>
  <c r="AE283" i="50"/>
  <c r="AD283" i="50"/>
  <c r="AC283" i="50"/>
  <c r="AB283" i="50"/>
  <c r="AA283" i="50"/>
  <c r="Z283" i="50"/>
  <c r="Y283" i="50"/>
  <c r="X283" i="50"/>
  <c r="W283" i="50"/>
  <c r="V283" i="50"/>
  <c r="U283" i="50"/>
  <c r="T283" i="50"/>
  <c r="S283" i="50"/>
  <c r="R283" i="50"/>
  <c r="Q283" i="50"/>
  <c r="P283" i="50"/>
  <c r="O283" i="50"/>
  <c r="N283" i="50"/>
  <c r="M283" i="50"/>
  <c r="L283" i="50"/>
  <c r="K283" i="50"/>
  <c r="J283" i="50"/>
  <c r="I283" i="50"/>
  <c r="H283" i="50"/>
  <c r="G283" i="50"/>
  <c r="F283" i="50"/>
  <c r="E283" i="50"/>
  <c r="D283" i="50"/>
  <c r="C283" i="50"/>
  <c r="B283" i="50"/>
  <c r="A283" i="50"/>
  <c r="B282" i="50"/>
  <c r="S257" i="50"/>
  <c r="AG252" i="50"/>
  <c r="C252" i="50"/>
  <c r="D251" i="50"/>
  <c r="C282" i="50" s="1"/>
  <c r="D250" i="50"/>
  <c r="E250" i="50" s="1"/>
  <c r="F250" i="50" s="1"/>
  <c r="G250" i="50" s="1"/>
  <c r="H250" i="50" s="1"/>
  <c r="I250" i="50" s="1"/>
  <c r="J250" i="50" s="1"/>
  <c r="K250" i="50" s="1"/>
  <c r="L250" i="50" s="1"/>
  <c r="M250" i="50" s="1"/>
  <c r="N250" i="50" s="1"/>
  <c r="O250" i="50" s="1"/>
  <c r="P250" i="50" s="1"/>
  <c r="Q250" i="50" s="1"/>
  <c r="R250" i="50" s="1"/>
  <c r="S250" i="50" s="1"/>
  <c r="T250" i="50" s="1"/>
  <c r="U250" i="50" s="1"/>
  <c r="V250" i="50" s="1"/>
  <c r="W250" i="50" s="1"/>
  <c r="X250" i="50" s="1"/>
  <c r="Y250" i="50" s="1"/>
  <c r="Z250" i="50" s="1"/>
  <c r="AA250" i="50" s="1"/>
  <c r="AB250" i="50" s="1"/>
  <c r="AC250" i="50" s="1"/>
  <c r="AD250" i="50" s="1"/>
  <c r="AE250" i="50" s="1"/>
  <c r="AF250" i="50" s="1"/>
  <c r="B250" i="50" s="1"/>
  <c r="E249" i="50"/>
  <c r="F249" i="50" s="1"/>
  <c r="G249" i="50" s="1"/>
  <c r="H249" i="50" s="1"/>
  <c r="I249" i="50" s="1"/>
  <c r="J249" i="50" s="1"/>
  <c r="K249" i="50" s="1"/>
  <c r="L249" i="50" s="1"/>
  <c r="M249" i="50" s="1"/>
  <c r="N249" i="50" s="1"/>
  <c r="O249" i="50" s="1"/>
  <c r="P249" i="50" s="1"/>
  <c r="Q249" i="50" s="1"/>
  <c r="R249" i="50" s="1"/>
  <c r="S249" i="50" s="1"/>
  <c r="T249" i="50" s="1"/>
  <c r="U249" i="50" s="1"/>
  <c r="V249" i="50" s="1"/>
  <c r="W249" i="50" s="1"/>
  <c r="X249" i="50" s="1"/>
  <c r="Y249" i="50" s="1"/>
  <c r="Z249" i="50" s="1"/>
  <c r="AA249" i="50" s="1"/>
  <c r="AB249" i="50" s="1"/>
  <c r="AC249" i="50" s="1"/>
  <c r="AD249" i="50" s="1"/>
  <c r="AE249" i="50" s="1"/>
  <c r="AF249" i="50" s="1"/>
  <c r="B249" i="50" s="1"/>
  <c r="D249" i="50"/>
  <c r="F248" i="50"/>
  <c r="G248" i="50" s="1"/>
  <c r="H248" i="50" s="1"/>
  <c r="I248" i="50" s="1"/>
  <c r="J248" i="50" s="1"/>
  <c r="K248" i="50" s="1"/>
  <c r="L248" i="50" s="1"/>
  <c r="M248" i="50" s="1"/>
  <c r="N248" i="50" s="1"/>
  <c r="O248" i="50" s="1"/>
  <c r="P248" i="50" s="1"/>
  <c r="Q248" i="50" s="1"/>
  <c r="R248" i="50" s="1"/>
  <c r="S248" i="50" s="1"/>
  <c r="T248" i="50" s="1"/>
  <c r="U248" i="50" s="1"/>
  <c r="V248" i="50" s="1"/>
  <c r="W248" i="50" s="1"/>
  <c r="X248" i="50" s="1"/>
  <c r="Y248" i="50" s="1"/>
  <c r="Z248" i="50" s="1"/>
  <c r="AA248" i="50" s="1"/>
  <c r="AB248" i="50" s="1"/>
  <c r="AC248" i="50" s="1"/>
  <c r="AD248" i="50" s="1"/>
  <c r="AE248" i="50" s="1"/>
  <c r="AF248" i="50" s="1"/>
  <c r="B248" i="50" s="1"/>
  <c r="E248" i="50"/>
  <c r="D248" i="50"/>
  <c r="D247" i="50"/>
  <c r="E247" i="50" s="1"/>
  <c r="F247" i="50" s="1"/>
  <c r="G247" i="50" s="1"/>
  <c r="H247" i="50" s="1"/>
  <c r="I247" i="50" s="1"/>
  <c r="J247" i="50" s="1"/>
  <c r="K247" i="50" s="1"/>
  <c r="L247" i="50" s="1"/>
  <c r="M247" i="50" s="1"/>
  <c r="N247" i="50" s="1"/>
  <c r="O247" i="50" s="1"/>
  <c r="P247" i="50" s="1"/>
  <c r="Q247" i="50" s="1"/>
  <c r="R247" i="50" s="1"/>
  <c r="S247" i="50" s="1"/>
  <c r="T247" i="50" s="1"/>
  <c r="U247" i="50" s="1"/>
  <c r="V247" i="50" s="1"/>
  <c r="W247" i="50" s="1"/>
  <c r="X247" i="50" s="1"/>
  <c r="Y247" i="50" s="1"/>
  <c r="Z247" i="50" s="1"/>
  <c r="AA247" i="50" s="1"/>
  <c r="AB247" i="50" s="1"/>
  <c r="AC247" i="50" s="1"/>
  <c r="AD247" i="50" s="1"/>
  <c r="AE247" i="50" s="1"/>
  <c r="AF247" i="50" s="1"/>
  <c r="B247" i="50" s="1"/>
  <c r="D246" i="50"/>
  <c r="D252" i="50" s="1"/>
  <c r="AG244" i="50"/>
  <c r="AF244" i="50"/>
  <c r="AE244" i="50"/>
  <c r="AD244" i="50"/>
  <c r="AC244" i="50"/>
  <c r="AB244" i="50"/>
  <c r="AA244" i="50"/>
  <c r="Z244" i="50"/>
  <c r="Y244" i="50"/>
  <c r="X244" i="50"/>
  <c r="W244" i="50"/>
  <c r="V244" i="50"/>
  <c r="U244" i="50"/>
  <c r="T244" i="50"/>
  <c r="S244" i="50"/>
  <c r="R244" i="50"/>
  <c r="Q244" i="50"/>
  <c r="P244" i="50"/>
  <c r="O244" i="50"/>
  <c r="N244" i="50"/>
  <c r="M244" i="50"/>
  <c r="L244" i="50"/>
  <c r="K244" i="50"/>
  <c r="J244" i="50"/>
  <c r="I244" i="50"/>
  <c r="H244" i="50"/>
  <c r="G244" i="50"/>
  <c r="F244" i="50"/>
  <c r="E244" i="50"/>
  <c r="D244" i="50"/>
  <c r="C244" i="50"/>
  <c r="B244" i="50"/>
  <c r="AI130" i="50"/>
  <c r="AH130" i="50"/>
  <c r="AI129" i="50"/>
  <c r="AH129" i="50"/>
  <c r="AI128" i="50"/>
  <c r="AH128" i="50"/>
  <c r="AI127" i="50"/>
  <c r="AH127" i="50"/>
  <c r="AI126" i="50"/>
  <c r="AH126" i="50"/>
  <c r="AI122" i="50"/>
  <c r="AH122" i="50"/>
  <c r="AI120" i="50"/>
  <c r="AH120" i="50"/>
  <c r="AI119" i="50"/>
  <c r="AH119" i="50"/>
  <c r="AI117" i="50"/>
  <c r="AH117" i="50"/>
  <c r="AI116" i="50"/>
  <c r="AH116" i="50"/>
  <c r="AI115" i="50"/>
  <c r="AH115" i="50"/>
  <c r="AI114" i="50"/>
  <c r="AH114" i="50"/>
  <c r="AI113" i="50"/>
  <c r="AH113" i="50"/>
  <c r="AI112" i="50"/>
  <c r="AH112" i="50"/>
  <c r="AI111" i="50"/>
  <c r="AH111" i="50"/>
  <c r="AI110" i="50"/>
  <c r="AH110" i="50"/>
  <c r="AI109" i="50"/>
  <c r="AH109" i="50"/>
  <c r="X107" i="50"/>
  <c r="AI106" i="50"/>
  <c r="AH106" i="50"/>
  <c r="AF105" i="50"/>
  <c r="AE105" i="50"/>
  <c r="AD105" i="50"/>
  <c r="AC105" i="50"/>
  <c r="AB105" i="50"/>
  <c r="AA105" i="50"/>
  <c r="Z105" i="50"/>
  <c r="Y105" i="50"/>
  <c r="X105" i="50"/>
  <c r="W105" i="50"/>
  <c r="V105" i="50"/>
  <c r="U105" i="50"/>
  <c r="T105" i="50"/>
  <c r="S105" i="50"/>
  <c r="R105" i="50"/>
  <c r="Q105" i="50"/>
  <c r="P105" i="50"/>
  <c r="O105" i="50"/>
  <c r="N105" i="50"/>
  <c r="M105" i="50"/>
  <c r="L105" i="50"/>
  <c r="K105" i="50"/>
  <c r="J105" i="50"/>
  <c r="J107" i="50" s="1"/>
  <c r="I105" i="50"/>
  <c r="H105" i="50"/>
  <c r="G105" i="50"/>
  <c r="F105" i="50"/>
  <c r="E105" i="50"/>
  <c r="AF104" i="50"/>
  <c r="AF107" i="50" s="1"/>
  <c r="AE104" i="50"/>
  <c r="AD104" i="50"/>
  <c r="AC104" i="50"/>
  <c r="AB104" i="50"/>
  <c r="AA104" i="50"/>
  <c r="Z104" i="50"/>
  <c r="Y104" i="50"/>
  <c r="X104" i="50"/>
  <c r="W104" i="50"/>
  <c r="V104" i="50"/>
  <c r="U104" i="50"/>
  <c r="T104" i="50"/>
  <c r="S104" i="50"/>
  <c r="R104" i="50"/>
  <c r="Q104" i="50"/>
  <c r="P104" i="50"/>
  <c r="O104" i="50"/>
  <c r="N104" i="50"/>
  <c r="M104" i="50"/>
  <c r="L104" i="50"/>
  <c r="K104" i="50"/>
  <c r="J104" i="50"/>
  <c r="I104" i="50"/>
  <c r="H104" i="50"/>
  <c r="G104" i="50"/>
  <c r="F104" i="50"/>
  <c r="E104" i="50"/>
  <c r="AF103" i="50"/>
  <c r="AE103" i="50"/>
  <c r="AD103" i="50"/>
  <c r="AC103" i="50"/>
  <c r="AB103" i="50"/>
  <c r="AA103" i="50"/>
  <c r="Z103" i="50"/>
  <c r="Y103" i="50"/>
  <c r="X103" i="50"/>
  <c r="W103" i="50"/>
  <c r="V103" i="50"/>
  <c r="U103" i="50"/>
  <c r="T103" i="50"/>
  <c r="S103" i="50"/>
  <c r="R103" i="50"/>
  <c r="Q103" i="50"/>
  <c r="P103" i="50"/>
  <c r="O103" i="50"/>
  <c r="N103" i="50"/>
  <c r="M103" i="50"/>
  <c r="L103" i="50"/>
  <c r="K103" i="50"/>
  <c r="J103" i="50"/>
  <c r="I103" i="50"/>
  <c r="H103" i="50"/>
  <c r="G103" i="50"/>
  <c r="F103" i="50"/>
  <c r="E103" i="50"/>
  <c r="AF102" i="50"/>
  <c r="AE102" i="50"/>
  <c r="AD102" i="50"/>
  <c r="AC102" i="50"/>
  <c r="AB102" i="50"/>
  <c r="AA102" i="50"/>
  <c r="Z102" i="50"/>
  <c r="Y102" i="50"/>
  <c r="X102" i="50"/>
  <c r="W102" i="50"/>
  <c r="V102" i="50"/>
  <c r="U102" i="50"/>
  <c r="T102" i="50"/>
  <c r="S102" i="50"/>
  <c r="R102" i="50"/>
  <c r="Q102" i="50"/>
  <c r="P102" i="50"/>
  <c r="O102" i="50"/>
  <c r="N102" i="50"/>
  <c r="M102" i="50"/>
  <c r="L102" i="50"/>
  <c r="K102" i="50"/>
  <c r="J102" i="50"/>
  <c r="I102" i="50"/>
  <c r="H102" i="50"/>
  <c r="G102" i="50"/>
  <c r="F102" i="50"/>
  <c r="E102" i="50"/>
  <c r="AF101" i="50"/>
  <c r="AE101" i="50"/>
  <c r="AE107" i="50" s="1"/>
  <c r="AD101" i="50"/>
  <c r="AC101" i="50"/>
  <c r="AB101" i="50"/>
  <c r="AB107" i="50" s="1"/>
  <c r="AA101" i="50"/>
  <c r="AA107" i="50" s="1"/>
  <c r="Z101" i="50"/>
  <c r="Y101" i="50"/>
  <c r="X101" i="50"/>
  <c r="W101" i="50"/>
  <c r="V101" i="50"/>
  <c r="V107" i="50" s="1"/>
  <c r="U101" i="50"/>
  <c r="U107" i="50" s="1"/>
  <c r="T101" i="50"/>
  <c r="T107" i="50" s="1"/>
  <c r="S101" i="50"/>
  <c r="S107" i="50" s="1"/>
  <c r="R101" i="50"/>
  <c r="Q101" i="50"/>
  <c r="Q107" i="50" s="1"/>
  <c r="P101" i="50"/>
  <c r="O101" i="50"/>
  <c r="O107" i="50" s="1"/>
  <c r="N101" i="50"/>
  <c r="N107" i="50" s="1"/>
  <c r="M101" i="50"/>
  <c r="L101" i="50"/>
  <c r="L107" i="50" s="1"/>
  <c r="K101" i="50"/>
  <c r="K107" i="50" s="1"/>
  <c r="J101" i="50"/>
  <c r="I101" i="50"/>
  <c r="H101" i="50"/>
  <c r="G101" i="50"/>
  <c r="G107" i="50" s="1"/>
  <c r="F101" i="50"/>
  <c r="E101" i="50"/>
  <c r="AI98" i="50"/>
  <c r="AH98" i="50"/>
  <c r="AI96" i="50"/>
  <c r="AH96" i="50"/>
  <c r="AG96" i="50"/>
  <c r="AG99" i="50" s="1"/>
  <c r="AI95" i="50"/>
  <c r="AH95" i="50"/>
  <c r="AI94" i="50"/>
  <c r="AH94" i="50"/>
  <c r="AI93" i="50"/>
  <c r="AH93" i="50"/>
  <c r="AG92" i="50"/>
  <c r="AF92" i="50"/>
  <c r="AE92" i="50"/>
  <c r="AD5" i="50" s="1"/>
  <c r="AD92" i="50"/>
  <c r="AC5" i="50" s="1"/>
  <c r="AC92" i="50"/>
  <c r="AB5" i="50" s="1"/>
  <c r="AB92" i="50"/>
  <c r="AA5" i="50" s="1"/>
  <c r="AA92" i="50"/>
  <c r="Z5" i="50" s="1"/>
  <c r="Z92" i="50"/>
  <c r="Y5" i="50" s="1"/>
  <c r="Y92" i="50"/>
  <c r="X92" i="50"/>
  <c r="W92" i="50"/>
  <c r="V5" i="50" s="1"/>
  <c r="V92" i="50"/>
  <c r="U5" i="50" s="1"/>
  <c r="U92" i="50"/>
  <c r="T5" i="50" s="1"/>
  <c r="T92" i="50"/>
  <c r="S5" i="50" s="1"/>
  <c r="S92" i="50"/>
  <c r="R5" i="50" s="1"/>
  <c r="R92" i="50"/>
  <c r="Q92" i="50"/>
  <c r="P92" i="50"/>
  <c r="O5" i="50" s="1"/>
  <c r="O92" i="50"/>
  <c r="N5" i="50" s="1"/>
  <c r="N92" i="50"/>
  <c r="M5" i="50" s="1"/>
  <c r="M92" i="50"/>
  <c r="M97" i="50" s="1"/>
  <c r="M99" i="50" s="1"/>
  <c r="L92" i="50"/>
  <c r="K5" i="50" s="1"/>
  <c r="K92" i="50"/>
  <c r="J5" i="50" s="1"/>
  <c r="J92" i="50"/>
  <c r="I5" i="50" s="1"/>
  <c r="I92" i="50"/>
  <c r="H92" i="50"/>
  <c r="G92" i="50"/>
  <c r="F5" i="50" s="1"/>
  <c r="F92" i="50"/>
  <c r="E5" i="50" s="1"/>
  <c r="E92" i="50"/>
  <c r="D5" i="50" s="1"/>
  <c r="AI91" i="50"/>
  <c r="AH91" i="50"/>
  <c r="AI90" i="50"/>
  <c r="AH90" i="50"/>
  <c r="AI89" i="50"/>
  <c r="AH89" i="50"/>
  <c r="AI88" i="50"/>
  <c r="AH88" i="50"/>
  <c r="AI87" i="50"/>
  <c r="AH87" i="50"/>
  <c r="AI86" i="50"/>
  <c r="AH86" i="50"/>
  <c r="AI85" i="50"/>
  <c r="AH85" i="50"/>
  <c r="AI84" i="50"/>
  <c r="AH84" i="50"/>
  <c r="AI83" i="50"/>
  <c r="AH83" i="50"/>
  <c r="AI82" i="50"/>
  <c r="AH82" i="50"/>
  <c r="AI81" i="50"/>
  <c r="AH81" i="50"/>
  <c r="AG80" i="50"/>
  <c r="AG4" i="50" s="1"/>
  <c r="AF80" i="50"/>
  <c r="AE80" i="50"/>
  <c r="AD80" i="50"/>
  <c r="AC80" i="50"/>
  <c r="AB80" i="50"/>
  <c r="AA80" i="50"/>
  <c r="Z80" i="50"/>
  <c r="Y80" i="50"/>
  <c r="X80" i="50"/>
  <c r="W80" i="50"/>
  <c r="V80" i="50"/>
  <c r="U80" i="50"/>
  <c r="T80" i="50"/>
  <c r="S80" i="50"/>
  <c r="R80" i="50"/>
  <c r="Q80" i="50"/>
  <c r="P80" i="50"/>
  <c r="O80" i="50"/>
  <c r="N80" i="50"/>
  <c r="L80" i="50"/>
  <c r="K80" i="50"/>
  <c r="J80" i="50"/>
  <c r="I80" i="50"/>
  <c r="H80" i="50"/>
  <c r="G80" i="50"/>
  <c r="F80" i="50"/>
  <c r="AI79" i="50"/>
  <c r="AH79" i="50"/>
  <c r="AI78" i="50"/>
  <c r="AH78" i="50"/>
  <c r="AI77" i="50"/>
  <c r="AH77" i="50"/>
  <c r="AG76" i="50"/>
  <c r="AG3" i="50" s="1"/>
  <c r="AF76" i="50"/>
  <c r="AE76" i="50"/>
  <c r="AD76" i="50"/>
  <c r="AC76" i="50"/>
  <c r="AB76" i="50"/>
  <c r="AA76" i="50"/>
  <c r="Z76" i="50"/>
  <c r="Y76" i="50"/>
  <c r="X76" i="50"/>
  <c r="W76" i="50"/>
  <c r="V76" i="50"/>
  <c r="U76" i="50"/>
  <c r="S76" i="50"/>
  <c r="R76" i="50"/>
  <c r="Q76" i="50"/>
  <c r="P76" i="50"/>
  <c r="O76" i="50"/>
  <c r="N76" i="50"/>
  <c r="L76" i="50"/>
  <c r="K76" i="50"/>
  <c r="J76" i="50"/>
  <c r="I76" i="50"/>
  <c r="H76" i="50"/>
  <c r="G76" i="50"/>
  <c r="F76" i="50"/>
  <c r="AI75" i="50"/>
  <c r="AH75" i="50"/>
  <c r="AG75" i="50"/>
  <c r="AI74" i="50"/>
  <c r="AH74" i="50"/>
  <c r="AI73" i="50"/>
  <c r="AH73" i="50"/>
  <c r="AI72" i="50"/>
  <c r="AH72" i="50"/>
  <c r="AI71" i="50"/>
  <c r="AH71" i="50"/>
  <c r="AI70" i="50"/>
  <c r="AH70" i="50"/>
  <c r="AI69" i="50"/>
  <c r="AH69" i="50"/>
  <c r="AI68" i="50"/>
  <c r="AH68" i="50"/>
  <c r="AI67" i="50"/>
  <c r="AH67" i="50"/>
  <c r="AI66" i="50"/>
  <c r="AH66" i="50"/>
  <c r="AI65" i="50"/>
  <c r="AH65" i="50"/>
  <c r="AI64" i="50"/>
  <c r="AH64" i="50"/>
  <c r="AI63" i="50"/>
  <c r="AH63" i="50"/>
  <c r="AG62" i="50"/>
  <c r="AF62" i="50"/>
  <c r="AE62" i="50"/>
  <c r="AD62" i="50"/>
  <c r="AC62" i="50"/>
  <c r="AB62" i="50"/>
  <c r="Y62" i="50"/>
  <c r="X62" i="50"/>
  <c r="W62" i="50"/>
  <c r="V62" i="50"/>
  <c r="S62" i="50"/>
  <c r="R62" i="50"/>
  <c r="Q62" i="50"/>
  <c r="P62" i="50"/>
  <c r="O62" i="50"/>
  <c r="N62" i="50"/>
  <c r="L62" i="50"/>
  <c r="J62" i="50"/>
  <c r="I62" i="50"/>
  <c r="H62" i="50"/>
  <c r="G62" i="50"/>
  <c r="F62" i="50"/>
  <c r="AI61" i="50"/>
  <c r="AH61" i="50"/>
  <c r="AI60" i="50"/>
  <c r="AH60" i="50"/>
  <c r="AI59" i="50"/>
  <c r="AH59" i="50"/>
  <c r="AG58" i="50"/>
  <c r="AF58" i="50"/>
  <c r="AE58" i="50"/>
  <c r="AD58" i="50"/>
  <c r="AC58" i="50"/>
  <c r="AB58" i="50"/>
  <c r="Y58" i="50"/>
  <c r="X58" i="50"/>
  <c r="W58" i="50"/>
  <c r="V58" i="50"/>
  <c r="S58" i="50"/>
  <c r="R58" i="50"/>
  <c r="Q58" i="50"/>
  <c r="P58" i="50"/>
  <c r="O58" i="50"/>
  <c r="N58" i="50"/>
  <c r="L58" i="50"/>
  <c r="J58" i="50"/>
  <c r="I58" i="50"/>
  <c r="H58" i="50"/>
  <c r="G58" i="50"/>
  <c r="F58" i="50"/>
  <c r="AI57" i="50"/>
  <c r="AI56" i="50"/>
  <c r="AH56" i="50"/>
  <c r="AI55" i="50"/>
  <c r="AH55" i="50"/>
  <c r="AI54" i="50"/>
  <c r="AH54" i="50"/>
  <c r="AI53" i="50"/>
  <c r="AH53" i="50"/>
  <c r="AI52" i="50"/>
  <c r="AH52" i="50"/>
  <c r="AI51" i="50"/>
  <c r="AH51" i="50"/>
  <c r="AI50" i="50"/>
  <c r="AH50" i="50"/>
  <c r="AI49" i="50"/>
  <c r="AH49" i="50"/>
  <c r="AI48" i="50"/>
  <c r="AH48" i="50"/>
  <c r="AI47" i="50"/>
  <c r="AH47" i="50"/>
  <c r="AI46" i="50"/>
  <c r="AH46" i="50"/>
  <c r="AI45" i="50"/>
  <c r="AH45" i="50"/>
  <c r="AI44" i="50"/>
  <c r="AH44" i="50"/>
  <c r="AI43" i="50"/>
  <c r="AH43" i="50"/>
  <c r="AI42" i="50"/>
  <c r="AH42" i="50"/>
  <c r="AI41" i="50"/>
  <c r="AH41" i="50"/>
  <c r="AI40" i="50"/>
  <c r="AH40" i="50"/>
  <c r="AI39" i="50"/>
  <c r="AH39" i="50"/>
  <c r="AI38" i="50"/>
  <c r="AH38" i="50"/>
  <c r="AI37" i="50"/>
  <c r="AH37" i="50"/>
  <c r="AI36" i="50"/>
  <c r="AH36" i="50"/>
  <c r="AI35" i="50"/>
  <c r="AH35" i="50"/>
  <c r="AI34" i="50"/>
  <c r="AH34" i="50"/>
  <c r="AI33" i="50"/>
  <c r="AH33" i="50"/>
  <c r="AI32" i="50"/>
  <c r="AH32" i="50"/>
  <c r="AI31" i="50"/>
  <c r="AH31" i="50"/>
  <c r="AI30" i="50"/>
  <c r="AH30" i="50"/>
  <c r="AI29" i="50"/>
  <c r="AH29" i="50"/>
  <c r="AI28" i="50"/>
  <c r="AH28" i="50"/>
  <c r="AI27" i="50"/>
  <c r="AH27" i="50"/>
  <c r="AI26" i="50"/>
  <c r="AH26" i="50"/>
  <c r="AI25" i="50"/>
  <c r="AH25" i="50"/>
  <c r="AI24" i="50"/>
  <c r="AH24" i="50"/>
  <c r="AI23" i="50"/>
  <c r="AH23" i="50"/>
  <c r="AI22" i="50"/>
  <c r="AH22" i="50"/>
  <c r="AI21" i="50"/>
  <c r="AH21" i="50"/>
  <c r="AI20" i="50"/>
  <c r="AH20" i="50"/>
  <c r="AI19" i="50"/>
  <c r="AH19" i="50"/>
  <c r="AI18" i="50"/>
  <c r="AH18" i="50"/>
  <c r="AI17" i="50"/>
  <c r="AH17" i="50"/>
  <c r="AI16" i="50"/>
  <c r="AH16" i="50"/>
  <c r="AI15" i="50"/>
  <c r="AH15" i="50"/>
  <c r="AI14" i="50"/>
  <c r="AH14" i="50"/>
  <c r="AI13" i="50"/>
  <c r="AH13" i="50"/>
  <c r="AI12" i="50"/>
  <c r="AH12" i="50"/>
  <c r="AI11" i="50"/>
  <c r="AH11" i="50"/>
  <c r="K4" i="50"/>
  <c r="E4" i="50"/>
  <c r="H4" i="50" s="1"/>
  <c r="B4" i="50"/>
  <c r="AG2" i="50"/>
  <c r="AG6" i="50" s="1"/>
  <c r="AF123" i="49"/>
  <c r="AF121" i="49"/>
  <c r="AF57" i="49"/>
  <c r="AF58" i="49"/>
  <c r="AF62" i="49"/>
  <c r="AF76" i="49"/>
  <c r="AF80" i="49"/>
  <c r="AF92" i="49"/>
  <c r="AF101" i="49"/>
  <c r="AF102" i="49"/>
  <c r="AF103" i="49"/>
  <c r="AF104" i="49"/>
  <c r="AF105" i="49"/>
  <c r="AF107" i="49"/>
  <c r="AE123" i="49"/>
  <c r="AE121" i="49"/>
  <c r="AE57" i="49"/>
  <c r="AE58" i="49"/>
  <c r="AE62" i="49"/>
  <c r="AE76" i="49"/>
  <c r="AE80" i="49"/>
  <c r="AE91" i="49"/>
  <c r="AE92" i="49"/>
  <c r="AE101" i="49"/>
  <c r="AE107" i="49" s="1"/>
  <c r="AE102" i="49"/>
  <c r="AE103" i="49"/>
  <c r="AE104" i="49"/>
  <c r="AE105" i="49"/>
  <c r="AD123" i="49"/>
  <c r="AD121" i="49"/>
  <c r="AD91" i="49"/>
  <c r="AD57" i="49"/>
  <c r="AC123" i="49"/>
  <c r="AC121" i="49"/>
  <c r="AC57" i="49"/>
  <c r="AB123" i="49"/>
  <c r="AB121" i="49"/>
  <c r="AB57" i="49"/>
  <c r="AA123" i="49"/>
  <c r="AF108" i="50" l="1"/>
  <c r="AE5" i="50"/>
  <c r="AF97" i="50"/>
  <c r="AF99" i="50" s="1"/>
  <c r="AF100" i="50" s="1"/>
  <c r="AF7" i="50" s="1"/>
  <c r="AE108" i="50"/>
  <c r="AE97" i="50"/>
  <c r="AE99" i="50" s="1"/>
  <c r="AD107" i="50"/>
  <c r="AD97" i="50"/>
  <c r="AD99" i="50" s="1"/>
  <c r="AD100" i="50" s="1"/>
  <c r="AD7" i="50" s="1"/>
  <c r="AC107" i="50"/>
  <c r="AC97" i="50"/>
  <c r="AC99" i="50" s="1"/>
  <c r="AB97" i="50"/>
  <c r="AB99" i="50" s="1"/>
  <c r="AA97" i="50"/>
  <c r="AA99" i="50" s="1"/>
  <c r="Z107" i="50"/>
  <c r="Z108" i="50"/>
  <c r="Z97" i="50"/>
  <c r="Z99" i="50" s="1"/>
  <c r="Z100" i="50" s="1"/>
  <c r="Z7" i="50" s="1"/>
  <c r="Y107" i="50"/>
  <c r="X108" i="50"/>
  <c r="W5" i="50"/>
  <c r="W107" i="50"/>
  <c r="W108" i="50" s="1"/>
  <c r="X97" i="50"/>
  <c r="X99" i="50" s="1"/>
  <c r="X100" i="50" s="1"/>
  <c r="X7" i="50" s="1"/>
  <c r="W97" i="50"/>
  <c r="W99" i="50" s="1"/>
  <c r="AO261" i="50" s="1"/>
  <c r="V97" i="50"/>
  <c r="V99" i="50" s="1"/>
  <c r="AN261" i="50" s="1"/>
  <c r="U97" i="50"/>
  <c r="U99" i="50" s="1"/>
  <c r="U100" i="50" s="1"/>
  <c r="U7" i="50" s="1"/>
  <c r="T97" i="50"/>
  <c r="T99" i="50" s="1"/>
  <c r="AL261" i="50" s="1"/>
  <c r="S97" i="50"/>
  <c r="S99" i="50" s="1"/>
  <c r="R107" i="50"/>
  <c r="R97" i="50"/>
  <c r="R99" i="50" s="1"/>
  <c r="R108" i="50"/>
  <c r="Q5" i="50"/>
  <c r="P107" i="50"/>
  <c r="P108" i="50" s="1"/>
  <c r="P97" i="50"/>
  <c r="P99" i="50" s="1"/>
  <c r="O108" i="50"/>
  <c r="O97" i="50"/>
  <c r="O99" i="50" s="1"/>
  <c r="O100" i="50" s="1"/>
  <c r="O7" i="50" s="1"/>
  <c r="M107" i="50"/>
  <c r="N97" i="50"/>
  <c r="N99" i="50" s="1"/>
  <c r="AF261" i="50" s="1"/>
  <c r="L5" i="50"/>
  <c r="K97" i="50"/>
  <c r="K99" i="50" s="1"/>
  <c r="K100" i="50" s="1"/>
  <c r="K7" i="50" s="1"/>
  <c r="L97" i="50"/>
  <c r="L99" i="50" s="1"/>
  <c r="AD261" i="50" s="1"/>
  <c r="J108" i="50"/>
  <c r="J97" i="50"/>
  <c r="J99" i="50" s="1"/>
  <c r="AB261" i="50" s="1"/>
  <c r="I107" i="50"/>
  <c r="I108" i="50" s="1"/>
  <c r="H107" i="50"/>
  <c r="H108" i="50" s="1"/>
  <c r="G5" i="50"/>
  <c r="H97" i="50"/>
  <c r="H99" i="50" s="1"/>
  <c r="Z261" i="50" s="1"/>
  <c r="G108" i="50"/>
  <c r="G97" i="50"/>
  <c r="G99" i="50" s="1"/>
  <c r="Y261" i="50" s="1"/>
  <c r="AI102" i="50"/>
  <c r="F107" i="50"/>
  <c r="F97" i="50"/>
  <c r="F99" i="50" s="1"/>
  <c r="AI123" i="50"/>
  <c r="E107" i="50"/>
  <c r="AI101" i="50"/>
  <c r="E97" i="50"/>
  <c r="E99" i="50" s="1"/>
  <c r="W261" i="50" s="1"/>
  <c r="AH123" i="50"/>
  <c r="AH121" i="50"/>
  <c r="AI121" i="50"/>
  <c r="D108" i="50"/>
  <c r="D97" i="50"/>
  <c r="D99" i="50" s="1"/>
  <c r="D100" i="50" s="1"/>
  <c r="D7" i="50" s="1"/>
  <c r="AI104" i="50"/>
  <c r="C107" i="50"/>
  <c r="C108" i="50" s="1"/>
  <c r="C97" i="50"/>
  <c r="C99" i="50" s="1"/>
  <c r="C100" i="50" s="1"/>
  <c r="C7" i="50" s="1"/>
  <c r="AI105" i="50"/>
  <c r="AH76" i="50"/>
  <c r="AI103" i="50"/>
  <c r="B107" i="50"/>
  <c r="B108" i="50"/>
  <c r="B97" i="50"/>
  <c r="B99" i="50" s="1"/>
  <c r="B100" i="50" s="1"/>
  <c r="AI76" i="50"/>
  <c r="X261" i="50"/>
  <c r="D258" i="50"/>
  <c r="S258" i="50"/>
  <c r="V261" i="50"/>
  <c r="L100" i="50"/>
  <c r="L7" i="50" s="1"/>
  <c r="AT261" i="50"/>
  <c r="AB100" i="50"/>
  <c r="AB7" i="50" s="1"/>
  <c r="H5" i="50"/>
  <c r="J100" i="50"/>
  <c r="J7" i="50" s="1"/>
  <c r="AW261" i="50"/>
  <c r="AE100" i="50"/>
  <c r="AE7" i="50" s="1"/>
  <c r="AE261" i="50"/>
  <c r="M100" i="50"/>
  <c r="M7" i="50" s="1"/>
  <c r="X5" i="50"/>
  <c r="Y108" i="50"/>
  <c r="P100" i="50"/>
  <c r="P7" i="50" s="1"/>
  <c r="AH261" i="50"/>
  <c r="AI62" i="50"/>
  <c r="AU261" i="50"/>
  <c r="AC100" i="50"/>
  <c r="AC7" i="50" s="1"/>
  <c r="P5" i="50"/>
  <c r="Q108" i="50"/>
  <c r="W100" i="50"/>
  <c r="W7" i="50" s="1"/>
  <c r="AX261" i="50"/>
  <c r="I97" i="50"/>
  <c r="I99" i="50" s="1"/>
  <c r="Q97" i="50"/>
  <c r="Q99" i="50" s="1"/>
  <c r="Y97" i="50"/>
  <c r="Y99" i="50" s="1"/>
  <c r="AG97" i="50"/>
  <c r="AH80" i="50"/>
  <c r="L108" i="50"/>
  <c r="T108" i="50"/>
  <c r="AB108" i="50"/>
  <c r="AI58" i="50"/>
  <c r="R100" i="50"/>
  <c r="R7" i="50" s="1"/>
  <c r="AJ261" i="50"/>
  <c r="AI80" i="50"/>
  <c r="E108" i="50"/>
  <c r="M108" i="50"/>
  <c r="U108" i="50"/>
  <c r="AC108" i="50"/>
  <c r="AC261" i="50"/>
  <c r="AK261" i="50"/>
  <c r="S100" i="50"/>
  <c r="S7" i="50" s="1"/>
  <c r="AS261" i="50"/>
  <c r="AA100" i="50"/>
  <c r="AA7" i="50" s="1"/>
  <c r="F108" i="50"/>
  <c r="N108" i="50"/>
  <c r="V108" i="50"/>
  <c r="AD108" i="50"/>
  <c r="AH92" i="50"/>
  <c r="E251" i="50"/>
  <c r="AH101" i="50"/>
  <c r="AH102" i="50"/>
  <c r="E246" i="50"/>
  <c r="AI92" i="50"/>
  <c r="AH58" i="50"/>
  <c r="AH62" i="50"/>
  <c r="AH103" i="50"/>
  <c r="K108" i="50"/>
  <c r="S108" i="50"/>
  <c r="AA108" i="50"/>
  <c r="AH104" i="50"/>
  <c r="AH105" i="50"/>
  <c r="AF108" i="49"/>
  <c r="AF97" i="49"/>
  <c r="AF99" i="49" s="1"/>
  <c r="AF100" i="49" s="1"/>
  <c r="AE97" i="49"/>
  <c r="AE99" i="49" s="1"/>
  <c r="AE100" i="49" s="1"/>
  <c r="AE108" i="49"/>
  <c r="AV261" i="50" l="1"/>
  <c r="AR261" i="50"/>
  <c r="AP261" i="50"/>
  <c r="AM261" i="50"/>
  <c r="V100" i="50"/>
  <c r="V7" i="50" s="1"/>
  <c r="T100" i="50"/>
  <c r="T7" i="50" s="1"/>
  <c r="AG261" i="50"/>
  <c r="N100" i="50"/>
  <c r="N7" i="50" s="1"/>
  <c r="AI107" i="50"/>
  <c r="C256" i="50"/>
  <c r="H100" i="50"/>
  <c r="H7" i="50" s="1"/>
  <c r="G100" i="50"/>
  <c r="G7" i="50" s="1"/>
  <c r="B256" i="50"/>
  <c r="F100" i="50"/>
  <c r="F7" i="50" s="1"/>
  <c r="E100" i="50"/>
  <c r="E7" i="50" s="1"/>
  <c r="AH107" i="50"/>
  <c r="AH108" i="50"/>
  <c r="AI108" i="50"/>
  <c r="U261" i="50"/>
  <c r="AI97" i="50"/>
  <c r="AH97" i="50"/>
  <c r="AQ261" i="50"/>
  <c r="Y100" i="50"/>
  <c r="Y7" i="50" s="1"/>
  <c r="AA261" i="50"/>
  <c r="I100" i="50"/>
  <c r="I7" i="50" s="1"/>
  <c r="F246" i="50"/>
  <c r="E118" i="50"/>
  <c r="E252" i="50"/>
  <c r="AI261" i="50"/>
  <c r="Q100" i="50"/>
  <c r="Q7" i="50" s="1"/>
  <c r="D282" i="50"/>
  <c r="F251" i="50"/>
  <c r="Z123" i="49"/>
  <c r="X123" i="49"/>
  <c r="W123" i="49"/>
  <c r="V123" i="49"/>
  <c r="U123" i="49"/>
  <c r="T123" i="49"/>
  <c r="K6" i="50" l="1"/>
  <c r="G246" i="50"/>
  <c r="F118" i="50"/>
  <c r="F252" i="50"/>
  <c r="E282" i="50"/>
  <c r="G251" i="50"/>
  <c r="T261" i="50"/>
  <c r="AI99" i="50"/>
  <c r="AH99" i="50"/>
  <c r="B7" i="50" l="1"/>
  <c r="A7" i="50" s="1"/>
  <c r="AI100" i="50"/>
  <c r="AH100" i="50"/>
  <c r="F282" i="50"/>
  <c r="H251" i="50"/>
  <c r="H246" i="50"/>
  <c r="G118" i="50"/>
  <c r="G252" i="50"/>
  <c r="I246" i="50" l="1"/>
  <c r="H118" i="50"/>
  <c r="H252" i="50"/>
  <c r="G282" i="50"/>
  <c r="I251" i="50"/>
  <c r="H282" i="50" l="1"/>
  <c r="J251" i="50"/>
  <c r="I118" i="50"/>
  <c r="I252" i="50"/>
  <c r="J246" i="50"/>
  <c r="S97" i="49"/>
  <c r="S58" i="49"/>
  <c r="S92" i="49"/>
  <c r="S123" i="49"/>
  <c r="R123" i="49"/>
  <c r="J118" i="50" l="1"/>
  <c r="J252" i="50"/>
  <c r="K246" i="50"/>
  <c r="K251" i="50"/>
  <c r="I282" i="50"/>
  <c r="L251" i="50" l="1"/>
  <c r="J282" i="50"/>
  <c r="K118" i="50"/>
  <c r="K252" i="50"/>
  <c r="L246" i="50"/>
  <c r="L252" i="50" l="1"/>
  <c r="M246" i="50"/>
  <c r="L118" i="50"/>
  <c r="K282" i="50"/>
  <c r="M251" i="50"/>
  <c r="L282" i="50" l="1"/>
  <c r="N251" i="50"/>
  <c r="N246" i="50"/>
  <c r="M252" i="50"/>
  <c r="M118" i="50"/>
  <c r="O246" i="50" l="1"/>
  <c r="N118" i="50"/>
  <c r="N252" i="50"/>
  <c r="M282" i="50"/>
  <c r="O251" i="50"/>
  <c r="N282" i="50" l="1"/>
  <c r="P251" i="50"/>
  <c r="P246" i="50"/>
  <c r="O118" i="50"/>
  <c r="O252" i="50"/>
  <c r="Q246" i="50" l="1"/>
  <c r="P252" i="50"/>
  <c r="O282" i="50"/>
  <c r="Q251" i="50"/>
  <c r="P282" i="50" l="1"/>
  <c r="R251" i="50"/>
  <c r="R246" i="50"/>
  <c r="Q252" i="50"/>
  <c r="Q118" i="50"/>
  <c r="R252" i="50" l="1"/>
  <c r="R118" i="50"/>
  <c r="S246" i="50"/>
  <c r="S251" i="50"/>
  <c r="Q282" i="50"/>
  <c r="T251" i="50" l="1"/>
  <c r="R282" i="50"/>
  <c r="S252" i="50"/>
  <c r="S118" i="50"/>
  <c r="T246" i="50"/>
  <c r="T252" i="50" l="1"/>
  <c r="T118" i="50"/>
  <c r="U246" i="50"/>
  <c r="S282" i="50"/>
  <c r="U251" i="50"/>
  <c r="T282" i="50" l="1"/>
  <c r="V251" i="50"/>
  <c r="U118" i="50"/>
  <c r="V246" i="50"/>
  <c r="U252" i="50"/>
  <c r="W246" i="50" l="1"/>
  <c r="V252" i="50"/>
  <c r="V118" i="50"/>
  <c r="U282" i="50"/>
  <c r="W251" i="50"/>
  <c r="V282" i="50" l="1"/>
  <c r="X251" i="50"/>
  <c r="X246" i="50"/>
  <c r="W252" i="50"/>
  <c r="W118" i="50"/>
  <c r="Y246" i="50" l="1"/>
  <c r="X252" i="50"/>
  <c r="X118" i="50"/>
  <c r="W282" i="50"/>
  <c r="Y251" i="50"/>
  <c r="X282" i="50" l="1"/>
  <c r="Z251" i="50"/>
  <c r="Y252" i="50"/>
  <c r="Y118" i="50"/>
  <c r="Z246" i="50"/>
  <c r="Z252" i="50" l="1"/>
  <c r="Z118" i="50"/>
  <c r="AA246" i="50"/>
  <c r="AA251" i="50"/>
  <c r="Y282" i="50"/>
  <c r="AB251" i="50" l="1"/>
  <c r="Z282" i="50"/>
  <c r="AA252" i="50"/>
  <c r="AA118" i="50"/>
  <c r="AB246" i="50"/>
  <c r="AB252" i="50" l="1"/>
  <c r="AB118" i="50"/>
  <c r="AC246" i="50"/>
  <c r="AA282" i="50"/>
  <c r="AC251" i="50"/>
  <c r="AB282" i="50" l="1"/>
  <c r="AD251" i="50"/>
  <c r="AD246" i="50"/>
  <c r="AC118" i="50"/>
  <c r="AC252" i="50"/>
  <c r="AE246" i="50" l="1"/>
  <c r="AD252" i="50"/>
  <c r="AC282" i="50"/>
  <c r="AE251" i="50"/>
  <c r="AD282" i="50" l="1"/>
  <c r="AF251" i="50"/>
  <c r="AF246" i="50"/>
  <c r="AE252" i="50"/>
  <c r="AE118" i="50"/>
  <c r="AF252" i="50" l="1"/>
  <c r="AF118" i="50"/>
  <c r="B246" i="50"/>
  <c r="B251" i="50"/>
  <c r="AF282" i="50" s="1"/>
  <c r="AE282" i="50"/>
  <c r="B252" i="50" l="1"/>
  <c r="AI118" i="50" l="1"/>
  <c r="AH118" i="50"/>
  <c r="P123" i="49" l="1"/>
  <c r="P57" i="49"/>
  <c r="O57" i="49"/>
  <c r="O123" i="49"/>
  <c r="N123" i="49"/>
  <c r="N57" i="49"/>
  <c r="L123" i="49"/>
  <c r="M123" i="49" l="1"/>
  <c r="M57" i="49"/>
  <c r="L57" i="49"/>
  <c r="K123" i="49"/>
  <c r="K57" i="49"/>
  <c r="J123" i="49"/>
  <c r="J57" i="49"/>
  <c r="I123" i="49"/>
  <c r="I121" i="49"/>
  <c r="I57" i="49"/>
  <c r="H123" i="49"/>
  <c r="H57" i="49"/>
  <c r="G123" i="49"/>
  <c r="G57" i="49"/>
  <c r="F123" i="49"/>
  <c r="F57" i="49"/>
  <c r="E123" i="49"/>
  <c r="E57" i="49"/>
  <c r="D123" i="49" l="1"/>
  <c r="D58" i="49"/>
  <c r="D62" i="49"/>
  <c r="D76" i="49"/>
  <c r="D80" i="49"/>
  <c r="D92" i="49"/>
  <c r="D101" i="49"/>
  <c r="D102" i="49"/>
  <c r="D107" i="49" s="1"/>
  <c r="D103" i="49"/>
  <c r="D104" i="49"/>
  <c r="D105" i="49"/>
  <c r="D118" i="49"/>
  <c r="C123" i="49"/>
  <c r="C91" i="49"/>
  <c r="C58" i="49"/>
  <c r="C62" i="49"/>
  <c r="C76" i="49"/>
  <c r="C80" i="49"/>
  <c r="C92" i="49"/>
  <c r="B5" i="49" s="1"/>
  <c r="C101" i="49"/>
  <c r="C107" i="49" s="1"/>
  <c r="C102" i="49"/>
  <c r="C103" i="49"/>
  <c r="C104" i="49"/>
  <c r="C105" i="49"/>
  <c r="C118" i="49"/>
  <c r="B123" i="49"/>
  <c r="B118" i="49"/>
  <c r="B105" i="49"/>
  <c r="B104" i="49"/>
  <c r="B103" i="49"/>
  <c r="B102" i="49"/>
  <c r="B101" i="49"/>
  <c r="B107" i="49" s="1"/>
  <c r="B92" i="49"/>
  <c r="B80" i="49"/>
  <c r="B76" i="49"/>
  <c r="B62" i="49"/>
  <c r="B58" i="49"/>
  <c r="AF286" i="49"/>
  <c r="AE286" i="49"/>
  <c r="AD286" i="49"/>
  <c r="AC286" i="49"/>
  <c r="AB286" i="49"/>
  <c r="AA286" i="49"/>
  <c r="Z286" i="49"/>
  <c r="Y286" i="49"/>
  <c r="X286" i="49"/>
  <c r="W286" i="49"/>
  <c r="V286" i="49"/>
  <c r="U286" i="49"/>
  <c r="T286" i="49"/>
  <c r="S286" i="49"/>
  <c r="R286" i="49"/>
  <c r="Q286" i="49"/>
  <c r="P286" i="49"/>
  <c r="O286" i="49"/>
  <c r="N286" i="49"/>
  <c r="M286" i="49"/>
  <c r="L286" i="49"/>
  <c r="K286" i="49"/>
  <c r="J286" i="49"/>
  <c r="I286" i="49"/>
  <c r="H286" i="49"/>
  <c r="G286" i="49"/>
  <c r="F286" i="49"/>
  <c r="E286" i="49"/>
  <c r="D286" i="49"/>
  <c r="C286" i="49"/>
  <c r="B286" i="49"/>
  <c r="A286" i="49"/>
  <c r="AF285" i="49"/>
  <c r="AE285" i="49"/>
  <c r="AD285" i="49"/>
  <c r="AC285" i="49"/>
  <c r="AB285" i="49"/>
  <c r="AA285" i="49"/>
  <c r="Z285" i="49"/>
  <c r="Y285" i="49"/>
  <c r="X285" i="49"/>
  <c r="W285" i="49"/>
  <c r="V285" i="49"/>
  <c r="U285" i="49"/>
  <c r="T285" i="49"/>
  <c r="S285" i="49"/>
  <c r="R285" i="49"/>
  <c r="Q285" i="49"/>
  <c r="P285" i="49"/>
  <c r="O285" i="49"/>
  <c r="N285" i="49"/>
  <c r="M285" i="49"/>
  <c r="L285" i="49"/>
  <c r="K285" i="49"/>
  <c r="J285" i="49"/>
  <c r="I285" i="49"/>
  <c r="H285" i="49"/>
  <c r="G285" i="49"/>
  <c r="F285" i="49"/>
  <c r="E285" i="49"/>
  <c r="D285" i="49"/>
  <c r="C285" i="49"/>
  <c r="B285" i="49"/>
  <c r="A285" i="49"/>
  <c r="AF284" i="49"/>
  <c r="AE284" i="49"/>
  <c r="AD284" i="49"/>
  <c r="AC284" i="49"/>
  <c r="AB284" i="49"/>
  <c r="AA284" i="49"/>
  <c r="Z284" i="49"/>
  <c r="Y284" i="49"/>
  <c r="X284" i="49"/>
  <c r="W284" i="49"/>
  <c r="V284" i="49"/>
  <c r="U284" i="49"/>
  <c r="T284" i="49"/>
  <c r="S284" i="49"/>
  <c r="R284" i="49"/>
  <c r="Q284" i="49"/>
  <c r="P284" i="49"/>
  <c r="O284" i="49"/>
  <c r="N284" i="49"/>
  <c r="M284" i="49"/>
  <c r="L284" i="49"/>
  <c r="K284" i="49"/>
  <c r="J284" i="49"/>
  <c r="I284" i="49"/>
  <c r="H284" i="49"/>
  <c r="G284" i="49"/>
  <c r="F284" i="49"/>
  <c r="E284" i="49"/>
  <c r="D284" i="49"/>
  <c r="C284" i="49"/>
  <c r="B284" i="49"/>
  <c r="A284" i="49"/>
  <c r="AF283" i="49"/>
  <c r="AE283" i="49"/>
  <c r="AD283" i="49"/>
  <c r="AC283" i="49"/>
  <c r="AB283" i="49"/>
  <c r="AA283" i="49"/>
  <c r="Z283" i="49"/>
  <c r="Y283" i="49"/>
  <c r="X283" i="49"/>
  <c r="W283" i="49"/>
  <c r="V283" i="49"/>
  <c r="U283" i="49"/>
  <c r="T283" i="49"/>
  <c r="S283" i="49"/>
  <c r="R283" i="49"/>
  <c r="Q283" i="49"/>
  <c r="P283" i="49"/>
  <c r="O283" i="49"/>
  <c r="N283" i="49"/>
  <c r="M283" i="49"/>
  <c r="L283" i="49"/>
  <c r="K283" i="49"/>
  <c r="J283" i="49"/>
  <c r="I283" i="49"/>
  <c r="H283" i="49"/>
  <c r="G283" i="49"/>
  <c r="F283" i="49"/>
  <c r="E283" i="49"/>
  <c r="D283" i="49"/>
  <c r="C283" i="49"/>
  <c r="B283" i="49"/>
  <c r="A283" i="49"/>
  <c r="B282" i="49"/>
  <c r="S257" i="49"/>
  <c r="AG252" i="49"/>
  <c r="D252" i="49"/>
  <c r="C252" i="49"/>
  <c r="E251" i="49"/>
  <c r="D282" i="49" s="1"/>
  <c r="D251" i="49"/>
  <c r="C282" i="49" s="1"/>
  <c r="D250" i="49"/>
  <c r="E250" i="49" s="1"/>
  <c r="F250" i="49" s="1"/>
  <c r="G250" i="49" s="1"/>
  <c r="H250" i="49" s="1"/>
  <c r="I250" i="49" s="1"/>
  <c r="J250" i="49" s="1"/>
  <c r="K250" i="49" s="1"/>
  <c r="L250" i="49" s="1"/>
  <c r="M250" i="49" s="1"/>
  <c r="N250" i="49" s="1"/>
  <c r="O250" i="49" s="1"/>
  <c r="P250" i="49" s="1"/>
  <c r="Q250" i="49" s="1"/>
  <c r="R250" i="49" s="1"/>
  <c r="S250" i="49" s="1"/>
  <c r="T250" i="49" s="1"/>
  <c r="U250" i="49" s="1"/>
  <c r="V250" i="49" s="1"/>
  <c r="W250" i="49" s="1"/>
  <c r="X250" i="49" s="1"/>
  <c r="Y250" i="49" s="1"/>
  <c r="Z250" i="49" s="1"/>
  <c r="AA250" i="49" s="1"/>
  <c r="AB250" i="49" s="1"/>
  <c r="AC250" i="49" s="1"/>
  <c r="AD250" i="49" s="1"/>
  <c r="AE250" i="49" s="1"/>
  <c r="AF250" i="49" s="1"/>
  <c r="B250" i="49" s="1"/>
  <c r="E249" i="49"/>
  <c r="F249" i="49" s="1"/>
  <c r="G249" i="49" s="1"/>
  <c r="H249" i="49" s="1"/>
  <c r="I249" i="49" s="1"/>
  <c r="J249" i="49" s="1"/>
  <c r="K249" i="49" s="1"/>
  <c r="L249" i="49" s="1"/>
  <c r="M249" i="49" s="1"/>
  <c r="N249" i="49" s="1"/>
  <c r="O249" i="49" s="1"/>
  <c r="P249" i="49" s="1"/>
  <c r="Q249" i="49" s="1"/>
  <c r="R249" i="49" s="1"/>
  <c r="S249" i="49" s="1"/>
  <c r="T249" i="49" s="1"/>
  <c r="U249" i="49" s="1"/>
  <c r="V249" i="49" s="1"/>
  <c r="W249" i="49" s="1"/>
  <c r="X249" i="49" s="1"/>
  <c r="Y249" i="49" s="1"/>
  <c r="Z249" i="49" s="1"/>
  <c r="AA249" i="49" s="1"/>
  <c r="AB249" i="49" s="1"/>
  <c r="AC249" i="49" s="1"/>
  <c r="AD249" i="49" s="1"/>
  <c r="AE249" i="49" s="1"/>
  <c r="AF249" i="49" s="1"/>
  <c r="B249" i="49" s="1"/>
  <c r="D249" i="49"/>
  <c r="E248" i="49"/>
  <c r="F248" i="49" s="1"/>
  <c r="G248" i="49" s="1"/>
  <c r="H248" i="49" s="1"/>
  <c r="I248" i="49" s="1"/>
  <c r="J248" i="49" s="1"/>
  <c r="K248" i="49" s="1"/>
  <c r="L248" i="49" s="1"/>
  <c r="M248" i="49" s="1"/>
  <c r="N248" i="49" s="1"/>
  <c r="O248" i="49" s="1"/>
  <c r="P248" i="49" s="1"/>
  <c r="Q248" i="49" s="1"/>
  <c r="R248" i="49" s="1"/>
  <c r="S248" i="49" s="1"/>
  <c r="T248" i="49" s="1"/>
  <c r="U248" i="49" s="1"/>
  <c r="V248" i="49" s="1"/>
  <c r="W248" i="49" s="1"/>
  <c r="X248" i="49" s="1"/>
  <c r="Y248" i="49" s="1"/>
  <c r="Z248" i="49" s="1"/>
  <c r="AA248" i="49" s="1"/>
  <c r="AB248" i="49" s="1"/>
  <c r="AC248" i="49" s="1"/>
  <c r="AD248" i="49" s="1"/>
  <c r="AE248" i="49" s="1"/>
  <c r="AF248" i="49" s="1"/>
  <c r="B248" i="49" s="1"/>
  <c r="D248" i="49"/>
  <c r="E247" i="49"/>
  <c r="F247" i="49" s="1"/>
  <c r="G247" i="49" s="1"/>
  <c r="H247" i="49" s="1"/>
  <c r="I247" i="49" s="1"/>
  <c r="J247" i="49" s="1"/>
  <c r="K247" i="49" s="1"/>
  <c r="L247" i="49" s="1"/>
  <c r="M247" i="49" s="1"/>
  <c r="N247" i="49" s="1"/>
  <c r="O247" i="49" s="1"/>
  <c r="P247" i="49" s="1"/>
  <c r="Q247" i="49" s="1"/>
  <c r="R247" i="49" s="1"/>
  <c r="S247" i="49" s="1"/>
  <c r="T247" i="49" s="1"/>
  <c r="U247" i="49" s="1"/>
  <c r="V247" i="49" s="1"/>
  <c r="W247" i="49" s="1"/>
  <c r="X247" i="49" s="1"/>
  <c r="Y247" i="49" s="1"/>
  <c r="Z247" i="49" s="1"/>
  <c r="AA247" i="49" s="1"/>
  <c r="AB247" i="49" s="1"/>
  <c r="AC247" i="49" s="1"/>
  <c r="AD247" i="49" s="1"/>
  <c r="AE247" i="49" s="1"/>
  <c r="AF247" i="49" s="1"/>
  <c r="B247" i="49" s="1"/>
  <c r="D247" i="49"/>
  <c r="E246" i="49"/>
  <c r="F246" i="49" s="1"/>
  <c r="D246" i="49"/>
  <c r="AG244" i="49"/>
  <c r="AF244" i="49"/>
  <c r="AE244" i="49"/>
  <c r="AD244" i="49"/>
  <c r="AC244" i="49"/>
  <c r="AB244" i="49"/>
  <c r="AA244" i="49"/>
  <c r="Z244" i="49"/>
  <c r="Y244" i="49"/>
  <c r="X244" i="49"/>
  <c r="W244" i="49"/>
  <c r="V244" i="49"/>
  <c r="U244" i="49"/>
  <c r="T244" i="49"/>
  <c r="S244" i="49"/>
  <c r="R244" i="49"/>
  <c r="Q244" i="49"/>
  <c r="P244" i="49"/>
  <c r="O244" i="49"/>
  <c r="N244" i="49"/>
  <c r="M244" i="49"/>
  <c r="L244" i="49"/>
  <c r="K244" i="49"/>
  <c r="J244" i="49"/>
  <c r="I244" i="49"/>
  <c r="H244" i="49"/>
  <c r="G244" i="49"/>
  <c r="F244" i="49"/>
  <c r="E244" i="49"/>
  <c r="D244" i="49"/>
  <c r="C244" i="49"/>
  <c r="B244" i="49"/>
  <c r="AI130" i="49"/>
  <c r="AH130" i="49"/>
  <c r="AI129" i="49"/>
  <c r="AH129" i="49"/>
  <c r="AI128" i="49"/>
  <c r="AH128" i="49"/>
  <c r="AI127" i="49"/>
  <c r="AH127" i="49"/>
  <c r="AI126" i="49"/>
  <c r="AH126" i="49"/>
  <c r="AH123" i="49"/>
  <c r="AI122" i="49"/>
  <c r="AH122" i="49"/>
  <c r="AI121" i="49"/>
  <c r="AH121" i="49"/>
  <c r="AI120" i="49"/>
  <c r="AH120" i="49"/>
  <c r="AI119" i="49"/>
  <c r="AH119" i="49"/>
  <c r="E118" i="49"/>
  <c r="AI117" i="49"/>
  <c r="AH117" i="49"/>
  <c r="AI116" i="49"/>
  <c r="AH116" i="49"/>
  <c r="AI115" i="49"/>
  <c r="AH115" i="49"/>
  <c r="AI114" i="49"/>
  <c r="AH114" i="49"/>
  <c r="AI113" i="49"/>
  <c r="AH113" i="49"/>
  <c r="AI112" i="49"/>
  <c r="AH112" i="49"/>
  <c r="AI111" i="49"/>
  <c r="AH111" i="49"/>
  <c r="AI110" i="49"/>
  <c r="AH110" i="49"/>
  <c r="AI109" i="49"/>
  <c r="AH109" i="49"/>
  <c r="AI106" i="49"/>
  <c r="AH106" i="49"/>
  <c r="AD105" i="49"/>
  <c r="AC105" i="49"/>
  <c r="AB105" i="49"/>
  <c r="AA105" i="49"/>
  <c r="Z105" i="49"/>
  <c r="Y105" i="49"/>
  <c r="X105" i="49"/>
  <c r="W105" i="49"/>
  <c r="V105" i="49"/>
  <c r="U105" i="49"/>
  <c r="T105" i="49"/>
  <c r="S105" i="49"/>
  <c r="R105" i="49"/>
  <c r="Q105" i="49"/>
  <c r="P105" i="49"/>
  <c r="O105" i="49"/>
  <c r="N105" i="49"/>
  <c r="M105" i="49"/>
  <c r="L105" i="49"/>
  <c r="K105" i="49"/>
  <c r="J105" i="49"/>
  <c r="I105" i="49"/>
  <c r="H105" i="49"/>
  <c r="G105" i="49"/>
  <c r="F105" i="49"/>
  <c r="E105" i="49"/>
  <c r="AD104" i="49"/>
  <c r="AC104" i="49"/>
  <c r="AB104" i="49"/>
  <c r="AA104" i="49"/>
  <c r="Z104" i="49"/>
  <c r="Y104" i="49"/>
  <c r="X104" i="49"/>
  <c r="W104" i="49"/>
  <c r="V104" i="49"/>
  <c r="U104" i="49"/>
  <c r="T104" i="49"/>
  <c r="S104" i="49"/>
  <c r="R104" i="49"/>
  <c r="Q104" i="49"/>
  <c r="P104" i="49"/>
  <c r="O104" i="49"/>
  <c r="N104" i="49"/>
  <c r="M104" i="49"/>
  <c r="L104" i="49"/>
  <c r="K104" i="49"/>
  <c r="J104" i="49"/>
  <c r="I104" i="49"/>
  <c r="H104" i="49"/>
  <c r="G104" i="49"/>
  <c r="F104" i="49"/>
  <c r="E104" i="49"/>
  <c r="AD103" i="49"/>
  <c r="AC103" i="49"/>
  <c r="AB103" i="49"/>
  <c r="AA103" i="49"/>
  <c r="Z103" i="49"/>
  <c r="Y103" i="49"/>
  <c r="X103" i="49"/>
  <c r="W103" i="49"/>
  <c r="V103" i="49"/>
  <c r="U103" i="49"/>
  <c r="T103" i="49"/>
  <c r="S103" i="49"/>
  <c r="R103" i="49"/>
  <c r="Q103" i="49"/>
  <c r="P103" i="49"/>
  <c r="O103" i="49"/>
  <c r="N103" i="49"/>
  <c r="M103" i="49"/>
  <c r="L103" i="49"/>
  <c r="K103" i="49"/>
  <c r="J103" i="49"/>
  <c r="I103" i="49"/>
  <c r="H103" i="49"/>
  <c r="G103" i="49"/>
  <c r="F103" i="49"/>
  <c r="E103" i="49"/>
  <c r="AD102" i="49"/>
  <c r="AC102" i="49"/>
  <c r="AB102" i="49"/>
  <c r="AA102" i="49"/>
  <c r="Z102" i="49"/>
  <c r="Y102" i="49"/>
  <c r="X102" i="49"/>
  <c r="W102" i="49"/>
  <c r="V102" i="49"/>
  <c r="U102" i="49"/>
  <c r="T102" i="49"/>
  <c r="S102" i="49"/>
  <c r="R102" i="49"/>
  <c r="Q102" i="49"/>
  <c r="P102" i="49"/>
  <c r="O102" i="49"/>
  <c r="N102" i="49"/>
  <c r="M102" i="49"/>
  <c r="L102" i="49"/>
  <c r="K102" i="49"/>
  <c r="J102" i="49"/>
  <c r="I102" i="49"/>
  <c r="H102" i="49"/>
  <c r="G102" i="49"/>
  <c r="F102" i="49"/>
  <c r="E102" i="49"/>
  <c r="AD101" i="49"/>
  <c r="AC101" i="49"/>
  <c r="AB101" i="49"/>
  <c r="AA101" i="49"/>
  <c r="Z101" i="49"/>
  <c r="Y101" i="49"/>
  <c r="X101" i="49"/>
  <c r="W101" i="49"/>
  <c r="W107" i="49" s="1"/>
  <c r="V101" i="49"/>
  <c r="U101" i="49"/>
  <c r="T101" i="49"/>
  <c r="S101" i="49"/>
  <c r="S107" i="49" s="1"/>
  <c r="R101" i="49"/>
  <c r="Q101" i="49"/>
  <c r="P101" i="49"/>
  <c r="O101" i="49"/>
  <c r="N101" i="49"/>
  <c r="M101" i="49"/>
  <c r="L101" i="49"/>
  <c r="L107" i="49" s="1"/>
  <c r="K101" i="49"/>
  <c r="K107" i="49" s="1"/>
  <c r="J101" i="49"/>
  <c r="J107" i="49" s="1"/>
  <c r="I101" i="49"/>
  <c r="H101" i="49"/>
  <c r="G101" i="49"/>
  <c r="F101" i="49"/>
  <c r="E101" i="49"/>
  <c r="AI98" i="49"/>
  <c r="AH98" i="49"/>
  <c r="AI96" i="49"/>
  <c r="AH96" i="49"/>
  <c r="AG96" i="49"/>
  <c r="AG99" i="49" s="1"/>
  <c r="AI95" i="49"/>
  <c r="AH95" i="49"/>
  <c r="AI94" i="49"/>
  <c r="AH94" i="49"/>
  <c r="AI93" i="49"/>
  <c r="AH93" i="49"/>
  <c r="AG92" i="49"/>
  <c r="AD92" i="49"/>
  <c r="AC5" i="49" s="1"/>
  <c r="AC92" i="49"/>
  <c r="AB5" i="49" s="1"/>
  <c r="AB92" i="49"/>
  <c r="AA5" i="49" s="1"/>
  <c r="AA92" i="49"/>
  <c r="Z5" i="49" s="1"/>
  <c r="Z92" i="49"/>
  <c r="Y5" i="49" s="1"/>
  <c r="Y92" i="49"/>
  <c r="X5" i="49" s="1"/>
  <c r="X92" i="49"/>
  <c r="W5" i="49" s="1"/>
  <c r="W92" i="49"/>
  <c r="W108" i="49" s="1"/>
  <c r="V92" i="49"/>
  <c r="U5" i="49" s="1"/>
  <c r="U92" i="49"/>
  <c r="T5" i="49" s="1"/>
  <c r="T92" i="49"/>
  <c r="S5" i="49" s="1"/>
  <c r="S108" i="49"/>
  <c r="R92" i="49"/>
  <c r="Q5" i="49" s="1"/>
  <c r="Q92" i="49"/>
  <c r="P5" i="49" s="1"/>
  <c r="P92" i="49"/>
  <c r="O92" i="49"/>
  <c r="N92" i="49"/>
  <c r="M5" i="49" s="1"/>
  <c r="M92" i="49"/>
  <c r="L5" i="49" s="1"/>
  <c r="L92" i="49"/>
  <c r="K5" i="49" s="1"/>
  <c r="K92" i="49"/>
  <c r="K108" i="49" s="1"/>
  <c r="J92" i="49"/>
  <c r="I5" i="49" s="1"/>
  <c r="I92" i="49"/>
  <c r="H5" i="49" s="1"/>
  <c r="H92" i="49"/>
  <c r="G5" i="49" s="1"/>
  <c r="G92" i="49"/>
  <c r="F92" i="49"/>
  <c r="E5" i="49" s="1"/>
  <c r="E92" i="49"/>
  <c r="D5" i="49" s="1"/>
  <c r="AI91" i="49"/>
  <c r="AH91" i="49"/>
  <c r="AI90" i="49"/>
  <c r="AH90" i="49"/>
  <c r="AI89" i="49"/>
  <c r="AH89" i="49"/>
  <c r="AI88" i="49"/>
  <c r="AH88" i="49"/>
  <c r="AI87" i="49"/>
  <c r="AH87" i="49"/>
  <c r="AI86" i="49"/>
  <c r="AH86" i="49"/>
  <c r="AI85" i="49"/>
  <c r="AH85" i="49"/>
  <c r="AI84" i="49"/>
  <c r="AH84" i="49"/>
  <c r="AI83" i="49"/>
  <c r="AH83" i="49"/>
  <c r="AI82" i="49"/>
  <c r="AH82" i="49"/>
  <c r="AI81" i="49"/>
  <c r="AH81" i="49"/>
  <c r="AG80" i="49"/>
  <c r="AD80" i="49"/>
  <c r="AC80" i="49"/>
  <c r="AB80" i="49"/>
  <c r="AA80" i="49"/>
  <c r="Z80" i="49"/>
  <c r="Y80" i="49"/>
  <c r="X80" i="49"/>
  <c r="W80" i="49"/>
  <c r="V80" i="49"/>
  <c r="U80" i="49"/>
  <c r="T80" i="49"/>
  <c r="S80" i="49"/>
  <c r="R80" i="49"/>
  <c r="Q80" i="49"/>
  <c r="P80" i="49"/>
  <c r="O80" i="49"/>
  <c r="N80" i="49"/>
  <c r="M80" i="49"/>
  <c r="L80" i="49"/>
  <c r="K80" i="49"/>
  <c r="J80" i="49"/>
  <c r="I80" i="49"/>
  <c r="H80" i="49"/>
  <c r="G80" i="49"/>
  <c r="F80" i="49"/>
  <c r="E80" i="49"/>
  <c r="AI79" i="49"/>
  <c r="AH79" i="49"/>
  <c r="AI78" i="49"/>
  <c r="AH78" i="49"/>
  <c r="AI77" i="49"/>
  <c r="AH77" i="49"/>
  <c r="AD76" i="49"/>
  <c r="AC76" i="49"/>
  <c r="AB76" i="49"/>
  <c r="AA76" i="49"/>
  <c r="Z76" i="49"/>
  <c r="Y76" i="49"/>
  <c r="X76" i="49"/>
  <c r="W76" i="49"/>
  <c r="V76" i="49"/>
  <c r="U76" i="49"/>
  <c r="T76" i="49"/>
  <c r="S76" i="49"/>
  <c r="R76" i="49"/>
  <c r="Q76" i="49"/>
  <c r="P76" i="49"/>
  <c r="O76" i="49"/>
  <c r="N76" i="49"/>
  <c r="M76" i="49"/>
  <c r="L76" i="49"/>
  <c r="K76" i="49"/>
  <c r="J76" i="49"/>
  <c r="I76" i="49"/>
  <c r="H76" i="49"/>
  <c r="G76" i="49"/>
  <c r="F76" i="49"/>
  <c r="E76" i="49"/>
  <c r="AI75" i="49"/>
  <c r="AH75" i="49"/>
  <c r="AG75" i="49"/>
  <c r="AG76" i="49" s="1"/>
  <c r="AG3" i="49" s="1"/>
  <c r="AI74" i="49"/>
  <c r="AH74" i="49"/>
  <c r="AI73" i="49"/>
  <c r="AH73" i="49"/>
  <c r="AI72" i="49"/>
  <c r="AH72" i="49"/>
  <c r="AI71" i="49"/>
  <c r="AH71" i="49"/>
  <c r="AI70" i="49"/>
  <c r="AH70" i="49"/>
  <c r="AI69" i="49"/>
  <c r="AH69" i="49"/>
  <c r="AI68" i="49"/>
  <c r="AH68" i="49"/>
  <c r="AI67" i="49"/>
  <c r="AH67" i="49"/>
  <c r="AI66" i="49"/>
  <c r="AH66" i="49"/>
  <c r="AI65" i="49"/>
  <c r="AH65" i="49"/>
  <c r="AI64" i="49"/>
  <c r="AH64" i="49"/>
  <c r="AI63" i="49"/>
  <c r="AH63" i="49"/>
  <c r="AG62" i="49"/>
  <c r="AD62" i="49"/>
  <c r="AC62" i="49"/>
  <c r="AB62" i="49"/>
  <c r="AA62" i="49"/>
  <c r="Z62" i="49"/>
  <c r="Y62" i="49"/>
  <c r="X62" i="49"/>
  <c r="W62" i="49"/>
  <c r="V62" i="49"/>
  <c r="U62" i="49"/>
  <c r="T62" i="49"/>
  <c r="S62" i="49"/>
  <c r="R62" i="49"/>
  <c r="Q62" i="49"/>
  <c r="P62" i="49"/>
  <c r="O62" i="49"/>
  <c r="N62" i="49"/>
  <c r="M62" i="49"/>
  <c r="L62" i="49"/>
  <c r="K62" i="49"/>
  <c r="J62" i="49"/>
  <c r="I62" i="49"/>
  <c r="H62" i="49"/>
  <c r="G62" i="49"/>
  <c r="F62" i="49"/>
  <c r="E62" i="49"/>
  <c r="AI61" i="49"/>
  <c r="AH61" i="49"/>
  <c r="AI60" i="49"/>
  <c r="AH60" i="49"/>
  <c r="AI59" i="49"/>
  <c r="AH59" i="49"/>
  <c r="AG58" i="49"/>
  <c r="AG97" i="49" s="1"/>
  <c r="AD58" i="49"/>
  <c r="AC58" i="49"/>
  <c r="AB58" i="49"/>
  <c r="AA58" i="49"/>
  <c r="Z58" i="49"/>
  <c r="Y58" i="49"/>
  <c r="X58" i="49"/>
  <c r="W58" i="49"/>
  <c r="V58" i="49"/>
  <c r="U58" i="49"/>
  <c r="T58" i="49"/>
  <c r="R58" i="49"/>
  <c r="Q58" i="49"/>
  <c r="P58" i="49"/>
  <c r="O58" i="49"/>
  <c r="N58" i="49"/>
  <c r="M58" i="49"/>
  <c r="L58" i="49"/>
  <c r="K58" i="49"/>
  <c r="J58" i="49"/>
  <c r="I58" i="49"/>
  <c r="H58" i="49"/>
  <c r="G58" i="49"/>
  <c r="F58" i="49"/>
  <c r="E58" i="49"/>
  <c r="AI57" i="49"/>
  <c r="AH57" i="49"/>
  <c r="AI56" i="49"/>
  <c r="AH56" i="49"/>
  <c r="AI55" i="49"/>
  <c r="AH55" i="49"/>
  <c r="AI54" i="49"/>
  <c r="AH54" i="49"/>
  <c r="AI53" i="49"/>
  <c r="AH53" i="49"/>
  <c r="AI52" i="49"/>
  <c r="AH52" i="49"/>
  <c r="AI51" i="49"/>
  <c r="AH51" i="49"/>
  <c r="AI50" i="49"/>
  <c r="AH50" i="49"/>
  <c r="AI49" i="49"/>
  <c r="AH49" i="49"/>
  <c r="AI48" i="49"/>
  <c r="AH48" i="49"/>
  <c r="AI47" i="49"/>
  <c r="AH47" i="49"/>
  <c r="AI46" i="49"/>
  <c r="AH46" i="49"/>
  <c r="AI45" i="49"/>
  <c r="AH45" i="49"/>
  <c r="AI44" i="49"/>
  <c r="AH44" i="49"/>
  <c r="AI43" i="49"/>
  <c r="AH43" i="49"/>
  <c r="AI42" i="49"/>
  <c r="AH42" i="49"/>
  <c r="AI41" i="49"/>
  <c r="AH41" i="49"/>
  <c r="AI40" i="49"/>
  <c r="AH40" i="49"/>
  <c r="AI39" i="49"/>
  <c r="AH39" i="49"/>
  <c r="AI38" i="49"/>
  <c r="AH38" i="49"/>
  <c r="AI37" i="49"/>
  <c r="AH37" i="49"/>
  <c r="AI36" i="49"/>
  <c r="AH36" i="49"/>
  <c r="AI35" i="49"/>
  <c r="AH35" i="49"/>
  <c r="AI34" i="49"/>
  <c r="AH34" i="49"/>
  <c r="AI33" i="49"/>
  <c r="AH33" i="49"/>
  <c r="AI32" i="49"/>
  <c r="AH32" i="49"/>
  <c r="AI31" i="49"/>
  <c r="AH31" i="49"/>
  <c r="AI30" i="49"/>
  <c r="AH30" i="49"/>
  <c r="AI29" i="49"/>
  <c r="AH29" i="49"/>
  <c r="AI28" i="49"/>
  <c r="AH28" i="49"/>
  <c r="AI27" i="49"/>
  <c r="AH27" i="49"/>
  <c r="AI26" i="49"/>
  <c r="AH26" i="49"/>
  <c r="AI25" i="49"/>
  <c r="AH25" i="49"/>
  <c r="AI24" i="49"/>
  <c r="AH24" i="49"/>
  <c r="AI23" i="49"/>
  <c r="AH23" i="49"/>
  <c r="AI22" i="49"/>
  <c r="AH22" i="49"/>
  <c r="AI21" i="49"/>
  <c r="AH21" i="49"/>
  <c r="AI20" i="49"/>
  <c r="AH20" i="49"/>
  <c r="AI19" i="49"/>
  <c r="AH19" i="49"/>
  <c r="AI18" i="49"/>
  <c r="AH18" i="49"/>
  <c r="AI17" i="49"/>
  <c r="AH17" i="49"/>
  <c r="AI16" i="49"/>
  <c r="AH16" i="49"/>
  <c r="AI15" i="49"/>
  <c r="AH15" i="49"/>
  <c r="AI14" i="49"/>
  <c r="AH14" i="49"/>
  <c r="AI13" i="49"/>
  <c r="AH13" i="49"/>
  <c r="AI12" i="49"/>
  <c r="AH12" i="49"/>
  <c r="AI11" i="49"/>
  <c r="AH11" i="49"/>
  <c r="AE5" i="49"/>
  <c r="AD5" i="49"/>
  <c r="O5" i="49"/>
  <c r="C5" i="49"/>
  <c r="AG4" i="49"/>
  <c r="K4" i="49"/>
  <c r="E4" i="49"/>
  <c r="H4" i="49" s="1"/>
  <c r="B4" i="49"/>
  <c r="D258" i="49" s="1"/>
  <c r="AG2" i="49"/>
  <c r="AG6" i="49" s="1"/>
  <c r="AF123" i="48"/>
  <c r="AF91" i="48"/>
  <c r="AF58" i="48"/>
  <c r="AF62" i="48"/>
  <c r="AF76" i="48"/>
  <c r="AF80" i="48"/>
  <c r="AF92" i="48"/>
  <c r="AF101" i="48"/>
  <c r="AF102" i="48"/>
  <c r="AF107" i="48" s="1"/>
  <c r="AF103" i="48"/>
  <c r="AF104" i="48"/>
  <c r="AF105" i="48"/>
  <c r="AF118" i="48"/>
  <c r="AE123" i="48"/>
  <c r="AE91" i="48"/>
  <c r="AE58" i="48"/>
  <c r="AE62" i="48"/>
  <c r="AE76" i="48"/>
  <c r="AE80" i="48"/>
  <c r="AE92" i="48"/>
  <c r="AE101" i="48"/>
  <c r="AE102" i="48"/>
  <c r="AE107" i="48" s="1"/>
  <c r="AE103" i="48"/>
  <c r="AE104" i="48"/>
  <c r="AE105" i="48"/>
  <c r="AE118" i="48"/>
  <c r="AD91" i="48"/>
  <c r="AD58" i="48"/>
  <c r="AD62" i="48"/>
  <c r="AD76" i="48"/>
  <c r="AD80" i="48"/>
  <c r="AD92" i="48"/>
  <c r="AD101" i="48"/>
  <c r="AD102" i="48"/>
  <c r="AD103" i="48"/>
  <c r="AD104" i="48"/>
  <c r="AD105" i="48"/>
  <c r="AD118" i="48"/>
  <c r="AD123" i="48"/>
  <c r="AC58" i="48"/>
  <c r="AC62" i="48"/>
  <c r="AC76" i="48"/>
  <c r="AC80" i="48"/>
  <c r="AC85" i="48"/>
  <c r="AC92" i="48" s="1"/>
  <c r="AC91" i="48"/>
  <c r="AC101" i="48"/>
  <c r="AC102" i="48"/>
  <c r="AC104" i="48"/>
  <c r="AC105" i="48"/>
  <c r="AC123" i="48"/>
  <c r="AC118" i="48" s="1"/>
  <c r="AB85" i="48"/>
  <c r="AB103" i="48" s="1"/>
  <c r="AB91" i="48"/>
  <c r="AB123" i="48"/>
  <c r="AB58" i="48"/>
  <c r="AB62" i="48"/>
  <c r="AB76" i="48"/>
  <c r="AB80" i="48"/>
  <c r="AB92" i="48"/>
  <c r="AB101" i="48"/>
  <c r="AB102" i="48"/>
  <c r="AB104" i="48"/>
  <c r="AB105" i="48"/>
  <c r="AB118" i="48"/>
  <c r="AA123" i="48"/>
  <c r="Z123" i="48"/>
  <c r="Y123" i="48"/>
  <c r="X123" i="48"/>
  <c r="V57" i="48"/>
  <c r="U57" i="48"/>
  <c r="AD107" i="49" l="1"/>
  <c r="AD108" i="49" s="1"/>
  <c r="AD97" i="49"/>
  <c r="AD99" i="49" s="1"/>
  <c r="AV261" i="49" s="1"/>
  <c r="AC107" i="49"/>
  <c r="AC97" i="49"/>
  <c r="AC99" i="49" s="1"/>
  <c r="AU261" i="49" s="1"/>
  <c r="AB107" i="49"/>
  <c r="AB97" i="49"/>
  <c r="AB99" i="49" s="1"/>
  <c r="AA107" i="49"/>
  <c r="AA108" i="49" s="1"/>
  <c r="AA97" i="49"/>
  <c r="AA99" i="49" s="1"/>
  <c r="AA100" i="49" s="1"/>
  <c r="AA7" i="49" s="1"/>
  <c r="Z107" i="49"/>
  <c r="Z97" i="49"/>
  <c r="Z99" i="49" s="1"/>
  <c r="AR261" i="49" s="1"/>
  <c r="Y107" i="49"/>
  <c r="Y108" i="49"/>
  <c r="Y97" i="49"/>
  <c r="Y99" i="49" s="1"/>
  <c r="Y100" i="49" s="1"/>
  <c r="Y7" i="49" s="1"/>
  <c r="X107" i="49"/>
  <c r="X97" i="49"/>
  <c r="X99" i="49" s="1"/>
  <c r="X100" i="49" s="1"/>
  <c r="X7" i="49" s="1"/>
  <c r="X108" i="49"/>
  <c r="V5" i="49"/>
  <c r="V107" i="49"/>
  <c r="V97" i="49"/>
  <c r="V99" i="49" s="1"/>
  <c r="V100" i="49" s="1"/>
  <c r="V7" i="49" s="1"/>
  <c r="U107" i="49"/>
  <c r="T107" i="49"/>
  <c r="T97" i="49"/>
  <c r="T99" i="49" s="1"/>
  <c r="T100" i="49" s="1"/>
  <c r="T7" i="49" s="1"/>
  <c r="U97" i="49"/>
  <c r="U99" i="49" s="1"/>
  <c r="AM261" i="49" s="1"/>
  <c r="R5" i="49"/>
  <c r="S99" i="49"/>
  <c r="S100" i="49" s="1"/>
  <c r="S7" i="49" s="1"/>
  <c r="R107" i="49"/>
  <c r="R97" i="49"/>
  <c r="R99" i="49" s="1"/>
  <c r="AJ261" i="49" s="1"/>
  <c r="Q107" i="49"/>
  <c r="Q108" i="49" s="1"/>
  <c r="Q97" i="49"/>
  <c r="Q99" i="49" s="1"/>
  <c r="AI261" i="49" s="1"/>
  <c r="P107" i="49"/>
  <c r="P108" i="49"/>
  <c r="P97" i="49"/>
  <c r="P99" i="49" s="1"/>
  <c r="AH261" i="49" s="1"/>
  <c r="O107" i="49"/>
  <c r="O108" i="49" s="1"/>
  <c r="N5" i="49"/>
  <c r="N107" i="49"/>
  <c r="N97" i="49"/>
  <c r="N99" i="49" s="1"/>
  <c r="AF261" i="49" s="1"/>
  <c r="AI102" i="49"/>
  <c r="M107" i="49"/>
  <c r="M97" i="49"/>
  <c r="M99" i="49" s="1"/>
  <c r="AE261" i="49" s="1"/>
  <c r="L97" i="49"/>
  <c r="L99" i="49" s="1"/>
  <c r="K97" i="49"/>
  <c r="K99" i="49" s="1"/>
  <c r="J5" i="49"/>
  <c r="J97" i="49"/>
  <c r="J99" i="49" s="1"/>
  <c r="I107" i="49"/>
  <c r="I108" i="49" s="1"/>
  <c r="AI101" i="49"/>
  <c r="I97" i="49"/>
  <c r="I99" i="49" s="1"/>
  <c r="I100" i="49" s="1"/>
  <c r="I7" i="49" s="1"/>
  <c r="H107" i="49"/>
  <c r="H108" i="49" s="1"/>
  <c r="H97" i="49"/>
  <c r="H99" i="49" s="1"/>
  <c r="H100" i="49" s="1"/>
  <c r="H7" i="49" s="1"/>
  <c r="G107" i="49"/>
  <c r="G108" i="49" s="1"/>
  <c r="F5" i="49"/>
  <c r="F107" i="49"/>
  <c r="AH76" i="49"/>
  <c r="F97" i="49"/>
  <c r="F99" i="49" s="1"/>
  <c r="F100" i="49" s="1"/>
  <c r="F7" i="49" s="1"/>
  <c r="E107" i="49"/>
  <c r="AI104" i="49"/>
  <c r="E97" i="49"/>
  <c r="E99" i="49" s="1"/>
  <c r="E100" i="49" s="1"/>
  <c r="E7" i="49" s="1"/>
  <c r="AI76" i="49"/>
  <c r="D97" i="49"/>
  <c r="D99" i="49" s="1"/>
  <c r="D100" i="49" s="1"/>
  <c r="D7" i="49" s="1"/>
  <c r="AI105" i="49"/>
  <c r="D108" i="49"/>
  <c r="C97" i="49"/>
  <c r="C99" i="49" s="1"/>
  <c r="C108" i="49"/>
  <c r="C100" i="49"/>
  <c r="C7" i="49" s="1"/>
  <c r="AI123" i="49"/>
  <c r="AI103" i="49"/>
  <c r="B97" i="49"/>
  <c r="B99" i="49" s="1"/>
  <c r="B108" i="49"/>
  <c r="B100" i="49"/>
  <c r="S258" i="49"/>
  <c r="AD261" i="49"/>
  <c r="L100" i="49"/>
  <c r="L7" i="49" s="1"/>
  <c r="W261" i="49"/>
  <c r="G97" i="49"/>
  <c r="G99" i="49" s="1"/>
  <c r="O97" i="49"/>
  <c r="O99" i="49" s="1"/>
  <c r="W97" i="49"/>
  <c r="W99" i="49" s="1"/>
  <c r="AH92" i="49"/>
  <c r="AF5" i="49"/>
  <c r="AI92" i="49"/>
  <c r="AX261" i="49"/>
  <c r="AF7" i="49"/>
  <c r="AI62" i="49"/>
  <c r="AI80" i="49"/>
  <c r="AH80" i="49"/>
  <c r="L108" i="49"/>
  <c r="T108" i="49"/>
  <c r="AB108" i="49"/>
  <c r="AI58" i="49"/>
  <c r="AB261" i="49"/>
  <c r="J100" i="49"/>
  <c r="J7" i="49" s="1"/>
  <c r="E108" i="49"/>
  <c r="M108" i="49"/>
  <c r="U108" i="49"/>
  <c r="AC108" i="49"/>
  <c r="V261" i="49"/>
  <c r="G246" i="49"/>
  <c r="F252" i="49"/>
  <c r="U261" i="49"/>
  <c r="AC261" i="49"/>
  <c r="K100" i="49"/>
  <c r="K7" i="49" s="1"/>
  <c r="AK261" i="49"/>
  <c r="AS261" i="49"/>
  <c r="F108" i="49"/>
  <c r="N108" i="49"/>
  <c r="V108" i="49"/>
  <c r="E252" i="49"/>
  <c r="AH101" i="49"/>
  <c r="F251" i="49"/>
  <c r="AH102" i="49"/>
  <c r="J108" i="49"/>
  <c r="R108" i="49"/>
  <c r="Z108" i="49"/>
  <c r="AH58" i="49"/>
  <c r="AH62" i="49"/>
  <c r="AH103" i="49"/>
  <c r="AH104" i="49"/>
  <c r="AH105" i="49"/>
  <c r="AF97" i="48"/>
  <c r="AF99" i="48" s="1"/>
  <c r="AF100" i="48" s="1"/>
  <c r="AF108" i="48"/>
  <c r="AE97" i="48"/>
  <c r="AE99" i="48" s="1"/>
  <c r="AE100" i="48" s="1"/>
  <c r="AE108" i="48"/>
  <c r="AD107" i="48"/>
  <c r="AD108" i="48" s="1"/>
  <c r="AD97" i="48"/>
  <c r="AD99" i="48" s="1"/>
  <c r="AD100" i="48" s="1"/>
  <c r="AC97" i="48"/>
  <c r="AC99" i="48" s="1"/>
  <c r="AC103" i="48"/>
  <c r="AC107" i="48" s="1"/>
  <c r="AC108" i="48" s="1"/>
  <c r="AB107" i="48"/>
  <c r="AB108" i="48" s="1"/>
  <c r="AB97" i="48"/>
  <c r="AB99" i="48" s="1"/>
  <c r="AB100" i="48" s="1"/>
  <c r="T123" i="48"/>
  <c r="T57" i="48"/>
  <c r="S123" i="48"/>
  <c r="S57" i="48"/>
  <c r="R123" i="48"/>
  <c r="R121" i="48"/>
  <c r="R57" i="48"/>
  <c r="R58" i="48"/>
  <c r="R62" i="48"/>
  <c r="R76" i="48"/>
  <c r="R80" i="48"/>
  <c r="R92" i="48"/>
  <c r="R101" i="48"/>
  <c r="R102" i="48"/>
  <c r="R103" i="48"/>
  <c r="R104" i="48"/>
  <c r="R105" i="48"/>
  <c r="Q123" i="48"/>
  <c r="Q121" i="48"/>
  <c r="Q57" i="48"/>
  <c r="P123" i="48"/>
  <c r="O123" i="48"/>
  <c r="P57" i="48"/>
  <c r="O121" i="48"/>
  <c r="O57" i="48"/>
  <c r="N128" i="48"/>
  <c r="N123" i="48"/>
  <c r="N121" i="48"/>
  <c r="N91" i="48"/>
  <c r="N57" i="48"/>
  <c r="AD100" i="49" l="1"/>
  <c r="AD7" i="49" s="1"/>
  <c r="AC100" i="49"/>
  <c r="AC7" i="49" s="1"/>
  <c r="AB100" i="49"/>
  <c r="AB7" i="49" s="1"/>
  <c r="AT261" i="49"/>
  <c r="Z100" i="49"/>
  <c r="Z7" i="49" s="1"/>
  <c r="AP261" i="49"/>
  <c r="AQ261" i="49"/>
  <c r="AL261" i="49"/>
  <c r="AN261" i="49"/>
  <c r="U100" i="49"/>
  <c r="U7" i="49" s="1"/>
  <c r="R100" i="49"/>
  <c r="R7" i="49" s="1"/>
  <c r="Q100" i="49"/>
  <c r="Q7" i="49" s="1"/>
  <c r="P100" i="49"/>
  <c r="P7" i="49" s="1"/>
  <c r="N100" i="49"/>
  <c r="N7" i="49" s="1"/>
  <c r="M100" i="49"/>
  <c r="M7" i="49" s="1"/>
  <c r="AA261" i="49"/>
  <c r="Z261" i="49"/>
  <c r="X261" i="49"/>
  <c r="AI108" i="49"/>
  <c r="AH108" i="49"/>
  <c r="H246" i="49"/>
  <c r="G118" i="49"/>
  <c r="G252" i="49"/>
  <c r="AW261" i="49"/>
  <c r="AE7" i="49"/>
  <c r="E282" i="49"/>
  <c r="G251" i="49"/>
  <c r="AO261" i="49"/>
  <c r="W100" i="49"/>
  <c r="W7" i="49" s="1"/>
  <c r="AI97" i="49"/>
  <c r="AH97" i="49"/>
  <c r="AI107" i="49"/>
  <c r="AH107" i="49"/>
  <c r="AG261" i="49"/>
  <c r="O100" i="49"/>
  <c r="O7" i="49" s="1"/>
  <c r="F118" i="49"/>
  <c r="Y261" i="49"/>
  <c r="G100" i="49"/>
  <c r="G7" i="49" s="1"/>
  <c r="C256" i="49"/>
  <c r="B256" i="49"/>
  <c r="AC100" i="48"/>
  <c r="R107" i="48"/>
  <c r="R108" i="48" s="1"/>
  <c r="R97" i="48"/>
  <c r="R99" i="48" s="1"/>
  <c r="R100" i="48" s="1"/>
  <c r="AI99" i="49" l="1"/>
  <c r="T261" i="49"/>
  <c r="AH99" i="49"/>
  <c r="I246" i="49"/>
  <c r="H118" i="49"/>
  <c r="H252" i="49"/>
  <c r="K6" i="49"/>
  <c r="F282" i="49"/>
  <c r="H251" i="49"/>
  <c r="J246" i="49" l="1"/>
  <c r="B7" i="49"/>
  <c r="A7" i="49" s="1"/>
  <c r="AI100" i="49"/>
  <c r="AH100" i="49"/>
  <c r="G282" i="49"/>
  <c r="I251" i="49"/>
  <c r="H282" i="49" l="1"/>
  <c r="J251" i="49"/>
  <c r="J118" i="49"/>
  <c r="K246" i="49"/>
  <c r="J252" i="49"/>
  <c r="I252" i="49"/>
  <c r="I118" i="49"/>
  <c r="L246" i="49" l="1"/>
  <c r="K251" i="49"/>
  <c r="I282" i="49"/>
  <c r="J282" i="49" l="1"/>
  <c r="L251" i="49"/>
  <c r="L252" i="49"/>
  <c r="M246" i="49"/>
  <c r="L118" i="49"/>
  <c r="K252" i="49"/>
  <c r="K118" i="49"/>
  <c r="N246" i="49" l="1"/>
  <c r="M251" i="49"/>
  <c r="M252" i="49" s="1"/>
  <c r="K282" i="49"/>
  <c r="O246" i="49" l="1"/>
  <c r="L282" i="49"/>
  <c r="N251" i="49"/>
  <c r="M118" i="49"/>
  <c r="M282" i="49" l="1"/>
  <c r="O251" i="49"/>
  <c r="N252" i="49"/>
  <c r="N118" i="49"/>
  <c r="P246" i="49"/>
  <c r="O118" i="49"/>
  <c r="O252" i="49"/>
  <c r="N282" i="49" l="1"/>
  <c r="P251" i="49"/>
  <c r="Q246" i="49"/>
  <c r="P252" i="49"/>
  <c r="R246" i="49" l="1"/>
  <c r="O282" i="49"/>
  <c r="Q251" i="49"/>
  <c r="P282" i="49" l="1"/>
  <c r="R251" i="49"/>
  <c r="R252" i="49"/>
  <c r="R118" i="49"/>
  <c r="S246" i="49"/>
  <c r="Q118" i="49"/>
  <c r="Q252" i="49"/>
  <c r="T246" i="49" l="1"/>
  <c r="S251" i="49"/>
  <c r="Q282" i="49"/>
  <c r="R282" i="49" l="1"/>
  <c r="T251" i="49"/>
  <c r="T118" i="49"/>
  <c r="U246" i="49"/>
  <c r="S118" i="49"/>
  <c r="S252" i="49"/>
  <c r="V246" i="49" l="1"/>
  <c r="U118" i="49"/>
  <c r="U251" i="49"/>
  <c r="S282" i="49"/>
  <c r="T252" i="49"/>
  <c r="T282" i="49" l="1"/>
  <c r="V251" i="49"/>
  <c r="U252" i="49"/>
  <c r="W246" i="49"/>
  <c r="V118" i="49"/>
  <c r="V252" i="49"/>
  <c r="X246" i="49" l="1"/>
  <c r="U282" i="49"/>
  <c r="W251" i="49"/>
  <c r="W118" i="49" s="1"/>
  <c r="V282" i="49" l="1"/>
  <c r="X251" i="49"/>
  <c r="W252" i="49"/>
  <c r="Y246" i="49"/>
  <c r="X252" i="49"/>
  <c r="X118" i="49"/>
  <c r="Z246" i="49" l="1"/>
  <c r="W282" i="49"/>
  <c r="Y251" i="49"/>
  <c r="X282" i="49" l="1"/>
  <c r="Z251" i="49"/>
  <c r="Z252" i="49"/>
  <c r="Z118" i="49"/>
  <c r="AA246" i="49"/>
  <c r="Y252" i="49"/>
  <c r="AA118" i="49" l="1"/>
  <c r="AB246" i="49"/>
  <c r="AA251" i="49"/>
  <c r="Y282" i="49"/>
  <c r="Z282" i="49" l="1"/>
  <c r="AB251" i="49"/>
  <c r="AB252" i="49"/>
  <c r="AB118" i="49"/>
  <c r="AC246" i="49"/>
  <c r="AA252" i="49"/>
  <c r="AC251" i="49" l="1"/>
  <c r="AA282" i="49"/>
  <c r="AD246" i="49"/>
  <c r="AC252" i="49"/>
  <c r="AC118" i="49"/>
  <c r="AE246" i="49" l="1"/>
  <c r="AB282" i="49"/>
  <c r="AD251" i="49"/>
  <c r="AC282" i="49" l="1"/>
  <c r="AE251" i="49"/>
  <c r="AD252" i="49"/>
  <c r="AF246" i="49"/>
  <c r="AE118" i="49"/>
  <c r="AE252" i="49"/>
  <c r="B246" i="49" l="1"/>
  <c r="AD282" i="49"/>
  <c r="AF251" i="49"/>
  <c r="B251" i="49" l="1"/>
  <c r="AF282" i="49" s="1"/>
  <c r="AE282" i="49"/>
  <c r="AF118" i="49"/>
  <c r="AF252" i="49"/>
  <c r="B252" i="49"/>
  <c r="AI118" i="49" l="1"/>
  <c r="AH118" i="49"/>
  <c r="L123" i="48" l="1"/>
  <c r="L58" i="48"/>
  <c r="L62" i="48"/>
  <c r="L76" i="48"/>
  <c r="L80" i="48"/>
  <c r="K123" i="48"/>
  <c r="J123" i="48"/>
  <c r="J58" i="48"/>
  <c r="J62" i="48"/>
  <c r="I123" i="48"/>
  <c r="I58" i="48"/>
  <c r="I62" i="48"/>
  <c r="H123" i="48"/>
  <c r="G123" i="48"/>
  <c r="F123" i="48"/>
  <c r="F62" i="48"/>
  <c r="AH125" i="48" l="1"/>
  <c r="AI125" i="48"/>
  <c r="AH124" i="48"/>
  <c r="AI124" i="48"/>
  <c r="B92" i="48"/>
  <c r="AF286" i="48"/>
  <c r="AE286" i="48"/>
  <c r="AD286" i="48"/>
  <c r="AC286" i="48"/>
  <c r="AB286" i="48"/>
  <c r="AA286" i="48"/>
  <c r="Z286" i="48"/>
  <c r="Y286" i="48"/>
  <c r="X286" i="48"/>
  <c r="W286" i="48"/>
  <c r="V286" i="48"/>
  <c r="U286" i="48"/>
  <c r="T286" i="48"/>
  <c r="S286" i="48"/>
  <c r="R286" i="48"/>
  <c r="Q286" i="48"/>
  <c r="P286" i="48"/>
  <c r="O286" i="48"/>
  <c r="N286" i="48"/>
  <c r="M286" i="48"/>
  <c r="L286" i="48"/>
  <c r="K286" i="48"/>
  <c r="J286" i="48"/>
  <c r="I286" i="48"/>
  <c r="H286" i="48"/>
  <c r="G286" i="48"/>
  <c r="F286" i="48"/>
  <c r="E286" i="48"/>
  <c r="D286" i="48"/>
  <c r="C286" i="48"/>
  <c r="B286" i="48"/>
  <c r="A286" i="48"/>
  <c r="AF285" i="48"/>
  <c r="AE285" i="48"/>
  <c r="AD285" i="48"/>
  <c r="AC285" i="48"/>
  <c r="AB285" i="48"/>
  <c r="AA285" i="48"/>
  <c r="Z285" i="48"/>
  <c r="Y285" i="48"/>
  <c r="X285" i="48"/>
  <c r="W285" i="48"/>
  <c r="V285" i="48"/>
  <c r="U285" i="48"/>
  <c r="T285" i="48"/>
  <c r="S285" i="48"/>
  <c r="R285" i="48"/>
  <c r="Q285" i="48"/>
  <c r="P285" i="48"/>
  <c r="O285" i="48"/>
  <c r="N285" i="48"/>
  <c r="M285" i="48"/>
  <c r="L285" i="48"/>
  <c r="K285" i="48"/>
  <c r="J285" i="48"/>
  <c r="I285" i="48"/>
  <c r="H285" i="48"/>
  <c r="G285" i="48"/>
  <c r="F285" i="48"/>
  <c r="E285" i="48"/>
  <c r="D285" i="48"/>
  <c r="C285" i="48"/>
  <c r="B285" i="48"/>
  <c r="A285" i="48"/>
  <c r="AF284" i="48"/>
  <c r="AE284" i="48"/>
  <c r="AD284" i="48"/>
  <c r="AC284" i="48"/>
  <c r="AB284" i="48"/>
  <c r="AA284" i="48"/>
  <c r="Z284" i="48"/>
  <c r="Y284" i="48"/>
  <c r="X284" i="48"/>
  <c r="W284" i="48"/>
  <c r="V284" i="48"/>
  <c r="U284" i="48"/>
  <c r="T284" i="48"/>
  <c r="S284" i="48"/>
  <c r="R284" i="48"/>
  <c r="Q284" i="48"/>
  <c r="P284" i="48"/>
  <c r="O284" i="48"/>
  <c r="N284" i="48"/>
  <c r="M284" i="48"/>
  <c r="L284" i="48"/>
  <c r="K284" i="48"/>
  <c r="J284" i="48"/>
  <c r="I284" i="48"/>
  <c r="H284" i="48"/>
  <c r="G284" i="48"/>
  <c r="F284" i="48"/>
  <c r="E284" i="48"/>
  <c r="D284" i="48"/>
  <c r="C284" i="48"/>
  <c r="B284" i="48"/>
  <c r="A284" i="48"/>
  <c r="AF283" i="48"/>
  <c r="AE283" i="48"/>
  <c r="AD283" i="48"/>
  <c r="AC283" i="48"/>
  <c r="AB283" i="48"/>
  <c r="AA283" i="48"/>
  <c r="Z283" i="48"/>
  <c r="Y283" i="48"/>
  <c r="X283" i="48"/>
  <c r="W283" i="48"/>
  <c r="V283" i="48"/>
  <c r="U283" i="48"/>
  <c r="T283" i="48"/>
  <c r="S283" i="48"/>
  <c r="R283" i="48"/>
  <c r="Q283" i="48"/>
  <c r="P283" i="48"/>
  <c r="O283" i="48"/>
  <c r="N283" i="48"/>
  <c r="M283" i="48"/>
  <c r="L283" i="48"/>
  <c r="K283" i="48"/>
  <c r="J283" i="48"/>
  <c r="I283" i="48"/>
  <c r="H283" i="48"/>
  <c r="G283" i="48"/>
  <c r="F283" i="48"/>
  <c r="E283" i="48"/>
  <c r="D283" i="48"/>
  <c r="C283" i="48"/>
  <c r="B283" i="48"/>
  <c r="A283" i="48"/>
  <c r="B282" i="48"/>
  <c r="S257" i="48"/>
  <c r="AG252" i="48"/>
  <c r="C252" i="48"/>
  <c r="E251" i="48"/>
  <c r="D251" i="48"/>
  <c r="C282" i="48" s="1"/>
  <c r="D250" i="48"/>
  <c r="E250" i="48" s="1"/>
  <c r="F250" i="48" s="1"/>
  <c r="G250" i="48" s="1"/>
  <c r="H250" i="48" s="1"/>
  <c r="I250" i="48" s="1"/>
  <c r="J250" i="48" s="1"/>
  <c r="K250" i="48" s="1"/>
  <c r="L250" i="48" s="1"/>
  <c r="M250" i="48" s="1"/>
  <c r="N250" i="48" s="1"/>
  <c r="O250" i="48" s="1"/>
  <c r="P250" i="48" s="1"/>
  <c r="Q250" i="48" s="1"/>
  <c r="R250" i="48" s="1"/>
  <c r="S250" i="48" s="1"/>
  <c r="T250" i="48" s="1"/>
  <c r="U250" i="48" s="1"/>
  <c r="V250" i="48" s="1"/>
  <c r="W250" i="48" s="1"/>
  <c r="X250" i="48" s="1"/>
  <c r="Y250" i="48" s="1"/>
  <c r="Z250" i="48" s="1"/>
  <c r="AA250" i="48" s="1"/>
  <c r="AB250" i="48" s="1"/>
  <c r="AC250" i="48" s="1"/>
  <c r="AD250" i="48" s="1"/>
  <c r="AE250" i="48" s="1"/>
  <c r="AF250" i="48" s="1"/>
  <c r="B250" i="48" s="1"/>
  <c r="D249" i="48"/>
  <c r="E249" i="48" s="1"/>
  <c r="F249" i="48" s="1"/>
  <c r="G249" i="48" s="1"/>
  <c r="H249" i="48" s="1"/>
  <c r="I249" i="48" s="1"/>
  <c r="J249" i="48" s="1"/>
  <c r="K249" i="48" s="1"/>
  <c r="L249" i="48" s="1"/>
  <c r="M249" i="48" s="1"/>
  <c r="N249" i="48" s="1"/>
  <c r="O249" i="48" s="1"/>
  <c r="P249" i="48" s="1"/>
  <c r="Q249" i="48" s="1"/>
  <c r="R249" i="48" s="1"/>
  <c r="S249" i="48" s="1"/>
  <c r="T249" i="48" s="1"/>
  <c r="U249" i="48" s="1"/>
  <c r="V249" i="48" s="1"/>
  <c r="W249" i="48" s="1"/>
  <c r="X249" i="48" s="1"/>
  <c r="Y249" i="48" s="1"/>
  <c r="Z249" i="48" s="1"/>
  <c r="AA249" i="48" s="1"/>
  <c r="AB249" i="48" s="1"/>
  <c r="AC249" i="48" s="1"/>
  <c r="AD249" i="48" s="1"/>
  <c r="AE249" i="48" s="1"/>
  <c r="AF249" i="48" s="1"/>
  <c r="B249" i="48" s="1"/>
  <c r="D248" i="48"/>
  <c r="E248" i="48" s="1"/>
  <c r="F248" i="48" s="1"/>
  <c r="G248" i="48" s="1"/>
  <c r="H248" i="48" s="1"/>
  <c r="I248" i="48" s="1"/>
  <c r="J248" i="48" s="1"/>
  <c r="K248" i="48" s="1"/>
  <c r="L248" i="48" s="1"/>
  <c r="M248" i="48" s="1"/>
  <c r="N248" i="48" s="1"/>
  <c r="O248" i="48" s="1"/>
  <c r="P248" i="48" s="1"/>
  <c r="Q248" i="48" s="1"/>
  <c r="R248" i="48" s="1"/>
  <c r="S248" i="48" s="1"/>
  <c r="T248" i="48" s="1"/>
  <c r="U248" i="48" s="1"/>
  <c r="V248" i="48" s="1"/>
  <c r="W248" i="48" s="1"/>
  <c r="X248" i="48" s="1"/>
  <c r="Y248" i="48" s="1"/>
  <c r="Z248" i="48" s="1"/>
  <c r="AA248" i="48" s="1"/>
  <c r="AB248" i="48" s="1"/>
  <c r="AC248" i="48" s="1"/>
  <c r="AD248" i="48" s="1"/>
  <c r="AE248" i="48" s="1"/>
  <c r="AF248" i="48" s="1"/>
  <c r="B248" i="48" s="1"/>
  <c r="D247" i="48"/>
  <c r="D252" i="48" s="1"/>
  <c r="E246" i="48"/>
  <c r="E118" i="48" s="1"/>
  <c r="D246" i="48"/>
  <c r="AG244" i="48"/>
  <c r="AF244" i="48"/>
  <c r="AE244" i="48"/>
  <c r="AD244" i="48"/>
  <c r="AC244" i="48"/>
  <c r="AB244" i="48"/>
  <c r="AA244" i="48"/>
  <c r="Z244" i="48"/>
  <c r="Y244" i="48"/>
  <c r="X244" i="48"/>
  <c r="W244" i="48"/>
  <c r="V244" i="48"/>
  <c r="U244" i="48"/>
  <c r="T244" i="48"/>
  <c r="S244" i="48"/>
  <c r="R244" i="48"/>
  <c r="Q244" i="48"/>
  <c r="P244" i="48"/>
  <c r="O244" i="48"/>
  <c r="N244" i="48"/>
  <c r="M244" i="48"/>
  <c r="L244" i="48"/>
  <c r="K244" i="48"/>
  <c r="J244" i="48"/>
  <c r="I244" i="48"/>
  <c r="H244" i="48"/>
  <c r="G244" i="48"/>
  <c r="F244" i="48"/>
  <c r="E244" i="48"/>
  <c r="D244" i="48"/>
  <c r="C244" i="48"/>
  <c r="B244" i="48"/>
  <c r="AI130" i="48"/>
  <c r="AH130" i="48"/>
  <c r="AI129" i="48"/>
  <c r="AH129" i="48"/>
  <c r="AI128" i="48"/>
  <c r="AH128" i="48"/>
  <c r="AI127" i="48"/>
  <c r="AH127" i="48"/>
  <c r="AI126" i="48"/>
  <c r="AH126" i="48"/>
  <c r="AI123" i="48"/>
  <c r="AH123" i="48"/>
  <c r="AI122" i="48"/>
  <c r="AH122" i="48"/>
  <c r="AI121" i="48"/>
  <c r="AH121" i="48"/>
  <c r="AI120" i="48"/>
  <c r="AH120" i="48"/>
  <c r="AI119" i="48"/>
  <c r="AH119" i="48"/>
  <c r="D118" i="48"/>
  <c r="C118" i="48"/>
  <c r="AI117" i="48"/>
  <c r="AH117" i="48"/>
  <c r="AI116" i="48"/>
  <c r="AH116" i="48"/>
  <c r="AI115" i="48"/>
  <c r="AH115" i="48"/>
  <c r="AI114" i="48"/>
  <c r="AH114" i="48"/>
  <c r="AI113" i="48"/>
  <c r="AH113" i="48"/>
  <c r="AI112" i="48"/>
  <c r="AH112" i="48"/>
  <c r="AI111" i="48"/>
  <c r="AH111" i="48"/>
  <c r="AI110" i="48"/>
  <c r="AH110" i="48"/>
  <c r="AI109" i="48"/>
  <c r="AH109" i="48"/>
  <c r="AI106" i="48"/>
  <c r="AH106" i="48"/>
  <c r="AA105" i="48"/>
  <c r="Z105" i="48"/>
  <c r="Y105" i="48"/>
  <c r="X105" i="48"/>
  <c r="W105" i="48"/>
  <c r="V105" i="48"/>
  <c r="U105" i="48"/>
  <c r="T105" i="48"/>
  <c r="S105" i="48"/>
  <c r="Q105" i="48"/>
  <c r="P105" i="48"/>
  <c r="O105" i="48"/>
  <c r="N105" i="48"/>
  <c r="M105" i="48"/>
  <c r="L105" i="48"/>
  <c r="K105" i="48"/>
  <c r="J105" i="48"/>
  <c r="I105" i="48"/>
  <c r="H105" i="48"/>
  <c r="G105" i="48"/>
  <c r="F105" i="48"/>
  <c r="E105" i="48"/>
  <c r="D105" i="48"/>
  <c r="C105" i="48"/>
  <c r="B105" i="48"/>
  <c r="AA104" i="48"/>
  <c r="Z104" i="48"/>
  <c r="Y104" i="48"/>
  <c r="X104" i="48"/>
  <c r="W104" i="48"/>
  <c r="V104" i="48"/>
  <c r="U104" i="48"/>
  <c r="T104" i="48"/>
  <c r="S104" i="48"/>
  <c r="Q104" i="48"/>
  <c r="P104" i="48"/>
  <c r="O104" i="48"/>
  <c r="N104" i="48"/>
  <c r="M104" i="48"/>
  <c r="L104" i="48"/>
  <c r="K104" i="48"/>
  <c r="J104" i="48"/>
  <c r="I104" i="48"/>
  <c r="H104" i="48"/>
  <c r="G104" i="48"/>
  <c r="F104" i="48"/>
  <c r="E104" i="48"/>
  <c r="D104" i="48"/>
  <c r="C104" i="48"/>
  <c r="B104" i="48"/>
  <c r="AA103" i="48"/>
  <c r="Z103" i="48"/>
  <c r="Y103" i="48"/>
  <c r="Y107" i="48" s="1"/>
  <c r="X103" i="48"/>
  <c r="W103" i="48"/>
  <c r="V103" i="48"/>
  <c r="U103" i="48"/>
  <c r="T103" i="48"/>
  <c r="S103" i="48"/>
  <c r="Q103" i="48"/>
  <c r="P103" i="48"/>
  <c r="O103" i="48"/>
  <c r="N103" i="48"/>
  <c r="M103" i="48"/>
  <c r="L103" i="48"/>
  <c r="K103" i="48"/>
  <c r="J103" i="48"/>
  <c r="I103" i="48"/>
  <c r="H103" i="48"/>
  <c r="G103" i="48"/>
  <c r="F103" i="48"/>
  <c r="E103" i="48"/>
  <c r="D103" i="48"/>
  <c r="C103" i="48"/>
  <c r="B103" i="48"/>
  <c r="AA102" i="48"/>
  <c r="Z102" i="48"/>
  <c r="Y102" i="48"/>
  <c r="X102" i="48"/>
  <c r="W102" i="48"/>
  <c r="V102" i="48"/>
  <c r="U102" i="48"/>
  <c r="T102" i="48"/>
  <c r="S102" i="48"/>
  <c r="Q102" i="48"/>
  <c r="P102" i="48"/>
  <c r="O102" i="48"/>
  <c r="N102" i="48"/>
  <c r="M102" i="48"/>
  <c r="L102" i="48"/>
  <c r="K102" i="48"/>
  <c r="J102" i="48"/>
  <c r="I102" i="48"/>
  <c r="H102" i="48"/>
  <c r="G102" i="48"/>
  <c r="F102" i="48"/>
  <c r="E102" i="48"/>
  <c r="D102" i="48"/>
  <c r="C102" i="48"/>
  <c r="B102" i="48"/>
  <c r="AA101" i="48"/>
  <c r="Z101" i="48"/>
  <c r="Y101" i="48"/>
  <c r="X101" i="48"/>
  <c r="W101" i="48"/>
  <c r="V101" i="48"/>
  <c r="U101" i="48"/>
  <c r="T101" i="48"/>
  <c r="S101" i="48"/>
  <c r="Q101" i="48"/>
  <c r="P101" i="48"/>
  <c r="O101" i="48"/>
  <c r="N101" i="48"/>
  <c r="M101" i="48"/>
  <c r="L101" i="48"/>
  <c r="K101" i="48"/>
  <c r="J101" i="48"/>
  <c r="I101" i="48"/>
  <c r="H101" i="48"/>
  <c r="G101" i="48"/>
  <c r="F101" i="48"/>
  <c r="E101" i="48"/>
  <c r="D101" i="48"/>
  <c r="C101" i="48"/>
  <c r="B101" i="48"/>
  <c r="AI98" i="48"/>
  <c r="AH98" i="48"/>
  <c r="AI96" i="48"/>
  <c r="AH96" i="48"/>
  <c r="AG96" i="48"/>
  <c r="AI95" i="48"/>
  <c r="AH95" i="48"/>
  <c r="AI94" i="48"/>
  <c r="AH94" i="48"/>
  <c r="AI93" i="48"/>
  <c r="AH93" i="48"/>
  <c r="AG92" i="48"/>
  <c r="AE5" i="48"/>
  <c r="AA5" i="48"/>
  <c r="AA92" i="48"/>
  <c r="Z5" i="48" s="1"/>
  <c r="Z92" i="48"/>
  <c r="Y92" i="48"/>
  <c r="X5" i="48" s="1"/>
  <c r="X92" i="48"/>
  <c r="W5" i="48" s="1"/>
  <c r="W92" i="48"/>
  <c r="V5" i="48" s="1"/>
  <c r="V92" i="48"/>
  <c r="U5" i="48" s="1"/>
  <c r="U92" i="48"/>
  <c r="T5" i="48" s="1"/>
  <c r="T92" i="48"/>
  <c r="S5" i="48" s="1"/>
  <c r="S92" i="48"/>
  <c r="R5" i="48" s="1"/>
  <c r="Q92" i="48"/>
  <c r="P5" i="48" s="1"/>
  <c r="P92" i="48"/>
  <c r="O5" i="48" s="1"/>
  <c r="O92" i="48"/>
  <c r="N5" i="48" s="1"/>
  <c r="N92" i="48"/>
  <c r="M5" i="48" s="1"/>
  <c r="M92" i="48"/>
  <c r="L92" i="48"/>
  <c r="K5" i="48" s="1"/>
  <c r="K92" i="48"/>
  <c r="J5" i="48" s="1"/>
  <c r="J92" i="48"/>
  <c r="I92" i="48"/>
  <c r="H5" i="48" s="1"/>
  <c r="H92" i="48"/>
  <c r="G5" i="48" s="1"/>
  <c r="G92" i="48"/>
  <c r="F5" i="48" s="1"/>
  <c r="F92" i="48"/>
  <c r="E5" i="48" s="1"/>
  <c r="E92" i="48"/>
  <c r="D5" i="48" s="1"/>
  <c r="D92" i="48"/>
  <c r="C5" i="48" s="1"/>
  <c r="C92" i="48"/>
  <c r="B5" i="48" s="1"/>
  <c r="AF5" i="48"/>
  <c r="AI91" i="48"/>
  <c r="AH91" i="48"/>
  <c r="AI90" i="48"/>
  <c r="AH90" i="48"/>
  <c r="AI89" i="48"/>
  <c r="AH89" i="48"/>
  <c r="AI88" i="48"/>
  <c r="AH88" i="48"/>
  <c r="AI87" i="48"/>
  <c r="AH87" i="48"/>
  <c r="AI86" i="48"/>
  <c r="AH86" i="48"/>
  <c r="AI85" i="48"/>
  <c r="AH85" i="48"/>
  <c r="AI84" i="48"/>
  <c r="AH84" i="48"/>
  <c r="AI83" i="48"/>
  <c r="AH83" i="48"/>
  <c r="AI82" i="48"/>
  <c r="AH82" i="48"/>
  <c r="AI81" i="48"/>
  <c r="AH81" i="48"/>
  <c r="AG80" i="48"/>
  <c r="AG4" i="48" s="1"/>
  <c r="AA80" i="48"/>
  <c r="Z80" i="48"/>
  <c r="Y80" i="48"/>
  <c r="X80" i="48"/>
  <c r="W80" i="48"/>
  <c r="V80" i="48"/>
  <c r="U80" i="48"/>
  <c r="T80" i="48"/>
  <c r="S80" i="48"/>
  <c r="Q80" i="48"/>
  <c r="P80" i="48"/>
  <c r="O80" i="48"/>
  <c r="N80" i="48"/>
  <c r="M80" i="48"/>
  <c r="K80" i="48"/>
  <c r="J80" i="48"/>
  <c r="I80" i="48"/>
  <c r="H80" i="48"/>
  <c r="G80" i="48"/>
  <c r="F80" i="48"/>
  <c r="E80" i="48"/>
  <c r="D80" i="48"/>
  <c r="C80" i="48"/>
  <c r="B80" i="48"/>
  <c r="AI79" i="48"/>
  <c r="AH79" i="48"/>
  <c r="AI78" i="48"/>
  <c r="AH78" i="48"/>
  <c r="AI77" i="48"/>
  <c r="AH77" i="48"/>
  <c r="AG76" i="48"/>
  <c r="AG3" i="48" s="1"/>
  <c r="AA76" i="48"/>
  <c r="Z76" i="48"/>
  <c r="Y76" i="48"/>
  <c r="X76" i="48"/>
  <c r="W76" i="48"/>
  <c r="V76" i="48"/>
  <c r="U76" i="48"/>
  <c r="T76" i="48"/>
  <c r="S76" i="48"/>
  <c r="Q76" i="48"/>
  <c r="P76" i="48"/>
  <c r="O76" i="48"/>
  <c r="N76" i="48"/>
  <c r="M76" i="48"/>
  <c r="K76" i="48"/>
  <c r="J76" i="48"/>
  <c r="I76" i="48"/>
  <c r="H76" i="48"/>
  <c r="G76" i="48"/>
  <c r="F76" i="48"/>
  <c r="E76" i="48"/>
  <c r="D76" i="48"/>
  <c r="C76" i="48"/>
  <c r="AI75" i="48"/>
  <c r="AH75" i="48"/>
  <c r="AG75" i="48"/>
  <c r="AI74" i="48"/>
  <c r="AH74" i="48"/>
  <c r="AI73" i="48"/>
  <c r="AH73" i="48"/>
  <c r="AI72" i="48"/>
  <c r="AH72" i="48"/>
  <c r="AI71" i="48"/>
  <c r="AH71" i="48"/>
  <c r="AI70" i="48"/>
  <c r="AH70" i="48"/>
  <c r="AI69" i="48"/>
  <c r="AH69" i="48"/>
  <c r="AI68" i="48"/>
  <c r="AH68" i="48"/>
  <c r="AI67" i="48"/>
  <c r="AH67" i="48"/>
  <c r="AI66" i="48"/>
  <c r="AH66" i="48"/>
  <c r="AI65" i="48"/>
  <c r="AH65" i="48"/>
  <c r="AI64" i="48"/>
  <c r="AH64" i="48"/>
  <c r="AI63" i="48"/>
  <c r="AH63" i="48"/>
  <c r="AG62" i="48"/>
  <c r="AA62" i="48"/>
  <c r="Z62" i="48"/>
  <c r="Y62" i="48"/>
  <c r="X62" i="48"/>
  <c r="W62" i="48"/>
  <c r="V62" i="48"/>
  <c r="U62" i="48"/>
  <c r="T62" i="48"/>
  <c r="S62" i="48"/>
  <c r="Q62" i="48"/>
  <c r="P62" i="48"/>
  <c r="O62" i="48"/>
  <c r="N62" i="48"/>
  <c r="M62" i="48"/>
  <c r="K62" i="48"/>
  <c r="H62" i="48"/>
  <c r="G62" i="48"/>
  <c r="E62" i="48"/>
  <c r="D62" i="48"/>
  <c r="C62" i="48"/>
  <c r="AI61" i="48"/>
  <c r="AH61" i="48"/>
  <c r="AI60" i="48"/>
  <c r="AH60" i="48"/>
  <c r="AI59" i="48"/>
  <c r="AH59" i="48"/>
  <c r="AG58" i="48"/>
  <c r="AW261" i="48"/>
  <c r="AA58" i="48"/>
  <c r="Z58" i="48"/>
  <c r="Y58" i="48"/>
  <c r="X58" i="48"/>
  <c r="W58" i="48"/>
  <c r="V58" i="48"/>
  <c r="U58" i="48"/>
  <c r="T58" i="48"/>
  <c r="S58" i="48"/>
  <c r="Q58" i="48"/>
  <c r="P58" i="48"/>
  <c r="O58" i="48"/>
  <c r="N58" i="48"/>
  <c r="M58" i="48"/>
  <c r="K58" i="48"/>
  <c r="H58" i="48"/>
  <c r="G58" i="48"/>
  <c r="F58" i="48"/>
  <c r="E58" i="48"/>
  <c r="D58" i="48"/>
  <c r="C58" i="48"/>
  <c r="AI57" i="48"/>
  <c r="AH57" i="48"/>
  <c r="AI56" i="48"/>
  <c r="AH56" i="48"/>
  <c r="AI55" i="48"/>
  <c r="AH55" i="48"/>
  <c r="AI54" i="48"/>
  <c r="AH54" i="48"/>
  <c r="AI53" i="48"/>
  <c r="AH53" i="48"/>
  <c r="AI52" i="48"/>
  <c r="AH52" i="48"/>
  <c r="AI51" i="48"/>
  <c r="AH51" i="48"/>
  <c r="AI50" i="48"/>
  <c r="AH50" i="48"/>
  <c r="AI49" i="48"/>
  <c r="AH49" i="48"/>
  <c r="AI48" i="48"/>
  <c r="AH48" i="48"/>
  <c r="AI47" i="48"/>
  <c r="AH47" i="48"/>
  <c r="AI46" i="48"/>
  <c r="AH46" i="48"/>
  <c r="AI45" i="48"/>
  <c r="AH45" i="48"/>
  <c r="AI44" i="48"/>
  <c r="AH44" i="48"/>
  <c r="AI43" i="48"/>
  <c r="AH43" i="48"/>
  <c r="AI42" i="48"/>
  <c r="AH42" i="48"/>
  <c r="AI41" i="48"/>
  <c r="AH41" i="48"/>
  <c r="AI40" i="48"/>
  <c r="AH40" i="48"/>
  <c r="AI39" i="48"/>
  <c r="AH39" i="48"/>
  <c r="AI38" i="48"/>
  <c r="AH38" i="48"/>
  <c r="AI37" i="48"/>
  <c r="AH37" i="48"/>
  <c r="AI36" i="48"/>
  <c r="AH36" i="48"/>
  <c r="AI35" i="48"/>
  <c r="AH35" i="48"/>
  <c r="AI34" i="48"/>
  <c r="AH34" i="48"/>
  <c r="AI33" i="48"/>
  <c r="AH33" i="48"/>
  <c r="AI32" i="48"/>
  <c r="AH32" i="48"/>
  <c r="AI31" i="48"/>
  <c r="AH31" i="48"/>
  <c r="AI30" i="48"/>
  <c r="AH30" i="48"/>
  <c r="AI29" i="48"/>
  <c r="AH29" i="48"/>
  <c r="AI28" i="48"/>
  <c r="AH28" i="48"/>
  <c r="AI27" i="48"/>
  <c r="AH27" i="48"/>
  <c r="AI26" i="48"/>
  <c r="AH26" i="48"/>
  <c r="AI25" i="48"/>
  <c r="AH25" i="48"/>
  <c r="AI24" i="48"/>
  <c r="AH24" i="48"/>
  <c r="AI23" i="48"/>
  <c r="AH23" i="48"/>
  <c r="AI22" i="48"/>
  <c r="AH22" i="48"/>
  <c r="AI21" i="48"/>
  <c r="AH21" i="48"/>
  <c r="AI20" i="48"/>
  <c r="AH20" i="48"/>
  <c r="AI19" i="48"/>
  <c r="AH19" i="48"/>
  <c r="AI18" i="48"/>
  <c r="AH18" i="48"/>
  <c r="AI17" i="48"/>
  <c r="AH17" i="48"/>
  <c r="AI16" i="48"/>
  <c r="AH16" i="48"/>
  <c r="AI15" i="48"/>
  <c r="AH15" i="48"/>
  <c r="AI14" i="48"/>
  <c r="AH14" i="48"/>
  <c r="AI13" i="48"/>
  <c r="AH13" i="48"/>
  <c r="AI12" i="48"/>
  <c r="AH12" i="48"/>
  <c r="AI11" i="48"/>
  <c r="AH11" i="48"/>
  <c r="AD5" i="48"/>
  <c r="AC5" i="48"/>
  <c r="AB5" i="48"/>
  <c r="Q5" i="48"/>
  <c r="L5" i="48"/>
  <c r="K4" i="48"/>
  <c r="E4" i="48"/>
  <c r="H4" i="48" s="1"/>
  <c r="B4" i="48"/>
  <c r="AC123" i="47"/>
  <c r="AB62" i="47"/>
  <c r="AB58" i="47"/>
  <c r="AB123" i="47"/>
  <c r="AA123" i="47"/>
  <c r="AA91" i="47"/>
  <c r="AA57" i="47"/>
  <c r="AA58" i="47"/>
  <c r="AA62" i="47"/>
  <c r="AA76" i="47"/>
  <c r="AA80" i="47"/>
  <c r="AA92" i="47"/>
  <c r="AA101" i="47"/>
  <c r="AA102" i="47"/>
  <c r="AA103" i="47"/>
  <c r="AA104" i="47"/>
  <c r="AA105" i="47"/>
  <c r="AA118" i="47"/>
  <c r="Z123" i="47"/>
  <c r="Z57" i="47"/>
  <c r="Y123" i="47"/>
  <c r="Y105" i="47"/>
  <c r="Y104" i="47"/>
  <c r="Y103" i="47"/>
  <c r="Y102" i="47"/>
  <c r="Y101" i="47"/>
  <c r="Y91" i="47"/>
  <c r="Y92" i="47" s="1"/>
  <c r="Y80" i="47"/>
  <c r="Y76" i="47"/>
  <c r="Y62" i="47"/>
  <c r="Y58" i="47"/>
  <c r="X123" i="47"/>
  <c r="X91" i="47"/>
  <c r="X92" i="47" s="1"/>
  <c r="X58" i="47"/>
  <c r="X62" i="47"/>
  <c r="X76" i="47"/>
  <c r="X80" i="47"/>
  <c r="X101" i="47"/>
  <c r="X102" i="47"/>
  <c r="X103" i="47"/>
  <c r="X104" i="47"/>
  <c r="X105" i="47"/>
  <c r="W123" i="47"/>
  <c r="W91" i="47"/>
  <c r="W58" i="47"/>
  <c r="W62" i="47"/>
  <c r="W76" i="47"/>
  <c r="W80" i="47"/>
  <c r="W92" i="47"/>
  <c r="W101" i="47"/>
  <c r="W102" i="47"/>
  <c r="W103" i="47"/>
  <c r="W104" i="47"/>
  <c r="W105" i="47"/>
  <c r="V123" i="47"/>
  <c r="V91" i="47"/>
  <c r="V92" i="47" s="1"/>
  <c r="V58" i="47"/>
  <c r="V62" i="47"/>
  <c r="V76" i="47"/>
  <c r="V80" i="47"/>
  <c r="V101" i="47"/>
  <c r="V102" i="47"/>
  <c r="V103" i="47"/>
  <c r="V104" i="47"/>
  <c r="V105" i="47"/>
  <c r="U123" i="47"/>
  <c r="U91" i="47"/>
  <c r="U85" i="47"/>
  <c r="U103" i="47" s="1"/>
  <c r="U58" i="47"/>
  <c r="U62" i="47"/>
  <c r="U76" i="47"/>
  <c r="U80" i="47"/>
  <c r="U101" i="47"/>
  <c r="U102" i="47"/>
  <c r="U104" i="47"/>
  <c r="U105" i="47"/>
  <c r="T91" i="47"/>
  <c r="T85" i="47"/>
  <c r="T103" i="47" s="1"/>
  <c r="T123" i="47"/>
  <c r="T58" i="47"/>
  <c r="T62" i="47"/>
  <c r="T76" i="47"/>
  <c r="T80" i="47"/>
  <c r="T92" i="47"/>
  <c r="T101" i="47"/>
  <c r="T102" i="47"/>
  <c r="T104" i="47"/>
  <c r="T105" i="47"/>
  <c r="S123" i="47"/>
  <c r="S91" i="47"/>
  <c r="S92" i="47" s="1"/>
  <c r="S85" i="47"/>
  <c r="S58" i="47"/>
  <c r="S62" i="47"/>
  <c r="S76" i="47"/>
  <c r="S80" i="47"/>
  <c r="S101" i="47"/>
  <c r="S102" i="47"/>
  <c r="S103" i="47"/>
  <c r="S104" i="47"/>
  <c r="S105" i="47"/>
  <c r="AA97" i="48" l="1"/>
  <c r="AA99" i="48" s="1"/>
  <c r="AS261" i="48" s="1"/>
  <c r="Z107" i="48"/>
  <c r="Z108" i="48" s="1"/>
  <c r="Z97" i="48"/>
  <c r="Z99" i="48" s="1"/>
  <c r="AR261" i="48" s="1"/>
  <c r="W97" i="48"/>
  <c r="W99" i="48" s="1"/>
  <c r="AO261" i="48" s="1"/>
  <c r="V97" i="48"/>
  <c r="V99" i="48" s="1"/>
  <c r="U97" i="48"/>
  <c r="U99" i="48" s="1"/>
  <c r="AM261" i="48" s="1"/>
  <c r="S97" i="48"/>
  <c r="S99" i="48" s="1"/>
  <c r="S100" i="48" s="1"/>
  <c r="S7" i="48" s="1"/>
  <c r="Y5" i="48"/>
  <c r="T97" i="48"/>
  <c r="T99" i="48" s="1"/>
  <c r="AL261" i="48" s="1"/>
  <c r="AT261" i="48"/>
  <c r="E107" i="48"/>
  <c r="M107" i="48"/>
  <c r="Q107" i="48"/>
  <c r="AC7" i="48"/>
  <c r="F246" i="48"/>
  <c r="G246" i="48" s="1"/>
  <c r="W107" i="48"/>
  <c r="W108" i="48" s="1"/>
  <c r="X97" i="48"/>
  <c r="X99" i="48" s="1"/>
  <c r="AP261" i="48" s="1"/>
  <c r="AX261" i="48"/>
  <c r="X107" i="48"/>
  <c r="AF7" i="48"/>
  <c r="E247" i="48"/>
  <c r="F247" i="48" s="1"/>
  <c r="AG99" i="48"/>
  <c r="P107" i="48"/>
  <c r="J107" i="48"/>
  <c r="U107" i="48"/>
  <c r="Q108" i="48"/>
  <c r="P97" i="48"/>
  <c r="P99" i="48" s="1"/>
  <c r="AH261" i="48" s="1"/>
  <c r="P108" i="48"/>
  <c r="O107" i="48"/>
  <c r="O108" i="48" s="1"/>
  <c r="O97" i="48"/>
  <c r="O99" i="48" s="1"/>
  <c r="AG261" i="48" s="1"/>
  <c r="N97" i="48"/>
  <c r="N99" i="48" s="1"/>
  <c r="AF261" i="48" s="1"/>
  <c r="M97" i="48"/>
  <c r="M99" i="48" s="1"/>
  <c r="AE261" i="48" s="1"/>
  <c r="L97" i="48"/>
  <c r="L99" i="48" s="1"/>
  <c r="AD261" i="48" s="1"/>
  <c r="K97" i="48"/>
  <c r="K99" i="48" s="1"/>
  <c r="J97" i="48"/>
  <c r="J99" i="48" s="1"/>
  <c r="J108" i="48"/>
  <c r="I107" i="48"/>
  <c r="H107" i="48"/>
  <c r="H108" i="48" s="1"/>
  <c r="H97" i="48"/>
  <c r="H99" i="48" s="1"/>
  <c r="Z261" i="48" s="1"/>
  <c r="AI105" i="48"/>
  <c r="G107" i="48"/>
  <c r="G108" i="48" s="1"/>
  <c r="G97" i="48"/>
  <c r="G99" i="48" s="1"/>
  <c r="G100" i="48" s="1"/>
  <c r="G7" i="48" s="1"/>
  <c r="F97" i="48"/>
  <c r="F99" i="48" s="1"/>
  <c r="X261" i="48" s="1"/>
  <c r="E97" i="48"/>
  <c r="E99" i="48" s="1"/>
  <c r="W261" i="48" s="1"/>
  <c r="AI104" i="48"/>
  <c r="D97" i="48"/>
  <c r="D99" i="48" s="1"/>
  <c r="V261" i="48" s="1"/>
  <c r="C97" i="48"/>
  <c r="C99" i="48" s="1"/>
  <c r="U261" i="48" s="1"/>
  <c r="AI58" i="48"/>
  <c r="AJ261" i="48"/>
  <c r="R7" i="48"/>
  <c r="AK261" i="48"/>
  <c r="E100" i="48"/>
  <c r="E7" i="48" s="1"/>
  <c r="AB261" i="48"/>
  <c r="J100" i="48"/>
  <c r="J7" i="48" s="1"/>
  <c r="Z100" i="48"/>
  <c r="Z7" i="48" s="1"/>
  <c r="AC261" i="48"/>
  <c r="AV261" i="48"/>
  <c r="I5" i="48"/>
  <c r="AI76" i="48"/>
  <c r="AH76" i="48"/>
  <c r="B97" i="48"/>
  <c r="D282" i="48"/>
  <c r="F251" i="48"/>
  <c r="S258" i="48"/>
  <c r="D258" i="48"/>
  <c r="AI80" i="48"/>
  <c r="AH80" i="48"/>
  <c r="H100" i="48"/>
  <c r="H7" i="48" s="1"/>
  <c r="E108" i="48"/>
  <c r="M108" i="48"/>
  <c r="U108" i="48"/>
  <c r="F107" i="48"/>
  <c r="F108" i="48" s="1"/>
  <c r="N107" i="48"/>
  <c r="N108" i="48" s="1"/>
  <c r="V107" i="48"/>
  <c r="V108" i="48" s="1"/>
  <c r="X108" i="48"/>
  <c r="AE7" i="48"/>
  <c r="AH105" i="48"/>
  <c r="E252" i="48"/>
  <c r="Y261" i="48"/>
  <c r="AI102" i="48"/>
  <c r="I97" i="48"/>
  <c r="I99" i="48" s="1"/>
  <c r="Q97" i="48"/>
  <c r="Q99" i="48" s="1"/>
  <c r="Y97" i="48"/>
  <c r="Y99" i="48" s="1"/>
  <c r="AG2" i="48"/>
  <c r="AG6" i="48" s="1"/>
  <c r="AG97" i="48"/>
  <c r="AI62" i="48"/>
  <c r="AH62" i="48"/>
  <c r="AH102" i="48"/>
  <c r="AI103" i="48"/>
  <c r="AH104" i="48"/>
  <c r="AH58" i="48"/>
  <c r="I108" i="48"/>
  <c r="Y108" i="48"/>
  <c r="AN261" i="48"/>
  <c r="AI101" i="48"/>
  <c r="H246" i="48"/>
  <c r="AI92" i="48"/>
  <c r="AH92" i="48"/>
  <c r="C107" i="48"/>
  <c r="C108" i="48" s="1"/>
  <c r="K107" i="48"/>
  <c r="K108" i="48" s="1"/>
  <c r="S107" i="48"/>
  <c r="S108" i="48" s="1"/>
  <c r="AA107" i="48"/>
  <c r="AA108" i="48" s="1"/>
  <c r="D107" i="48"/>
  <c r="D100" i="48" s="1"/>
  <c r="D7" i="48" s="1"/>
  <c r="AH103" i="48"/>
  <c r="L107" i="48"/>
  <c r="L108" i="48" s="1"/>
  <c r="T107" i="48"/>
  <c r="T108" i="48" s="1"/>
  <c r="AH101" i="48"/>
  <c r="B107" i="48"/>
  <c r="B108" i="48" s="1"/>
  <c r="F118" i="48"/>
  <c r="AA97" i="47"/>
  <c r="AA99" i="47" s="1"/>
  <c r="AA100" i="47" s="1"/>
  <c r="AA107" i="47"/>
  <c r="AA108" i="47" s="1"/>
  <c r="Y107" i="47"/>
  <c r="Y108" i="47" s="1"/>
  <c r="V107" i="47"/>
  <c r="V108" i="47" s="1"/>
  <c r="Y97" i="47"/>
  <c r="Y99" i="47" s="1"/>
  <c r="Y100" i="47" s="1"/>
  <c r="X107" i="47"/>
  <c r="X108" i="47" s="1"/>
  <c r="U92" i="47"/>
  <c r="W107" i="47"/>
  <c r="X97" i="47"/>
  <c r="X99" i="47" s="1"/>
  <c r="X100" i="47" s="1"/>
  <c r="W108" i="47"/>
  <c r="W97" i="47"/>
  <c r="W99" i="47" s="1"/>
  <c r="W100" i="47" s="1"/>
  <c r="V97" i="47"/>
  <c r="V99" i="47" s="1"/>
  <c r="U107" i="47"/>
  <c r="U108" i="47"/>
  <c r="U97" i="47"/>
  <c r="U99" i="47" s="1"/>
  <c r="U100" i="47" s="1"/>
  <c r="T107" i="47"/>
  <c r="T108" i="47"/>
  <c r="T97" i="47"/>
  <c r="T99" i="47" s="1"/>
  <c r="T100" i="47" s="1"/>
  <c r="S107" i="47"/>
  <c r="S108" i="47" s="1"/>
  <c r="S97" i="47"/>
  <c r="S99" i="47" s="1"/>
  <c r="S100" i="47" s="1"/>
  <c r="W100" i="48" l="1"/>
  <c r="W7" i="48" s="1"/>
  <c r="U100" i="48"/>
  <c r="U7" i="48" s="1"/>
  <c r="T100" i="48"/>
  <c r="T7" i="48" s="1"/>
  <c r="X100" i="48"/>
  <c r="X7" i="48" s="1"/>
  <c r="AU261" i="48"/>
  <c r="AB7" i="48"/>
  <c r="P100" i="48"/>
  <c r="P7" i="48" s="1"/>
  <c r="O100" i="48"/>
  <c r="O7" i="48" s="1"/>
  <c r="C256" i="48"/>
  <c r="M100" i="48"/>
  <c r="M7" i="48" s="1"/>
  <c r="L100" i="48"/>
  <c r="L7" i="48" s="1"/>
  <c r="D108" i="48"/>
  <c r="C100" i="48"/>
  <c r="C7" i="48" s="1"/>
  <c r="E282" i="48"/>
  <c r="G251" i="48"/>
  <c r="V100" i="48"/>
  <c r="V7" i="48" s="1"/>
  <c r="AI261" i="48"/>
  <c r="Q100" i="48"/>
  <c r="Q7" i="48" s="1"/>
  <c r="AA261" i="48"/>
  <c r="I100" i="48"/>
  <c r="I7" i="48" s="1"/>
  <c r="AA100" i="48"/>
  <c r="AA7" i="48" s="1"/>
  <c r="AI107" i="48"/>
  <c r="AH107" i="48"/>
  <c r="K100" i="48"/>
  <c r="K7" i="48" s="1"/>
  <c r="AD7" i="48"/>
  <c r="N100" i="48"/>
  <c r="N7" i="48" s="1"/>
  <c r="AQ261" i="48"/>
  <c r="Y100" i="48"/>
  <c r="Y7" i="48" s="1"/>
  <c r="AI108" i="48"/>
  <c r="AH108" i="48"/>
  <c r="AI97" i="48"/>
  <c r="B99" i="48"/>
  <c r="AH97" i="48"/>
  <c r="G247" i="48"/>
  <c r="F252" i="48"/>
  <c r="F100" i="48"/>
  <c r="F7" i="48" s="1"/>
  <c r="I246" i="48"/>
  <c r="B256" i="48"/>
  <c r="V100" i="47"/>
  <c r="R123" i="47"/>
  <c r="R121" i="47"/>
  <c r="Q123" i="47"/>
  <c r="Q121" i="47"/>
  <c r="Q57" i="47"/>
  <c r="P123" i="47"/>
  <c r="P121" i="47"/>
  <c r="P57" i="47"/>
  <c r="O123" i="47"/>
  <c r="O121" i="47"/>
  <c r="O91" i="47"/>
  <c r="O57" i="47"/>
  <c r="K6" i="48" l="1"/>
  <c r="J246" i="48"/>
  <c r="H247" i="48"/>
  <c r="G252" i="48"/>
  <c r="T261" i="48"/>
  <c r="B100" i="48"/>
  <c r="AI99" i="48"/>
  <c r="AH99" i="48"/>
  <c r="F282" i="48"/>
  <c r="H251" i="48"/>
  <c r="G118" i="48"/>
  <c r="N123" i="47"/>
  <c r="N121" i="47"/>
  <c r="N91" i="47"/>
  <c r="N57" i="47"/>
  <c r="N58" i="47"/>
  <c r="AI100" i="48" l="1"/>
  <c r="AH100" i="48"/>
  <c r="B7" i="48"/>
  <c r="A7" i="48" s="1"/>
  <c r="I247" i="48"/>
  <c r="H252" i="48"/>
  <c r="G282" i="48"/>
  <c r="I251" i="48"/>
  <c r="H118" i="48"/>
  <c r="K246" i="48"/>
  <c r="M123" i="47"/>
  <c r="M121" i="47"/>
  <c r="M57" i="47"/>
  <c r="M58" i="47"/>
  <c r="M62" i="47"/>
  <c r="M76" i="47"/>
  <c r="M80" i="47"/>
  <c r="M92" i="47"/>
  <c r="M101" i="47"/>
  <c r="M102" i="47"/>
  <c r="M103" i="47"/>
  <c r="M104" i="47"/>
  <c r="M105" i="47"/>
  <c r="M107" i="47" s="1"/>
  <c r="H282" i="48" l="1"/>
  <c r="J251" i="48"/>
  <c r="I118" i="48"/>
  <c r="L246" i="48"/>
  <c r="J247" i="48"/>
  <c r="I252" i="48"/>
  <c r="M108" i="47"/>
  <c r="M97" i="47"/>
  <c r="M99" i="47" s="1"/>
  <c r="M100" i="47" s="1"/>
  <c r="F57" i="47"/>
  <c r="G57" i="47"/>
  <c r="H57" i="47"/>
  <c r="I57" i="47"/>
  <c r="J57" i="47"/>
  <c r="K57" i="47"/>
  <c r="L57" i="47"/>
  <c r="K247" i="48" l="1"/>
  <c r="J252" i="48"/>
  <c r="M246" i="48"/>
  <c r="K251" i="48"/>
  <c r="I282" i="48"/>
  <c r="J118" i="48"/>
  <c r="E4" i="46"/>
  <c r="B4" i="46"/>
  <c r="E4" i="16"/>
  <c r="B4" i="16"/>
  <c r="E4" i="47"/>
  <c r="B4" i="47"/>
  <c r="D123" i="47"/>
  <c r="D57" i="47"/>
  <c r="C57" i="47"/>
  <c r="C123" i="47"/>
  <c r="J282" i="48" l="1"/>
  <c r="L251" i="48"/>
  <c r="K118" i="48"/>
  <c r="N246" i="48"/>
  <c r="L247" i="48"/>
  <c r="K252" i="48"/>
  <c r="B123" i="47"/>
  <c r="AF286" i="47"/>
  <c r="AE286" i="47"/>
  <c r="AD286" i="47"/>
  <c r="AC286" i="47"/>
  <c r="AB286" i="47"/>
  <c r="AA286" i="47"/>
  <c r="Z286" i="47"/>
  <c r="Y286" i="47"/>
  <c r="X286" i="47"/>
  <c r="W286" i="47"/>
  <c r="V286" i="47"/>
  <c r="U286" i="47"/>
  <c r="T286" i="47"/>
  <c r="S286" i="47"/>
  <c r="R286" i="47"/>
  <c r="Q286" i="47"/>
  <c r="P286" i="47"/>
  <c r="O286" i="47"/>
  <c r="N286" i="47"/>
  <c r="M286" i="47"/>
  <c r="L286" i="47"/>
  <c r="K286" i="47"/>
  <c r="J286" i="47"/>
  <c r="I286" i="47"/>
  <c r="H286" i="47"/>
  <c r="G286" i="47"/>
  <c r="F286" i="47"/>
  <c r="E286" i="47"/>
  <c r="D286" i="47"/>
  <c r="C286" i="47"/>
  <c r="B286" i="47"/>
  <c r="A286" i="47"/>
  <c r="AF285" i="47"/>
  <c r="AE285" i="47"/>
  <c r="AD285" i="47"/>
  <c r="AC285" i="47"/>
  <c r="AB285" i="47"/>
  <c r="AA285" i="47"/>
  <c r="Z285" i="47"/>
  <c r="Y285" i="47"/>
  <c r="X285" i="47"/>
  <c r="W285" i="47"/>
  <c r="V285" i="47"/>
  <c r="U285" i="47"/>
  <c r="T285" i="47"/>
  <c r="S285" i="47"/>
  <c r="R285" i="47"/>
  <c r="Q285" i="47"/>
  <c r="P285" i="47"/>
  <c r="O285" i="47"/>
  <c r="N285" i="47"/>
  <c r="M285" i="47"/>
  <c r="L285" i="47"/>
  <c r="K285" i="47"/>
  <c r="J285" i="47"/>
  <c r="I285" i="47"/>
  <c r="H285" i="47"/>
  <c r="G285" i="47"/>
  <c r="F285" i="47"/>
  <c r="E285" i="47"/>
  <c r="D285" i="47"/>
  <c r="C285" i="47"/>
  <c r="B285" i="47"/>
  <c r="A285" i="47"/>
  <c r="AF284" i="47"/>
  <c r="AE284" i="47"/>
  <c r="AD284" i="47"/>
  <c r="AC284" i="47"/>
  <c r="AB284" i="47"/>
  <c r="AA284" i="47"/>
  <c r="Z284" i="47"/>
  <c r="Y284" i="47"/>
  <c r="X284" i="47"/>
  <c r="W284" i="47"/>
  <c r="V284" i="47"/>
  <c r="U284" i="47"/>
  <c r="T284" i="47"/>
  <c r="S284" i="47"/>
  <c r="R284" i="47"/>
  <c r="Q284" i="47"/>
  <c r="P284" i="47"/>
  <c r="O284" i="47"/>
  <c r="N284" i="47"/>
  <c r="M284" i="47"/>
  <c r="L284" i="47"/>
  <c r="K284" i="47"/>
  <c r="J284" i="47"/>
  <c r="I284" i="47"/>
  <c r="H284" i="47"/>
  <c r="G284" i="47"/>
  <c r="F284" i="47"/>
  <c r="E284" i="47"/>
  <c r="D284" i="47"/>
  <c r="C284" i="47"/>
  <c r="B284" i="47"/>
  <c r="A284" i="47"/>
  <c r="AF283" i="47"/>
  <c r="AE283" i="47"/>
  <c r="AD283" i="47"/>
  <c r="AC283" i="47"/>
  <c r="AB283" i="47"/>
  <c r="AA283" i="47"/>
  <c r="Z283" i="47"/>
  <c r="Y283" i="47"/>
  <c r="X283" i="47"/>
  <c r="W283" i="47"/>
  <c r="V283" i="47"/>
  <c r="U283" i="47"/>
  <c r="T283" i="47"/>
  <c r="S283" i="47"/>
  <c r="R283" i="47"/>
  <c r="Q283" i="47"/>
  <c r="P283" i="47"/>
  <c r="O283" i="47"/>
  <c r="N283" i="47"/>
  <c r="M283" i="47"/>
  <c r="L283" i="47"/>
  <c r="K283" i="47"/>
  <c r="J283" i="47"/>
  <c r="I283" i="47"/>
  <c r="H283" i="47"/>
  <c r="G283" i="47"/>
  <c r="F283" i="47"/>
  <c r="E283" i="47"/>
  <c r="D283" i="47"/>
  <c r="C283" i="47"/>
  <c r="B283" i="47"/>
  <c r="A283" i="47"/>
  <c r="B282" i="47"/>
  <c r="AP261" i="47"/>
  <c r="S257" i="47"/>
  <c r="AG252" i="47"/>
  <c r="C252" i="47"/>
  <c r="D251" i="47"/>
  <c r="J250" i="47"/>
  <c r="K250" i="47" s="1"/>
  <c r="L250" i="47" s="1"/>
  <c r="M250" i="47" s="1"/>
  <c r="N250" i="47" s="1"/>
  <c r="O250" i="47" s="1"/>
  <c r="P250" i="47" s="1"/>
  <c r="Q250" i="47" s="1"/>
  <c r="R250" i="47" s="1"/>
  <c r="S250" i="47" s="1"/>
  <c r="T250" i="47" s="1"/>
  <c r="U250" i="47" s="1"/>
  <c r="V250" i="47" s="1"/>
  <c r="W250" i="47" s="1"/>
  <c r="X250" i="47" s="1"/>
  <c r="Y250" i="47" s="1"/>
  <c r="Z250" i="47" s="1"/>
  <c r="AA250" i="47" s="1"/>
  <c r="AB250" i="47" s="1"/>
  <c r="AC250" i="47" s="1"/>
  <c r="AD250" i="47" s="1"/>
  <c r="AE250" i="47" s="1"/>
  <c r="AF250" i="47" s="1"/>
  <c r="B250" i="47" s="1"/>
  <c r="D250" i="47"/>
  <c r="E250" i="47" s="1"/>
  <c r="F250" i="47" s="1"/>
  <c r="G250" i="47" s="1"/>
  <c r="H250" i="47" s="1"/>
  <c r="I250" i="47" s="1"/>
  <c r="D249" i="47"/>
  <c r="E249" i="47" s="1"/>
  <c r="F249" i="47" s="1"/>
  <c r="G249" i="47" s="1"/>
  <c r="H249" i="47" s="1"/>
  <c r="I249" i="47" s="1"/>
  <c r="J249" i="47" s="1"/>
  <c r="K249" i="47" s="1"/>
  <c r="L249" i="47" s="1"/>
  <c r="M249" i="47" s="1"/>
  <c r="N249" i="47" s="1"/>
  <c r="O249" i="47" s="1"/>
  <c r="P249" i="47" s="1"/>
  <c r="Q249" i="47" s="1"/>
  <c r="R249" i="47" s="1"/>
  <c r="S249" i="47" s="1"/>
  <c r="T249" i="47" s="1"/>
  <c r="U249" i="47" s="1"/>
  <c r="V249" i="47" s="1"/>
  <c r="W249" i="47" s="1"/>
  <c r="X249" i="47" s="1"/>
  <c r="Y249" i="47" s="1"/>
  <c r="Z249" i="47" s="1"/>
  <c r="AA249" i="47" s="1"/>
  <c r="AB249" i="47" s="1"/>
  <c r="AC249" i="47" s="1"/>
  <c r="AD249" i="47" s="1"/>
  <c r="AE249" i="47" s="1"/>
  <c r="AF249" i="47" s="1"/>
  <c r="B249" i="47" s="1"/>
  <c r="E248" i="47"/>
  <c r="F248" i="47" s="1"/>
  <c r="G248" i="47" s="1"/>
  <c r="H248" i="47" s="1"/>
  <c r="I248" i="47" s="1"/>
  <c r="J248" i="47" s="1"/>
  <c r="K248" i="47" s="1"/>
  <c r="L248" i="47" s="1"/>
  <c r="M248" i="47" s="1"/>
  <c r="N248" i="47" s="1"/>
  <c r="O248" i="47" s="1"/>
  <c r="P248" i="47" s="1"/>
  <c r="Q248" i="47" s="1"/>
  <c r="R248" i="47" s="1"/>
  <c r="S248" i="47" s="1"/>
  <c r="T248" i="47" s="1"/>
  <c r="U248" i="47" s="1"/>
  <c r="V248" i="47" s="1"/>
  <c r="W248" i="47" s="1"/>
  <c r="X248" i="47" s="1"/>
  <c r="Y248" i="47" s="1"/>
  <c r="Z248" i="47" s="1"/>
  <c r="AA248" i="47" s="1"/>
  <c r="AB248" i="47" s="1"/>
  <c r="AC248" i="47" s="1"/>
  <c r="AD248" i="47" s="1"/>
  <c r="AE248" i="47" s="1"/>
  <c r="AF248" i="47" s="1"/>
  <c r="B248" i="47" s="1"/>
  <c r="D248" i="47"/>
  <c r="D247" i="47"/>
  <c r="E246" i="47"/>
  <c r="F246" i="47" s="1"/>
  <c r="G246" i="47" s="1"/>
  <c r="D246" i="47"/>
  <c r="AG244" i="47"/>
  <c r="AF244" i="47"/>
  <c r="AE244" i="47"/>
  <c r="AD244" i="47"/>
  <c r="AC244" i="47"/>
  <c r="AB244" i="47"/>
  <c r="AA244" i="47"/>
  <c r="Z244" i="47"/>
  <c r="Y244" i="47"/>
  <c r="X244" i="47"/>
  <c r="W244" i="47"/>
  <c r="V244" i="47"/>
  <c r="U244" i="47"/>
  <c r="T244" i="47"/>
  <c r="S244" i="47"/>
  <c r="R244" i="47"/>
  <c r="Q244" i="47"/>
  <c r="P244" i="47"/>
  <c r="O244" i="47"/>
  <c r="N244" i="47"/>
  <c r="M244" i="47"/>
  <c r="L244" i="47"/>
  <c r="K244" i="47"/>
  <c r="J244" i="47"/>
  <c r="I244" i="47"/>
  <c r="H244" i="47"/>
  <c r="G244" i="47"/>
  <c r="F244" i="47"/>
  <c r="E244" i="47"/>
  <c r="D244" i="47"/>
  <c r="C244" i="47"/>
  <c r="B244" i="47"/>
  <c r="AI130" i="47"/>
  <c r="AH130" i="47"/>
  <c r="AI129" i="47"/>
  <c r="AH129" i="47"/>
  <c r="AI128" i="47"/>
  <c r="AH128" i="47"/>
  <c r="AI127" i="47"/>
  <c r="AH127" i="47"/>
  <c r="AI126" i="47"/>
  <c r="AH126" i="47"/>
  <c r="AI123" i="47"/>
  <c r="AH123" i="47"/>
  <c r="AI122" i="47"/>
  <c r="AH122" i="47"/>
  <c r="AI121" i="47"/>
  <c r="AH121" i="47"/>
  <c r="AI120" i="47"/>
  <c r="AH120" i="47"/>
  <c r="AI119" i="47"/>
  <c r="AH119" i="47"/>
  <c r="C118" i="47"/>
  <c r="AI117" i="47"/>
  <c r="AH117" i="47"/>
  <c r="AI116" i="47"/>
  <c r="AH116" i="47"/>
  <c r="AI115" i="47"/>
  <c r="AH115" i="47"/>
  <c r="AI114" i="47"/>
  <c r="AH114" i="47"/>
  <c r="AI113" i="47"/>
  <c r="AH113" i="47"/>
  <c r="AI112" i="47"/>
  <c r="AH112" i="47"/>
  <c r="AI111" i="47"/>
  <c r="AH111" i="47"/>
  <c r="AI110" i="47"/>
  <c r="AH110" i="47"/>
  <c r="AI109" i="47"/>
  <c r="AH109" i="47"/>
  <c r="AI106" i="47"/>
  <c r="AH106" i="47"/>
  <c r="AF105" i="47"/>
  <c r="AE105" i="47"/>
  <c r="AD105" i="47"/>
  <c r="AC105" i="47"/>
  <c r="AB105" i="47"/>
  <c r="Z105" i="47"/>
  <c r="R105" i="47"/>
  <c r="Q105" i="47"/>
  <c r="P105" i="47"/>
  <c r="O105" i="47"/>
  <c r="N105" i="47"/>
  <c r="L105" i="47"/>
  <c r="K105" i="47"/>
  <c r="J105" i="47"/>
  <c r="I105" i="47"/>
  <c r="H105" i="47"/>
  <c r="G105" i="47"/>
  <c r="F105" i="47"/>
  <c r="E105" i="47"/>
  <c r="D105" i="47"/>
  <c r="C105" i="47"/>
  <c r="B105" i="47"/>
  <c r="AF104" i="47"/>
  <c r="AE104" i="47"/>
  <c r="AD104" i="47"/>
  <c r="AC104" i="47"/>
  <c r="AB104" i="47"/>
  <c r="Z104" i="47"/>
  <c r="R104" i="47"/>
  <c r="Q104" i="47"/>
  <c r="P104" i="47"/>
  <c r="O104" i="47"/>
  <c r="N104" i="47"/>
  <c r="L104" i="47"/>
  <c r="K104" i="47"/>
  <c r="J104" i="47"/>
  <c r="I104" i="47"/>
  <c r="H104" i="47"/>
  <c r="G104" i="47"/>
  <c r="F104" i="47"/>
  <c r="E104" i="47"/>
  <c r="D104" i="47"/>
  <c r="C104" i="47"/>
  <c r="B104" i="47"/>
  <c r="AF103" i="47"/>
  <c r="AE103" i="47"/>
  <c r="AD103" i="47"/>
  <c r="AC103" i="47"/>
  <c r="AB103" i="47"/>
  <c r="Z103" i="47"/>
  <c r="R103" i="47"/>
  <c r="Q103" i="47"/>
  <c r="P103" i="47"/>
  <c r="O103" i="47"/>
  <c r="N103" i="47"/>
  <c r="L103" i="47"/>
  <c r="K103" i="47"/>
  <c r="J103" i="47"/>
  <c r="I103" i="47"/>
  <c r="H103" i="47"/>
  <c r="G103" i="47"/>
  <c r="F103" i="47"/>
  <c r="E103" i="47"/>
  <c r="D103" i="47"/>
  <c r="C103" i="47"/>
  <c r="B103" i="47"/>
  <c r="AF102" i="47"/>
  <c r="AE102" i="47"/>
  <c r="AD102" i="47"/>
  <c r="AC102" i="47"/>
  <c r="AB102" i="47"/>
  <c r="Z102" i="47"/>
  <c r="R102" i="47"/>
  <c r="Q102" i="47"/>
  <c r="P102" i="47"/>
  <c r="O102" i="47"/>
  <c r="N102" i="47"/>
  <c r="L102" i="47"/>
  <c r="K102" i="47"/>
  <c r="J102" i="47"/>
  <c r="I102" i="47"/>
  <c r="H102" i="47"/>
  <c r="G102" i="47"/>
  <c r="F102" i="47"/>
  <c r="E102" i="47"/>
  <c r="D102" i="47"/>
  <c r="C102" i="47"/>
  <c r="B102" i="47"/>
  <c r="AF101" i="47"/>
  <c r="AE101" i="47"/>
  <c r="AD101" i="47"/>
  <c r="AC101" i="47"/>
  <c r="AC107" i="47" s="1"/>
  <c r="AB101" i="47"/>
  <c r="Z101" i="47"/>
  <c r="R101" i="47"/>
  <c r="Q101" i="47"/>
  <c r="P101" i="47"/>
  <c r="O101" i="47"/>
  <c r="N101" i="47"/>
  <c r="L101" i="47"/>
  <c r="K101" i="47"/>
  <c r="J101" i="47"/>
  <c r="I101" i="47"/>
  <c r="H101" i="47"/>
  <c r="G101" i="47"/>
  <c r="F101" i="47"/>
  <c r="E101" i="47"/>
  <c r="D101" i="47"/>
  <c r="C101" i="47"/>
  <c r="B101" i="47"/>
  <c r="AI98" i="47"/>
  <c r="AH98" i="47"/>
  <c r="AI96" i="47"/>
  <c r="AH96" i="47"/>
  <c r="AG96" i="47"/>
  <c r="AI95" i="47"/>
  <c r="AH95" i="47"/>
  <c r="AI94" i="47"/>
  <c r="AH94" i="47"/>
  <c r="AI93" i="47"/>
  <c r="AH93" i="47"/>
  <c r="AG92" i="47"/>
  <c r="AF92" i="47"/>
  <c r="AE5" i="47" s="1"/>
  <c r="AE92" i="47"/>
  <c r="AD5" i="47" s="1"/>
  <c r="AD92" i="47"/>
  <c r="AC5" i="47" s="1"/>
  <c r="AC92" i="47"/>
  <c r="AB5" i="47" s="1"/>
  <c r="AB92" i="47"/>
  <c r="AA5" i="47" s="1"/>
  <c r="Z92" i="47"/>
  <c r="R92" i="47"/>
  <c r="Q92" i="47"/>
  <c r="P92" i="47"/>
  <c r="O92" i="47"/>
  <c r="N5" i="47" s="1"/>
  <c r="N92" i="47"/>
  <c r="M5" i="47" s="1"/>
  <c r="L92" i="47"/>
  <c r="K5" i="47" s="1"/>
  <c r="K92" i="47"/>
  <c r="J5" i="47" s="1"/>
  <c r="J92" i="47"/>
  <c r="I92" i="47"/>
  <c r="H92" i="47"/>
  <c r="G5" i="47" s="1"/>
  <c r="G92" i="47"/>
  <c r="F5" i="47" s="1"/>
  <c r="F92" i="47"/>
  <c r="E5" i="47" s="1"/>
  <c r="E92" i="47"/>
  <c r="D5" i="47" s="1"/>
  <c r="D92" i="47"/>
  <c r="C5" i="47" s="1"/>
  <c r="C92" i="47"/>
  <c r="B5" i="47" s="1"/>
  <c r="B92" i="47"/>
  <c r="AI91" i="47"/>
  <c r="AH91" i="47"/>
  <c r="AI90" i="47"/>
  <c r="AH90" i="47"/>
  <c r="AI89" i="47"/>
  <c r="AH89" i="47"/>
  <c r="AI88" i="47"/>
  <c r="AH88" i="47"/>
  <c r="AI87" i="47"/>
  <c r="AH87" i="47"/>
  <c r="AI86" i="47"/>
  <c r="AH86" i="47"/>
  <c r="AI85" i="47"/>
  <c r="AH85" i="47"/>
  <c r="AI84" i="47"/>
  <c r="AH84" i="47"/>
  <c r="AI83" i="47"/>
  <c r="AH83" i="47"/>
  <c r="AI82" i="47"/>
  <c r="AH82" i="47"/>
  <c r="AI81" i="47"/>
  <c r="AH81" i="47"/>
  <c r="AG80" i="47"/>
  <c r="AG4" i="47" s="1"/>
  <c r="AF80" i="47"/>
  <c r="AE80" i="47"/>
  <c r="AD80" i="47"/>
  <c r="AC80" i="47"/>
  <c r="AB80" i="47"/>
  <c r="Z80" i="47"/>
  <c r="R80" i="47"/>
  <c r="Q80" i="47"/>
  <c r="P80" i="47"/>
  <c r="O80" i="47"/>
  <c r="N80" i="47"/>
  <c r="L80" i="47"/>
  <c r="K80" i="47"/>
  <c r="J80" i="47"/>
  <c r="I80" i="47"/>
  <c r="H80" i="47"/>
  <c r="G80" i="47"/>
  <c r="F80" i="47"/>
  <c r="E80" i="47"/>
  <c r="D80" i="47"/>
  <c r="C80" i="47"/>
  <c r="B80" i="47"/>
  <c r="AI79" i="47"/>
  <c r="AH79" i="47"/>
  <c r="AI78" i="47"/>
  <c r="AH78" i="47"/>
  <c r="AI77" i="47"/>
  <c r="AH77" i="47"/>
  <c r="AG76" i="47"/>
  <c r="AG3" i="47" s="1"/>
  <c r="AF76" i="47"/>
  <c r="AE76" i="47"/>
  <c r="AD76" i="47"/>
  <c r="AC76" i="47"/>
  <c r="AB76" i="47"/>
  <c r="Z76" i="47"/>
  <c r="R76" i="47"/>
  <c r="Q76" i="47"/>
  <c r="P76" i="47"/>
  <c r="O76" i="47"/>
  <c r="N76" i="47"/>
  <c r="L76" i="47"/>
  <c r="K76" i="47"/>
  <c r="J76" i="47"/>
  <c r="I76" i="47"/>
  <c r="H76" i="47"/>
  <c r="G76" i="47"/>
  <c r="F76" i="47"/>
  <c r="E76" i="47"/>
  <c r="D76" i="47"/>
  <c r="C76" i="47"/>
  <c r="B76" i="47"/>
  <c r="AI75" i="47"/>
  <c r="AH75" i="47"/>
  <c r="AG75" i="47"/>
  <c r="AI74" i="47"/>
  <c r="AH74" i="47"/>
  <c r="AI73" i="47"/>
  <c r="AH73" i="47"/>
  <c r="AI72" i="47"/>
  <c r="AH72" i="47"/>
  <c r="AI71" i="47"/>
  <c r="AH71" i="47"/>
  <c r="AI70" i="47"/>
  <c r="AH70" i="47"/>
  <c r="AI69" i="47"/>
  <c r="AH69" i="47"/>
  <c r="AI68" i="47"/>
  <c r="AH68" i="47"/>
  <c r="AI67" i="47"/>
  <c r="AH67" i="47"/>
  <c r="AI66" i="47"/>
  <c r="AH66" i="47"/>
  <c r="AI65" i="47"/>
  <c r="AH65" i="47"/>
  <c r="AI64" i="47"/>
  <c r="AH64" i="47"/>
  <c r="AI63" i="47"/>
  <c r="AH63" i="47"/>
  <c r="AG62" i="47"/>
  <c r="AF62" i="47"/>
  <c r="AE62" i="47"/>
  <c r="AD62" i="47"/>
  <c r="AC62" i="47"/>
  <c r="Z62" i="47"/>
  <c r="R62" i="47"/>
  <c r="Q62" i="47"/>
  <c r="P62" i="47"/>
  <c r="O62" i="47"/>
  <c r="N62" i="47"/>
  <c r="L62" i="47"/>
  <c r="K62" i="47"/>
  <c r="J62" i="47"/>
  <c r="I62" i="47"/>
  <c r="H62" i="47"/>
  <c r="G62" i="47"/>
  <c r="F62" i="47"/>
  <c r="E62" i="47"/>
  <c r="D62" i="47"/>
  <c r="C62" i="47"/>
  <c r="B62" i="47"/>
  <c r="AI61" i="47"/>
  <c r="AH61" i="47"/>
  <c r="AI60" i="47"/>
  <c r="AH60" i="47"/>
  <c r="AI59" i="47"/>
  <c r="AH59" i="47"/>
  <c r="AG58" i="47"/>
  <c r="AF58" i="47"/>
  <c r="AE58" i="47"/>
  <c r="AD58" i="47"/>
  <c r="AC58" i="47"/>
  <c r="Z58" i="47"/>
  <c r="Y7" i="47"/>
  <c r="R58" i="47"/>
  <c r="Q58" i="47"/>
  <c r="P58" i="47"/>
  <c r="O58" i="47"/>
  <c r="L58" i="47"/>
  <c r="K58" i="47"/>
  <c r="J58" i="47"/>
  <c r="I58" i="47"/>
  <c r="H58" i="47"/>
  <c r="G58" i="47"/>
  <c r="F58" i="47"/>
  <c r="E58" i="47"/>
  <c r="D58" i="47"/>
  <c r="C58" i="47"/>
  <c r="B58" i="47"/>
  <c r="AI57" i="47"/>
  <c r="AH57" i="47"/>
  <c r="AI56" i="47"/>
  <c r="AH56" i="47"/>
  <c r="AI55" i="47"/>
  <c r="AH55" i="47"/>
  <c r="AI54" i="47"/>
  <c r="AH54" i="47"/>
  <c r="AI53" i="47"/>
  <c r="AH53" i="47"/>
  <c r="AI52" i="47"/>
  <c r="AH52" i="47"/>
  <c r="AI51" i="47"/>
  <c r="AH51" i="47"/>
  <c r="AI50" i="47"/>
  <c r="AH50" i="47"/>
  <c r="AI49" i="47"/>
  <c r="AH49" i="47"/>
  <c r="AI48" i="47"/>
  <c r="AH48" i="47"/>
  <c r="AI47" i="47"/>
  <c r="AH47" i="47"/>
  <c r="AI46" i="47"/>
  <c r="AH46" i="47"/>
  <c r="AI45" i="47"/>
  <c r="AH45" i="47"/>
  <c r="AI44" i="47"/>
  <c r="AH44" i="47"/>
  <c r="AI43" i="47"/>
  <c r="AH43" i="47"/>
  <c r="AI42" i="47"/>
  <c r="AH42" i="47"/>
  <c r="AI41" i="47"/>
  <c r="AH41" i="47"/>
  <c r="AI40" i="47"/>
  <c r="AH40" i="47"/>
  <c r="AI39" i="47"/>
  <c r="AH39" i="47"/>
  <c r="AI38" i="47"/>
  <c r="AH38" i="47"/>
  <c r="AI37" i="47"/>
  <c r="AH37" i="47"/>
  <c r="AI36" i="47"/>
  <c r="AH36" i="47"/>
  <c r="AI35" i="47"/>
  <c r="AH35" i="47"/>
  <c r="AI34" i="47"/>
  <c r="AH34" i="47"/>
  <c r="AI33" i="47"/>
  <c r="AH33" i="47"/>
  <c r="AI32" i="47"/>
  <c r="AH32" i="47"/>
  <c r="AI31" i="47"/>
  <c r="AH31" i="47"/>
  <c r="AI30" i="47"/>
  <c r="AH30" i="47"/>
  <c r="AI29" i="47"/>
  <c r="AH29" i="47"/>
  <c r="AI28" i="47"/>
  <c r="AH28" i="47"/>
  <c r="AI27" i="47"/>
  <c r="AH27" i="47"/>
  <c r="AI26" i="47"/>
  <c r="AH26" i="47"/>
  <c r="AI25" i="47"/>
  <c r="AH25" i="47"/>
  <c r="AI24" i="47"/>
  <c r="AH24" i="47"/>
  <c r="AI23" i="47"/>
  <c r="AH23" i="47"/>
  <c r="AI22" i="47"/>
  <c r="AH22" i="47"/>
  <c r="AI21" i="47"/>
  <c r="AH21" i="47"/>
  <c r="AI20" i="47"/>
  <c r="AH20" i="47"/>
  <c r="AI19" i="47"/>
  <c r="AH19" i="47"/>
  <c r="AI18" i="47"/>
  <c r="AH18" i="47"/>
  <c r="AI17" i="47"/>
  <c r="AH17" i="47"/>
  <c r="AI16" i="47"/>
  <c r="AH16" i="47"/>
  <c r="AI15" i="47"/>
  <c r="AH15" i="47"/>
  <c r="AI14" i="47"/>
  <c r="AH14" i="47"/>
  <c r="AI13" i="47"/>
  <c r="AH13" i="47"/>
  <c r="AI12" i="47"/>
  <c r="AH12" i="47"/>
  <c r="AI11" i="47"/>
  <c r="AH11" i="47"/>
  <c r="Z5" i="47"/>
  <c r="W5" i="47"/>
  <c r="V5" i="47"/>
  <c r="U5" i="47"/>
  <c r="T5" i="47"/>
  <c r="S5" i="47"/>
  <c r="R5" i="47"/>
  <c r="O5" i="47"/>
  <c r="L5" i="47"/>
  <c r="K4" i="47"/>
  <c r="H4" i="47"/>
  <c r="S258" i="47"/>
  <c r="AG2" i="47"/>
  <c r="AG6" i="47" s="1"/>
  <c r="AF57" i="46"/>
  <c r="AF123" i="46"/>
  <c r="AE123" i="46"/>
  <c r="AE57" i="46"/>
  <c r="AD57" i="46"/>
  <c r="AD123" i="46"/>
  <c r="AC123" i="46"/>
  <c r="AA123" i="46"/>
  <c r="AA91" i="46"/>
  <c r="AA57" i="46"/>
  <c r="AA58" i="46"/>
  <c r="AA62" i="46"/>
  <c r="AA76" i="46"/>
  <c r="AA80" i="46"/>
  <c r="AA92" i="46"/>
  <c r="AA108" i="46" s="1"/>
  <c r="AA101" i="46"/>
  <c r="AA102" i="46"/>
  <c r="AA103" i="46"/>
  <c r="AA104" i="46"/>
  <c r="AA107" i="46" s="1"/>
  <c r="AA105" i="46"/>
  <c r="AA118" i="46"/>
  <c r="Z123" i="46"/>
  <c r="Z57" i="46"/>
  <c r="Y123" i="46"/>
  <c r="Y118" i="46"/>
  <c r="Y105" i="46"/>
  <c r="Y104" i="46"/>
  <c r="Y103" i="46"/>
  <c r="Y102" i="46"/>
  <c r="Y107" i="46" s="1"/>
  <c r="Y101" i="46"/>
  <c r="Y92" i="46"/>
  <c r="Y108" i="46" s="1"/>
  <c r="Y91" i="46"/>
  <c r="Y80" i="46"/>
  <c r="Y76" i="46"/>
  <c r="Y62" i="46"/>
  <c r="Y58" i="46"/>
  <c r="Y97" i="46" s="1"/>
  <c r="Y99" i="46" s="1"/>
  <c r="Y100" i="46" s="1"/>
  <c r="X123" i="46"/>
  <c r="X91" i="46"/>
  <c r="X58" i="46"/>
  <c r="X62" i="46"/>
  <c r="X76" i="46"/>
  <c r="X80" i="46"/>
  <c r="X92" i="46"/>
  <c r="X97" i="46" s="1"/>
  <c r="X99" i="46" s="1"/>
  <c r="X101" i="46"/>
  <c r="X102" i="46"/>
  <c r="X103" i="46"/>
  <c r="X104" i="46"/>
  <c r="X107" i="46" s="1"/>
  <c r="X105" i="46"/>
  <c r="X118" i="46"/>
  <c r="W91" i="46"/>
  <c r="V91" i="46"/>
  <c r="U91" i="46"/>
  <c r="S91" i="46"/>
  <c r="T91" i="46"/>
  <c r="W123" i="46"/>
  <c r="W58" i="46"/>
  <c r="W62" i="46"/>
  <c r="W76" i="46"/>
  <c r="W80" i="46"/>
  <c r="W92" i="46"/>
  <c r="W101" i="46"/>
  <c r="W102" i="46"/>
  <c r="W103" i="46"/>
  <c r="W104" i="46"/>
  <c r="W105" i="46"/>
  <c r="W107" i="46" s="1"/>
  <c r="W118" i="46"/>
  <c r="V123" i="46"/>
  <c r="V58" i="46"/>
  <c r="V62" i="46"/>
  <c r="V76" i="46"/>
  <c r="V80" i="46"/>
  <c r="V92" i="46"/>
  <c r="V101" i="46"/>
  <c r="V107" i="46" s="1"/>
  <c r="V102" i="46"/>
  <c r="V103" i="46"/>
  <c r="V104" i="46"/>
  <c r="V105" i="46"/>
  <c r="V118" i="46"/>
  <c r="U123" i="46"/>
  <c r="U85" i="46"/>
  <c r="U58" i="46"/>
  <c r="U62" i="46"/>
  <c r="U76" i="46"/>
  <c r="U80" i="46"/>
  <c r="U92" i="46"/>
  <c r="U101" i="46"/>
  <c r="U102" i="46"/>
  <c r="U103" i="46"/>
  <c r="U104" i="46"/>
  <c r="U105" i="46"/>
  <c r="U118" i="46"/>
  <c r="T85" i="46"/>
  <c r="T145" i="46"/>
  <c r="T58" i="46"/>
  <c r="T62" i="46"/>
  <c r="T76" i="46"/>
  <c r="T80" i="46"/>
  <c r="T103" i="46"/>
  <c r="T92" i="46"/>
  <c r="T101" i="46"/>
  <c r="T102" i="46"/>
  <c r="T104" i="46"/>
  <c r="T105" i="46"/>
  <c r="T118" i="46"/>
  <c r="T123" i="46"/>
  <c r="S85" i="46"/>
  <c r="S123" i="46"/>
  <c r="S118" i="46" s="1"/>
  <c r="S58" i="46"/>
  <c r="S62" i="46"/>
  <c r="S76" i="46"/>
  <c r="S80" i="46"/>
  <c r="S92" i="46"/>
  <c r="S101" i="46"/>
  <c r="S102" i="46"/>
  <c r="S103" i="46"/>
  <c r="S104" i="46"/>
  <c r="S105" i="46"/>
  <c r="M247" i="48" l="1"/>
  <c r="L252" i="48"/>
  <c r="O246" i="48"/>
  <c r="K282" i="48"/>
  <c r="M251" i="48"/>
  <c r="L118" i="48"/>
  <c r="AF107" i="47"/>
  <c r="AF108" i="47" s="1"/>
  <c r="AD97" i="47"/>
  <c r="AD99" i="47" s="1"/>
  <c r="AV261" i="47" s="1"/>
  <c r="AC97" i="47"/>
  <c r="AC99" i="47" s="1"/>
  <c r="O107" i="47"/>
  <c r="P107" i="47"/>
  <c r="AF97" i="47"/>
  <c r="AF99" i="47" s="1"/>
  <c r="AF100" i="47" s="1"/>
  <c r="AF7" i="47" s="1"/>
  <c r="AE97" i="47"/>
  <c r="AE99" i="47" s="1"/>
  <c r="AW261" i="47" s="1"/>
  <c r="AE107" i="47"/>
  <c r="AE108" i="47" s="1"/>
  <c r="AG97" i="47"/>
  <c r="Z107" i="47"/>
  <c r="Z108" i="47" s="1"/>
  <c r="AB97" i="47"/>
  <c r="AB99" i="47" s="1"/>
  <c r="AT261" i="47" s="1"/>
  <c r="R107" i="47"/>
  <c r="Q107" i="47"/>
  <c r="Q97" i="47"/>
  <c r="Q99" i="47" s="1"/>
  <c r="AI261" i="47" s="1"/>
  <c r="P97" i="47"/>
  <c r="P99" i="47" s="1"/>
  <c r="AH261" i="47" s="1"/>
  <c r="O108" i="47"/>
  <c r="O97" i="47"/>
  <c r="O99" i="47" s="1"/>
  <c r="AG261" i="47" s="1"/>
  <c r="AH80" i="47"/>
  <c r="N97" i="47"/>
  <c r="N99" i="47" s="1"/>
  <c r="AF261" i="47" s="1"/>
  <c r="K97" i="47"/>
  <c r="K99" i="47" s="1"/>
  <c r="AC261" i="47" s="1"/>
  <c r="J107" i="47"/>
  <c r="J108" i="47" s="1"/>
  <c r="L97" i="47"/>
  <c r="L99" i="47" s="1"/>
  <c r="AD261" i="47" s="1"/>
  <c r="I107" i="47"/>
  <c r="I108" i="47" s="1"/>
  <c r="H107" i="47"/>
  <c r="H108" i="47" s="1"/>
  <c r="G107" i="47"/>
  <c r="G108" i="47" s="1"/>
  <c r="E107" i="47"/>
  <c r="E97" i="47"/>
  <c r="E99" i="47" s="1"/>
  <c r="W261" i="47" s="1"/>
  <c r="H97" i="47"/>
  <c r="H99" i="47" s="1"/>
  <c r="Z261" i="47" s="1"/>
  <c r="G97" i="47"/>
  <c r="G99" i="47" s="1"/>
  <c r="Y261" i="47" s="1"/>
  <c r="I97" i="47"/>
  <c r="I99" i="47" s="1"/>
  <c r="AA261" i="47" s="1"/>
  <c r="F97" i="47"/>
  <c r="F99" i="47" s="1"/>
  <c r="X261" i="47" s="1"/>
  <c r="AI104" i="47"/>
  <c r="D97" i="47"/>
  <c r="D99" i="47" s="1"/>
  <c r="V261" i="47" s="1"/>
  <c r="AI58" i="47"/>
  <c r="C97" i="47"/>
  <c r="C99" i="47" s="1"/>
  <c r="U261" i="47" s="1"/>
  <c r="P108" i="47"/>
  <c r="X7" i="47"/>
  <c r="AO261" i="47"/>
  <c r="W7" i="47"/>
  <c r="AN261" i="47"/>
  <c r="AF5" i="47"/>
  <c r="AI92" i="47"/>
  <c r="Z97" i="47"/>
  <c r="Z99" i="47" s="1"/>
  <c r="AK261" i="47"/>
  <c r="AI76" i="47"/>
  <c r="AH76" i="47"/>
  <c r="F107" i="47"/>
  <c r="N107" i="47"/>
  <c r="N108" i="47" s="1"/>
  <c r="V7" i="47"/>
  <c r="AD107" i="47"/>
  <c r="AI105" i="47"/>
  <c r="AQ261" i="47"/>
  <c r="I5" i="47"/>
  <c r="AH92" i="47"/>
  <c r="AC108" i="47"/>
  <c r="C282" i="47"/>
  <c r="E251" i="47"/>
  <c r="AI103" i="47"/>
  <c r="D252" i="47"/>
  <c r="AI80" i="47"/>
  <c r="AM261" i="47"/>
  <c r="U7" i="47"/>
  <c r="AI102" i="47"/>
  <c r="H246" i="47"/>
  <c r="E247" i="47"/>
  <c r="Q5" i="47"/>
  <c r="R108" i="47"/>
  <c r="J97" i="47"/>
  <c r="J99" i="47" s="1"/>
  <c r="R97" i="47"/>
  <c r="R99" i="47" s="1"/>
  <c r="AS261" i="47"/>
  <c r="AA7" i="47"/>
  <c r="AE261" i="47"/>
  <c r="M7" i="47"/>
  <c r="AU261" i="47"/>
  <c r="AC100" i="47"/>
  <c r="AC7" i="47" s="1"/>
  <c r="F108" i="47"/>
  <c r="AH58" i="47"/>
  <c r="AI101" i="47"/>
  <c r="D107" i="47"/>
  <c r="L107" i="47"/>
  <c r="L108" i="47" s="1"/>
  <c r="AB107" i="47"/>
  <c r="AB108" i="47" s="1"/>
  <c r="D118" i="47"/>
  <c r="D258" i="47"/>
  <c r="Y5" i="47"/>
  <c r="AL261" i="47"/>
  <c r="T7" i="47"/>
  <c r="AI62" i="47"/>
  <c r="H5" i="47"/>
  <c r="P5" i="47"/>
  <c r="Q108" i="47"/>
  <c r="X5" i="47"/>
  <c r="AG99" i="47"/>
  <c r="C107" i="47"/>
  <c r="K107" i="47"/>
  <c r="S7" i="47"/>
  <c r="AH103" i="47"/>
  <c r="AH101" i="47"/>
  <c r="B107" i="47"/>
  <c r="AH102" i="47"/>
  <c r="B97" i="47"/>
  <c r="AH62" i="47"/>
  <c r="AH104" i="47"/>
  <c r="AH105" i="47"/>
  <c r="E108" i="47"/>
  <c r="AA97" i="46"/>
  <c r="AA99" i="46" s="1"/>
  <c r="AA100" i="46" s="1"/>
  <c r="X100" i="46"/>
  <c r="X108" i="46"/>
  <c r="W97" i="46"/>
  <c r="W99" i="46" s="1"/>
  <c r="W100" i="46" s="1"/>
  <c r="W108" i="46"/>
  <c r="V97" i="46"/>
  <c r="V99" i="46" s="1"/>
  <c r="V100" i="46" s="1"/>
  <c r="V108" i="46"/>
  <c r="U107" i="46"/>
  <c r="U108" i="46" s="1"/>
  <c r="U97" i="46"/>
  <c r="U99" i="46" s="1"/>
  <c r="T97" i="46"/>
  <c r="T99" i="46" s="1"/>
  <c r="T107" i="46"/>
  <c r="S107" i="46"/>
  <c r="S108" i="46"/>
  <c r="S97" i="46"/>
  <c r="S99" i="46" s="1"/>
  <c r="S100" i="46" s="1"/>
  <c r="Q123" i="46"/>
  <c r="Q58" i="46"/>
  <c r="L282" i="48" l="1"/>
  <c r="N251" i="48"/>
  <c r="M118" i="48"/>
  <c r="P246" i="48"/>
  <c r="N247" i="48"/>
  <c r="M252" i="48"/>
  <c r="AX261" i="47"/>
  <c r="AD100" i="47"/>
  <c r="AD7" i="47" s="1"/>
  <c r="AB100" i="47"/>
  <c r="AB7" i="47" s="1"/>
  <c r="AD108" i="47"/>
  <c r="AE100" i="47"/>
  <c r="AE7" i="47" s="1"/>
  <c r="C100" i="47"/>
  <c r="C7" i="47" s="1"/>
  <c r="Q100" i="47"/>
  <c r="Q7" i="47" s="1"/>
  <c r="P100" i="47"/>
  <c r="P7" i="47" s="1"/>
  <c r="O100" i="47"/>
  <c r="O7" i="47" s="1"/>
  <c r="N100" i="47"/>
  <c r="N7" i="47" s="1"/>
  <c r="L100" i="47"/>
  <c r="L7" i="47" s="1"/>
  <c r="K100" i="47"/>
  <c r="K7" i="47" s="1"/>
  <c r="K108" i="47"/>
  <c r="G100" i="47"/>
  <c r="G7" i="47" s="1"/>
  <c r="E100" i="47"/>
  <c r="E7" i="47" s="1"/>
  <c r="B256" i="47"/>
  <c r="H100" i="47"/>
  <c r="H7" i="47" s="1"/>
  <c r="I100" i="47"/>
  <c r="I7" i="47" s="1"/>
  <c r="D100" i="47"/>
  <c r="D7" i="47" s="1"/>
  <c r="F100" i="47"/>
  <c r="F7" i="47" s="1"/>
  <c r="AJ261" i="47"/>
  <c r="R100" i="47"/>
  <c r="R7" i="47" s="1"/>
  <c r="AR261" i="47"/>
  <c r="Z100" i="47"/>
  <c r="Z7" i="47" s="1"/>
  <c r="D108" i="47"/>
  <c r="C108" i="47"/>
  <c r="AI107" i="47"/>
  <c r="AH107" i="47"/>
  <c r="C256" i="47"/>
  <c r="K6" i="47" s="1"/>
  <c r="F247" i="47"/>
  <c r="E252" i="47"/>
  <c r="D282" i="47"/>
  <c r="F251" i="47"/>
  <c r="E118" i="47"/>
  <c r="B108" i="47"/>
  <c r="AI97" i="47"/>
  <c r="AH97" i="47"/>
  <c r="B99" i="47"/>
  <c r="I246" i="47"/>
  <c r="AB261" i="47"/>
  <c r="J100" i="47"/>
  <c r="J7" i="47" s="1"/>
  <c r="U100" i="46"/>
  <c r="T100" i="46"/>
  <c r="T108" i="46"/>
  <c r="O247" i="48" l="1"/>
  <c r="N252" i="48"/>
  <c r="Q246" i="48"/>
  <c r="M282" i="48"/>
  <c r="O251" i="48"/>
  <c r="N118" i="48"/>
  <c r="E282" i="47"/>
  <c r="G251" i="47"/>
  <c r="F118" i="47"/>
  <c r="J246" i="47"/>
  <c r="T261" i="47"/>
  <c r="B100" i="47"/>
  <c r="AI99" i="47"/>
  <c r="AH99" i="47"/>
  <c r="G247" i="47"/>
  <c r="F252" i="47"/>
  <c r="AI108" i="47"/>
  <c r="AH108" i="47"/>
  <c r="M123" i="46"/>
  <c r="L123" i="46"/>
  <c r="K123" i="46"/>
  <c r="J123" i="46"/>
  <c r="H123" i="46"/>
  <c r="G123" i="46"/>
  <c r="E123" i="46"/>
  <c r="F123" i="46"/>
  <c r="N282" i="48" l="1"/>
  <c r="P251" i="48"/>
  <c r="O118" i="48"/>
  <c r="R246" i="48"/>
  <c r="P247" i="48"/>
  <c r="O252" i="48"/>
  <c r="K246" i="47"/>
  <c r="B7" i="47"/>
  <c r="A7" i="47" s="1"/>
  <c r="AI100" i="47"/>
  <c r="AH100" i="47"/>
  <c r="H247" i="47"/>
  <c r="G252" i="47"/>
  <c r="F282" i="47"/>
  <c r="H251" i="47"/>
  <c r="G118" i="47"/>
  <c r="D123" i="46"/>
  <c r="D121" i="46"/>
  <c r="D57" i="46"/>
  <c r="D58" i="46"/>
  <c r="D62" i="46"/>
  <c r="D76" i="46"/>
  <c r="D80" i="46"/>
  <c r="D92" i="46"/>
  <c r="D108" i="46" s="1"/>
  <c r="D101" i="46"/>
  <c r="D102" i="46"/>
  <c r="D103" i="46"/>
  <c r="D104" i="46"/>
  <c r="D105" i="46"/>
  <c r="D118" i="46"/>
  <c r="C123" i="46"/>
  <c r="C118" i="46" s="1"/>
  <c r="C121" i="46"/>
  <c r="C57" i="46"/>
  <c r="C58" i="46"/>
  <c r="C62" i="46"/>
  <c r="C76" i="46"/>
  <c r="C80" i="46"/>
  <c r="C92" i="46"/>
  <c r="B5" i="46" s="1"/>
  <c r="C101" i="46"/>
  <c r="C102" i="46"/>
  <c r="C103" i="46"/>
  <c r="C104" i="46"/>
  <c r="C105" i="46"/>
  <c r="B123" i="46"/>
  <c r="B121" i="46"/>
  <c r="B57" i="46"/>
  <c r="B118" i="46"/>
  <c r="B105" i="46"/>
  <c r="B104" i="46"/>
  <c r="B103" i="46"/>
  <c r="B102" i="46"/>
  <c r="B101" i="46"/>
  <c r="B92" i="46"/>
  <c r="B80" i="46"/>
  <c r="B76" i="46"/>
  <c r="B62" i="46"/>
  <c r="B58" i="46"/>
  <c r="AF286" i="46"/>
  <c r="AE286" i="46"/>
  <c r="AD286" i="46"/>
  <c r="AC286" i="46"/>
  <c r="AB286" i="46"/>
  <c r="AA286" i="46"/>
  <c r="Z286" i="46"/>
  <c r="Y286" i="46"/>
  <c r="X286" i="46"/>
  <c r="W286" i="46"/>
  <c r="V286" i="46"/>
  <c r="U286" i="46"/>
  <c r="T286" i="46"/>
  <c r="S286" i="46"/>
  <c r="R286" i="46"/>
  <c r="Q286" i="46"/>
  <c r="P286" i="46"/>
  <c r="O286" i="46"/>
  <c r="N286" i="46"/>
  <c r="M286" i="46"/>
  <c r="L286" i="46"/>
  <c r="K286" i="46"/>
  <c r="J286" i="46"/>
  <c r="I286" i="46"/>
  <c r="H286" i="46"/>
  <c r="G286" i="46"/>
  <c r="F286" i="46"/>
  <c r="E286" i="46"/>
  <c r="D286" i="46"/>
  <c r="C286" i="46"/>
  <c r="B286" i="46"/>
  <c r="A286" i="46"/>
  <c r="AF285" i="46"/>
  <c r="AE285" i="46"/>
  <c r="AD285" i="46"/>
  <c r="AC285" i="46"/>
  <c r="AB285" i="46"/>
  <c r="AA285" i="46"/>
  <c r="Z285" i="46"/>
  <c r="Y285" i="46"/>
  <c r="X285" i="46"/>
  <c r="W285" i="46"/>
  <c r="V285" i="46"/>
  <c r="U285" i="46"/>
  <c r="T285" i="46"/>
  <c r="S285" i="46"/>
  <c r="R285" i="46"/>
  <c r="Q285" i="46"/>
  <c r="P285" i="46"/>
  <c r="O285" i="46"/>
  <c r="N285" i="46"/>
  <c r="M285" i="46"/>
  <c r="L285" i="46"/>
  <c r="K285" i="46"/>
  <c r="J285" i="46"/>
  <c r="I285" i="46"/>
  <c r="H285" i="46"/>
  <c r="G285" i="46"/>
  <c r="F285" i="46"/>
  <c r="E285" i="46"/>
  <c r="D285" i="46"/>
  <c r="C285" i="46"/>
  <c r="B285" i="46"/>
  <c r="A285" i="46"/>
  <c r="AF284" i="46"/>
  <c r="AE284" i="46"/>
  <c r="AD284" i="46"/>
  <c r="AC284" i="46"/>
  <c r="AB284" i="46"/>
  <c r="AA284" i="46"/>
  <c r="Z284" i="46"/>
  <c r="Y284" i="46"/>
  <c r="X284" i="46"/>
  <c r="W284" i="46"/>
  <c r="V284" i="46"/>
  <c r="U284" i="46"/>
  <c r="T284" i="46"/>
  <c r="S284" i="46"/>
  <c r="R284" i="46"/>
  <c r="Q284" i="46"/>
  <c r="P284" i="46"/>
  <c r="O284" i="46"/>
  <c r="N284" i="46"/>
  <c r="M284" i="46"/>
  <c r="L284" i="46"/>
  <c r="K284" i="46"/>
  <c r="J284" i="46"/>
  <c r="I284" i="46"/>
  <c r="H284" i="46"/>
  <c r="G284" i="46"/>
  <c r="F284" i="46"/>
  <c r="E284" i="46"/>
  <c r="D284" i="46"/>
  <c r="C284" i="46"/>
  <c r="B284" i="46"/>
  <c r="A284" i="46"/>
  <c r="AF283" i="46"/>
  <c r="AE283" i="46"/>
  <c r="AD283" i="46"/>
  <c r="AC283" i="46"/>
  <c r="AB283" i="46"/>
  <c r="AA283" i="46"/>
  <c r="Z283" i="46"/>
  <c r="Y283" i="46"/>
  <c r="X283" i="46"/>
  <c r="W283" i="46"/>
  <c r="V283" i="46"/>
  <c r="U283" i="46"/>
  <c r="T283" i="46"/>
  <c r="S283" i="46"/>
  <c r="R283" i="46"/>
  <c r="Q283" i="46"/>
  <c r="P283" i="46"/>
  <c r="O283" i="46"/>
  <c r="N283" i="46"/>
  <c r="M283" i="46"/>
  <c r="L283" i="46"/>
  <c r="K283" i="46"/>
  <c r="J283" i="46"/>
  <c r="I283" i="46"/>
  <c r="H283" i="46"/>
  <c r="G283" i="46"/>
  <c r="F283" i="46"/>
  <c r="E283" i="46"/>
  <c r="D283" i="46"/>
  <c r="C283" i="46"/>
  <c r="B283" i="46"/>
  <c r="A283" i="46"/>
  <c r="C282" i="46"/>
  <c r="B282" i="46"/>
  <c r="S257" i="46"/>
  <c r="AG252" i="46"/>
  <c r="C252" i="46"/>
  <c r="E251" i="46"/>
  <c r="F251" i="46" s="1"/>
  <c r="D251" i="46"/>
  <c r="D250" i="46"/>
  <c r="E250" i="46" s="1"/>
  <c r="F250" i="46" s="1"/>
  <c r="G250" i="46" s="1"/>
  <c r="H250" i="46" s="1"/>
  <c r="I250" i="46" s="1"/>
  <c r="J250" i="46" s="1"/>
  <c r="K250" i="46" s="1"/>
  <c r="L250" i="46" s="1"/>
  <c r="M250" i="46" s="1"/>
  <c r="N250" i="46" s="1"/>
  <c r="O250" i="46" s="1"/>
  <c r="P250" i="46" s="1"/>
  <c r="Q250" i="46" s="1"/>
  <c r="R250" i="46" s="1"/>
  <c r="S250" i="46" s="1"/>
  <c r="T250" i="46" s="1"/>
  <c r="U250" i="46" s="1"/>
  <c r="V250" i="46" s="1"/>
  <c r="W250" i="46" s="1"/>
  <c r="X250" i="46" s="1"/>
  <c r="Y250" i="46" s="1"/>
  <c r="Z250" i="46" s="1"/>
  <c r="AA250" i="46" s="1"/>
  <c r="AB250" i="46" s="1"/>
  <c r="AC250" i="46" s="1"/>
  <c r="AD250" i="46" s="1"/>
  <c r="AE250" i="46" s="1"/>
  <c r="AF250" i="46" s="1"/>
  <c r="B250" i="46" s="1"/>
  <c r="E249" i="46"/>
  <c r="F249" i="46" s="1"/>
  <c r="G249" i="46" s="1"/>
  <c r="H249" i="46" s="1"/>
  <c r="I249" i="46" s="1"/>
  <c r="J249" i="46" s="1"/>
  <c r="K249" i="46" s="1"/>
  <c r="L249" i="46" s="1"/>
  <c r="M249" i="46" s="1"/>
  <c r="N249" i="46" s="1"/>
  <c r="O249" i="46" s="1"/>
  <c r="P249" i="46" s="1"/>
  <c r="Q249" i="46" s="1"/>
  <c r="R249" i="46" s="1"/>
  <c r="S249" i="46" s="1"/>
  <c r="T249" i="46" s="1"/>
  <c r="U249" i="46" s="1"/>
  <c r="V249" i="46" s="1"/>
  <c r="W249" i="46" s="1"/>
  <c r="X249" i="46" s="1"/>
  <c r="Y249" i="46" s="1"/>
  <c r="Z249" i="46" s="1"/>
  <c r="AA249" i="46" s="1"/>
  <c r="AB249" i="46" s="1"/>
  <c r="AC249" i="46" s="1"/>
  <c r="AD249" i="46" s="1"/>
  <c r="AE249" i="46" s="1"/>
  <c r="AF249" i="46" s="1"/>
  <c r="B249" i="46" s="1"/>
  <c r="D249" i="46"/>
  <c r="E248" i="46"/>
  <c r="F248" i="46" s="1"/>
  <c r="G248" i="46" s="1"/>
  <c r="H248" i="46" s="1"/>
  <c r="I248" i="46" s="1"/>
  <c r="J248" i="46" s="1"/>
  <c r="K248" i="46" s="1"/>
  <c r="L248" i="46" s="1"/>
  <c r="M248" i="46" s="1"/>
  <c r="N248" i="46" s="1"/>
  <c r="O248" i="46" s="1"/>
  <c r="P248" i="46" s="1"/>
  <c r="Q248" i="46" s="1"/>
  <c r="R248" i="46" s="1"/>
  <c r="S248" i="46" s="1"/>
  <c r="T248" i="46" s="1"/>
  <c r="U248" i="46" s="1"/>
  <c r="V248" i="46" s="1"/>
  <c r="W248" i="46" s="1"/>
  <c r="X248" i="46" s="1"/>
  <c r="Y248" i="46" s="1"/>
  <c r="Z248" i="46" s="1"/>
  <c r="AA248" i="46" s="1"/>
  <c r="AB248" i="46" s="1"/>
  <c r="AC248" i="46" s="1"/>
  <c r="AD248" i="46" s="1"/>
  <c r="AE248" i="46" s="1"/>
  <c r="AF248" i="46" s="1"/>
  <c r="B248" i="46" s="1"/>
  <c r="D248" i="46"/>
  <c r="E247" i="46"/>
  <c r="F247" i="46" s="1"/>
  <c r="G247" i="46" s="1"/>
  <c r="H247" i="46" s="1"/>
  <c r="I247" i="46" s="1"/>
  <c r="J247" i="46" s="1"/>
  <c r="K247" i="46" s="1"/>
  <c r="L247" i="46" s="1"/>
  <c r="M247" i="46" s="1"/>
  <c r="N247" i="46" s="1"/>
  <c r="O247" i="46" s="1"/>
  <c r="P247" i="46" s="1"/>
  <c r="Q247" i="46" s="1"/>
  <c r="R247" i="46" s="1"/>
  <c r="S247" i="46" s="1"/>
  <c r="T247" i="46" s="1"/>
  <c r="U247" i="46" s="1"/>
  <c r="V247" i="46" s="1"/>
  <c r="W247" i="46" s="1"/>
  <c r="X247" i="46" s="1"/>
  <c r="Y247" i="46" s="1"/>
  <c r="Z247" i="46" s="1"/>
  <c r="AA247" i="46" s="1"/>
  <c r="AB247" i="46" s="1"/>
  <c r="AC247" i="46" s="1"/>
  <c r="AD247" i="46" s="1"/>
  <c r="AE247" i="46" s="1"/>
  <c r="AF247" i="46" s="1"/>
  <c r="B247" i="46" s="1"/>
  <c r="D247" i="46"/>
  <c r="D246" i="46"/>
  <c r="D252" i="46" s="1"/>
  <c r="AG244" i="46"/>
  <c r="AF244" i="46"/>
  <c r="AE244" i="46"/>
  <c r="AD244" i="46"/>
  <c r="AC244" i="46"/>
  <c r="AB244" i="46"/>
  <c r="AA244" i="46"/>
  <c r="Z244" i="46"/>
  <c r="Y244" i="46"/>
  <c r="X244" i="46"/>
  <c r="W244" i="46"/>
  <c r="V244" i="46"/>
  <c r="U244" i="46"/>
  <c r="T244" i="46"/>
  <c r="S244" i="46"/>
  <c r="R244" i="46"/>
  <c r="Q244" i="46"/>
  <c r="P244" i="46"/>
  <c r="O244" i="46"/>
  <c r="N244" i="46"/>
  <c r="M244" i="46"/>
  <c r="L244" i="46"/>
  <c r="K244" i="46"/>
  <c r="J244" i="46"/>
  <c r="I244" i="46"/>
  <c r="H244" i="46"/>
  <c r="G244" i="46"/>
  <c r="F244" i="46"/>
  <c r="E244" i="46"/>
  <c r="D244" i="46"/>
  <c r="C244" i="46"/>
  <c r="B244" i="46"/>
  <c r="AI130" i="46"/>
  <c r="AH130" i="46"/>
  <c r="AI129" i="46"/>
  <c r="AH129" i="46"/>
  <c r="AI128" i="46"/>
  <c r="AH128" i="46"/>
  <c r="AI127" i="46"/>
  <c r="AH127" i="46"/>
  <c r="AI126" i="46"/>
  <c r="AH126" i="46"/>
  <c r="AI122" i="46"/>
  <c r="AH122" i="46"/>
  <c r="AI121" i="46"/>
  <c r="AH121" i="46"/>
  <c r="AI120" i="46"/>
  <c r="AH120" i="46"/>
  <c r="AI119" i="46"/>
  <c r="AH119" i="46"/>
  <c r="AI117" i="46"/>
  <c r="AH117" i="46"/>
  <c r="AI116" i="46"/>
  <c r="AH116" i="46"/>
  <c r="AI115" i="46"/>
  <c r="AH115" i="46"/>
  <c r="AI114" i="46"/>
  <c r="AH114" i="46"/>
  <c r="AI113" i="46"/>
  <c r="AH113" i="46"/>
  <c r="AI112" i="46"/>
  <c r="AH112" i="46"/>
  <c r="AI111" i="46"/>
  <c r="AH111" i="46"/>
  <c r="AI110" i="46"/>
  <c r="AH110" i="46"/>
  <c r="AI109" i="46"/>
  <c r="AH109" i="46"/>
  <c r="AI106" i="46"/>
  <c r="AH106" i="46"/>
  <c r="AF105" i="46"/>
  <c r="AE105" i="46"/>
  <c r="AD105" i="46"/>
  <c r="AC105" i="46"/>
  <c r="AB105" i="46"/>
  <c r="Z105" i="46"/>
  <c r="R105" i="46"/>
  <c r="Q105" i="46"/>
  <c r="P105" i="46"/>
  <c r="O105" i="46"/>
  <c r="N105" i="46"/>
  <c r="M105" i="46"/>
  <c r="L105" i="46"/>
  <c r="K105" i="46"/>
  <c r="J105" i="46"/>
  <c r="I105" i="46"/>
  <c r="H105" i="46"/>
  <c r="G105" i="46"/>
  <c r="F105" i="46"/>
  <c r="E105" i="46"/>
  <c r="AF104" i="46"/>
  <c r="AE104" i="46"/>
  <c r="AD104" i="46"/>
  <c r="AC104" i="46"/>
  <c r="AB104" i="46"/>
  <c r="Z104" i="46"/>
  <c r="R104" i="46"/>
  <c r="Q104" i="46"/>
  <c r="P104" i="46"/>
  <c r="O104" i="46"/>
  <c r="N104" i="46"/>
  <c r="M104" i="46"/>
  <c r="L104" i="46"/>
  <c r="K104" i="46"/>
  <c r="J104" i="46"/>
  <c r="I104" i="46"/>
  <c r="H104" i="46"/>
  <c r="G104" i="46"/>
  <c r="F104" i="46"/>
  <c r="E104" i="46"/>
  <c r="AF103" i="46"/>
  <c r="AE103" i="46"/>
  <c r="AD103" i="46"/>
  <c r="AC103" i="46"/>
  <c r="AB103" i="46"/>
  <c r="Z103" i="46"/>
  <c r="R103" i="46"/>
  <c r="Q103" i="46"/>
  <c r="P103" i="46"/>
  <c r="O103" i="46"/>
  <c r="N103" i="46"/>
  <c r="M103" i="46"/>
  <c r="L103" i="46"/>
  <c r="K103" i="46"/>
  <c r="J103" i="46"/>
  <c r="I103" i="46"/>
  <c r="H103" i="46"/>
  <c r="G103" i="46"/>
  <c r="F103" i="46"/>
  <c r="E103" i="46"/>
  <c r="AF102" i="46"/>
  <c r="AE102" i="46"/>
  <c r="AD102" i="46"/>
  <c r="AC102" i="46"/>
  <c r="AB102" i="46"/>
  <c r="Z102" i="46"/>
  <c r="R102" i="46"/>
  <c r="R107" i="46" s="1"/>
  <c r="Q102" i="46"/>
  <c r="Q107" i="46" s="1"/>
  <c r="Q108" i="46" s="1"/>
  <c r="P102" i="46"/>
  <c r="O102" i="46"/>
  <c r="N102" i="46"/>
  <c r="M102" i="46"/>
  <c r="L102" i="46"/>
  <c r="K102" i="46"/>
  <c r="J102" i="46"/>
  <c r="I102" i="46"/>
  <c r="H102" i="46"/>
  <c r="G102" i="46"/>
  <c r="F102" i="46"/>
  <c r="E102" i="46"/>
  <c r="AF101" i="46"/>
  <c r="AE101" i="46"/>
  <c r="AD101" i="46"/>
  <c r="AC101" i="46"/>
  <c r="AB101" i="46"/>
  <c r="Z101" i="46"/>
  <c r="R101" i="46"/>
  <c r="Q101" i="46"/>
  <c r="P101" i="46"/>
  <c r="O101" i="46"/>
  <c r="O107" i="46" s="1"/>
  <c r="N101" i="46"/>
  <c r="N107" i="46" s="1"/>
  <c r="M101" i="46"/>
  <c r="L101" i="46"/>
  <c r="K101" i="46"/>
  <c r="K107" i="46" s="1"/>
  <c r="J101" i="46"/>
  <c r="I101" i="46"/>
  <c r="H101" i="46"/>
  <c r="G101" i="46"/>
  <c r="G107" i="46" s="1"/>
  <c r="F101" i="46"/>
  <c r="F107" i="46" s="1"/>
  <c r="E101" i="46"/>
  <c r="Y7" i="46"/>
  <c r="AI98" i="46"/>
  <c r="AH98" i="46"/>
  <c r="AI96" i="46"/>
  <c r="AH96" i="46"/>
  <c r="AG96" i="46"/>
  <c r="AG99" i="46" s="1"/>
  <c r="AI95" i="46"/>
  <c r="AH95" i="46"/>
  <c r="AI94" i="46"/>
  <c r="AH94" i="46"/>
  <c r="AI93" i="46"/>
  <c r="AH93" i="46"/>
  <c r="AG92" i="46"/>
  <c r="AF92" i="46"/>
  <c r="AE5" i="46" s="1"/>
  <c r="AE92" i="46"/>
  <c r="AD5" i="46" s="1"/>
  <c r="AD92" i="46"/>
  <c r="AC5" i="46" s="1"/>
  <c r="AC92" i="46"/>
  <c r="AB5" i="46" s="1"/>
  <c r="AB92" i="46"/>
  <c r="AA5" i="46" s="1"/>
  <c r="Z5" i="46"/>
  <c r="Z92" i="46"/>
  <c r="R5" i="46"/>
  <c r="R92" i="46"/>
  <c r="Q92" i="46"/>
  <c r="P5" i="46" s="1"/>
  <c r="P92" i="46"/>
  <c r="O5" i="46" s="1"/>
  <c r="O92" i="46"/>
  <c r="N5" i="46" s="1"/>
  <c r="N92" i="46"/>
  <c r="M5" i="46" s="1"/>
  <c r="M92" i="46"/>
  <c r="L5" i="46" s="1"/>
  <c r="L92" i="46"/>
  <c r="K5" i="46" s="1"/>
  <c r="K92" i="46"/>
  <c r="J5" i="46" s="1"/>
  <c r="J92" i="46"/>
  <c r="I92" i="46"/>
  <c r="H5" i="46" s="1"/>
  <c r="H92" i="46"/>
  <c r="G5" i="46" s="1"/>
  <c r="G92" i="46"/>
  <c r="F5" i="46" s="1"/>
  <c r="F92" i="46"/>
  <c r="E5" i="46" s="1"/>
  <c r="E92" i="46"/>
  <c r="D5" i="46" s="1"/>
  <c r="AI91" i="46"/>
  <c r="AH91" i="46"/>
  <c r="AI90" i="46"/>
  <c r="AH90" i="46"/>
  <c r="AI89" i="46"/>
  <c r="AH89" i="46"/>
  <c r="AI88" i="46"/>
  <c r="AH88" i="46"/>
  <c r="AI87" i="46"/>
  <c r="AH87" i="46"/>
  <c r="AI86" i="46"/>
  <c r="AH86" i="46"/>
  <c r="AI85" i="46"/>
  <c r="AH85" i="46"/>
  <c r="AI84" i="46"/>
  <c r="AH84" i="46"/>
  <c r="AI83" i="46"/>
  <c r="AH83" i="46"/>
  <c r="AI82" i="46"/>
  <c r="AH82" i="46"/>
  <c r="AI81" i="46"/>
  <c r="AH81" i="46"/>
  <c r="AG80" i="46"/>
  <c r="AF80" i="46"/>
  <c r="AE80" i="46"/>
  <c r="AD80" i="46"/>
  <c r="AC80" i="46"/>
  <c r="AB80" i="46"/>
  <c r="Z80" i="46"/>
  <c r="R80" i="46"/>
  <c r="Q80" i="46"/>
  <c r="P80" i="46"/>
  <c r="O80" i="46"/>
  <c r="N80" i="46"/>
  <c r="M80" i="46"/>
  <c r="L80" i="46"/>
  <c r="K80" i="46"/>
  <c r="J80" i="46"/>
  <c r="I80" i="46"/>
  <c r="H80" i="46"/>
  <c r="G80" i="46"/>
  <c r="F80" i="46"/>
  <c r="E80" i="46"/>
  <c r="AI79" i="46"/>
  <c r="AH79" i="46"/>
  <c r="AI78" i="46"/>
  <c r="AH78" i="46"/>
  <c r="AI77" i="46"/>
  <c r="AH77" i="46"/>
  <c r="AF76" i="46"/>
  <c r="AE76" i="46"/>
  <c r="AD76" i="46"/>
  <c r="AC76" i="46"/>
  <c r="AB76" i="46"/>
  <c r="Z76" i="46"/>
  <c r="R76" i="46"/>
  <c r="Q76" i="46"/>
  <c r="P76" i="46"/>
  <c r="O76" i="46"/>
  <c r="N76" i="46"/>
  <c r="M76" i="46"/>
  <c r="L76" i="46"/>
  <c r="K76" i="46"/>
  <c r="J76" i="46"/>
  <c r="I76" i="46"/>
  <c r="H76" i="46"/>
  <c r="G76" i="46"/>
  <c r="F76" i="46"/>
  <c r="E76" i="46"/>
  <c r="AI75" i="46"/>
  <c r="AH75" i="46"/>
  <c r="AG75" i="46"/>
  <c r="AG76" i="46" s="1"/>
  <c r="AG3" i="46" s="1"/>
  <c r="AI74" i="46"/>
  <c r="AH74" i="46"/>
  <c r="AI73" i="46"/>
  <c r="AH73" i="46"/>
  <c r="AI72" i="46"/>
  <c r="AH72" i="46"/>
  <c r="AI71" i="46"/>
  <c r="AH71" i="46"/>
  <c r="AI70" i="46"/>
  <c r="AH70" i="46"/>
  <c r="AI69" i="46"/>
  <c r="AH69" i="46"/>
  <c r="AI68" i="46"/>
  <c r="AH68" i="46"/>
  <c r="AI67" i="46"/>
  <c r="AH67" i="46"/>
  <c r="AI66" i="46"/>
  <c r="AH66" i="46"/>
  <c r="AI65" i="46"/>
  <c r="AH65" i="46"/>
  <c r="AI64" i="46"/>
  <c r="AH64" i="46"/>
  <c r="AI63" i="46"/>
  <c r="AH63" i="46"/>
  <c r="AG62" i="46"/>
  <c r="AF62" i="46"/>
  <c r="AE62" i="46"/>
  <c r="AD62" i="46"/>
  <c r="AC62" i="46"/>
  <c r="AB62" i="46"/>
  <c r="Z62" i="46"/>
  <c r="R62" i="46"/>
  <c r="Q62" i="46"/>
  <c r="P62" i="46"/>
  <c r="O62" i="46"/>
  <c r="N62" i="46"/>
  <c r="M62" i="46"/>
  <c r="L62" i="46"/>
  <c r="K62" i="46"/>
  <c r="J62" i="46"/>
  <c r="I62" i="46"/>
  <c r="H62" i="46"/>
  <c r="G62" i="46"/>
  <c r="F62" i="46"/>
  <c r="E62" i="46"/>
  <c r="AI61" i="46"/>
  <c r="AH61" i="46"/>
  <c r="AI60" i="46"/>
  <c r="AH60" i="46"/>
  <c r="AI59" i="46"/>
  <c r="AH59" i="46"/>
  <c r="AG58" i="46"/>
  <c r="AF58" i="46"/>
  <c r="AE58" i="46"/>
  <c r="AD58" i="46"/>
  <c r="AC58" i="46"/>
  <c r="AB58" i="46"/>
  <c r="Z58" i="46"/>
  <c r="AQ261" i="46"/>
  <c r="R58" i="46"/>
  <c r="P58" i="46"/>
  <c r="O58" i="46"/>
  <c r="N58" i="46"/>
  <c r="M58" i="46"/>
  <c r="L58" i="46"/>
  <c r="K58" i="46"/>
  <c r="J58" i="46"/>
  <c r="I58" i="46"/>
  <c r="H58" i="46"/>
  <c r="G58" i="46"/>
  <c r="F58" i="46"/>
  <c r="E58" i="46"/>
  <c r="AI57" i="46"/>
  <c r="AH57" i="46"/>
  <c r="AI56" i="46"/>
  <c r="AH56" i="46"/>
  <c r="AI55" i="46"/>
  <c r="AH55" i="46"/>
  <c r="AI54" i="46"/>
  <c r="AH54" i="46"/>
  <c r="AI53" i="46"/>
  <c r="AH53" i="46"/>
  <c r="AI52" i="46"/>
  <c r="AH52" i="46"/>
  <c r="AI51" i="46"/>
  <c r="AH51" i="46"/>
  <c r="AI50" i="46"/>
  <c r="AH50" i="46"/>
  <c r="AI49" i="46"/>
  <c r="AH49" i="46"/>
  <c r="AI48" i="46"/>
  <c r="AH48" i="46"/>
  <c r="AI47" i="46"/>
  <c r="AH47" i="46"/>
  <c r="AI46" i="46"/>
  <c r="AH46" i="46"/>
  <c r="AI45" i="46"/>
  <c r="AH45" i="46"/>
  <c r="AI44" i="46"/>
  <c r="AH44" i="46"/>
  <c r="AI43" i="46"/>
  <c r="AH43" i="46"/>
  <c r="AI42" i="46"/>
  <c r="AH42" i="46"/>
  <c r="AI41" i="46"/>
  <c r="AH41" i="46"/>
  <c r="AI40" i="46"/>
  <c r="AH40" i="46"/>
  <c r="AI39" i="46"/>
  <c r="AH39" i="46"/>
  <c r="AI38" i="46"/>
  <c r="AH38" i="46"/>
  <c r="AI37" i="46"/>
  <c r="AH37" i="46"/>
  <c r="AI36" i="46"/>
  <c r="AH36" i="46"/>
  <c r="AI35" i="46"/>
  <c r="AH35" i="46"/>
  <c r="AI34" i="46"/>
  <c r="AH34" i="46"/>
  <c r="AI33" i="46"/>
  <c r="AH33" i="46"/>
  <c r="AI32" i="46"/>
  <c r="AH32" i="46"/>
  <c r="AI31" i="46"/>
  <c r="AH31" i="46"/>
  <c r="AI30" i="46"/>
  <c r="AH30" i="46"/>
  <c r="AI29" i="46"/>
  <c r="AH29" i="46"/>
  <c r="AI28" i="46"/>
  <c r="AH28" i="46"/>
  <c r="AI27" i="46"/>
  <c r="AH27" i="46"/>
  <c r="AI26" i="46"/>
  <c r="AH26" i="46"/>
  <c r="AI25" i="46"/>
  <c r="AH25" i="46"/>
  <c r="AI24" i="46"/>
  <c r="AH24" i="46"/>
  <c r="AI23" i="46"/>
  <c r="AH23" i="46"/>
  <c r="AI22" i="46"/>
  <c r="AH22" i="46"/>
  <c r="AI21" i="46"/>
  <c r="AH21" i="46"/>
  <c r="AI20" i="46"/>
  <c r="AH20" i="46"/>
  <c r="AI19" i="46"/>
  <c r="AH19" i="46"/>
  <c r="AI18" i="46"/>
  <c r="AH18" i="46"/>
  <c r="AI17" i="46"/>
  <c r="AH17" i="46"/>
  <c r="AI16" i="46"/>
  <c r="AH16" i="46"/>
  <c r="AI15" i="46"/>
  <c r="AH15" i="46"/>
  <c r="AI14" i="46"/>
  <c r="AH14" i="46"/>
  <c r="AI13" i="46"/>
  <c r="AH13" i="46"/>
  <c r="AI12" i="46"/>
  <c r="AH12" i="46"/>
  <c r="AI11" i="46"/>
  <c r="AH11" i="46"/>
  <c r="X5" i="46"/>
  <c r="W5" i="46"/>
  <c r="V5" i="46"/>
  <c r="U5" i="46"/>
  <c r="T5" i="46"/>
  <c r="S5" i="46"/>
  <c r="AG4" i="46"/>
  <c r="K4" i="46"/>
  <c r="H4" i="46"/>
  <c r="D258" i="46"/>
  <c r="AG2" i="46"/>
  <c r="AF123" i="45"/>
  <c r="AF121" i="45"/>
  <c r="AF57" i="45"/>
  <c r="AE123" i="45"/>
  <c r="AE57" i="45"/>
  <c r="AE58" i="45"/>
  <c r="AF58" i="45"/>
  <c r="AE62" i="45"/>
  <c r="AF62" i="45"/>
  <c r="AE76" i="45"/>
  <c r="AF76" i="45"/>
  <c r="AE80" i="45"/>
  <c r="AF80" i="45"/>
  <c r="AD123" i="45"/>
  <c r="AC123" i="45"/>
  <c r="AB123" i="45"/>
  <c r="AB57" i="45"/>
  <c r="AA57" i="45"/>
  <c r="AA123" i="45"/>
  <c r="Z123" i="45"/>
  <c r="S57" i="45"/>
  <c r="T57" i="45"/>
  <c r="U57" i="45"/>
  <c r="V57" i="45"/>
  <c r="W57" i="45"/>
  <c r="X57" i="45"/>
  <c r="Y57" i="45"/>
  <c r="Z57" i="45"/>
  <c r="Y123" i="45"/>
  <c r="X123" i="45"/>
  <c r="V123" i="45"/>
  <c r="W123" i="45"/>
  <c r="U123" i="45"/>
  <c r="T123" i="45"/>
  <c r="S246" i="48" l="1"/>
  <c r="O282" i="48"/>
  <c r="Q251" i="48"/>
  <c r="Q247" i="48"/>
  <c r="P252" i="48"/>
  <c r="I247" i="47"/>
  <c r="H252" i="47"/>
  <c r="L246" i="47"/>
  <c r="G282" i="47"/>
  <c r="I251" i="47"/>
  <c r="H118" i="47"/>
  <c r="AF107" i="46"/>
  <c r="AF97" i="46"/>
  <c r="AF99" i="46" s="1"/>
  <c r="AX261" i="46" s="1"/>
  <c r="AF108" i="46"/>
  <c r="AE107" i="46"/>
  <c r="AE97" i="46"/>
  <c r="AE99" i="46" s="1"/>
  <c r="AD97" i="46"/>
  <c r="AD99" i="46" s="1"/>
  <c r="AD107" i="46"/>
  <c r="AC97" i="46"/>
  <c r="AC99" i="46" s="1"/>
  <c r="AB97" i="46"/>
  <c r="AB99" i="46" s="1"/>
  <c r="Z107" i="46"/>
  <c r="Z97" i="46"/>
  <c r="Z99" i="46" s="1"/>
  <c r="P107" i="46"/>
  <c r="P108" i="46"/>
  <c r="P97" i="46"/>
  <c r="P99" i="46" s="1"/>
  <c r="Q97" i="46"/>
  <c r="Q99" i="46" s="1"/>
  <c r="AI261" i="46" s="1"/>
  <c r="R97" i="46"/>
  <c r="R99" i="46" s="1"/>
  <c r="O97" i="46"/>
  <c r="O99" i="46" s="1"/>
  <c r="N97" i="46"/>
  <c r="N99" i="46" s="1"/>
  <c r="M97" i="46"/>
  <c r="M99" i="46" s="1"/>
  <c r="L97" i="46"/>
  <c r="L99" i="46" s="1"/>
  <c r="K97" i="46"/>
  <c r="K99" i="46" s="1"/>
  <c r="J107" i="46"/>
  <c r="J97" i="46"/>
  <c r="J99" i="46" s="1"/>
  <c r="I107" i="46"/>
  <c r="I108" i="46"/>
  <c r="I97" i="46"/>
  <c r="I99" i="46" s="1"/>
  <c r="AA261" i="46" s="1"/>
  <c r="H97" i="46"/>
  <c r="H99" i="46" s="1"/>
  <c r="Z261" i="46" s="1"/>
  <c r="G97" i="46"/>
  <c r="G99" i="46" s="1"/>
  <c r="AI104" i="46"/>
  <c r="AI80" i="46"/>
  <c r="F97" i="46"/>
  <c r="F99" i="46" s="1"/>
  <c r="X261" i="46" s="1"/>
  <c r="E97" i="46"/>
  <c r="E99" i="46" s="1"/>
  <c r="C5" i="46"/>
  <c r="D97" i="46"/>
  <c r="D99" i="46" s="1"/>
  <c r="D100" i="46" s="1"/>
  <c r="AH123" i="46"/>
  <c r="C97" i="46"/>
  <c r="C99" i="46" s="1"/>
  <c r="C100" i="46" s="1"/>
  <c r="C7" i="46" s="1"/>
  <c r="C108" i="46"/>
  <c r="AI76" i="46"/>
  <c r="B107" i="46"/>
  <c r="B108" i="46"/>
  <c r="AI123" i="46"/>
  <c r="B97" i="46"/>
  <c r="B99" i="46" s="1"/>
  <c r="B100" i="46" s="1"/>
  <c r="AI103" i="46"/>
  <c r="AH76" i="46"/>
  <c r="S258" i="46"/>
  <c r="Y261" i="46"/>
  <c r="G100" i="46"/>
  <c r="G7" i="46" s="1"/>
  <c r="AO261" i="46"/>
  <c r="W7" i="46"/>
  <c r="AK261" i="46"/>
  <c r="S7" i="46"/>
  <c r="AG261" i="46"/>
  <c r="O100" i="46"/>
  <c r="O7" i="46" s="1"/>
  <c r="AS261" i="46"/>
  <c r="AA7" i="46"/>
  <c r="AW261" i="46"/>
  <c r="AE100" i="46"/>
  <c r="AE7" i="46" s="1"/>
  <c r="AC261" i="46"/>
  <c r="K100" i="46"/>
  <c r="K7" i="46" s="1"/>
  <c r="AN261" i="46"/>
  <c r="V7" i="46"/>
  <c r="W261" i="46"/>
  <c r="AE261" i="46"/>
  <c r="AM261" i="46"/>
  <c r="AU261" i="46"/>
  <c r="G108" i="46"/>
  <c r="O108" i="46"/>
  <c r="AE108" i="46"/>
  <c r="I100" i="46"/>
  <c r="I7" i="46" s="1"/>
  <c r="AI105" i="46"/>
  <c r="AF261" i="46"/>
  <c r="N100" i="46"/>
  <c r="N7" i="46" s="1"/>
  <c r="AH261" i="46"/>
  <c r="P100" i="46"/>
  <c r="P7" i="46" s="1"/>
  <c r="AP261" i="46"/>
  <c r="X7" i="46"/>
  <c r="AF100" i="46"/>
  <c r="AF7" i="46" s="1"/>
  <c r="AI62" i="46"/>
  <c r="AI92" i="46"/>
  <c r="AF5" i="46"/>
  <c r="I5" i="46"/>
  <c r="J108" i="46"/>
  <c r="Q5" i="46"/>
  <c r="R108" i="46"/>
  <c r="Y5" i="46"/>
  <c r="Z108" i="46"/>
  <c r="AH92" i="46"/>
  <c r="AI102" i="46"/>
  <c r="AG97" i="46"/>
  <c r="AH80" i="46"/>
  <c r="AI101" i="46"/>
  <c r="AI58" i="46"/>
  <c r="Z100" i="46"/>
  <c r="Z7" i="46" s="1"/>
  <c r="AR261" i="46"/>
  <c r="E282" i="46"/>
  <c r="G251" i="46"/>
  <c r="AB261" i="46"/>
  <c r="J100" i="46"/>
  <c r="J7" i="46" s="1"/>
  <c r="L107" i="46"/>
  <c r="L108" i="46" s="1"/>
  <c r="AB107" i="46"/>
  <c r="AB100" i="46" s="1"/>
  <c r="AB7" i="46" s="1"/>
  <c r="AV261" i="46"/>
  <c r="AD100" i="46"/>
  <c r="AD7" i="46" s="1"/>
  <c r="AH101" i="46"/>
  <c r="H107" i="46"/>
  <c r="H108" i="46" s="1"/>
  <c r="AJ261" i="46"/>
  <c r="R100" i="46"/>
  <c r="R7" i="46" s="1"/>
  <c r="AG6" i="46"/>
  <c r="V261" i="46"/>
  <c r="AD261" i="46"/>
  <c r="AL261" i="46"/>
  <c r="AT261" i="46"/>
  <c r="F108" i="46"/>
  <c r="N108" i="46"/>
  <c r="AD108" i="46"/>
  <c r="E107" i="46"/>
  <c r="E108" i="46" s="1"/>
  <c r="M107" i="46"/>
  <c r="AC107" i="46"/>
  <c r="AC100" i="46" s="1"/>
  <c r="AC7" i="46" s="1"/>
  <c r="AH102" i="46"/>
  <c r="E246" i="46"/>
  <c r="D282" i="46"/>
  <c r="AH58" i="46"/>
  <c r="AH62" i="46"/>
  <c r="AH103" i="46"/>
  <c r="K108" i="46"/>
  <c r="AH104" i="46"/>
  <c r="AH105" i="46"/>
  <c r="S123" i="45"/>
  <c r="M120" i="45"/>
  <c r="L121" i="45"/>
  <c r="T246" i="48" l="1"/>
  <c r="R247" i="48"/>
  <c r="Q252" i="48"/>
  <c r="P282" i="48"/>
  <c r="R251" i="48"/>
  <c r="Q118" i="48"/>
  <c r="H282" i="47"/>
  <c r="J251" i="47"/>
  <c r="I118" i="47"/>
  <c r="M246" i="47"/>
  <c r="J247" i="47"/>
  <c r="I252" i="47"/>
  <c r="AB108" i="46"/>
  <c r="Q100" i="46"/>
  <c r="Q7" i="46" s="1"/>
  <c r="M100" i="46"/>
  <c r="M7" i="46" s="1"/>
  <c r="C256" i="46"/>
  <c r="B256" i="46"/>
  <c r="F100" i="46"/>
  <c r="F7" i="46" s="1"/>
  <c r="U261" i="46"/>
  <c r="AI97" i="46"/>
  <c r="AH97" i="46"/>
  <c r="F282" i="46"/>
  <c r="H251" i="46"/>
  <c r="H100" i="46"/>
  <c r="H7" i="46" s="1"/>
  <c r="E100" i="46"/>
  <c r="E7" i="46" s="1"/>
  <c r="T7" i="46"/>
  <c r="AH107" i="46"/>
  <c r="AC108" i="46"/>
  <c r="F246" i="46"/>
  <c r="E252" i="46"/>
  <c r="E118" i="46"/>
  <c r="M108" i="46"/>
  <c r="U7" i="46"/>
  <c r="AI107" i="46"/>
  <c r="L100" i="46"/>
  <c r="L7" i="46" s="1"/>
  <c r="D7" i="46"/>
  <c r="J121" i="45"/>
  <c r="I121" i="45"/>
  <c r="G121" i="45"/>
  <c r="F121" i="45"/>
  <c r="S251" i="48" l="1"/>
  <c r="Q282" i="48"/>
  <c r="R118" i="48"/>
  <c r="S247" i="48"/>
  <c r="R252" i="48"/>
  <c r="U246" i="48"/>
  <c r="N246" i="47"/>
  <c r="K251" i="47"/>
  <c r="I282" i="47"/>
  <c r="J118" i="47"/>
  <c r="K247" i="47"/>
  <c r="J252" i="47"/>
  <c r="AH108" i="46"/>
  <c r="K6" i="46"/>
  <c r="G282" i="46"/>
  <c r="I251" i="46"/>
  <c r="G246" i="46"/>
  <c r="F118" i="46"/>
  <c r="F252" i="46"/>
  <c r="T261" i="46"/>
  <c r="AH99" i="46"/>
  <c r="AI99" i="46"/>
  <c r="AI108" i="46"/>
  <c r="E121" i="45"/>
  <c r="D121" i="45"/>
  <c r="AH120" i="45"/>
  <c r="C58" i="45"/>
  <c r="D58" i="45"/>
  <c r="C62" i="45"/>
  <c r="D62" i="45"/>
  <c r="C76" i="45"/>
  <c r="D76" i="45"/>
  <c r="C80" i="45"/>
  <c r="D80" i="45"/>
  <c r="C92" i="45"/>
  <c r="B5" i="45" s="1"/>
  <c r="D92" i="45"/>
  <c r="D97" i="45" s="1"/>
  <c r="D99" i="45" s="1"/>
  <c r="C101" i="45"/>
  <c r="D101" i="45"/>
  <c r="C102" i="45"/>
  <c r="D102" i="45"/>
  <c r="C103" i="45"/>
  <c r="D103" i="45"/>
  <c r="C104" i="45"/>
  <c r="D104" i="45"/>
  <c r="C105" i="45"/>
  <c r="D105" i="45"/>
  <c r="B121" i="45"/>
  <c r="B105" i="45"/>
  <c r="B104" i="45"/>
  <c r="B103" i="45"/>
  <c r="B102" i="45"/>
  <c r="B101" i="45"/>
  <c r="B107" i="45" s="1"/>
  <c r="B92" i="45"/>
  <c r="B80" i="45"/>
  <c r="B76" i="45"/>
  <c r="B62" i="45"/>
  <c r="B58" i="45"/>
  <c r="AF286" i="45"/>
  <c r="AE286" i="45"/>
  <c r="AD286" i="45"/>
  <c r="AC286" i="45"/>
  <c r="AB286" i="45"/>
  <c r="AA286" i="45"/>
  <c r="Z286" i="45"/>
  <c r="Y286" i="45"/>
  <c r="X286" i="45"/>
  <c r="W286" i="45"/>
  <c r="V286" i="45"/>
  <c r="U286" i="45"/>
  <c r="T286" i="45"/>
  <c r="S286" i="45"/>
  <c r="R286" i="45"/>
  <c r="Q286" i="45"/>
  <c r="P286" i="45"/>
  <c r="O286" i="45"/>
  <c r="N286" i="45"/>
  <c r="M286" i="45"/>
  <c r="L286" i="45"/>
  <c r="K286" i="45"/>
  <c r="J286" i="45"/>
  <c r="I286" i="45"/>
  <c r="H286" i="45"/>
  <c r="G286" i="45"/>
  <c r="F286" i="45"/>
  <c r="E286" i="45"/>
  <c r="D286" i="45"/>
  <c r="C286" i="45"/>
  <c r="B286" i="45"/>
  <c r="A286" i="45"/>
  <c r="AF285" i="45"/>
  <c r="AE285" i="45"/>
  <c r="AD285" i="45"/>
  <c r="AC285" i="45"/>
  <c r="AB285" i="45"/>
  <c r="AA285" i="45"/>
  <c r="Z285" i="45"/>
  <c r="Y285" i="45"/>
  <c r="X285" i="45"/>
  <c r="W285" i="45"/>
  <c r="V285" i="45"/>
  <c r="U285" i="45"/>
  <c r="T285" i="45"/>
  <c r="S285" i="45"/>
  <c r="R285" i="45"/>
  <c r="Q285" i="45"/>
  <c r="P285" i="45"/>
  <c r="O285" i="45"/>
  <c r="N285" i="45"/>
  <c r="M285" i="45"/>
  <c r="L285" i="45"/>
  <c r="K285" i="45"/>
  <c r="J285" i="45"/>
  <c r="I285" i="45"/>
  <c r="H285" i="45"/>
  <c r="G285" i="45"/>
  <c r="F285" i="45"/>
  <c r="E285" i="45"/>
  <c r="D285" i="45"/>
  <c r="C285" i="45"/>
  <c r="B285" i="45"/>
  <c r="A285" i="45"/>
  <c r="AF284" i="45"/>
  <c r="AE284" i="45"/>
  <c r="AD284" i="45"/>
  <c r="AC284" i="45"/>
  <c r="AB284" i="45"/>
  <c r="AA284" i="45"/>
  <c r="Z284" i="45"/>
  <c r="Y284" i="45"/>
  <c r="X284" i="45"/>
  <c r="W284" i="45"/>
  <c r="V284" i="45"/>
  <c r="U284" i="45"/>
  <c r="T284" i="45"/>
  <c r="S284" i="45"/>
  <c r="R284" i="45"/>
  <c r="Q284" i="45"/>
  <c r="P284" i="45"/>
  <c r="O284" i="45"/>
  <c r="N284" i="45"/>
  <c r="M284" i="45"/>
  <c r="L284" i="45"/>
  <c r="K284" i="45"/>
  <c r="J284" i="45"/>
  <c r="I284" i="45"/>
  <c r="H284" i="45"/>
  <c r="G284" i="45"/>
  <c r="F284" i="45"/>
  <c r="E284" i="45"/>
  <c r="D284" i="45"/>
  <c r="C284" i="45"/>
  <c r="B284" i="45"/>
  <c r="A284" i="45"/>
  <c r="AF283" i="45"/>
  <c r="AE283" i="45"/>
  <c r="AD283" i="45"/>
  <c r="AC283" i="45"/>
  <c r="AB283" i="45"/>
  <c r="AA283" i="45"/>
  <c r="Z283" i="45"/>
  <c r="Y283" i="45"/>
  <c r="X283" i="45"/>
  <c r="W283" i="45"/>
  <c r="V283" i="45"/>
  <c r="U283" i="45"/>
  <c r="T283" i="45"/>
  <c r="S283" i="45"/>
  <c r="R283" i="45"/>
  <c r="Q283" i="45"/>
  <c r="P283" i="45"/>
  <c r="O283" i="45"/>
  <c r="N283" i="45"/>
  <c r="M283" i="45"/>
  <c r="L283" i="45"/>
  <c r="K283" i="45"/>
  <c r="J283" i="45"/>
  <c r="I283" i="45"/>
  <c r="H283" i="45"/>
  <c r="G283" i="45"/>
  <c r="F283" i="45"/>
  <c r="E283" i="45"/>
  <c r="D283" i="45"/>
  <c r="C283" i="45"/>
  <c r="B283" i="45"/>
  <c r="A283" i="45"/>
  <c r="B282" i="45"/>
  <c r="S257" i="45"/>
  <c r="AG252" i="45"/>
  <c r="C252" i="45"/>
  <c r="D251" i="45"/>
  <c r="C282" i="45" s="1"/>
  <c r="D250" i="45"/>
  <c r="E250" i="45" s="1"/>
  <c r="F250" i="45" s="1"/>
  <c r="G250" i="45" s="1"/>
  <c r="H250" i="45" s="1"/>
  <c r="I250" i="45" s="1"/>
  <c r="J250" i="45" s="1"/>
  <c r="K250" i="45" s="1"/>
  <c r="L250" i="45" s="1"/>
  <c r="M250" i="45" s="1"/>
  <c r="N250" i="45" s="1"/>
  <c r="O250" i="45" s="1"/>
  <c r="P250" i="45" s="1"/>
  <c r="Q250" i="45" s="1"/>
  <c r="R250" i="45" s="1"/>
  <c r="S250" i="45" s="1"/>
  <c r="T250" i="45" s="1"/>
  <c r="U250" i="45" s="1"/>
  <c r="V250" i="45" s="1"/>
  <c r="W250" i="45" s="1"/>
  <c r="X250" i="45" s="1"/>
  <c r="Y250" i="45" s="1"/>
  <c r="Z250" i="45" s="1"/>
  <c r="AA250" i="45" s="1"/>
  <c r="AB250" i="45" s="1"/>
  <c r="AC250" i="45" s="1"/>
  <c r="AD250" i="45" s="1"/>
  <c r="AE250" i="45" s="1"/>
  <c r="AF250" i="45" s="1"/>
  <c r="B250" i="45" s="1"/>
  <c r="D249" i="45"/>
  <c r="E249" i="45" s="1"/>
  <c r="F249" i="45" s="1"/>
  <c r="G249" i="45" s="1"/>
  <c r="H249" i="45" s="1"/>
  <c r="I249" i="45" s="1"/>
  <c r="J249" i="45" s="1"/>
  <c r="K249" i="45" s="1"/>
  <c r="L249" i="45" s="1"/>
  <c r="M249" i="45" s="1"/>
  <c r="N249" i="45" s="1"/>
  <c r="O249" i="45" s="1"/>
  <c r="P249" i="45" s="1"/>
  <c r="Q249" i="45" s="1"/>
  <c r="R249" i="45" s="1"/>
  <c r="S249" i="45" s="1"/>
  <c r="T249" i="45" s="1"/>
  <c r="U249" i="45" s="1"/>
  <c r="V249" i="45" s="1"/>
  <c r="W249" i="45" s="1"/>
  <c r="X249" i="45" s="1"/>
  <c r="Y249" i="45" s="1"/>
  <c r="Z249" i="45" s="1"/>
  <c r="AA249" i="45" s="1"/>
  <c r="AB249" i="45" s="1"/>
  <c r="AC249" i="45" s="1"/>
  <c r="AD249" i="45" s="1"/>
  <c r="AE249" i="45" s="1"/>
  <c r="AF249" i="45" s="1"/>
  <c r="B249" i="45" s="1"/>
  <c r="D248" i="45"/>
  <c r="E248" i="45" s="1"/>
  <c r="F248" i="45" s="1"/>
  <c r="G248" i="45" s="1"/>
  <c r="H248" i="45" s="1"/>
  <c r="I248" i="45" s="1"/>
  <c r="J248" i="45" s="1"/>
  <c r="K248" i="45" s="1"/>
  <c r="L248" i="45" s="1"/>
  <c r="M248" i="45" s="1"/>
  <c r="N248" i="45" s="1"/>
  <c r="O248" i="45" s="1"/>
  <c r="P248" i="45" s="1"/>
  <c r="Q248" i="45" s="1"/>
  <c r="R248" i="45" s="1"/>
  <c r="S248" i="45" s="1"/>
  <c r="T248" i="45" s="1"/>
  <c r="U248" i="45" s="1"/>
  <c r="V248" i="45" s="1"/>
  <c r="W248" i="45" s="1"/>
  <c r="X248" i="45" s="1"/>
  <c r="Y248" i="45" s="1"/>
  <c r="Z248" i="45" s="1"/>
  <c r="AA248" i="45" s="1"/>
  <c r="AB248" i="45" s="1"/>
  <c r="AC248" i="45" s="1"/>
  <c r="AD248" i="45" s="1"/>
  <c r="AE248" i="45" s="1"/>
  <c r="AF248" i="45" s="1"/>
  <c r="B248" i="45" s="1"/>
  <c r="D247" i="45"/>
  <c r="D246" i="45"/>
  <c r="E246" i="45" s="1"/>
  <c r="F246" i="45" s="1"/>
  <c r="AG244" i="45"/>
  <c r="AF244" i="45"/>
  <c r="AE244" i="45"/>
  <c r="AD244" i="45"/>
  <c r="AC244" i="45"/>
  <c r="AB244" i="45"/>
  <c r="AA244" i="45"/>
  <c r="Z244" i="45"/>
  <c r="Y244" i="45"/>
  <c r="X244" i="45"/>
  <c r="W244" i="45"/>
  <c r="V244" i="45"/>
  <c r="U244" i="45"/>
  <c r="T244" i="45"/>
  <c r="S244" i="45"/>
  <c r="R244" i="45"/>
  <c r="Q244" i="45"/>
  <c r="P244" i="45"/>
  <c r="O244" i="45"/>
  <c r="N244" i="45"/>
  <c r="M244" i="45"/>
  <c r="L244" i="45"/>
  <c r="K244" i="45"/>
  <c r="J244" i="45"/>
  <c r="I244" i="45"/>
  <c r="H244" i="45"/>
  <c r="G244" i="45"/>
  <c r="F244" i="45"/>
  <c r="E244" i="45"/>
  <c r="D244" i="45"/>
  <c r="C244" i="45"/>
  <c r="B244" i="45"/>
  <c r="AI130" i="45"/>
  <c r="AH130" i="45"/>
  <c r="AI129" i="45"/>
  <c r="AH129" i="45"/>
  <c r="AI128" i="45"/>
  <c r="AH128" i="45"/>
  <c r="AI127" i="45"/>
  <c r="AH127" i="45"/>
  <c r="AI126" i="45"/>
  <c r="AH126" i="45"/>
  <c r="AI123" i="45"/>
  <c r="AH123" i="45"/>
  <c r="AI122" i="45"/>
  <c r="AH122" i="45"/>
  <c r="AI120" i="45"/>
  <c r="AI119" i="45"/>
  <c r="AH119" i="45"/>
  <c r="AI117" i="45"/>
  <c r="AH117" i="45"/>
  <c r="AI116" i="45"/>
  <c r="AH116" i="45"/>
  <c r="AI115" i="45"/>
  <c r="AH115" i="45"/>
  <c r="AI114" i="45"/>
  <c r="AH114" i="45"/>
  <c r="AI113" i="45"/>
  <c r="AH113" i="45"/>
  <c r="AI112" i="45"/>
  <c r="AH112" i="45"/>
  <c r="AI111" i="45"/>
  <c r="AH111" i="45"/>
  <c r="AI110" i="45"/>
  <c r="AH110" i="45"/>
  <c r="AI109" i="45"/>
  <c r="AH109" i="45"/>
  <c r="AI106" i="45"/>
  <c r="AH106" i="45"/>
  <c r="AF105" i="45"/>
  <c r="AE105" i="45"/>
  <c r="AD105" i="45"/>
  <c r="AC105" i="45"/>
  <c r="AB105" i="45"/>
  <c r="AA105" i="45"/>
  <c r="Z105" i="45"/>
  <c r="Y105" i="45"/>
  <c r="X105" i="45"/>
  <c r="W105" i="45"/>
  <c r="V105" i="45"/>
  <c r="U105" i="45"/>
  <c r="T105" i="45"/>
  <c r="S105" i="45"/>
  <c r="R105" i="45"/>
  <c r="Q105" i="45"/>
  <c r="P105" i="45"/>
  <c r="O105" i="45"/>
  <c r="N105" i="45"/>
  <c r="M105" i="45"/>
  <c r="L105" i="45"/>
  <c r="K105" i="45"/>
  <c r="J105" i="45"/>
  <c r="I105" i="45"/>
  <c r="H105" i="45"/>
  <c r="G105" i="45"/>
  <c r="F105" i="45"/>
  <c r="E105" i="45"/>
  <c r="AF104" i="45"/>
  <c r="AE104" i="45"/>
  <c r="AD104" i="45"/>
  <c r="AC104" i="45"/>
  <c r="AB104" i="45"/>
  <c r="AA104" i="45"/>
  <c r="Z104" i="45"/>
  <c r="Y104" i="45"/>
  <c r="X104" i="45"/>
  <c r="W104" i="45"/>
  <c r="V104" i="45"/>
  <c r="U104" i="45"/>
  <c r="T104" i="45"/>
  <c r="S104" i="45"/>
  <c r="R104" i="45"/>
  <c r="Q104" i="45"/>
  <c r="P104" i="45"/>
  <c r="O104" i="45"/>
  <c r="N104" i="45"/>
  <c r="M104" i="45"/>
  <c r="L104" i="45"/>
  <c r="K104" i="45"/>
  <c r="J104" i="45"/>
  <c r="I104" i="45"/>
  <c r="H104" i="45"/>
  <c r="G104" i="45"/>
  <c r="F104" i="45"/>
  <c r="E104" i="45"/>
  <c r="AF103" i="45"/>
  <c r="AE103" i="45"/>
  <c r="AD103" i="45"/>
  <c r="AC103" i="45"/>
  <c r="AB103" i="45"/>
  <c r="AA103" i="45"/>
  <c r="Z103" i="45"/>
  <c r="Y103" i="45"/>
  <c r="X103" i="45"/>
  <c r="W103" i="45"/>
  <c r="V103" i="45"/>
  <c r="U103" i="45"/>
  <c r="T103" i="45"/>
  <c r="S103" i="45"/>
  <c r="R103" i="45"/>
  <c r="Q103" i="45"/>
  <c r="P103" i="45"/>
  <c r="O103" i="45"/>
  <c r="N103" i="45"/>
  <c r="M103" i="45"/>
  <c r="L103" i="45"/>
  <c r="K103" i="45"/>
  <c r="J103" i="45"/>
  <c r="I103" i="45"/>
  <c r="H103" i="45"/>
  <c r="G103" i="45"/>
  <c r="F103" i="45"/>
  <c r="E103" i="45"/>
  <c r="AF102" i="45"/>
  <c r="AE102" i="45"/>
  <c r="AD102" i="45"/>
  <c r="AC102" i="45"/>
  <c r="AB102" i="45"/>
  <c r="AA102" i="45"/>
  <c r="Z102" i="45"/>
  <c r="Y102" i="45"/>
  <c r="X102" i="45"/>
  <c r="W102" i="45"/>
  <c r="V102" i="45"/>
  <c r="U102" i="45"/>
  <c r="T102" i="45"/>
  <c r="S102" i="45"/>
  <c r="R102" i="45"/>
  <c r="Q102" i="45"/>
  <c r="P102" i="45"/>
  <c r="O102" i="45"/>
  <c r="N102" i="45"/>
  <c r="M102" i="45"/>
  <c r="L102" i="45"/>
  <c r="K102" i="45"/>
  <c r="J102" i="45"/>
  <c r="I102" i="45"/>
  <c r="H102" i="45"/>
  <c r="G102" i="45"/>
  <c r="F102" i="45"/>
  <c r="E102" i="45"/>
  <c r="AF101" i="45"/>
  <c r="AE101" i="45"/>
  <c r="AE107" i="45" s="1"/>
  <c r="AD101" i="45"/>
  <c r="AC101" i="45"/>
  <c r="AB101" i="45"/>
  <c r="AA101" i="45"/>
  <c r="Z101" i="45"/>
  <c r="Y101" i="45"/>
  <c r="X101" i="45"/>
  <c r="W101" i="45"/>
  <c r="V101" i="45"/>
  <c r="U101" i="45"/>
  <c r="T101" i="45"/>
  <c r="T107" i="45" s="1"/>
  <c r="S101" i="45"/>
  <c r="R101" i="45"/>
  <c r="Q101" i="45"/>
  <c r="P101" i="45"/>
  <c r="O101" i="45"/>
  <c r="N101" i="45"/>
  <c r="N107" i="45" s="1"/>
  <c r="M101" i="45"/>
  <c r="L101" i="45"/>
  <c r="K101" i="45"/>
  <c r="J101" i="45"/>
  <c r="I101" i="45"/>
  <c r="H101" i="45"/>
  <c r="G101" i="45"/>
  <c r="G107" i="45" s="1"/>
  <c r="F101" i="45"/>
  <c r="F107" i="45" s="1"/>
  <c r="E101" i="45"/>
  <c r="AI98" i="45"/>
  <c r="AH98" i="45"/>
  <c r="AI96" i="45"/>
  <c r="AH96" i="45"/>
  <c r="AG96" i="45"/>
  <c r="AI95" i="45"/>
  <c r="AH95" i="45"/>
  <c r="AI94" i="45"/>
  <c r="AH94" i="45"/>
  <c r="AI93" i="45"/>
  <c r="AH93" i="45"/>
  <c r="AG92" i="45"/>
  <c r="AF92" i="45"/>
  <c r="AF97" i="45" s="1"/>
  <c r="AF99" i="45" s="1"/>
  <c r="AE92" i="45"/>
  <c r="AD5" i="45" s="1"/>
  <c r="AD92" i="45"/>
  <c r="AC5" i="45" s="1"/>
  <c r="AC92" i="45"/>
  <c r="AB5" i="45" s="1"/>
  <c r="AB92" i="45"/>
  <c r="AA5" i="45" s="1"/>
  <c r="AA92" i="45"/>
  <c r="Z5" i="45" s="1"/>
  <c r="Z92" i="45"/>
  <c r="Y5" i="45" s="1"/>
  <c r="Y92" i="45"/>
  <c r="X5" i="45" s="1"/>
  <c r="X92" i="45"/>
  <c r="W5" i="45" s="1"/>
  <c r="W92" i="45"/>
  <c r="V5" i="45" s="1"/>
  <c r="V92" i="45"/>
  <c r="U5" i="45" s="1"/>
  <c r="U92" i="45"/>
  <c r="T5" i="45" s="1"/>
  <c r="T92" i="45"/>
  <c r="T108" i="45" s="1"/>
  <c r="S92" i="45"/>
  <c r="R5" i="45" s="1"/>
  <c r="R92" i="45"/>
  <c r="Q5" i="45" s="1"/>
  <c r="Q92" i="45"/>
  <c r="P5" i="45" s="1"/>
  <c r="P92" i="45"/>
  <c r="O5" i="45" s="1"/>
  <c r="O92" i="45"/>
  <c r="N5" i="45" s="1"/>
  <c r="N92" i="45"/>
  <c r="M5" i="45" s="1"/>
  <c r="M92" i="45"/>
  <c r="L5" i="45" s="1"/>
  <c r="L92" i="45"/>
  <c r="K92" i="45"/>
  <c r="J92" i="45"/>
  <c r="I5" i="45" s="1"/>
  <c r="I92" i="45"/>
  <c r="H5" i="45" s="1"/>
  <c r="H92" i="45"/>
  <c r="G5" i="45" s="1"/>
  <c r="G92" i="45"/>
  <c r="F5" i="45" s="1"/>
  <c r="F92" i="45"/>
  <c r="E5" i="45" s="1"/>
  <c r="E92" i="45"/>
  <c r="AI91" i="45"/>
  <c r="AH91" i="45"/>
  <c r="AI90" i="45"/>
  <c r="AH90" i="45"/>
  <c r="AI89" i="45"/>
  <c r="AH89" i="45"/>
  <c r="AI88" i="45"/>
  <c r="AH88" i="45"/>
  <c r="AI87" i="45"/>
  <c r="AH87" i="45"/>
  <c r="AI86" i="45"/>
  <c r="AH86" i="45"/>
  <c r="AI85" i="45"/>
  <c r="AH85" i="45"/>
  <c r="AI84" i="45"/>
  <c r="AH84" i="45"/>
  <c r="AI83" i="45"/>
  <c r="AH83" i="45"/>
  <c r="AI82" i="45"/>
  <c r="AH82" i="45"/>
  <c r="AI81" i="45"/>
  <c r="AH81" i="45"/>
  <c r="AG80" i="45"/>
  <c r="AG4" i="45" s="1"/>
  <c r="AD80" i="45"/>
  <c r="AC80" i="45"/>
  <c r="AB80" i="45"/>
  <c r="AA80" i="45"/>
  <c r="Z80" i="45"/>
  <c r="Y80" i="45"/>
  <c r="X80" i="45"/>
  <c r="W80" i="45"/>
  <c r="V80" i="45"/>
  <c r="U80" i="45"/>
  <c r="T80" i="45"/>
  <c r="S80" i="45"/>
  <c r="R80" i="45"/>
  <c r="Q80" i="45"/>
  <c r="P80" i="45"/>
  <c r="O80" i="45"/>
  <c r="N80" i="45"/>
  <c r="M80" i="45"/>
  <c r="L80" i="45"/>
  <c r="K80" i="45"/>
  <c r="J80" i="45"/>
  <c r="I80" i="45"/>
  <c r="H80" i="45"/>
  <c r="G80" i="45"/>
  <c r="F80" i="45"/>
  <c r="E80" i="45"/>
  <c r="AI79" i="45"/>
  <c r="AH79" i="45"/>
  <c r="AI78" i="45"/>
  <c r="AH78" i="45"/>
  <c r="AI77" i="45"/>
  <c r="AH77" i="45"/>
  <c r="AG76" i="45"/>
  <c r="AG3" i="45" s="1"/>
  <c r="AD76" i="45"/>
  <c r="AC76" i="45"/>
  <c r="AB76" i="45"/>
  <c r="AA76" i="45"/>
  <c r="Z76" i="45"/>
  <c r="Y76" i="45"/>
  <c r="X76" i="45"/>
  <c r="W76" i="45"/>
  <c r="V76" i="45"/>
  <c r="U76" i="45"/>
  <c r="T76" i="45"/>
  <c r="S76" i="45"/>
  <c r="R76" i="45"/>
  <c r="Q76" i="45"/>
  <c r="P76" i="45"/>
  <c r="O76" i="45"/>
  <c r="N76" i="45"/>
  <c r="M76" i="45"/>
  <c r="L76" i="45"/>
  <c r="K76" i="45"/>
  <c r="J76" i="45"/>
  <c r="I76" i="45"/>
  <c r="H76" i="45"/>
  <c r="G76" i="45"/>
  <c r="F76" i="45"/>
  <c r="E76" i="45"/>
  <c r="AI75" i="45"/>
  <c r="AH75" i="45"/>
  <c r="AG75" i="45"/>
  <c r="AI74" i="45"/>
  <c r="AH74" i="45"/>
  <c r="AI73" i="45"/>
  <c r="AH73" i="45"/>
  <c r="AI72" i="45"/>
  <c r="AH72" i="45"/>
  <c r="AI71" i="45"/>
  <c r="AH71" i="45"/>
  <c r="AI70" i="45"/>
  <c r="AH70" i="45"/>
  <c r="AI69" i="45"/>
  <c r="AH69" i="45"/>
  <c r="AI68" i="45"/>
  <c r="AH68" i="45"/>
  <c r="AI67" i="45"/>
  <c r="AH67" i="45"/>
  <c r="AI66" i="45"/>
  <c r="AH66" i="45"/>
  <c r="AI65" i="45"/>
  <c r="AH65" i="45"/>
  <c r="AI64" i="45"/>
  <c r="AH64" i="45"/>
  <c r="AI63" i="45"/>
  <c r="AH63" i="45"/>
  <c r="AG62" i="45"/>
  <c r="AD62" i="45"/>
  <c r="AC62" i="45"/>
  <c r="AB62" i="45"/>
  <c r="AA62" i="45"/>
  <c r="Z62" i="45"/>
  <c r="Y62" i="45"/>
  <c r="X62" i="45"/>
  <c r="W62" i="45"/>
  <c r="V62" i="45"/>
  <c r="U62" i="45"/>
  <c r="T62" i="45"/>
  <c r="S62" i="45"/>
  <c r="R62" i="45"/>
  <c r="Q62" i="45"/>
  <c r="P62" i="45"/>
  <c r="O62" i="45"/>
  <c r="N62" i="45"/>
  <c r="M62" i="45"/>
  <c r="L62" i="45"/>
  <c r="K62" i="45"/>
  <c r="J62" i="45"/>
  <c r="I62" i="45"/>
  <c r="H62" i="45"/>
  <c r="G62" i="45"/>
  <c r="F62" i="45"/>
  <c r="E62" i="45"/>
  <c r="AI61" i="45"/>
  <c r="AH61" i="45"/>
  <c r="AI60" i="45"/>
  <c r="AH60" i="45"/>
  <c r="AI59" i="45"/>
  <c r="AH59" i="45"/>
  <c r="AG58" i="45"/>
  <c r="AG2" i="45" s="1"/>
  <c r="AG6" i="45" s="1"/>
  <c r="AD58" i="45"/>
  <c r="AC58" i="45"/>
  <c r="AB58" i="45"/>
  <c r="AA58" i="45"/>
  <c r="Z58" i="45"/>
  <c r="Y58" i="45"/>
  <c r="X58" i="45"/>
  <c r="W58" i="45"/>
  <c r="V58" i="45"/>
  <c r="U58" i="45"/>
  <c r="T58" i="45"/>
  <c r="S58" i="45"/>
  <c r="R58" i="45"/>
  <c r="Q58" i="45"/>
  <c r="P58" i="45"/>
  <c r="O58" i="45"/>
  <c r="N58" i="45"/>
  <c r="M58" i="45"/>
  <c r="L58" i="45"/>
  <c r="K58" i="45"/>
  <c r="J58" i="45"/>
  <c r="I58" i="45"/>
  <c r="H58" i="45"/>
  <c r="G58" i="45"/>
  <c r="F58" i="45"/>
  <c r="E58" i="45"/>
  <c r="AI57" i="45"/>
  <c r="AH57" i="45"/>
  <c r="AI56" i="45"/>
  <c r="AH56" i="45"/>
  <c r="AI55" i="45"/>
  <c r="AH55" i="45"/>
  <c r="AI54" i="45"/>
  <c r="AH54" i="45"/>
  <c r="AI53" i="45"/>
  <c r="AH53" i="45"/>
  <c r="AI52" i="45"/>
  <c r="AH52" i="45"/>
  <c r="AI51" i="45"/>
  <c r="AH51" i="45"/>
  <c r="AI50" i="45"/>
  <c r="AH50" i="45"/>
  <c r="AI49" i="45"/>
  <c r="AH49" i="45"/>
  <c r="AI48" i="45"/>
  <c r="AH48" i="45"/>
  <c r="AI47" i="45"/>
  <c r="AH47" i="45"/>
  <c r="AI46" i="45"/>
  <c r="AH46" i="45"/>
  <c r="AI45" i="45"/>
  <c r="AH45" i="45"/>
  <c r="AI44" i="45"/>
  <c r="AH44" i="45"/>
  <c r="AI43" i="45"/>
  <c r="AH43" i="45"/>
  <c r="AI42" i="45"/>
  <c r="AH42" i="45"/>
  <c r="AI41" i="45"/>
  <c r="AH41" i="45"/>
  <c r="AI40" i="45"/>
  <c r="AH40" i="45"/>
  <c r="AI39" i="45"/>
  <c r="AH39" i="45"/>
  <c r="AI38" i="45"/>
  <c r="AH38" i="45"/>
  <c r="AI37" i="45"/>
  <c r="AH37" i="45"/>
  <c r="AI36" i="45"/>
  <c r="AH36" i="45"/>
  <c r="AI35" i="45"/>
  <c r="AH35" i="45"/>
  <c r="AI34" i="45"/>
  <c r="AH34" i="45"/>
  <c r="AI33" i="45"/>
  <c r="AH33" i="45"/>
  <c r="AI32" i="45"/>
  <c r="AH32" i="45"/>
  <c r="AI31" i="45"/>
  <c r="AH31" i="45"/>
  <c r="AI30" i="45"/>
  <c r="AH30" i="45"/>
  <c r="AI29" i="45"/>
  <c r="AH29" i="45"/>
  <c r="AI28" i="45"/>
  <c r="AH28" i="45"/>
  <c r="AI27" i="45"/>
  <c r="AH27" i="45"/>
  <c r="AI26" i="45"/>
  <c r="AH26" i="45"/>
  <c r="AI25" i="45"/>
  <c r="AH25" i="45"/>
  <c r="AI24" i="45"/>
  <c r="AH24" i="45"/>
  <c r="AI23" i="45"/>
  <c r="AH23" i="45"/>
  <c r="AI22" i="45"/>
  <c r="AH22" i="45"/>
  <c r="AI21" i="45"/>
  <c r="AH21" i="45"/>
  <c r="AI20" i="45"/>
  <c r="AH20" i="45"/>
  <c r="AI19" i="45"/>
  <c r="AH19" i="45"/>
  <c r="AI18" i="45"/>
  <c r="AH18" i="45"/>
  <c r="AI17" i="45"/>
  <c r="AH17" i="45"/>
  <c r="AI16" i="45"/>
  <c r="AH16" i="45"/>
  <c r="AI15" i="45"/>
  <c r="AH15" i="45"/>
  <c r="AI14" i="45"/>
  <c r="AH14" i="45"/>
  <c r="AI13" i="45"/>
  <c r="AH13" i="45"/>
  <c r="AI12" i="45"/>
  <c r="AH12" i="45"/>
  <c r="AI11" i="45"/>
  <c r="AH11" i="45"/>
  <c r="J5" i="45"/>
  <c r="C5" i="45"/>
  <c r="K4" i="45"/>
  <c r="E4" i="45"/>
  <c r="H4" i="45" s="1"/>
  <c r="B4" i="45"/>
  <c r="S258" i="45" s="1"/>
  <c r="AF121" i="44"/>
  <c r="AE121" i="44"/>
  <c r="AE58" i="44"/>
  <c r="AF58" i="44"/>
  <c r="AE62" i="44"/>
  <c r="AF62" i="44"/>
  <c r="AE76" i="44"/>
  <c r="AF76" i="44"/>
  <c r="AE80" i="44"/>
  <c r="AF80" i="44"/>
  <c r="AE92" i="44"/>
  <c r="AF92" i="44"/>
  <c r="AE101" i="44"/>
  <c r="AF101" i="44"/>
  <c r="AE102" i="44"/>
  <c r="AF102" i="44"/>
  <c r="AE103" i="44"/>
  <c r="AF103" i="44"/>
  <c r="AE104" i="44"/>
  <c r="AF104" i="44"/>
  <c r="AE105" i="44"/>
  <c r="AF105" i="44"/>
  <c r="AD121" i="44"/>
  <c r="AC121" i="44"/>
  <c r="AB121" i="44"/>
  <c r="V246" i="48" l="1"/>
  <c r="T247" i="48"/>
  <c r="S252" i="48"/>
  <c r="R282" i="48"/>
  <c r="T251" i="48"/>
  <c r="S118" i="48"/>
  <c r="L247" i="47"/>
  <c r="K252" i="47"/>
  <c r="J282" i="47"/>
  <c r="L251" i="47"/>
  <c r="K118" i="47"/>
  <c r="O246" i="47"/>
  <c r="B7" i="46"/>
  <c r="A7" i="46" s="1"/>
  <c r="AI100" i="46"/>
  <c r="AH100" i="46"/>
  <c r="H246" i="46"/>
  <c r="G252" i="46"/>
  <c r="G118" i="46"/>
  <c r="H282" i="46"/>
  <c r="J251" i="46"/>
  <c r="AE5" i="45"/>
  <c r="AD107" i="45"/>
  <c r="AB107" i="45"/>
  <c r="AB108" i="45" s="1"/>
  <c r="AB97" i="45"/>
  <c r="AB99" i="45" s="1"/>
  <c r="Y107" i="45"/>
  <c r="Y97" i="45"/>
  <c r="Y99" i="45" s="1"/>
  <c r="Y100" i="45" s="1"/>
  <c r="Y7" i="45" s="1"/>
  <c r="X97" i="45"/>
  <c r="X99" i="45" s="1"/>
  <c r="AP261" i="45" s="1"/>
  <c r="V107" i="45"/>
  <c r="T97" i="45"/>
  <c r="T99" i="45" s="1"/>
  <c r="T100" i="45" s="1"/>
  <c r="T7" i="45" s="1"/>
  <c r="S5" i="45"/>
  <c r="Q107" i="45"/>
  <c r="Q97" i="45"/>
  <c r="Q99" i="45" s="1"/>
  <c r="Q100" i="45" s="1"/>
  <c r="Q7" i="45" s="1"/>
  <c r="P97" i="45"/>
  <c r="P99" i="45" s="1"/>
  <c r="O107" i="45"/>
  <c r="AI80" i="45"/>
  <c r="L107" i="45"/>
  <c r="L108" i="45" s="1"/>
  <c r="K5" i="45"/>
  <c r="L97" i="45"/>
  <c r="L99" i="45" s="1"/>
  <c r="K97" i="45"/>
  <c r="K99" i="45" s="1"/>
  <c r="K100" i="45" s="1"/>
  <c r="K7" i="45" s="1"/>
  <c r="I107" i="45"/>
  <c r="I97" i="45"/>
  <c r="I99" i="45" s="1"/>
  <c r="I100" i="45" s="1"/>
  <c r="I7" i="45" s="1"/>
  <c r="H97" i="45"/>
  <c r="H99" i="45" s="1"/>
  <c r="Z261" i="45" s="1"/>
  <c r="AI105" i="45"/>
  <c r="G108" i="45"/>
  <c r="W107" i="45"/>
  <c r="W108" i="45" s="1"/>
  <c r="E251" i="45"/>
  <c r="D282" i="45" s="1"/>
  <c r="AG99" i="45"/>
  <c r="H107" i="45"/>
  <c r="H108" i="45" s="1"/>
  <c r="P107" i="45"/>
  <c r="P108" i="45" s="1"/>
  <c r="X107" i="45"/>
  <c r="X108" i="45" s="1"/>
  <c r="AF107" i="45"/>
  <c r="AF108" i="45" s="1"/>
  <c r="B108" i="45"/>
  <c r="S97" i="45"/>
  <c r="S99" i="45" s="1"/>
  <c r="AK261" i="45" s="1"/>
  <c r="AA97" i="45"/>
  <c r="AA99" i="45" s="1"/>
  <c r="AS261" i="45" s="1"/>
  <c r="J107" i="45"/>
  <c r="J108" i="45" s="1"/>
  <c r="R107" i="45"/>
  <c r="Z107" i="45"/>
  <c r="Z108" i="45" s="1"/>
  <c r="O108" i="45"/>
  <c r="AE108" i="45"/>
  <c r="M97" i="45"/>
  <c r="M99" i="45" s="1"/>
  <c r="AE261" i="45" s="1"/>
  <c r="U97" i="45"/>
  <c r="U99" i="45" s="1"/>
  <c r="AM261" i="45" s="1"/>
  <c r="AC97" i="45"/>
  <c r="AC99" i="45" s="1"/>
  <c r="AU261" i="45" s="1"/>
  <c r="K108" i="45"/>
  <c r="AA108" i="45"/>
  <c r="K107" i="45"/>
  <c r="S107" i="45"/>
  <c r="S108" i="45" s="1"/>
  <c r="AA107" i="45"/>
  <c r="F97" i="45"/>
  <c r="F99" i="45" s="1"/>
  <c r="N97" i="45"/>
  <c r="N99" i="45" s="1"/>
  <c r="AF261" i="45" s="1"/>
  <c r="V97" i="45"/>
  <c r="V99" i="45" s="1"/>
  <c r="AN261" i="45" s="1"/>
  <c r="AD97" i="45"/>
  <c r="AD99" i="45" s="1"/>
  <c r="AV261" i="45" s="1"/>
  <c r="D252" i="45"/>
  <c r="AI103" i="45"/>
  <c r="G97" i="45"/>
  <c r="G99" i="45" s="1"/>
  <c r="Y261" i="45" s="1"/>
  <c r="O97" i="45"/>
  <c r="O99" i="45" s="1"/>
  <c r="AG261" i="45" s="1"/>
  <c r="W97" i="45"/>
  <c r="W99" i="45" s="1"/>
  <c r="AO261" i="45" s="1"/>
  <c r="AE97" i="45"/>
  <c r="AE99" i="45" s="1"/>
  <c r="AW261" i="45" s="1"/>
  <c r="AC108" i="45"/>
  <c r="M107" i="45"/>
  <c r="M108" i="45" s="1"/>
  <c r="U107" i="45"/>
  <c r="U108" i="45" s="1"/>
  <c r="AC107" i="45"/>
  <c r="E247" i="45"/>
  <c r="F247" i="45" s="1"/>
  <c r="G247" i="45" s="1"/>
  <c r="H247" i="45" s="1"/>
  <c r="I247" i="45" s="1"/>
  <c r="J247" i="45" s="1"/>
  <c r="K247" i="45" s="1"/>
  <c r="L247" i="45" s="1"/>
  <c r="M247" i="45" s="1"/>
  <c r="N247" i="45" s="1"/>
  <c r="O247" i="45" s="1"/>
  <c r="P247" i="45" s="1"/>
  <c r="Q247" i="45" s="1"/>
  <c r="R247" i="45" s="1"/>
  <c r="S247" i="45" s="1"/>
  <c r="T247" i="45" s="1"/>
  <c r="U247" i="45" s="1"/>
  <c r="V247" i="45" s="1"/>
  <c r="W247" i="45" s="1"/>
  <c r="X247" i="45" s="1"/>
  <c r="Y247" i="45" s="1"/>
  <c r="Z247" i="45" s="1"/>
  <c r="AA247" i="45" s="1"/>
  <c r="AB247" i="45" s="1"/>
  <c r="AC247" i="45" s="1"/>
  <c r="AD247" i="45" s="1"/>
  <c r="AE247" i="45" s="1"/>
  <c r="AF247" i="45" s="1"/>
  <c r="B247" i="45" s="1"/>
  <c r="AI121" i="45"/>
  <c r="E118" i="45"/>
  <c r="AH121" i="45"/>
  <c r="AH104" i="45"/>
  <c r="E107" i="45"/>
  <c r="E108" i="45" s="1"/>
  <c r="D5" i="45"/>
  <c r="E97" i="45"/>
  <c r="E99" i="45" s="1"/>
  <c r="W261" i="45" s="1"/>
  <c r="AI104" i="45"/>
  <c r="D107" i="45"/>
  <c r="D100" i="45" s="1"/>
  <c r="D7" i="45" s="1"/>
  <c r="D108" i="45"/>
  <c r="C107" i="45"/>
  <c r="C108" i="45" s="1"/>
  <c r="C97" i="45"/>
  <c r="C99" i="45" s="1"/>
  <c r="C100" i="45" s="1"/>
  <c r="C7" i="45" s="1"/>
  <c r="AI102" i="45"/>
  <c r="AH62" i="45"/>
  <c r="AI76" i="45"/>
  <c r="B97" i="45"/>
  <c r="B99" i="45" s="1"/>
  <c r="B100" i="45" s="1"/>
  <c r="AI62" i="45"/>
  <c r="AI101" i="45"/>
  <c r="AH102" i="45"/>
  <c r="AH261" i="45"/>
  <c r="AX261" i="45"/>
  <c r="AA261" i="45"/>
  <c r="AI261" i="45"/>
  <c r="AQ261" i="45"/>
  <c r="AF5" i="45"/>
  <c r="AI92" i="45"/>
  <c r="AH92" i="45"/>
  <c r="J97" i="45"/>
  <c r="J99" i="45" s="1"/>
  <c r="R97" i="45"/>
  <c r="R99" i="45" s="1"/>
  <c r="Z97" i="45"/>
  <c r="Z99" i="45" s="1"/>
  <c r="AH80" i="45"/>
  <c r="AC261" i="45"/>
  <c r="AH76" i="45"/>
  <c r="V261" i="45"/>
  <c r="AL261" i="45"/>
  <c r="AT261" i="45"/>
  <c r="AB100" i="45"/>
  <c r="AB7" i="45" s="1"/>
  <c r="E100" i="45"/>
  <c r="E7" i="45" s="1"/>
  <c r="F108" i="45"/>
  <c r="N108" i="45"/>
  <c r="V108" i="45"/>
  <c r="AD108" i="45"/>
  <c r="X261" i="45"/>
  <c r="F100" i="45"/>
  <c r="F7" i="45" s="1"/>
  <c r="G246" i="45"/>
  <c r="D258" i="45"/>
  <c r="AH101" i="45"/>
  <c r="I108" i="45"/>
  <c r="Q108" i="45"/>
  <c r="Y108" i="45"/>
  <c r="AG97" i="45"/>
  <c r="R108" i="45"/>
  <c r="AH58" i="45"/>
  <c r="AH103" i="45"/>
  <c r="AI58" i="45"/>
  <c r="AH105" i="45"/>
  <c r="AF107" i="44"/>
  <c r="AF108" i="44" s="1"/>
  <c r="AF97" i="44"/>
  <c r="AF99" i="44" s="1"/>
  <c r="AF100" i="44" s="1"/>
  <c r="AE107" i="44"/>
  <c r="AE108" i="44"/>
  <c r="AE97" i="44"/>
  <c r="AE99" i="44" s="1"/>
  <c r="AE100" i="44" s="1"/>
  <c r="S282" i="48" l="1"/>
  <c r="U251" i="48"/>
  <c r="T118" i="48"/>
  <c r="U247" i="48"/>
  <c r="T252" i="48"/>
  <c r="W246" i="48"/>
  <c r="P246" i="47"/>
  <c r="K282" i="47"/>
  <c r="M251" i="47"/>
  <c r="L118" i="47"/>
  <c r="M247" i="47"/>
  <c r="L252" i="47"/>
  <c r="I246" i="46"/>
  <c r="H118" i="46"/>
  <c r="H252" i="46"/>
  <c r="K251" i="46"/>
  <c r="I282" i="46"/>
  <c r="AF100" i="45"/>
  <c r="AF7" i="45" s="1"/>
  <c r="AE100" i="45"/>
  <c r="AE7" i="45" s="1"/>
  <c r="AD100" i="45"/>
  <c r="AD7" i="45" s="1"/>
  <c r="AC100" i="45"/>
  <c r="AC7" i="45" s="1"/>
  <c r="X100" i="45"/>
  <c r="X7" i="45" s="1"/>
  <c r="V100" i="45"/>
  <c r="V7" i="45" s="1"/>
  <c r="W100" i="45"/>
  <c r="W7" i="45" s="1"/>
  <c r="U100" i="45"/>
  <c r="U7" i="45" s="1"/>
  <c r="S100" i="45"/>
  <c r="S7" i="45" s="1"/>
  <c r="P100" i="45"/>
  <c r="P7" i="45" s="1"/>
  <c r="O100" i="45"/>
  <c r="O7" i="45" s="1"/>
  <c r="M100" i="45"/>
  <c r="M7" i="45" s="1"/>
  <c r="L100" i="45"/>
  <c r="L7" i="45" s="1"/>
  <c r="AD261" i="45"/>
  <c r="H100" i="45"/>
  <c r="H7" i="45" s="1"/>
  <c r="G100" i="45"/>
  <c r="G7" i="45" s="1"/>
  <c r="U261" i="45"/>
  <c r="AA100" i="45"/>
  <c r="AA7" i="45" s="1"/>
  <c r="F251" i="45"/>
  <c r="F118" i="45" s="1"/>
  <c r="N100" i="45"/>
  <c r="N7" i="45" s="1"/>
  <c r="E252" i="45"/>
  <c r="AI108" i="45"/>
  <c r="AH108" i="45"/>
  <c r="AB261" i="45"/>
  <c r="J100" i="45"/>
  <c r="J7" i="45" s="1"/>
  <c r="B256" i="45"/>
  <c r="H246" i="45"/>
  <c r="G118" i="45"/>
  <c r="AJ261" i="45"/>
  <c r="R100" i="45"/>
  <c r="R7" i="45" s="1"/>
  <c r="AH107" i="45"/>
  <c r="AI107" i="45"/>
  <c r="AI97" i="45"/>
  <c r="AH97" i="45"/>
  <c r="C256" i="45"/>
  <c r="AR261" i="45"/>
  <c r="Z100" i="45"/>
  <c r="Z7" i="45" s="1"/>
  <c r="E282" i="45"/>
  <c r="G251" i="45"/>
  <c r="G252" i="45" s="1"/>
  <c r="F252" i="45"/>
  <c r="X246" i="48" l="1"/>
  <c r="V247" i="48"/>
  <c r="U252" i="48"/>
  <c r="T282" i="48"/>
  <c r="V251" i="48"/>
  <c r="U118" i="48"/>
  <c r="N247" i="47"/>
  <c r="M252" i="47"/>
  <c r="L282" i="47"/>
  <c r="N251" i="47"/>
  <c r="M118" i="47"/>
  <c r="Q246" i="47"/>
  <c r="J282" i="46"/>
  <c r="L251" i="46"/>
  <c r="I118" i="46"/>
  <c r="I252" i="46"/>
  <c r="J246" i="46"/>
  <c r="AI99" i="45"/>
  <c r="T261" i="45"/>
  <c r="AH99" i="45"/>
  <c r="I246" i="45"/>
  <c r="H118" i="45"/>
  <c r="H252" i="45"/>
  <c r="K6" i="45"/>
  <c r="F282" i="45"/>
  <c r="H251" i="45"/>
  <c r="U282" i="48" l="1"/>
  <c r="W251" i="48"/>
  <c r="V118" i="48"/>
  <c r="W247" i="48"/>
  <c r="V252" i="48"/>
  <c r="Y246" i="48"/>
  <c r="R246" i="47"/>
  <c r="M282" i="47"/>
  <c r="O251" i="47"/>
  <c r="N118" i="47"/>
  <c r="O247" i="47"/>
  <c r="N252" i="47"/>
  <c r="J118" i="46"/>
  <c r="J252" i="46"/>
  <c r="K246" i="46"/>
  <c r="M251" i="46"/>
  <c r="K282" i="46"/>
  <c r="J246" i="45"/>
  <c r="B7" i="45"/>
  <c r="A7" i="45" s="1"/>
  <c r="AI100" i="45"/>
  <c r="AH100" i="45"/>
  <c r="G282" i="45"/>
  <c r="I251" i="45"/>
  <c r="Z246" i="48" l="1"/>
  <c r="X247" i="48"/>
  <c r="W252" i="48"/>
  <c r="V282" i="48"/>
  <c r="X251" i="48"/>
  <c r="W118" i="48"/>
  <c r="P247" i="47"/>
  <c r="O252" i="47"/>
  <c r="N282" i="47"/>
  <c r="P251" i="47"/>
  <c r="O118" i="47"/>
  <c r="S246" i="47"/>
  <c r="L282" i="46"/>
  <c r="N251" i="46"/>
  <c r="K118" i="46"/>
  <c r="K252" i="46"/>
  <c r="L246" i="46"/>
  <c r="K246" i="45"/>
  <c r="H282" i="45"/>
  <c r="J251" i="45"/>
  <c r="I252" i="45"/>
  <c r="I118" i="45"/>
  <c r="W282" i="48" l="1"/>
  <c r="Y251" i="48"/>
  <c r="X118" i="48"/>
  <c r="Y247" i="48"/>
  <c r="X252" i="48"/>
  <c r="AA246" i="48"/>
  <c r="T246" i="47"/>
  <c r="O282" i="47"/>
  <c r="Q251" i="47"/>
  <c r="Q247" i="47"/>
  <c r="P252" i="47"/>
  <c r="L252" i="46"/>
  <c r="M246" i="46"/>
  <c r="L118" i="46"/>
  <c r="M282" i="46"/>
  <c r="O251" i="46"/>
  <c r="K251" i="45"/>
  <c r="I282" i="45"/>
  <c r="J252" i="45"/>
  <c r="J118" i="45"/>
  <c r="K118" i="45"/>
  <c r="K252" i="45"/>
  <c r="L246" i="45"/>
  <c r="AB246" i="48" l="1"/>
  <c r="Z247" i="48"/>
  <c r="Y252" i="48"/>
  <c r="X282" i="48"/>
  <c r="Z251" i="48"/>
  <c r="Y118" i="48"/>
  <c r="R247" i="47"/>
  <c r="Q252" i="47"/>
  <c r="P282" i="47"/>
  <c r="R251" i="47"/>
  <c r="Q118" i="47"/>
  <c r="U246" i="47"/>
  <c r="N282" i="46"/>
  <c r="P251" i="46"/>
  <c r="N246" i="46"/>
  <c r="M252" i="46"/>
  <c r="M118" i="46"/>
  <c r="M246" i="45"/>
  <c r="J282" i="45"/>
  <c r="L251" i="45"/>
  <c r="AA251" i="48" l="1"/>
  <c r="Y282" i="48"/>
  <c r="Z118" i="48"/>
  <c r="AA247" i="48"/>
  <c r="Z252" i="48"/>
  <c r="AC246" i="48"/>
  <c r="S251" i="47"/>
  <c r="S118" i="47" s="1"/>
  <c r="Q282" i="47"/>
  <c r="R118" i="47"/>
  <c r="V246" i="47"/>
  <c r="S247" i="47"/>
  <c r="R252" i="47"/>
  <c r="O246" i="46"/>
  <c r="N118" i="46"/>
  <c r="N252" i="46"/>
  <c r="O282" i="46"/>
  <c r="Q251" i="46"/>
  <c r="K282" i="45"/>
  <c r="M251" i="45"/>
  <c r="M252" i="45" s="1"/>
  <c r="L118" i="45"/>
  <c r="M118" i="45"/>
  <c r="N246" i="45"/>
  <c r="L252" i="45"/>
  <c r="AD246" i="48" l="1"/>
  <c r="AB247" i="48"/>
  <c r="AA252" i="48"/>
  <c r="Z282" i="48"/>
  <c r="AB251" i="48"/>
  <c r="AA118" i="48"/>
  <c r="W246" i="47"/>
  <c r="T247" i="47"/>
  <c r="S252" i="47"/>
  <c r="R282" i="47"/>
  <c r="T251" i="47"/>
  <c r="T118" i="47" s="1"/>
  <c r="P282" i="46"/>
  <c r="R251" i="46"/>
  <c r="P246" i="46"/>
  <c r="O118" i="46"/>
  <c r="O252" i="46"/>
  <c r="O246" i="45"/>
  <c r="L282" i="45"/>
  <c r="N251" i="45"/>
  <c r="N118" i="45" s="1"/>
  <c r="AA282" i="48" l="1"/>
  <c r="AC251" i="48"/>
  <c r="AC247" i="48"/>
  <c r="AB252" i="48"/>
  <c r="AE246" i="48"/>
  <c r="S282" i="47"/>
  <c r="U251" i="47"/>
  <c r="U118" i="47" s="1"/>
  <c r="U247" i="47"/>
  <c r="T252" i="47"/>
  <c r="X246" i="47"/>
  <c r="S251" i="46"/>
  <c r="Q282" i="46"/>
  <c r="Q246" i="46"/>
  <c r="P252" i="46"/>
  <c r="M282" i="45"/>
  <c r="O251" i="45"/>
  <c r="P246" i="45"/>
  <c r="O118" i="45"/>
  <c r="O252" i="45"/>
  <c r="N252" i="45"/>
  <c r="AF246" i="48" l="1"/>
  <c r="AD247" i="48"/>
  <c r="AC252" i="48"/>
  <c r="AB282" i="48"/>
  <c r="AD251" i="48"/>
  <c r="Y246" i="47"/>
  <c r="V247" i="47"/>
  <c r="U252" i="47"/>
  <c r="T282" i="47"/>
  <c r="V251" i="47"/>
  <c r="V118" i="47" s="1"/>
  <c r="Q252" i="46"/>
  <c r="Q118" i="46"/>
  <c r="R246" i="46"/>
  <c r="R282" i="46"/>
  <c r="T251" i="46"/>
  <c r="Q246" i="45"/>
  <c r="N282" i="45"/>
  <c r="P251" i="45"/>
  <c r="AC282" i="48" l="1"/>
  <c r="AE251" i="48"/>
  <c r="AE247" i="48"/>
  <c r="AD252" i="48"/>
  <c r="B246" i="48"/>
  <c r="U282" i="47"/>
  <c r="W251" i="47"/>
  <c r="W118" i="47" s="1"/>
  <c r="W247" i="47"/>
  <c r="V252" i="47"/>
  <c r="Z246" i="47"/>
  <c r="U251" i="46"/>
  <c r="S282" i="46"/>
  <c r="R252" i="46"/>
  <c r="R118" i="46"/>
  <c r="S246" i="46"/>
  <c r="O282" i="45"/>
  <c r="Q251" i="45"/>
  <c r="Q252" i="45" s="1"/>
  <c r="P252" i="45"/>
  <c r="Q118" i="45"/>
  <c r="R246" i="45"/>
  <c r="AF247" i="48" l="1"/>
  <c r="AE252" i="48"/>
  <c r="AD282" i="48"/>
  <c r="AF251" i="48"/>
  <c r="X247" i="47"/>
  <c r="W252" i="47"/>
  <c r="V282" i="47"/>
  <c r="X251" i="47"/>
  <c r="X118" i="47" s="1"/>
  <c r="AA246" i="47"/>
  <c r="S252" i="46"/>
  <c r="T246" i="46"/>
  <c r="V251" i="46"/>
  <c r="T282" i="46"/>
  <c r="P282" i="45"/>
  <c r="R251" i="45"/>
  <c r="R252" i="45"/>
  <c r="R118" i="45"/>
  <c r="S246" i="45"/>
  <c r="B251" i="48" l="1"/>
  <c r="AE282" i="48"/>
  <c r="B247" i="48"/>
  <c r="AF252" i="48"/>
  <c r="W282" i="47"/>
  <c r="Y251" i="47"/>
  <c r="Y118" i="47" s="1"/>
  <c r="AB246" i="47"/>
  <c r="Y247" i="47"/>
  <c r="X252" i="47"/>
  <c r="U282" i="46"/>
  <c r="W251" i="46"/>
  <c r="T252" i="46"/>
  <c r="U246" i="46"/>
  <c r="T246" i="45"/>
  <c r="S251" i="45"/>
  <c r="Q282" i="45"/>
  <c r="AF282" i="48" l="1"/>
  <c r="B118" i="48"/>
  <c r="B252" i="48"/>
  <c r="Z247" i="47"/>
  <c r="Y252" i="47"/>
  <c r="AC246" i="47"/>
  <c r="X282" i="47"/>
  <c r="Z251" i="47"/>
  <c r="V246" i="46"/>
  <c r="U252" i="46"/>
  <c r="V282" i="46"/>
  <c r="X251" i="46"/>
  <c r="R282" i="45"/>
  <c r="T251" i="45"/>
  <c r="T252" i="45"/>
  <c r="T118" i="45"/>
  <c r="U246" i="45"/>
  <c r="S118" i="45"/>
  <c r="S252" i="45"/>
  <c r="AI118" i="48" l="1"/>
  <c r="AH118" i="48"/>
  <c r="AA251" i="47"/>
  <c r="Y282" i="47"/>
  <c r="Z118" i="47"/>
  <c r="AD246" i="47"/>
  <c r="AA247" i="47"/>
  <c r="Z252" i="47"/>
  <c r="W282" i="46"/>
  <c r="Y251" i="46"/>
  <c r="W246" i="46"/>
  <c r="V252" i="46"/>
  <c r="V246" i="45"/>
  <c r="U251" i="45"/>
  <c r="S282" i="45"/>
  <c r="AE246" i="47" l="1"/>
  <c r="AB247" i="47"/>
  <c r="AA252" i="47"/>
  <c r="Z282" i="47"/>
  <c r="AB251" i="47"/>
  <c r="W252" i="46"/>
  <c r="X246" i="46"/>
  <c r="X282" i="46"/>
  <c r="Z251" i="46"/>
  <c r="T282" i="45"/>
  <c r="V251" i="45"/>
  <c r="U118" i="45"/>
  <c r="U252" i="45"/>
  <c r="V118" i="45"/>
  <c r="W246" i="45"/>
  <c r="V252" i="45"/>
  <c r="AA282" i="47" l="1"/>
  <c r="AC251" i="47"/>
  <c r="AB118" i="47"/>
  <c r="AC247" i="47"/>
  <c r="AB252" i="47"/>
  <c r="AF246" i="47"/>
  <c r="AA251" i="46"/>
  <c r="Y282" i="46"/>
  <c r="Y246" i="46"/>
  <c r="X252" i="46"/>
  <c r="X246" i="45"/>
  <c r="U282" i="45"/>
  <c r="W251" i="45"/>
  <c r="O58" i="44"/>
  <c r="O62" i="44"/>
  <c r="B58" i="41"/>
  <c r="B58" i="38"/>
  <c r="B58" i="16"/>
  <c r="C58" i="16"/>
  <c r="B58" i="42"/>
  <c r="B58" i="44"/>
  <c r="B246" i="47" l="1"/>
  <c r="AD247" i="47"/>
  <c r="AC252" i="47"/>
  <c r="AB282" i="47"/>
  <c r="AD251" i="47"/>
  <c r="AC118" i="47"/>
  <c r="Y252" i="46"/>
  <c r="Z246" i="46"/>
  <c r="Z282" i="46"/>
  <c r="AB251" i="46"/>
  <c r="V282" i="45"/>
  <c r="X251" i="45"/>
  <c r="W118" i="45"/>
  <c r="W252" i="45"/>
  <c r="Y246" i="45"/>
  <c r="X252" i="45"/>
  <c r="X118" i="45"/>
  <c r="M58" i="44"/>
  <c r="M62" i="44"/>
  <c r="AF286" i="44"/>
  <c r="AE286" i="44"/>
  <c r="AD286" i="44"/>
  <c r="AC286" i="44"/>
  <c r="AB286" i="44"/>
  <c r="AA286" i="44"/>
  <c r="Z286" i="44"/>
  <c r="Y286" i="44"/>
  <c r="X286" i="44"/>
  <c r="W286" i="44"/>
  <c r="V286" i="44"/>
  <c r="U286" i="44"/>
  <c r="T286" i="44"/>
  <c r="S286" i="44"/>
  <c r="R286" i="44"/>
  <c r="Q286" i="44"/>
  <c r="P286" i="44"/>
  <c r="O286" i="44"/>
  <c r="N286" i="44"/>
  <c r="M286" i="44"/>
  <c r="L286" i="44"/>
  <c r="K286" i="44"/>
  <c r="J286" i="44"/>
  <c r="I286" i="44"/>
  <c r="H286" i="44"/>
  <c r="G286" i="44"/>
  <c r="F286" i="44"/>
  <c r="E286" i="44"/>
  <c r="D286" i="44"/>
  <c r="C286" i="44"/>
  <c r="B286" i="44"/>
  <c r="A286" i="44"/>
  <c r="AF285" i="44"/>
  <c r="AE285" i="44"/>
  <c r="AD285" i="44"/>
  <c r="AC285" i="44"/>
  <c r="AB285" i="44"/>
  <c r="AA285" i="44"/>
  <c r="Z285" i="44"/>
  <c r="Y285" i="44"/>
  <c r="X285" i="44"/>
  <c r="W285" i="44"/>
  <c r="V285" i="44"/>
  <c r="U285" i="44"/>
  <c r="T285" i="44"/>
  <c r="S285" i="44"/>
  <c r="R285" i="44"/>
  <c r="Q285" i="44"/>
  <c r="P285" i="44"/>
  <c r="O285" i="44"/>
  <c r="N285" i="44"/>
  <c r="M285" i="44"/>
  <c r="L285" i="44"/>
  <c r="K285" i="44"/>
  <c r="J285" i="44"/>
  <c r="I285" i="44"/>
  <c r="H285" i="44"/>
  <c r="G285" i="44"/>
  <c r="F285" i="44"/>
  <c r="E285" i="44"/>
  <c r="D285" i="44"/>
  <c r="C285" i="44"/>
  <c r="B285" i="44"/>
  <c r="A285" i="44"/>
  <c r="AF284" i="44"/>
  <c r="AE284" i="44"/>
  <c r="AD284" i="44"/>
  <c r="AC284" i="44"/>
  <c r="AB284" i="44"/>
  <c r="AA284" i="44"/>
  <c r="Z284" i="44"/>
  <c r="Y284" i="44"/>
  <c r="X284" i="44"/>
  <c r="W284" i="44"/>
  <c r="V284" i="44"/>
  <c r="U284" i="44"/>
  <c r="T284" i="44"/>
  <c r="S284" i="44"/>
  <c r="R284" i="44"/>
  <c r="Q284" i="44"/>
  <c r="P284" i="44"/>
  <c r="O284" i="44"/>
  <c r="N284" i="44"/>
  <c r="M284" i="44"/>
  <c r="L284" i="44"/>
  <c r="K284" i="44"/>
  <c r="J284" i="44"/>
  <c r="I284" i="44"/>
  <c r="H284" i="44"/>
  <c r="G284" i="44"/>
  <c r="F284" i="44"/>
  <c r="E284" i="44"/>
  <c r="D284" i="44"/>
  <c r="C284" i="44"/>
  <c r="B284" i="44"/>
  <c r="A284" i="44"/>
  <c r="AF283" i="44"/>
  <c r="AE283" i="44"/>
  <c r="AD283" i="44"/>
  <c r="AC283" i="44"/>
  <c r="AB283" i="44"/>
  <c r="AA283" i="44"/>
  <c r="Z283" i="44"/>
  <c r="Y283" i="44"/>
  <c r="X283" i="44"/>
  <c r="W283" i="44"/>
  <c r="V283" i="44"/>
  <c r="U283" i="44"/>
  <c r="T283" i="44"/>
  <c r="S283" i="44"/>
  <c r="R283" i="44"/>
  <c r="Q283" i="44"/>
  <c r="P283" i="44"/>
  <c r="O283" i="44"/>
  <c r="N283" i="44"/>
  <c r="M283" i="44"/>
  <c r="L283" i="44"/>
  <c r="K283" i="44"/>
  <c r="J283" i="44"/>
  <c r="I283" i="44"/>
  <c r="H283" i="44"/>
  <c r="G283" i="44"/>
  <c r="F283" i="44"/>
  <c r="E283" i="44"/>
  <c r="D283" i="44"/>
  <c r="C283" i="44"/>
  <c r="B283" i="44"/>
  <c r="A283" i="44"/>
  <c r="C282" i="44"/>
  <c r="B282" i="44"/>
  <c r="S257" i="44"/>
  <c r="AG252" i="44"/>
  <c r="C252" i="44"/>
  <c r="E251" i="44"/>
  <c r="D251" i="44"/>
  <c r="D250" i="44"/>
  <c r="E250" i="44" s="1"/>
  <c r="F250" i="44" s="1"/>
  <c r="G250" i="44" s="1"/>
  <c r="H250" i="44" s="1"/>
  <c r="I250" i="44" s="1"/>
  <c r="J250" i="44" s="1"/>
  <c r="K250" i="44" s="1"/>
  <c r="L250" i="44" s="1"/>
  <c r="M250" i="44" s="1"/>
  <c r="N250" i="44" s="1"/>
  <c r="O250" i="44" s="1"/>
  <c r="P250" i="44" s="1"/>
  <c r="Q250" i="44" s="1"/>
  <c r="R250" i="44" s="1"/>
  <c r="S250" i="44" s="1"/>
  <c r="T250" i="44" s="1"/>
  <c r="U250" i="44" s="1"/>
  <c r="V250" i="44" s="1"/>
  <c r="W250" i="44" s="1"/>
  <c r="X250" i="44" s="1"/>
  <c r="Y250" i="44" s="1"/>
  <c r="Z250" i="44" s="1"/>
  <c r="AA250" i="44" s="1"/>
  <c r="AB250" i="44" s="1"/>
  <c r="AC250" i="44" s="1"/>
  <c r="AD250" i="44" s="1"/>
  <c r="AE250" i="44" s="1"/>
  <c r="AF250" i="44" s="1"/>
  <c r="B250" i="44" s="1"/>
  <c r="D249" i="44"/>
  <c r="E249" i="44" s="1"/>
  <c r="F249" i="44" s="1"/>
  <c r="G249" i="44" s="1"/>
  <c r="H249" i="44" s="1"/>
  <c r="I249" i="44" s="1"/>
  <c r="J249" i="44" s="1"/>
  <c r="K249" i="44" s="1"/>
  <c r="L249" i="44" s="1"/>
  <c r="M249" i="44" s="1"/>
  <c r="N249" i="44" s="1"/>
  <c r="O249" i="44" s="1"/>
  <c r="P249" i="44" s="1"/>
  <c r="Q249" i="44" s="1"/>
  <c r="R249" i="44" s="1"/>
  <c r="S249" i="44" s="1"/>
  <c r="T249" i="44" s="1"/>
  <c r="U249" i="44" s="1"/>
  <c r="V249" i="44" s="1"/>
  <c r="W249" i="44" s="1"/>
  <c r="X249" i="44" s="1"/>
  <c r="Y249" i="44" s="1"/>
  <c r="Z249" i="44" s="1"/>
  <c r="AA249" i="44" s="1"/>
  <c r="AB249" i="44" s="1"/>
  <c r="AC249" i="44" s="1"/>
  <c r="AD249" i="44" s="1"/>
  <c r="AE249" i="44" s="1"/>
  <c r="AF249" i="44" s="1"/>
  <c r="B249" i="44" s="1"/>
  <c r="E248" i="44"/>
  <c r="F248" i="44" s="1"/>
  <c r="G248" i="44" s="1"/>
  <c r="H248" i="44" s="1"/>
  <c r="I248" i="44" s="1"/>
  <c r="J248" i="44" s="1"/>
  <c r="K248" i="44" s="1"/>
  <c r="L248" i="44" s="1"/>
  <c r="M248" i="44" s="1"/>
  <c r="N248" i="44" s="1"/>
  <c r="O248" i="44" s="1"/>
  <c r="P248" i="44" s="1"/>
  <c r="Q248" i="44" s="1"/>
  <c r="R248" i="44" s="1"/>
  <c r="S248" i="44" s="1"/>
  <c r="T248" i="44" s="1"/>
  <c r="U248" i="44" s="1"/>
  <c r="V248" i="44" s="1"/>
  <c r="W248" i="44" s="1"/>
  <c r="X248" i="44" s="1"/>
  <c r="Y248" i="44" s="1"/>
  <c r="Z248" i="44" s="1"/>
  <c r="AA248" i="44" s="1"/>
  <c r="AB248" i="44" s="1"/>
  <c r="AC248" i="44" s="1"/>
  <c r="AD248" i="44" s="1"/>
  <c r="AE248" i="44" s="1"/>
  <c r="AF248" i="44" s="1"/>
  <c r="B248" i="44" s="1"/>
  <c r="D248" i="44"/>
  <c r="D247" i="44"/>
  <c r="E247" i="44" s="1"/>
  <c r="F247" i="44" s="1"/>
  <c r="G247" i="44" s="1"/>
  <c r="H247" i="44" s="1"/>
  <c r="I247" i="44" s="1"/>
  <c r="J247" i="44" s="1"/>
  <c r="K247" i="44" s="1"/>
  <c r="L247" i="44" s="1"/>
  <c r="M247" i="44" s="1"/>
  <c r="N247" i="44" s="1"/>
  <c r="O247" i="44" s="1"/>
  <c r="P247" i="44" s="1"/>
  <c r="Q247" i="44" s="1"/>
  <c r="R247" i="44" s="1"/>
  <c r="S247" i="44" s="1"/>
  <c r="T247" i="44" s="1"/>
  <c r="U247" i="44" s="1"/>
  <c r="V247" i="44" s="1"/>
  <c r="W247" i="44" s="1"/>
  <c r="X247" i="44" s="1"/>
  <c r="Y247" i="44" s="1"/>
  <c r="Z247" i="44" s="1"/>
  <c r="AA247" i="44" s="1"/>
  <c r="AB247" i="44" s="1"/>
  <c r="AC247" i="44" s="1"/>
  <c r="AD247" i="44" s="1"/>
  <c r="AE247" i="44" s="1"/>
  <c r="AF247" i="44" s="1"/>
  <c r="B247" i="44" s="1"/>
  <c r="D246" i="44"/>
  <c r="AG244" i="44"/>
  <c r="AF244" i="44"/>
  <c r="AE244" i="44"/>
  <c r="AD244" i="44"/>
  <c r="AC244" i="44"/>
  <c r="AB244" i="44"/>
  <c r="AA244" i="44"/>
  <c r="Z244" i="44"/>
  <c r="Y244" i="44"/>
  <c r="X244" i="44"/>
  <c r="W244" i="44"/>
  <c r="V244" i="44"/>
  <c r="U244" i="44"/>
  <c r="T244" i="44"/>
  <c r="S244" i="44"/>
  <c r="R244" i="44"/>
  <c r="Q244" i="44"/>
  <c r="P244" i="44"/>
  <c r="O244" i="44"/>
  <c r="N244" i="44"/>
  <c r="M244" i="44"/>
  <c r="L244" i="44"/>
  <c r="K244" i="44"/>
  <c r="J244" i="44"/>
  <c r="I244" i="44"/>
  <c r="H244" i="44"/>
  <c r="G244" i="44"/>
  <c r="F244" i="44"/>
  <c r="E244" i="44"/>
  <c r="D244" i="44"/>
  <c r="C244" i="44"/>
  <c r="B244" i="44"/>
  <c r="AI130" i="44"/>
  <c r="AH130" i="44"/>
  <c r="AI129" i="44"/>
  <c r="AH129" i="44"/>
  <c r="AI128" i="44"/>
  <c r="AH128" i="44"/>
  <c r="AI127" i="44"/>
  <c r="AH127" i="44"/>
  <c r="AI126" i="44"/>
  <c r="AH126" i="44"/>
  <c r="AI123" i="44"/>
  <c r="AH123" i="44"/>
  <c r="AI122" i="44"/>
  <c r="AH122" i="44"/>
  <c r="AI121" i="44"/>
  <c r="AH121" i="44"/>
  <c r="AI120" i="44"/>
  <c r="AH120" i="44"/>
  <c r="AI119" i="44"/>
  <c r="AH119" i="44"/>
  <c r="C118" i="44"/>
  <c r="AI117" i="44"/>
  <c r="AH117" i="44"/>
  <c r="AI116" i="44"/>
  <c r="AH116" i="44"/>
  <c r="AI115" i="44"/>
  <c r="AH115" i="44"/>
  <c r="AI114" i="44"/>
  <c r="AH114" i="44"/>
  <c r="AI113" i="44"/>
  <c r="AH113" i="44"/>
  <c r="AI112" i="44"/>
  <c r="AH112" i="44"/>
  <c r="AI111" i="44"/>
  <c r="AH111" i="44"/>
  <c r="AI110" i="44"/>
  <c r="AH110" i="44"/>
  <c r="AI109" i="44"/>
  <c r="AH109" i="44"/>
  <c r="AI106" i="44"/>
  <c r="AH106" i="44"/>
  <c r="AD105" i="44"/>
  <c r="AC105" i="44"/>
  <c r="AB105" i="44"/>
  <c r="AA105" i="44"/>
  <c r="Z105" i="44"/>
  <c r="Y105" i="44"/>
  <c r="X105" i="44"/>
  <c r="W105" i="44"/>
  <c r="V105" i="44"/>
  <c r="U105" i="44"/>
  <c r="T105" i="44"/>
  <c r="S105" i="44"/>
  <c r="R105" i="44"/>
  <c r="Q105" i="44"/>
  <c r="P105" i="44"/>
  <c r="O105" i="44"/>
  <c r="N105" i="44"/>
  <c r="M105" i="44"/>
  <c r="L105" i="44"/>
  <c r="K105" i="44"/>
  <c r="J105" i="44"/>
  <c r="I105" i="44"/>
  <c r="I107" i="44" s="1"/>
  <c r="H105" i="44"/>
  <c r="G105" i="44"/>
  <c r="F105" i="44"/>
  <c r="E105" i="44"/>
  <c r="D105" i="44"/>
  <c r="C105" i="44"/>
  <c r="B105" i="44"/>
  <c r="AD104" i="44"/>
  <c r="AC104" i="44"/>
  <c r="AB104" i="44"/>
  <c r="AA104" i="44"/>
  <c r="Z104" i="44"/>
  <c r="Y104" i="44"/>
  <c r="X104" i="44"/>
  <c r="W104" i="44"/>
  <c r="V104" i="44"/>
  <c r="U104" i="44"/>
  <c r="T104" i="44"/>
  <c r="S104" i="44"/>
  <c r="R104" i="44"/>
  <c r="Q104" i="44"/>
  <c r="P104" i="44"/>
  <c r="O104" i="44"/>
  <c r="N104" i="44"/>
  <c r="M104" i="44"/>
  <c r="L104" i="44"/>
  <c r="K104" i="44"/>
  <c r="J104" i="44"/>
  <c r="J107" i="44" s="1"/>
  <c r="I104" i="44"/>
  <c r="H104" i="44"/>
  <c r="G104" i="44"/>
  <c r="F104" i="44"/>
  <c r="E104" i="44"/>
  <c r="D104" i="44"/>
  <c r="C104" i="44"/>
  <c r="B104" i="44"/>
  <c r="AD103" i="44"/>
  <c r="AC103" i="44"/>
  <c r="AB103" i="44"/>
  <c r="AA103" i="44"/>
  <c r="Z103" i="44"/>
  <c r="Y103" i="44"/>
  <c r="X103" i="44"/>
  <c r="W103" i="44"/>
  <c r="V103" i="44"/>
  <c r="U103" i="44"/>
  <c r="T103" i="44"/>
  <c r="S103" i="44"/>
  <c r="R103" i="44"/>
  <c r="Q103" i="44"/>
  <c r="P103" i="44"/>
  <c r="O103" i="44"/>
  <c r="N103" i="44"/>
  <c r="M103" i="44"/>
  <c r="L103" i="44"/>
  <c r="K103" i="44"/>
  <c r="J103" i="44"/>
  <c r="I103" i="44"/>
  <c r="H103" i="44"/>
  <c r="G103" i="44"/>
  <c r="F103" i="44"/>
  <c r="E103" i="44"/>
  <c r="D103" i="44"/>
  <c r="C103" i="44"/>
  <c r="B103" i="44"/>
  <c r="AD102" i="44"/>
  <c r="AC102" i="44"/>
  <c r="AB102" i="44"/>
  <c r="AA102" i="44"/>
  <c r="Z102" i="44"/>
  <c r="Y102" i="44"/>
  <c r="X102" i="44"/>
  <c r="W102" i="44"/>
  <c r="V102" i="44"/>
  <c r="U102" i="44"/>
  <c r="T102" i="44"/>
  <c r="S102" i="44"/>
  <c r="R102" i="44"/>
  <c r="Q102" i="44"/>
  <c r="P102" i="44"/>
  <c r="O102" i="44"/>
  <c r="N102" i="44"/>
  <c r="M102" i="44"/>
  <c r="L102" i="44"/>
  <c r="K102" i="44"/>
  <c r="J102" i="44"/>
  <c r="I102" i="44"/>
  <c r="H102" i="44"/>
  <c r="G102" i="44"/>
  <c r="F102" i="44"/>
  <c r="E102" i="44"/>
  <c r="D102" i="44"/>
  <c r="C102" i="44"/>
  <c r="B102" i="44"/>
  <c r="AD101" i="44"/>
  <c r="AC101" i="44"/>
  <c r="AB101" i="44"/>
  <c r="AA101" i="44"/>
  <c r="Z101" i="44"/>
  <c r="Y101" i="44"/>
  <c r="X101" i="44"/>
  <c r="W101" i="44"/>
  <c r="V101" i="44"/>
  <c r="U101" i="44"/>
  <c r="T101" i="44"/>
  <c r="S101" i="44"/>
  <c r="R101" i="44"/>
  <c r="Q101" i="44"/>
  <c r="Q107" i="44" s="1"/>
  <c r="P101" i="44"/>
  <c r="O101" i="44"/>
  <c r="N101" i="44"/>
  <c r="M101" i="44"/>
  <c r="L101" i="44"/>
  <c r="K101" i="44"/>
  <c r="J101" i="44"/>
  <c r="I101" i="44"/>
  <c r="H101" i="44"/>
  <c r="G101" i="44"/>
  <c r="F101" i="44"/>
  <c r="E101" i="44"/>
  <c r="D101" i="44"/>
  <c r="C101" i="44"/>
  <c r="C107" i="44" s="1"/>
  <c r="B101" i="44"/>
  <c r="AI98" i="44"/>
  <c r="AH98" i="44"/>
  <c r="AI96" i="44"/>
  <c r="AH96" i="44"/>
  <c r="AG96" i="44"/>
  <c r="AI95" i="44"/>
  <c r="AH95" i="44"/>
  <c r="AI94" i="44"/>
  <c r="AH94" i="44"/>
  <c r="AI93" i="44"/>
  <c r="AH93" i="44"/>
  <c r="AG92" i="44"/>
  <c r="AD92" i="44"/>
  <c r="AC5" i="44" s="1"/>
  <c r="AC92" i="44"/>
  <c r="AB5" i="44" s="1"/>
  <c r="AB92" i="44"/>
  <c r="AA5" i="44" s="1"/>
  <c r="AA92" i="44"/>
  <c r="Z5" i="44" s="1"/>
  <c r="Z92" i="44"/>
  <c r="Y92" i="44"/>
  <c r="X5" i="44" s="1"/>
  <c r="X92" i="44"/>
  <c r="W5" i="44" s="1"/>
  <c r="W92" i="44"/>
  <c r="V5" i="44" s="1"/>
  <c r="V92" i="44"/>
  <c r="U5" i="44" s="1"/>
  <c r="U92" i="44"/>
  <c r="T5" i="44" s="1"/>
  <c r="T92" i="44"/>
  <c r="S5" i="44" s="1"/>
  <c r="S92" i="44"/>
  <c r="R5" i="44" s="1"/>
  <c r="R92" i="44"/>
  <c r="Q92" i="44"/>
  <c r="P5" i="44" s="1"/>
  <c r="P92" i="44"/>
  <c r="O5" i="44" s="1"/>
  <c r="O92" i="44"/>
  <c r="N5" i="44" s="1"/>
  <c r="N92" i="44"/>
  <c r="M5" i="44" s="1"/>
  <c r="M92" i="44"/>
  <c r="L92" i="44"/>
  <c r="K5" i="44" s="1"/>
  <c r="K92" i="44"/>
  <c r="J5" i="44" s="1"/>
  <c r="J92" i="44"/>
  <c r="I92" i="44"/>
  <c r="H5" i="44" s="1"/>
  <c r="H92" i="44"/>
  <c r="G92" i="44"/>
  <c r="F5" i="44" s="1"/>
  <c r="F92" i="44"/>
  <c r="E5" i="44" s="1"/>
  <c r="E92" i="44"/>
  <c r="D5" i="44" s="1"/>
  <c r="D92" i="44"/>
  <c r="C5" i="44" s="1"/>
  <c r="C92" i="44"/>
  <c r="B5" i="44" s="1"/>
  <c r="B92" i="44"/>
  <c r="AI91" i="44"/>
  <c r="AH91" i="44"/>
  <c r="AI90" i="44"/>
  <c r="AH90" i="44"/>
  <c r="AI89" i="44"/>
  <c r="AH89" i="44"/>
  <c r="AI88" i="44"/>
  <c r="AH88" i="44"/>
  <c r="AI87" i="44"/>
  <c r="AH87" i="44"/>
  <c r="AI86" i="44"/>
  <c r="AH86" i="44"/>
  <c r="AI85" i="44"/>
  <c r="AH85" i="44"/>
  <c r="AI84" i="44"/>
  <c r="AH84" i="44"/>
  <c r="AI83" i="44"/>
  <c r="AH83" i="44"/>
  <c r="AI82" i="44"/>
  <c r="AH82" i="44"/>
  <c r="AI81" i="44"/>
  <c r="AH81" i="44"/>
  <c r="AG80" i="44"/>
  <c r="AD80" i="44"/>
  <c r="AC80" i="44"/>
  <c r="AB80" i="44"/>
  <c r="AA80" i="44"/>
  <c r="Z80" i="44"/>
  <c r="Y80" i="44"/>
  <c r="X80" i="44"/>
  <c r="W80" i="44"/>
  <c r="V80" i="44"/>
  <c r="U80" i="44"/>
  <c r="T80" i="44"/>
  <c r="S80" i="44"/>
  <c r="R80" i="44"/>
  <c r="Q80" i="44"/>
  <c r="P80" i="44"/>
  <c r="O80" i="44"/>
  <c r="N80" i="44"/>
  <c r="M80" i="44"/>
  <c r="L80" i="44"/>
  <c r="K80" i="44"/>
  <c r="J80" i="44"/>
  <c r="I80" i="44"/>
  <c r="H80" i="44"/>
  <c r="G80" i="44"/>
  <c r="F80" i="44"/>
  <c r="E80" i="44"/>
  <c r="D80" i="44"/>
  <c r="C80" i="44"/>
  <c r="B80" i="44"/>
  <c r="AI79" i="44"/>
  <c r="AH79" i="44"/>
  <c r="AI78" i="44"/>
  <c r="AH78" i="44"/>
  <c r="AI77" i="44"/>
  <c r="AH77" i="44"/>
  <c r="AG76" i="44"/>
  <c r="AD76" i="44"/>
  <c r="AC76" i="44"/>
  <c r="AB76" i="44"/>
  <c r="AA76" i="44"/>
  <c r="Z76" i="44"/>
  <c r="Y76" i="44"/>
  <c r="X76" i="44"/>
  <c r="W76" i="44"/>
  <c r="V76" i="44"/>
  <c r="U76" i="44"/>
  <c r="T76" i="44"/>
  <c r="S76" i="44"/>
  <c r="R76" i="44"/>
  <c r="Q76" i="44"/>
  <c r="P76" i="44"/>
  <c r="O76" i="44"/>
  <c r="N76" i="44"/>
  <c r="M76" i="44"/>
  <c r="L76" i="44"/>
  <c r="K76" i="44"/>
  <c r="J76" i="44"/>
  <c r="I76" i="44"/>
  <c r="H76" i="44"/>
  <c r="G76" i="44"/>
  <c r="F76" i="44"/>
  <c r="E76" i="44"/>
  <c r="D76" i="44"/>
  <c r="C76" i="44"/>
  <c r="B76" i="44"/>
  <c r="AI75" i="44"/>
  <c r="AH75" i="44"/>
  <c r="AG75" i="44"/>
  <c r="AI74" i="44"/>
  <c r="AH74" i="44"/>
  <c r="AI73" i="44"/>
  <c r="AH73" i="44"/>
  <c r="AI72" i="44"/>
  <c r="AH72" i="44"/>
  <c r="AI71" i="44"/>
  <c r="AH71" i="44"/>
  <c r="AI70" i="44"/>
  <c r="AH70" i="44"/>
  <c r="AI69" i="44"/>
  <c r="AH69" i="44"/>
  <c r="AI68" i="44"/>
  <c r="AH68" i="44"/>
  <c r="AI67" i="44"/>
  <c r="AH67" i="44"/>
  <c r="AI66" i="44"/>
  <c r="AH66" i="44"/>
  <c r="AI65" i="44"/>
  <c r="AH65" i="44"/>
  <c r="AI64" i="44"/>
  <c r="AH64" i="44"/>
  <c r="AI63" i="44"/>
  <c r="AH63" i="44"/>
  <c r="AG62" i="44"/>
  <c r="AD62" i="44"/>
  <c r="AC62" i="44"/>
  <c r="AB62" i="44"/>
  <c r="AA62" i="44"/>
  <c r="Z62" i="44"/>
  <c r="Y62" i="44"/>
  <c r="X62" i="44"/>
  <c r="W62" i="44"/>
  <c r="V62" i="44"/>
  <c r="U62" i="44"/>
  <c r="T62" i="44"/>
  <c r="S62" i="44"/>
  <c r="R62" i="44"/>
  <c r="Q62" i="44"/>
  <c r="P62" i="44"/>
  <c r="N62" i="44"/>
  <c r="L62" i="44"/>
  <c r="K62" i="44"/>
  <c r="J62" i="44"/>
  <c r="I62" i="44"/>
  <c r="H62" i="44"/>
  <c r="G62" i="44"/>
  <c r="F62" i="44"/>
  <c r="E62" i="44"/>
  <c r="D62" i="44"/>
  <c r="C62" i="44"/>
  <c r="B62" i="44"/>
  <c r="AI61" i="44"/>
  <c r="AH61" i="44"/>
  <c r="AI60" i="44"/>
  <c r="AH60" i="44"/>
  <c r="AI59" i="44"/>
  <c r="AH59" i="44"/>
  <c r="AG58" i="44"/>
  <c r="AD58" i="44"/>
  <c r="AC58" i="44"/>
  <c r="AB58" i="44"/>
  <c r="AA58" i="44"/>
  <c r="Z58" i="44"/>
  <c r="Y58" i="44"/>
  <c r="X58" i="44"/>
  <c r="W58" i="44"/>
  <c r="V58" i="44"/>
  <c r="U58" i="44"/>
  <c r="T58" i="44"/>
  <c r="S58" i="44"/>
  <c r="R58" i="44"/>
  <c r="Q58" i="44"/>
  <c r="P58" i="44"/>
  <c r="N58" i="44"/>
  <c r="L58" i="44"/>
  <c r="K58" i="44"/>
  <c r="J58" i="44"/>
  <c r="I58" i="44"/>
  <c r="H58" i="44"/>
  <c r="G58" i="44"/>
  <c r="F58" i="44"/>
  <c r="E58" i="44"/>
  <c r="D58" i="44"/>
  <c r="C58" i="44"/>
  <c r="AI57" i="44"/>
  <c r="AH57" i="44"/>
  <c r="AI56" i="44"/>
  <c r="AH56" i="44"/>
  <c r="AI55" i="44"/>
  <c r="AH55" i="44"/>
  <c r="AI54" i="44"/>
  <c r="AH54" i="44"/>
  <c r="AI53" i="44"/>
  <c r="AH53" i="44"/>
  <c r="AI52" i="44"/>
  <c r="AH52" i="44"/>
  <c r="AI51" i="44"/>
  <c r="AH51" i="44"/>
  <c r="AI50" i="44"/>
  <c r="AH50" i="44"/>
  <c r="AI49" i="44"/>
  <c r="AH49" i="44"/>
  <c r="AI48" i="44"/>
  <c r="AH48" i="44"/>
  <c r="AI47" i="44"/>
  <c r="AH47" i="44"/>
  <c r="AI46" i="44"/>
  <c r="AH46" i="44"/>
  <c r="AI45" i="44"/>
  <c r="AH45" i="44"/>
  <c r="AI44" i="44"/>
  <c r="AH44" i="44"/>
  <c r="AI43" i="44"/>
  <c r="AH43" i="44"/>
  <c r="AI42" i="44"/>
  <c r="AH42" i="44"/>
  <c r="AI41" i="44"/>
  <c r="AH41" i="44"/>
  <c r="AI40" i="44"/>
  <c r="AH40" i="44"/>
  <c r="AI39" i="44"/>
  <c r="AH39" i="44"/>
  <c r="AI38" i="44"/>
  <c r="AH38" i="44"/>
  <c r="AI37" i="44"/>
  <c r="AH37" i="44"/>
  <c r="AI36" i="44"/>
  <c r="AH36" i="44"/>
  <c r="AI35" i="44"/>
  <c r="AH35" i="44"/>
  <c r="AI34" i="44"/>
  <c r="AH34" i="44"/>
  <c r="AI33" i="44"/>
  <c r="AH33" i="44"/>
  <c r="AI32" i="44"/>
  <c r="AH32" i="44"/>
  <c r="AI31" i="44"/>
  <c r="AH31" i="44"/>
  <c r="AI30" i="44"/>
  <c r="AH30" i="44"/>
  <c r="AI29" i="44"/>
  <c r="AH29" i="44"/>
  <c r="AI28" i="44"/>
  <c r="AH28" i="44"/>
  <c r="AI27" i="44"/>
  <c r="AH27" i="44"/>
  <c r="AI26" i="44"/>
  <c r="AH26" i="44"/>
  <c r="AI25" i="44"/>
  <c r="AH25" i="44"/>
  <c r="AI24" i="44"/>
  <c r="AH24" i="44"/>
  <c r="AI23" i="44"/>
  <c r="AH23" i="44"/>
  <c r="AI22" i="44"/>
  <c r="AH22" i="44"/>
  <c r="AI21" i="44"/>
  <c r="AH21" i="44"/>
  <c r="AI20" i="44"/>
  <c r="AH20" i="44"/>
  <c r="AI19" i="44"/>
  <c r="AH19" i="44"/>
  <c r="AI18" i="44"/>
  <c r="AH18" i="44"/>
  <c r="AI17" i="44"/>
  <c r="AH17" i="44"/>
  <c r="AI16" i="44"/>
  <c r="AH16" i="44"/>
  <c r="AI15" i="44"/>
  <c r="AH15" i="44"/>
  <c r="AI14" i="44"/>
  <c r="AH14" i="44"/>
  <c r="AI13" i="44"/>
  <c r="AH13" i="44"/>
  <c r="AI12" i="44"/>
  <c r="AH12" i="44"/>
  <c r="AI11" i="44"/>
  <c r="AH11" i="44"/>
  <c r="AE5" i="44"/>
  <c r="AD5" i="44"/>
  <c r="G5" i="44"/>
  <c r="AG4" i="44"/>
  <c r="K4" i="44"/>
  <c r="E4" i="44"/>
  <c r="H4" i="44" s="1"/>
  <c r="B4" i="44"/>
  <c r="AG3" i="44"/>
  <c r="AG2" i="44"/>
  <c r="AA121" i="42"/>
  <c r="Z121" i="42"/>
  <c r="Y121" i="42"/>
  <c r="W121" i="42"/>
  <c r="V121" i="42"/>
  <c r="AC282" i="47" l="1"/>
  <c r="AE251" i="47"/>
  <c r="AE247" i="47"/>
  <c r="AD252" i="47"/>
  <c r="AC251" i="46"/>
  <c r="AA282" i="46"/>
  <c r="Z252" i="46"/>
  <c r="Z118" i="46"/>
  <c r="AA246" i="46"/>
  <c r="Z246" i="45"/>
  <c r="W282" i="45"/>
  <c r="Y251" i="45"/>
  <c r="Y118" i="45" s="1"/>
  <c r="AC97" i="44"/>
  <c r="AC99" i="44" s="1"/>
  <c r="AB97" i="44"/>
  <c r="AB99" i="44" s="1"/>
  <c r="AA107" i="44"/>
  <c r="Z107" i="44"/>
  <c r="Y107" i="44"/>
  <c r="Y108" i="44" s="1"/>
  <c r="T97" i="44"/>
  <c r="T99" i="44" s="1"/>
  <c r="S107" i="44"/>
  <c r="Q108" i="44"/>
  <c r="R107" i="44"/>
  <c r="N97" i="44"/>
  <c r="N99" i="44" s="1"/>
  <c r="AF261" i="44" s="1"/>
  <c r="V97" i="44"/>
  <c r="V99" i="44" s="1"/>
  <c r="AN261" i="44" s="1"/>
  <c r="AD97" i="44"/>
  <c r="AD99" i="44" s="1"/>
  <c r="AV261" i="44" s="1"/>
  <c r="O97" i="44"/>
  <c r="O99" i="44" s="1"/>
  <c r="AG261" i="44" s="1"/>
  <c r="W97" i="44"/>
  <c r="W99" i="44" s="1"/>
  <c r="AW261" i="44"/>
  <c r="O107" i="44"/>
  <c r="O108" i="44" s="1"/>
  <c r="W107" i="44"/>
  <c r="W108" i="44" s="1"/>
  <c r="Y97" i="44"/>
  <c r="Y99" i="44" s="1"/>
  <c r="M97" i="44"/>
  <c r="M99" i="44" s="1"/>
  <c r="P107" i="44"/>
  <c r="P108" i="44" s="1"/>
  <c r="X107" i="44"/>
  <c r="X108" i="44" s="1"/>
  <c r="AI103" i="44"/>
  <c r="AG6" i="44"/>
  <c r="Q97" i="44"/>
  <c r="Q99" i="44" s="1"/>
  <c r="AI102" i="44"/>
  <c r="U97" i="44"/>
  <c r="U99" i="44" s="1"/>
  <c r="AM261" i="44" s="1"/>
  <c r="P97" i="44"/>
  <c r="P99" i="44" s="1"/>
  <c r="P100" i="44" s="1"/>
  <c r="P7" i="44" s="1"/>
  <c r="X97" i="44"/>
  <c r="X99" i="44" s="1"/>
  <c r="X100" i="44" s="1"/>
  <c r="X7" i="44" s="1"/>
  <c r="AI80" i="44"/>
  <c r="S97" i="44"/>
  <c r="S99" i="44" s="1"/>
  <c r="AK261" i="44" s="1"/>
  <c r="AA97" i="44"/>
  <c r="AA99" i="44" s="1"/>
  <c r="AS261" i="44" s="1"/>
  <c r="AG99" i="44"/>
  <c r="D252" i="44"/>
  <c r="L5" i="44"/>
  <c r="L97" i="44"/>
  <c r="L99" i="44" s="1"/>
  <c r="AD261" i="44" s="1"/>
  <c r="K107" i="44"/>
  <c r="K97" i="44"/>
  <c r="K99" i="44" s="1"/>
  <c r="I108" i="44"/>
  <c r="I97" i="44"/>
  <c r="I99" i="44" s="1"/>
  <c r="I100" i="44" s="1"/>
  <c r="I7" i="44" s="1"/>
  <c r="H97" i="44"/>
  <c r="H99" i="44" s="1"/>
  <c r="Z261" i="44" s="1"/>
  <c r="G107" i="44"/>
  <c r="G97" i="44"/>
  <c r="G99" i="44" s="1"/>
  <c r="G100" i="44" s="1"/>
  <c r="G7" i="44" s="1"/>
  <c r="F97" i="44"/>
  <c r="F99" i="44" s="1"/>
  <c r="X261" i="44" s="1"/>
  <c r="AI104" i="44"/>
  <c r="E97" i="44"/>
  <c r="E99" i="44" s="1"/>
  <c r="AH92" i="44"/>
  <c r="C97" i="44"/>
  <c r="C99" i="44" s="1"/>
  <c r="AI76" i="44"/>
  <c r="AI62" i="44"/>
  <c r="D97" i="44"/>
  <c r="D99" i="44" s="1"/>
  <c r="V261" i="44" s="1"/>
  <c r="B107" i="44"/>
  <c r="AC261" i="44"/>
  <c r="K100" i="44"/>
  <c r="K7" i="44" s="1"/>
  <c r="AE7" i="44"/>
  <c r="U261" i="44"/>
  <c r="C100" i="44"/>
  <c r="C7" i="44" s="1"/>
  <c r="AG97" i="44"/>
  <c r="I5" i="44"/>
  <c r="J108" i="44"/>
  <c r="Q5" i="44"/>
  <c r="R108" i="44"/>
  <c r="Z108" i="44"/>
  <c r="Y5" i="44"/>
  <c r="F251" i="44"/>
  <c r="D282" i="44"/>
  <c r="AH101" i="44"/>
  <c r="H107" i="44"/>
  <c r="H108" i="44" s="1"/>
  <c r="AI92" i="44"/>
  <c r="AF5" i="44"/>
  <c r="B108" i="44"/>
  <c r="J97" i="44"/>
  <c r="J99" i="44" s="1"/>
  <c r="R97" i="44"/>
  <c r="R99" i="44" s="1"/>
  <c r="Z97" i="44"/>
  <c r="Z99" i="44" s="1"/>
  <c r="AH80" i="44"/>
  <c r="AI101" i="44"/>
  <c r="AH76" i="44"/>
  <c r="D107" i="44"/>
  <c r="AX261" i="44"/>
  <c r="AF7" i="44"/>
  <c r="AL261" i="44"/>
  <c r="AT261" i="44"/>
  <c r="L107" i="44"/>
  <c r="L108" i="44" s="1"/>
  <c r="T107" i="44"/>
  <c r="T100" i="44" s="1"/>
  <c r="T7" i="44" s="1"/>
  <c r="AB107" i="44"/>
  <c r="AB108" i="44" s="1"/>
  <c r="W261" i="44"/>
  <c r="AE261" i="44"/>
  <c r="AU261" i="44"/>
  <c r="E107" i="44"/>
  <c r="E108" i="44" s="1"/>
  <c r="M107" i="44"/>
  <c r="M100" i="44" s="1"/>
  <c r="M7" i="44" s="1"/>
  <c r="U107" i="44"/>
  <c r="AC107" i="44"/>
  <c r="AC108" i="44" s="1"/>
  <c r="S258" i="44"/>
  <c r="D258" i="44"/>
  <c r="G108" i="44"/>
  <c r="F107" i="44"/>
  <c r="F108" i="44" s="1"/>
  <c r="N107" i="44"/>
  <c r="N100" i="44" s="1"/>
  <c r="N7" i="44" s="1"/>
  <c r="V107" i="44"/>
  <c r="AD107" i="44"/>
  <c r="AI105" i="44"/>
  <c r="D118" i="44"/>
  <c r="AH102" i="44"/>
  <c r="E246" i="44"/>
  <c r="AH58" i="44"/>
  <c r="AH62" i="44"/>
  <c r="B97" i="44"/>
  <c r="AH103" i="44"/>
  <c r="C108" i="44"/>
  <c r="K108" i="44"/>
  <c r="S108" i="44"/>
  <c r="AA108" i="44"/>
  <c r="AI58" i="44"/>
  <c r="AH104" i="44"/>
  <c r="AH105" i="44"/>
  <c r="T121" i="42"/>
  <c r="R58" i="42"/>
  <c r="R62" i="42"/>
  <c r="R76" i="42"/>
  <c r="R80" i="42"/>
  <c r="Q121" i="42"/>
  <c r="Q58" i="42"/>
  <c r="Q62" i="42"/>
  <c r="Q76" i="42"/>
  <c r="Q80" i="42"/>
  <c r="P123" i="42"/>
  <c r="P121" i="42"/>
  <c r="P58" i="42"/>
  <c r="P62" i="42"/>
  <c r="P76" i="42"/>
  <c r="P80" i="42"/>
  <c r="P92" i="42"/>
  <c r="P101" i="42"/>
  <c r="P102" i="42"/>
  <c r="P103" i="42"/>
  <c r="P104" i="42"/>
  <c r="P105" i="42"/>
  <c r="O123" i="42"/>
  <c r="O121" i="42"/>
  <c r="O58" i="42"/>
  <c r="O62" i="42"/>
  <c r="O76" i="42"/>
  <c r="O80" i="42"/>
  <c r="O92" i="42"/>
  <c r="O101" i="42"/>
  <c r="O102" i="42"/>
  <c r="O103" i="42"/>
  <c r="O104" i="42"/>
  <c r="O105" i="42"/>
  <c r="AF247" i="47" l="1"/>
  <c r="AE252" i="47"/>
  <c r="AD282" i="47"/>
  <c r="AF251" i="47"/>
  <c r="AE118" i="47"/>
  <c r="AA252" i="46"/>
  <c r="AB246" i="46"/>
  <c r="AD251" i="46"/>
  <c r="AB282" i="46"/>
  <c r="AA246" i="45"/>
  <c r="X282" i="45"/>
  <c r="Z251" i="45"/>
  <c r="Y252" i="45"/>
  <c r="AD100" i="44"/>
  <c r="AD7" i="44" s="1"/>
  <c r="AB100" i="44"/>
  <c r="AB7" i="44" s="1"/>
  <c r="AA100" i="44"/>
  <c r="AA7" i="44" s="1"/>
  <c r="AP261" i="44"/>
  <c r="W100" i="44"/>
  <c r="W7" i="44" s="1"/>
  <c r="AO261" i="44"/>
  <c r="V100" i="44"/>
  <c r="V7" i="44" s="1"/>
  <c r="U100" i="44"/>
  <c r="U7" i="44" s="1"/>
  <c r="T108" i="44"/>
  <c r="S100" i="44"/>
  <c r="S7" i="44" s="1"/>
  <c r="AH261" i="44"/>
  <c r="O100" i="44"/>
  <c r="O7" i="44" s="1"/>
  <c r="V108" i="44"/>
  <c r="Y261" i="44"/>
  <c r="AD108" i="44"/>
  <c r="N108" i="44"/>
  <c r="U108" i="44"/>
  <c r="AQ261" i="44"/>
  <c r="Y100" i="44"/>
  <c r="Y7" i="44" s="1"/>
  <c r="AI261" i="44"/>
  <c r="Q100" i="44"/>
  <c r="Q7" i="44" s="1"/>
  <c r="M108" i="44"/>
  <c r="L100" i="44"/>
  <c r="L7" i="44" s="1"/>
  <c r="AA261" i="44"/>
  <c r="C256" i="44"/>
  <c r="K6" i="44" s="1"/>
  <c r="B256" i="44"/>
  <c r="F100" i="44"/>
  <c r="F7" i="44" s="1"/>
  <c r="E100" i="44"/>
  <c r="E7" i="44" s="1"/>
  <c r="AI107" i="44"/>
  <c r="AI97" i="44"/>
  <c r="AH97" i="44"/>
  <c r="B99" i="44"/>
  <c r="AH107" i="44"/>
  <c r="R100" i="44"/>
  <c r="R7" i="44" s="1"/>
  <c r="AJ261" i="44"/>
  <c r="E282" i="44"/>
  <c r="G251" i="44"/>
  <c r="D108" i="44"/>
  <c r="AB261" i="44"/>
  <c r="J100" i="44"/>
  <c r="J7" i="44" s="1"/>
  <c r="AR261" i="44"/>
  <c r="Z100" i="44"/>
  <c r="Z7" i="44" s="1"/>
  <c r="AC100" i="44"/>
  <c r="AC7" i="44" s="1"/>
  <c r="F246" i="44"/>
  <c r="E252" i="44"/>
  <c r="E118" i="44"/>
  <c r="H100" i="44"/>
  <c r="H7" i="44" s="1"/>
  <c r="D100" i="44"/>
  <c r="D7" i="44" s="1"/>
  <c r="O107" i="42"/>
  <c r="P107" i="42"/>
  <c r="P108" i="42" s="1"/>
  <c r="P97" i="42"/>
  <c r="P99" i="42" s="1"/>
  <c r="P100" i="42" s="1"/>
  <c r="O97" i="42"/>
  <c r="O99" i="42" s="1"/>
  <c r="O100" i="42" s="1"/>
  <c r="O108" i="42"/>
  <c r="B251" i="47" l="1"/>
  <c r="AE282" i="47"/>
  <c r="AF118" i="47"/>
  <c r="B247" i="47"/>
  <c r="AF252" i="47"/>
  <c r="AC282" i="46"/>
  <c r="AE251" i="46"/>
  <c r="AB252" i="46"/>
  <c r="AB118" i="46"/>
  <c r="AC246" i="46"/>
  <c r="AA251" i="45"/>
  <c r="Y282" i="45"/>
  <c r="Z118" i="45"/>
  <c r="Z252" i="45"/>
  <c r="AA252" i="45"/>
  <c r="AA118" i="45"/>
  <c r="AB246" i="45"/>
  <c r="AH108" i="44"/>
  <c r="AI108" i="44"/>
  <c r="T261" i="44"/>
  <c r="B100" i="44"/>
  <c r="AH99" i="44"/>
  <c r="AI99" i="44"/>
  <c r="G246" i="44"/>
  <c r="F118" i="44"/>
  <c r="F252" i="44"/>
  <c r="F282" i="44"/>
  <c r="H251" i="44"/>
  <c r="N123" i="42"/>
  <c r="N121" i="42"/>
  <c r="N58" i="42"/>
  <c r="N62" i="42"/>
  <c r="N76" i="42"/>
  <c r="N80" i="42"/>
  <c r="B252" i="47" l="1"/>
  <c r="AF282" i="47"/>
  <c r="B118" i="47"/>
  <c r="AD246" i="46"/>
  <c r="AC252" i="46"/>
  <c r="AC118" i="46"/>
  <c r="AD282" i="46"/>
  <c r="AF251" i="46"/>
  <c r="AC246" i="45"/>
  <c r="Z282" i="45"/>
  <c r="AB251" i="45"/>
  <c r="AB118" i="45" s="1"/>
  <c r="G252" i="44"/>
  <c r="H246" i="44"/>
  <c r="G118" i="44"/>
  <c r="AI100" i="44"/>
  <c r="B7" i="44"/>
  <c r="A7" i="44" s="1"/>
  <c r="AH100" i="44"/>
  <c r="G282" i="44"/>
  <c r="I251" i="44"/>
  <c r="AI118" i="47" l="1"/>
  <c r="AH118" i="47"/>
  <c r="B251" i="46"/>
  <c r="AF282" i="46" s="1"/>
  <c r="AE282" i="46"/>
  <c r="AD252" i="46"/>
  <c r="AE246" i="46"/>
  <c r="AA282" i="45"/>
  <c r="AC251" i="45"/>
  <c r="AC252" i="45" s="1"/>
  <c r="AD246" i="45"/>
  <c r="AB252" i="45"/>
  <c r="H282" i="44"/>
  <c r="J251" i="44"/>
  <c r="I246" i="44"/>
  <c r="H118" i="44"/>
  <c r="H252" i="44"/>
  <c r="AF246" i="46" l="1"/>
  <c r="AE252" i="46"/>
  <c r="AE118" i="46"/>
  <c r="AC118" i="45"/>
  <c r="AE246" i="45"/>
  <c r="AB282" i="45"/>
  <c r="AD251" i="45"/>
  <c r="I118" i="44"/>
  <c r="I252" i="44"/>
  <c r="J246" i="44"/>
  <c r="K251" i="44"/>
  <c r="I282" i="44"/>
  <c r="AF252" i="46" l="1"/>
  <c r="AF118" i="46"/>
  <c r="B246" i="46"/>
  <c r="AC282" i="45"/>
  <c r="AE251" i="45"/>
  <c r="AD252" i="45"/>
  <c r="AF246" i="45"/>
  <c r="AE252" i="45"/>
  <c r="AE118" i="45"/>
  <c r="J282" i="44"/>
  <c r="L251" i="44"/>
  <c r="J118" i="44"/>
  <c r="J252" i="44"/>
  <c r="K246" i="44"/>
  <c r="B252" i="46" l="1"/>
  <c r="B246" i="45"/>
  <c r="AD282" i="45"/>
  <c r="AF251" i="45"/>
  <c r="AF118" i="45" s="1"/>
  <c r="K118" i="44"/>
  <c r="L246" i="44"/>
  <c r="K252" i="44"/>
  <c r="K282" i="44"/>
  <c r="M251" i="44"/>
  <c r="AI118" i="46" l="1"/>
  <c r="AH118" i="46"/>
  <c r="B251" i="45"/>
  <c r="AF282" i="45" s="1"/>
  <c r="AE282" i="45"/>
  <c r="AF252" i="45"/>
  <c r="B252" i="45"/>
  <c r="N251" i="44"/>
  <c r="L282" i="44"/>
  <c r="L252" i="44"/>
  <c r="M246" i="44"/>
  <c r="L118" i="44"/>
  <c r="AI118" i="45" l="1"/>
  <c r="AH118" i="45"/>
  <c r="N246" i="44"/>
  <c r="M252" i="44"/>
  <c r="M118" i="44"/>
  <c r="M282" i="44"/>
  <c r="O251" i="44"/>
  <c r="N282" i="44" l="1"/>
  <c r="P251" i="44"/>
  <c r="N118" i="44"/>
  <c r="O246" i="44"/>
  <c r="N252" i="44"/>
  <c r="P246" i="44" l="1"/>
  <c r="O118" i="44"/>
  <c r="O252" i="44"/>
  <c r="O282" i="44"/>
  <c r="Q251" i="44"/>
  <c r="P282" i="44" l="1"/>
  <c r="R251" i="44"/>
  <c r="Q246" i="44"/>
  <c r="P252" i="44"/>
  <c r="Q252" i="44" l="1"/>
  <c r="Q118" i="44"/>
  <c r="R246" i="44"/>
  <c r="S251" i="44"/>
  <c r="Q282" i="44"/>
  <c r="R282" i="44" l="1"/>
  <c r="T251" i="44"/>
  <c r="R252" i="44"/>
  <c r="R118" i="44"/>
  <c r="S246" i="44"/>
  <c r="S252" i="44" l="1"/>
  <c r="S118" i="44"/>
  <c r="T246" i="44"/>
  <c r="S282" i="44"/>
  <c r="U251" i="44"/>
  <c r="T252" i="44" l="1"/>
  <c r="T118" i="44"/>
  <c r="U246" i="44"/>
  <c r="T282" i="44"/>
  <c r="V251" i="44"/>
  <c r="U282" i="44" l="1"/>
  <c r="W251" i="44"/>
  <c r="V246" i="44"/>
  <c r="U252" i="44"/>
  <c r="U118" i="44"/>
  <c r="W246" i="44" l="1"/>
  <c r="V252" i="44"/>
  <c r="V118" i="44"/>
  <c r="V282" i="44"/>
  <c r="X251" i="44"/>
  <c r="W282" i="44" l="1"/>
  <c r="Y251" i="44"/>
  <c r="X246" i="44"/>
  <c r="W252" i="44"/>
  <c r="W118" i="44"/>
  <c r="X282" i="44" l="1"/>
  <c r="Z251" i="44"/>
  <c r="Y246" i="44"/>
  <c r="X252" i="44"/>
  <c r="X118" i="44"/>
  <c r="Y252" i="44" l="1"/>
  <c r="Y118" i="44"/>
  <c r="Z246" i="44"/>
  <c r="AA251" i="44"/>
  <c r="Y282" i="44"/>
  <c r="Z252" i="44" l="1"/>
  <c r="Z118" i="44"/>
  <c r="AA246" i="44"/>
  <c r="AB251" i="44"/>
  <c r="Z282" i="44"/>
  <c r="AA282" i="44" l="1"/>
  <c r="AC251" i="44"/>
  <c r="AA252" i="44"/>
  <c r="AA118" i="44"/>
  <c r="AB246" i="44"/>
  <c r="AB252" i="44" l="1"/>
  <c r="AB118" i="44"/>
  <c r="AC246" i="44"/>
  <c r="AD251" i="44"/>
  <c r="AB282" i="44"/>
  <c r="AC282" i="44" l="1"/>
  <c r="AE251" i="44"/>
  <c r="AD246" i="44"/>
  <c r="AC252" i="44"/>
  <c r="AC118" i="44"/>
  <c r="AE246" i="44" l="1"/>
  <c r="AD252" i="44"/>
  <c r="AD282" i="44"/>
  <c r="AF251" i="44"/>
  <c r="B251" i="44" l="1"/>
  <c r="AF282" i="44" s="1"/>
  <c r="AE282" i="44"/>
  <c r="AF246" i="44"/>
  <c r="AE252" i="44"/>
  <c r="AF252" i="44" l="1"/>
  <c r="B246" i="44"/>
  <c r="M123" i="42"/>
  <c r="M121" i="42"/>
  <c r="M58" i="42"/>
  <c r="M62" i="42"/>
  <c r="M76" i="42"/>
  <c r="M80" i="42"/>
  <c r="M92" i="42"/>
  <c r="M101" i="42"/>
  <c r="M102" i="42"/>
  <c r="M103" i="42"/>
  <c r="M104" i="42"/>
  <c r="M105" i="42"/>
  <c r="B118" i="44" l="1"/>
  <c r="B252" i="44"/>
  <c r="M107" i="42"/>
  <c r="M108" i="42"/>
  <c r="M97" i="42"/>
  <c r="M99" i="42" s="1"/>
  <c r="M100" i="42" s="1"/>
  <c r="L123" i="42"/>
  <c r="L58" i="42"/>
  <c r="K123" i="42"/>
  <c r="K58" i="42"/>
  <c r="J123" i="42"/>
  <c r="AH123" i="42" s="1"/>
  <c r="I123" i="42"/>
  <c r="H123" i="42"/>
  <c r="G58" i="42"/>
  <c r="F58" i="42"/>
  <c r="F62" i="42"/>
  <c r="E58" i="42"/>
  <c r="E62" i="42"/>
  <c r="E97" i="42" s="1"/>
  <c r="E99" i="42" s="1"/>
  <c r="AH125" i="42"/>
  <c r="AI125" i="42"/>
  <c r="AH124" i="42"/>
  <c r="AI124" i="42"/>
  <c r="AF286" i="42"/>
  <c r="AE286" i="42"/>
  <c r="AD286" i="42"/>
  <c r="AC286" i="42"/>
  <c r="AB286" i="42"/>
  <c r="AA286" i="42"/>
  <c r="Z286" i="42"/>
  <c r="Y286" i="42"/>
  <c r="X286" i="42"/>
  <c r="W286" i="42"/>
  <c r="V286" i="42"/>
  <c r="U286" i="42"/>
  <c r="T286" i="42"/>
  <c r="S286" i="42"/>
  <c r="R286" i="42"/>
  <c r="Q286" i="42"/>
  <c r="P286" i="42"/>
  <c r="O286" i="42"/>
  <c r="N286" i="42"/>
  <c r="M286" i="42"/>
  <c r="L286" i="42"/>
  <c r="K286" i="42"/>
  <c r="J286" i="42"/>
  <c r="I286" i="42"/>
  <c r="H286" i="42"/>
  <c r="G286" i="42"/>
  <c r="F286" i="42"/>
  <c r="E286" i="42"/>
  <c r="D286" i="42"/>
  <c r="C286" i="42"/>
  <c r="B286" i="42"/>
  <c r="A286" i="42"/>
  <c r="AF285" i="42"/>
  <c r="AE285" i="42"/>
  <c r="AD285" i="42"/>
  <c r="AC285" i="42"/>
  <c r="AB285" i="42"/>
  <c r="AA285" i="42"/>
  <c r="Z285" i="42"/>
  <c r="Y285" i="42"/>
  <c r="X285" i="42"/>
  <c r="W285" i="42"/>
  <c r="V285" i="42"/>
  <c r="U285" i="42"/>
  <c r="T285" i="42"/>
  <c r="S285" i="42"/>
  <c r="R285" i="42"/>
  <c r="Q285" i="42"/>
  <c r="P285" i="42"/>
  <c r="O285" i="42"/>
  <c r="N285" i="42"/>
  <c r="M285" i="42"/>
  <c r="L285" i="42"/>
  <c r="K285" i="42"/>
  <c r="J285" i="42"/>
  <c r="I285" i="42"/>
  <c r="H285" i="42"/>
  <c r="G285" i="42"/>
  <c r="F285" i="42"/>
  <c r="E285" i="42"/>
  <c r="D285" i="42"/>
  <c r="C285" i="42"/>
  <c r="B285" i="42"/>
  <c r="A285" i="42"/>
  <c r="AF284" i="42"/>
  <c r="AE284" i="42"/>
  <c r="AD284" i="42"/>
  <c r="AC284" i="42"/>
  <c r="AB284" i="42"/>
  <c r="AA284" i="42"/>
  <c r="Z284" i="42"/>
  <c r="Y284" i="42"/>
  <c r="X284" i="42"/>
  <c r="W284" i="42"/>
  <c r="V284" i="42"/>
  <c r="U284" i="42"/>
  <c r="T284" i="42"/>
  <c r="S284" i="42"/>
  <c r="R284" i="42"/>
  <c r="Q284" i="42"/>
  <c r="P284" i="42"/>
  <c r="O284" i="42"/>
  <c r="N284" i="42"/>
  <c r="M284" i="42"/>
  <c r="L284" i="42"/>
  <c r="K284" i="42"/>
  <c r="J284" i="42"/>
  <c r="I284" i="42"/>
  <c r="H284" i="42"/>
  <c r="G284" i="42"/>
  <c r="F284" i="42"/>
  <c r="E284" i="42"/>
  <c r="D284" i="42"/>
  <c r="C284" i="42"/>
  <c r="B284" i="42"/>
  <c r="A284" i="42"/>
  <c r="AF283" i="42"/>
  <c r="AE283" i="42"/>
  <c r="AD283" i="42"/>
  <c r="AC283" i="42"/>
  <c r="AB283" i="42"/>
  <c r="AA283" i="42"/>
  <c r="Z283" i="42"/>
  <c r="Y283" i="42"/>
  <c r="X283" i="42"/>
  <c r="W283" i="42"/>
  <c r="V283" i="42"/>
  <c r="U283" i="42"/>
  <c r="T283" i="42"/>
  <c r="S283" i="42"/>
  <c r="R283" i="42"/>
  <c r="Q283" i="42"/>
  <c r="P283" i="42"/>
  <c r="O283" i="42"/>
  <c r="N283" i="42"/>
  <c r="M283" i="42"/>
  <c r="L283" i="42"/>
  <c r="K283" i="42"/>
  <c r="J283" i="42"/>
  <c r="I283" i="42"/>
  <c r="H283" i="42"/>
  <c r="G283" i="42"/>
  <c r="F283" i="42"/>
  <c r="E283" i="42"/>
  <c r="D283" i="42"/>
  <c r="C283" i="42"/>
  <c r="B283" i="42"/>
  <c r="A283" i="42"/>
  <c r="B282" i="42"/>
  <c r="AG252" i="42"/>
  <c r="C252" i="42"/>
  <c r="D251" i="42"/>
  <c r="D118" i="42" s="1"/>
  <c r="E250" i="42"/>
  <c r="F250" i="42" s="1"/>
  <c r="G250" i="42" s="1"/>
  <c r="H250" i="42" s="1"/>
  <c r="I250" i="42" s="1"/>
  <c r="J250" i="42" s="1"/>
  <c r="K250" i="42" s="1"/>
  <c r="L250" i="42" s="1"/>
  <c r="M250" i="42" s="1"/>
  <c r="N250" i="42" s="1"/>
  <c r="O250" i="42" s="1"/>
  <c r="P250" i="42" s="1"/>
  <c r="Q250" i="42" s="1"/>
  <c r="R250" i="42" s="1"/>
  <c r="S250" i="42" s="1"/>
  <c r="T250" i="42" s="1"/>
  <c r="U250" i="42" s="1"/>
  <c r="V250" i="42" s="1"/>
  <c r="W250" i="42" s="1"/>
  <c r="X250" i="42" s="1"/>
  <c r="Y250" i="42" s="1"/>
  <c r="Z250" i="42" s="1"/>
  <c r="AA250" i="42" s="1"/>
  <c r="AB250" i="42" s="1"/>
  <c r="AC250" i="42" s="1"/>
  <c r="AD250" i="42" s="1"/>
  <c r="AE250" i="42" s="1"/>
  <c r="AF250" i="42" s="1"/>
  <c r="B250" i="42" s="1"/>
  <c r="D250" i="42"/>
  <c r="D249" i="42"/>
  <c r="E249" i="42" s="1"/>
  <c r="F249" i="42" s="1"/>
  <c r="G249" i="42" s="1"/>
  <c r="H249" i="42" s="1"/>
  <c r="I249" i="42" s="1"/>
  <c r="J249" i="42" s="1"/>
  <c r="K249" i="42" s="1"/>
  <c r="L249" i="42" s="1"/>
  <c r="M249" i="42" s="1"/>
  <c r="N249" i="42" s="1"/>
  <c r="O249" i="42" s="1"/>
  <c r="P249" i="42" s="1"/>
  <c r="Q249" i="42" s="1"/>
  <c r="R249" i="42" s="1"/>
  <c r="S249" i="42" s="1"/>
  <c r="T249" i="42" s="1"/>
  <c r="U249" i="42" s="1"/>
  <c r="V249" i="42" s="1"/>
  <c r="W249" i="42" s="1"/>
  <c r="X249" i="42" s="1"/>
  <c r="Y249" i="42" s="1"/>
  <c r="Z249" i="42" s="1"/>
  <c r="AA249" i="42" s="1"/>
  <c r="AB249" i="42" s="1"/>
  <c r="AC249" i="42" s="1"/>
  <c r="AD249" i="42" s="1"/>
  <c r="AE249" i="42" s="1"/>
  <c r="AF249" i="42" s="1"/>
  <c r="B249" i="42" s="1"/>
  <c r="F248" i="42"/>
  <c r="G248" i="42" s="1"/>
  <c r="H248" i="42" s="1"/>
  <c r="I248" i="42" s="1"/>
  <c r="J248" i="42" s="1"/>
  <c r="K248" i="42" s="1"/>
  <c r="L248" i="42" s="1"/>
  <c r="M248" i="42" s="1"/>
  <c r="N248" i="42" s="1"/>
  <c r="O248" i="42" s="1"/>
  <c r="P248" i="42" s="1"/>
  <c r="Q248" i="42" s="1"/>
  <c r="R248" i="42" s="1"/>
  <c r="S248" i="42" s="1"/>
  <c r="T248" i="42" s="1"/>
  <c r="U248" i="42" s="1"/>
  <c r="V248" i="42" s="1"/>
  <c r="W248" i="42" s="1"/>
  <c r="X248" i="42" s="1"/>
  <c r="Y248" i="42" s="1"/>
  <c r="Z248" i="42" s="1"/>
  <c r="AA248" i="42" s="1"/>
  <c r="AB248" i="42" s="1"/>
  <c r="AC248" i="42" s="1"/>
  <c r="AD248" i="42" s="1"/>
  <c r="AE248" i="42" s="1"/>
  <c r="AF248" i="42" s="1"/>
  <c r="B248" i="42" s="1"/>
  <c r="E248" i="42"/>
  <c r="D248" i="42"/>
  <c r="D247" i="42"/>
  <c r="E246" i="42"/>
  <c r="F246" i="42" s="1"/>
  <c r="D246" i="42"/>
  <c r="AG244" i="42"/>
  <c r="AF244" i="42"/>
  <c r="AE244" i="42"/>
  <c r="AD244" i="42"/>
  <c r="AC244" i="42"/>
  <c r="AB244" i="42"/>
  <c r="AA244" i="42"/>
  <c r="Z244" i="42"/>
  <c r="Y244" i="42"/>
  <c r="X244" i="42"/>
  <c r="W244" i="42"/>
  <c r="V244" i="42"/>
  <c r="U244" i="42"/>
  <c r="T244" i="42"/>
  <c r="S244" i="42"/>
  <c r="R244" i="42"/>
  <c r="Q244" i="42"/>
  <c r="P244" i="42"/>
  <c r="O244" i="42"/>
  <c r="N244" i="42"/>
  <c r="M244" i="42"/>
  <c r="L244" i="42"/>
  <c r="K244" i="42"/>
  <c r="J244" i="42"/>
  <c r="I244" i="42"/>
  <c r="H244" i="42"/>
  <c r="G244" i="42"/>
  <c r="F244" i="42"/>
  <c r="E244" i="42"/>
  <c r="D244" i="42"/>
  <c r="C244" i="42"/>
  <c r="B244" i="42"/>
  <c r="AI130" i="42"/>
  <c r="AH130" i="42"/>
  <c r="AI129" i="42"/>
  <c r="AH129" i="42"/>
  <c r="AI128" i="42"/>
  <c r="AH128" i="42"/>
  <c r="AI127" i="42"/>
  <c r="AH127" i="42"/>
  <c r="AI126" i="42"/>
  <c r="AH126" i="42"/>
  <c r="AI123" i="42"/>
  <c r="AI122" i="42"/>
  <c r="AH122" i="42"/>
  <c r="AI121" i="42"/>
  <c r="AH121" i="42"/>
  <c r="AI120" i="42"/>
  <c r="AH120" i="42"/>
  <c r="AI119" i="42"/>
  <c r="AH119" i="42"/>
  <c r="C118" i="42"/>
  <c r="AI117" i="42"/>
  <c r="AH117" i="42"/>
  <c r="AI116" i="42"/>
  <c r="AH116" i="42"/>
  <c r="AI115" i="42"/>
  <c r="AH115" i="42"/>
  <c r="AI114" i="42"/>
  <c r="AH114" i="42"/>
  <c r="AI113" i="42"/>
  <c r="AH113" i="42"/>
  <c r="AI112" i="42"/>
  <c r="AH112" i="42"/>
  <c r="AI111" i="42"/>
  <c r="AH111" i="42"/>
  <c r="AI110" i="42"/>
  <c r="AH110" i="42"/>
  <c r="AI109" i="42"/>
  <c r="AH109" i="42"/>
  <c r="AI106" i="42"/>
  <c r="AH106" i="42"/>
  <c r="AF105" i="42"/>
  <c r="AE105" i="42"/>
  <c r="AD105" i="42"/>
  <c r="AC105" i="42"/>
  <c r="AB105" i="42"/>
  <c r="AA105" i="42"/>
  <c r="Z105" i="42"/>
  <c r="Y105" i="42"/>
  <c r="W105" i="42"/>
  <c r="V105" i="42"/>
  <c r="U105" i="42"/>
  <c r="T105" i="42"/>
  <c r="S105" i="42"/>
  <c r="R105" i="42"/>
  <c r="Q105" i="42"/>
  <c r="N105" i="42"/>
  <c r="L105" i="42"/>
  <c r="K105" i="42"/>
  <c r="K107" i="42" s="1"/>
  <c r="J105" i="42"/>
  <c r="I105" i="42"/>
  <c r="H105" i="42"/>
  <c r="G105" i="42"/>
  <c r="F105" i="42"/>
  <c r="E105" i="42"/>
  <c r="D105" i="42"/>
  <c r="C105" i="42"/>
  <c r="B105" i="42"/>
  <c r="AF104" i="42"/>
  <c r="AE104" i="42"/>
  <c r="AD104" i="42"/>
  <c r="AC104" i="42"/>
  <c r="AB104" i="42"/>
  <c r="AA104" i="42"/>
  <c r="Z104" i="42"/>
  <c r="Y104" i="42"/>
  <c r="W104" i="42"/>
  <c r="V104" i="42"/>
  <c r="U104" i="42"/>
  <c r="T104" i="42"/>
  <c r="S104" i="42"/>
  <c r="R104" i="42"/>
  <c r="Q104" i="42"/>
  <c r="N104" i="42"/>
  <c r="L104" i="42"/>
  <c r="K104" i="42"/>
  <c r="J104" i="42"/>
  <c r="I104" i="42"/>
  <c r="H104" i="42"/>
  <c r="G104" i="42"/>
  <c r="F104" i="42"/>
  <c r="E104" i="42"/>
  <c r="D104" i="42"/>
  <c r="C104" i="42"/>
  <c r="B104" i="42"/>
  <c r="AF103" i="42"/>
  <c r="AE103" i="42"/>
  <c r="AD103" i="42"/>
  <c r="AC103" i="42"/>
  <c r="AB103" i="42"/>
  <c r="AA103" i="42"/>
  <c r="Z103" i="42"/>
  <c r="Y103" i="42"/>
  <c r="W103" i="42"/>
  <c r="V103" i="42"/>
  <c r="U103" i="42"/>
  <c r="T103" i="42"/>
  <c r="S103" i="42"/>
  <c r="R103" i="42"/>
  <c r="Q103" i="42"/>
  <c r="N103" i="42"/>
  <c r="L103" i="42"/>
  <c r="K103" i="42"/>
  <c r="J103" i="42"/>
  <c r="I103" i="42"/>
  <c r="H103" i="42"/>
  <c r="H107" i="42" s="1"/>
  <c r="G103" i="42"/>
  <c r="F103" i="42"/>
  <c r="E103" i="42"/>
  <c r="D103" i="42"/>
  <c r="C103" i="42"/>
  <c r="B103" i="42"/>
  <c r="AF102" i="42"/>
  <c r="AE102" i="42"/>
  <c r="AD102" i="42"/>
  <c r="AC102" i="42"/>
  <c r="AB102" i="42"/>
  <c r="AA102" i="42"/>
  <c r="Z102" i="42"/>
  <c r="Y102" i="42"/>
  <c r="W102" i="42"/>
  <c r="V102" i="42"/>
  <c r="U102" i="42"/>
  <c r="T102" i="42"/>
  <c r="S102" i="42"/>
  <c r="R102" i="42"/>
  <c r="Q102" i="42"/>
  <c r="N102" i="42"/>
  <c r="L102" i="42"/>
  <c r="K102" i="42"/>
  <c r="J102" i="42"/>
  <c r="I102" i="42"/>
  <c r="H102" i="42"/>
  <c r="G102" i="42"/>
  <c r="F102" i="42"/>
  <c r="E102" i="42"/>
  <c r="D102" i="42"/>
  <c r="C102" i="42"/>
  <c r="B102" i="42"/>
  <c r="AF101" i="42"/>
  <c r="AE101" i="42"/>
  <c r="AD101" i="42"/>
  <c r="AC101" i="42"/>
  <c r="AB101" i="42"/>
  <c r="AA101" i="42"/>
  <c r="Z101" i="42"/>
  <c r="Y101" i="42"/>
  <c r="W101" i="42"/>
  <c r="V101" i="42"/>
  <c r="U101" i="42"/>
  <c r="T101" i="42"/>
  <c r="S101" i="42"/>
  <c r="R101" i="42"/>
  <c r="Q101" i="42"/>
  <c r="N101" i="42"/>
  <c r="L101" i="42"/>
  <c r="K101" i="42"/>
  <c r="J101" i="42"/>
  <c r="I101" i="42"/>
  <c r="H101" i="42"/>
  <c r="G101" i="42"/>
  <c r="G107" i="42" s="1"/>
  <c r="F101" i="42"/>
  <c r="E101" i="42"/>
  <c r="D101" i="42"/>
  <c r="C101" i="42"/>
  <c r="B101" i="42"/>
  <c r="AI98" i="42"/>
  <c r="AH98" i="42"/>
  <c r="AI96" i="42"/>
  <c r="AH96" i="42"/>
  <c r="AG96" i="42"/>
  <c r="AI95" i="42"/>
  <c r="AH95" i="42"/>
  <c r="AI94" i="42"/>
  <c r="AH94" i="42"/>
  <c r="AI93" i="42"/>
  <c r="AH93" i="42"/>
  <c r="AG92" i="42"/>
  <c r="AF92" i="42"/>
  <c r="AE5" i="42" s="1"/>
  <c r="AE92" i="42"/>
  <c r="AD5" i="42" s="1"/>
  <c r="AD92" i="42"/>
  <c r="AC5" i="42" s="1"/>
  <c r="AC92" i="42"/>
  <c r="AB92" i="42"/>
  <c r="AA92" i="42"/>
  <c r="Z5" i="42" s="1"/>
  <c r="Z92" i="42"/>
  <c r="Y5" i="42" s="1"/>
  <c r="Y92" i="42"/>
  <c r="W92" i="42"/>
  <c r="V5" i="42" s="1"/>
  <c r="V92" i="42"/>
  <c r="U5" i="42" s="1"/>
  <c r="U92" i="42"/>
  <c r="T5" i="42" s="1"/>
  <c r="T92" i="42"/>
  <c r="S92" i="42"/>
  <c r="R5" i="42" s="1"/>
  <c r="R92" i="42"/>
  <c r="Q5" i="42" s="1"/>
  <c r="Q92" i="42"/>
  <c r="Q97" i="42" s="1"/>
  <c r="Q99" i="42" s="1"/>
  <c r="N92" i="42"/>
  <c r="N97" i="42" s="1"/>
  <c r="N99" i="42" s="1"/>
  <c r="L92" i="42"/>
  <c r="K92" i="42"/>
  <c r="J5" i="42" s="1"/>
  <c r="J92" i="42"/>
  <c r="I5" i="42" s="1"/>
  <c r="I92" i="42"/>
  <c r="H92" i="42"/>
  <c r="G5" i="42" s="1"/>
  <c r="G92" i="42"/>
  <c r="F5" i="42" s="1"/>
  <c r="F92" i="42"/>
  <c r="E92" i="42"/>
  <c r="D5" i="42" s="1"/>
  <c r="D92" i="42"/>
  <c r="C92" i="42"/>
  <c r="B5" i="42" s="1"/>
  <c r="B92" i="42"/>
  <c r="AF5" i="42" s="1"/>
  <c r="AI91" i="42"/>
  <c r="AH91" i="42"/>
  <c r="AI90" i="42"/>
  <c r="AH90" i="42"/>
  <c r="AI89" i="42"/>
  <c r="AH89" i="42"/>
  <c r="AI88" i="42"/>
  <c r="AH88" i="42"/>
  <c r="AI87" i="42"/>
  <c r="AH87" i="42"/>
  <c r="AI86" i="42"/>
  <c r="AH86" i="42"/>
  <c r="AI85" i="42"/>
  <c r="AH85" i="42"/>
  <c r="AI84" i="42"/>
  <c r="AH84" i="42"/>
  <c r="AI83" i="42"/>
  <c r="AH83" i="42"/>
  <c r="AI82" i="42"/>
  <c r="AH82" i="42"/>
  <c r="AI81" i="42"/>
  <c r="AH81" i="42"/>
  <c r="AG80" i="42"/>
  <c r="AG4" i="42" s="1"/>
  <c r="AF80" i="42"/>
  <c r="AE80" i="42"/>
  <c r="AD80" i="42"/>
  <c r="AC80" i="42"/>
  <c r="AB80" i="42"/>
  <c r="AA80" i="42"/>
  <c r="Z80" i="42"/>
  <c r="Y80" i="42"/>
  <c r="W80" i="42"/>
  <c r="V80" i="42"/>
  <c r="U80" i="42"/>
  <c r="T80" i="42"/>
  <c r="S80" i="42"/>
  <c r="L80" i="42"/>
  <c r="K80" i="42"/>
  <c r="J80" i="42"/>
  <c r="I80" i="42"/>
  <c r="H80" i="42"/>
  <c r="G80" i="42"/>
  <c r="F80" i="42"/>
  <c r="E80" i="42"/>
  <c r="D80" i="42"/>
  <c r="C80" i="42"/>
  <c r="B80" i="42"/>
  <c r="AI79" i="42"/>
  <c r="AH79" i="42"/>
  <c r="AI78" i="42"/>
  <c r="AH78" i="42"/>
  <c r="AI77" i="42"/>
  <c r="AH77" i="42"/>
  <c r="AG76" i="42"/>
  <c r="AF76" i="42"/>
  <c r="AE76" i="42"/>
  <c r="AD76" i="42"/>
  <c r="AC76" i="42"/>
  <c r="AB76" i="42"/>
  <c r="AA76" i="42"/>
  <c r="Z76" i="42"/>
  <c r="Y76" i="42"/>
  <c r="W76" i="42"/>
  <c r="V76" i="42"/>
  <c r="U76" i="42"/>
  <c r="T76" i="42"/>
  <c r="S76" i="42"/>
  <c r="L76" i="42"/>
  <c r="K76" i="42"/>
  <c r="J76" i="42"/>
  <c r="I76" i="42"/>
  <c r="H76" i="42"/>
  <c r="G76" i="42"/>
  <c r="F76" i="42"/>
  <c r="E76" i="42"/>
  <c r="D76" i="42"/>
  <c r="C76" i="42"/>
  <c r="B76" i="42"/>
  <c r="AI75" i="42"/>
  <c r="AH75" i="42"/>
  <c r="AG75" i="42"/>
  <c r="AI74" i="42"/>
  <c r="AH74" i="42"/>
  <c r="AI73" i="42"/>
  <c r="AH73" i="42"/>
  <c r="AI72" i="42"/>
  <c r="AH72" i="42"/>
  <c r="AI71" i="42"/>
  <c r="AH71" i="42"/>
  <c r="AI70" i="42"/>
  <c r="AH70" i="42"/>
  <c r="AI69" i="42"/>
  <c r="AH69" i="42"/>
  <c r="AI68" i="42"/>
  <c r="AH68" i="42"/>
  <c r="AI67" i="42"/>
  <c r="AH67" i="42"/>
  <c r="AI66" i="42"/>
  <c r="AH66" i="42"/>
  <c r="AI65" i="42"/>
  <c r="AH65" i="42"/>
  <c r="AI64" i="42"/>
  <c r="AH64" i="42"/>
  <c r="AI63" i="42"/>
  <c r="AH63" i="42"/>
  <c r="AG62" i="42"/>
  <c r="AF62" i="42"/>
  <c r="AE62" i="42"/>
  <c r="AD62" i="42"/>
  <c r="AC62" i="42"/>
  <c r="AB62" i="42"/>
  <c r="AA62" i="42"/>
  <c r="Z62" i="42"/>
  <c r="Y62" i="42"/>
  <c r="W62" i="42"/>
  <c r="V62" i="42"/>
  <c r="U62" i="42"/>
  <c r="T62" i="42"/>
  <c r="S62" i="42"/>
  <c r="L62" i="42"/>
  <c r="K62" i="42"/>
  <c r="J62" i="42"/>
  <c r="I62" i="42"/>
  <c r="H62" i="42"/>
  <c r="G62" i="42"/>
  <c r="D62" i="42"/>
  <c r="C62" i="42"/>
  <c r="B62" i="42"/>
  <c r="AI61" i="42"/>
  <c r="AH61" i="42"/>
  <c r="AI60" i="42"/>
  <c r="AH60" i="42"/>
  <c r="AI59" i="42"/>
  <c r="AH59" i="42"/>
  <c r="AG58" i="42"/>
  <c r="AG2" i="42" s="1"/>
  <c r="AF58" i="42"/>
  <c r="AE58" i="42"/>
  <c r="AD58" i="42"/>
  <c r="AC58" i="42"/>
  <c r="AB58" i="42"/>
  <c r="AA58" i="42"/>
  <c r="Z58" i="42"/>
  <c r="Y58" i="42"/>
  <c r="W58" i="42"/>
  <c r="V58" i="42"/>
  <c r="U58" i="42"/>
  <c r="T58" i="42"/>
  <c r="S58" i="42"/>
  <c r="J58" i="42"/>
  <c r="I58" i="42"/>
  <c r="H58" i="42"/>
  <c r="D58" i="42"/>
  <c r="C58" i="42"/>
  <c r="AI57" i="42"/>
  <c r="AH57" i="42"/>
  <c r="AI56" i="42"/>
  <c r="AH56" i="42"/>
  <c r="AI55" i="42"/>
  <c r="AH55" i="42"/>
  <c r="AI54" i="42"/>
  <c r="AH54" i="42"/>
  <c r="AI53" i="42"/>
  <c r="AH53" i="42"/>
  <c r="AI52" i="42"/>
  <c r="AH52" i="42"/>
  <c r="AI51" i="42"/>
  <c r="AH51" i="42"/>
  <c r="AI50" i="42"/>
  <c r="AH50" i="42"/>
  <c r="AI49" i="42"/>
  <c r="AH49" i="42"/>
  <c r="AI48" i="42"/>
  <c r="AH48" i="42"/>
  <c r="AI47" i="42"/>
  <c r="AH47" i="42"/>
  <c r="AI46" i="42"/>
  <c r="AH46" i="42"/>
  <c r="AI45" i="42"/>
  <c r="AH45" i="42"/>
  <c r="AI44" i="42"/>
  <c r="AH44" i="42"/>
  <c r="AI43" i="42"/>
  <c r="AH43" i="42"/>
  <c r="AI42" i="42"/>
  <c r="AH42" i="42"/>
  <c r="AI41" i="42"/>
  <c r="AH41" i="42"/>
  <c r="AI40" i="42"/>
  <c r="AH40" i="42"/>
  <c r="AI39" i="42"/>
  <c r="AH39" i="42"/>
  <c r="AI38" i="42"/>
  <c r="AH38" i="42"/>
  <c r="AI37" i="42"/>
  <c r="AH37" i="42"/>
  <c r="AI36" i="42"/>
  <c r="AH36" i="42"/>
  <c r="AI35" i="42"/>
  <c r="AH35" i="42"/>
  <c r="AI34" i="42"/>
  <c r="AH34" i="42"/>
  <c r="AI33" i="42"/>
  <c r="AH33" i="42"/>
  <c r="AI32" i="42"/>
  <c r="AH32" i="42"/>
  <c r="AI31" i="42"/>
  <c r="AH31" i="42"/>
  <c r="AI30" i="42"/>
  <c r="AH30" i="42"/>
  <c r="AI29" i="42"/>
  <c r="AH29" i="42"/>
  <c r="AI28" i="42"/>
  <c r="AH28" i="42"/>
  <c r="AI27" i="42"/>
  <c r="AH27" i="42"/>
  <c r="AI26" i="42"/>
  <c r="AH26" i="42"/>
  <c r="AI25" i="42"/>
  <c r="AH25" i="42"/>
  <c r="AI24" i="42"/>
  <c r="AH24" i="42"/>
  <c r="AI23" i="42"/>
  <c r="AH23" i="42"/>
  <c r="AI22" i="42"/>
  <c r="AH22" i="42"/>
  <c r="AI21" i="42"/>
  <c r="AH21" i="42"/>
  <c r="AI20" i="42"/>
  <c r="AH20" i="42"/>
  <c r="AI19" i="42"/>
  <c r="AH19" i="42"/>
  <c r="AI18" i="42"/>
  <c r="AH18" i="42"/>
  <c r="AI17" i="42"/>
  <c r="AH17" i="42"/>
  <c r="AI16" i="42"/>
  <c r="AH16" i="42"/>
  <c r="AI15" i="42"/>
  <c r="AH15" i="42"/>
  <c r="AI14" i="42"/>
  <c r="AH14" i="42"/>
  <c r="AI13" i="42"/>
  <c r="AH13" i="42"/>
  <c r="AI12" i="42"/>
  <c r="AH12" i="42"/>
  <c r="AI11" i="42"/>
  <c r="AH11" i="42"/>
  <c r="W5" i="42"/>
  <c r="O5" i="42"/>
  <c r="N5" i="42"/>
  <c r="L5" i="42"/>
  <c r="K4" i="42"/>
  <c r="E4" i="42"/>
  <c r="H4" i="42" s="1"/>
  <c r="B4" i="42"/>
  <c r="S258" i="42" s="1"/>
  <c r="AG3" i="42"/>
  <c r="AA123" i="41"/>
  <c r="Z123" i="41"/>
  <c r="Y123" i="41"/>
  <c r="W123" i="41"/>
  <c r="V80" i="41"/>
  <c r="W80" i="41"/>
  <c r="V123" i="41"/>
  <c r="U58" i="41"/>
  <c r="V58" i="41"/>
  <c r="U62" i="41"/>
  <c r="V62" i="41"/>
  <c r="U76" i="41"/>
  <c r="V76" i="41"/>
  <c r="U80" i="41"/>
  <c r="U92" i="41"/>
  <c r="V92" i="41"/>
  <c r="U101" i="41"/>
  <c r="V101" i="41"/>
  <c r="U102" i="41"/>
  <c r="V102" i="41"/>
  <c r="U103" i="41"/>
  <c r="V103" i="41"/>
  <c r="V107" i="41" s="1"/>
  <c r="U104" i="41"/>
  <c r="V104" i="41"/>
  <c r="U105" i="41"/>
  <c r="V105" i="41"/>
  <c r="U118" i="41"/>
  <c r="V118" i="41"/>
  <c r="R123" i="41"/>
  <c r="Q123" i="41"/>
  <c r="Q121" i="41"/>
  <c r="P123" i="41"/>
  <c r="P121" i="41"/>
  <c r="O123" i="41"/>
  <c r="O121" i="41"/>
  <c r="N123" i="41"/>
  <c r="N121" i="41"/>
  <c r="M123" i="41"/>
  <c r="M121" i="41"/>
  <c r="AI118" i="44" l="1"/>
  <c r="AH118" i="44"/>
  <c r="AD97" i="42"/>
  <c r="AD99" i="42" s="1"/>
  <c r="AC97" i="42"/>
  <c r="AC99" i="42" s="1"/>
  <c r="AA97" i="42"/>
  <c r="AA99" i="42" s="1"/>
  <c r="AS261" i="42" s="1"/>
  <c r="Z97" i="42"/>
  <c r="Z99" i="42" s="1"/>
  <c r="AR261" i="42" s="1"/>
  <c r="Z107" i="42"/>
  <c r="Z108" i="42" s="1"/>
  <c r="AE97" i="42"/>
  <c r="AE99" i="42" s="1"/>
  <c r="AE100" i="42" s="1"/>
  <c r="AE7" i="42" s="1"/>
  <c r="AF97" i="42"/>
  <c r="AF99" i="42" s="1"/>
  <c r="AX261" i="42" s="1"/>
  <c r="AC107" i="42"/>
  <c r="AG6" i="42"/>
  <c r="J107" i="42"/>
  <c r="J108" i="42" s="1"/>
  <c r="AF107" i="42"/>
  <c r="AE107" i="42"/>
  <c r="AE108" i="42" s="1"/>
  <c r="AA107" i="42"/>
  <c r="AA100" i="42" s="1"/>
  <c r="AA7" i="42" s="1"/>
  <c r="W107" i="42"/>
  <c r="W108" i="42" s="1"/>
  <c r="AB5" i="42"/>
  <c r="F97" i="42"/>
  <c r="F99" i="42" s="1"/>
  <c r="F100" i="42" s="1"/>
  <c r="F7" i="42" s="1"/>
  <c r="Y107" i="42"/>
  <c r="Y108" i="42" s="1"/>
  <c r="Y97" i="42"/>
  <c r="Y99" i="42" s="1"/>
  <c r="AQ261" i="42" s="1"/>
  <c r="W97" i="42"/>
  <c r="W99" i="42" s="1"/>
  <c r="AO261" i="42" s="1"/>
  <c r="AI101" i="42"/>
  <c r="U97" i="42"/>
  <c r="U99" i="42" s="1"/>
  <c r="V97" i="42"/>
  <c r="V99" i="42" s="1"/>
  <c r="AN261" i="42" s="1"/>
  <c r="U107" i="42"/>
  <c r="U108" i="42" s="1"/>
  <c r="S107" i="42"/>
  <c r="S108" i="42" s="1"/>
  <c r="AI80" i="42"/>
  <c r="S97" i="42"/>
  <c r="S99" i="42" s="1"/>
  <c r="AK261" i="42" s="1"/>
  <c r="R97" i="42"/>
  <c r="R99" i="42" s="1"/>
  <c r="AJ261" i="42" s="1"/>
  <c r="R107" i="42"/>
  <c r="R108" i="42" s="1"/>
  <c r="Q107" i="42"/>
  <c r="Q100" i="42" s="1"/>
  <c r="Q7" i="42" s="1"/>
  <c r="M5" i="42"/>
  <c r="K97" i="42"/>
  <c r="K99" i="42" s="1"/>
  <c r="AC261" i="42" s="1"/>
  <c r="J97" i="42"/>
  <c r="J99" i="42" s="1"/>
  <c r="J100" i="42" s="1"/>
  <c r="J7" i="42" s="1"/>
  <c r="I107" i="42"/>
  <c r="I97" i="42"/>
  <c r="I99" i="42" s="1"/>
  <c r="AA261" i="42" s="1"/>
  <c r="H97" i="42"/>
  <c r="H99" i="42" s="1"/>
  <c r="Z261" i="42" s="1"/>
  <c r="G97" i="42"/>
  <c r="G99" i="42" s="1"/>
  <c r="Y261" i="42" s="1"/>
  <c r="G108" i="42"/>
  <c r="E5" i="42"/>
  <c r="E107" i="42"/>
  <c r="E100" i="42" s="1"/>
  <c r="E7" i="42" s="1"/>
  <c r="E108" i="42"/>
  <c r="AH105" i="42"/>
  <c r="AI104" i="42"/>
  <c r="AI105" i="42"/>
  <c r="C97" i="42"/>
  <c r="C99" i="42" s="1"/>
  <c r="U261" i="42" s="1"/>
  <c r="AI62" i="42"/>
  <c r="D258" i="42"/>
  <c r="AV261" i="42"/>
  <c r="AM261" i="42"/>
  <c r="P7" i="42"/>
  <c r="X7" i="42"/>
  <c r="AE261" i="42"/>
  <c r="M7" i="42"/>
  <c r="I100" i="42"/>
  <c r="I7" i="42" s="1"/>
  <c r="AI261" i="42"/>
  <c r="AP261" i="42"/>
  <c r="C5" i="42"/>
  <c r="AI102" i="42"/>
  <c r="AI103" i="42"/>
  <c r="D97" i="42"/>
  <c r="D99" i="42" s="1"/>
  <c r="L97" i="42"/>
  <c r="L99" i="42" s="1"/>
  <c r="T97" i="42"/>
  <c r="T99" i="42" s="1"/>
  <c r="AB97" i="42"/>
  <c r="AB99" i="42" s="1"/>
  <c r="AA5" i="42"/>
  <c r="C107" i="42"/>
  <c r="C108" i="42" s="1"/>
  <c r="AI76" i="42"/>
  <c r="W261" i="42"/>
  <c r="H108" i="42"/>
  <c r="AF108" i="42"/>
  <c r="AG99" i="42"/>
  <c r="K100" i="42"/>
  <c r="K7" i="42" s="1"/>
  <c r="D107" i="42"/>
  <c r="D108" i="42" s="1"/>
  <c r="L107" i="42"/>
  <c r="T107" i="42"/>
  <c r="T108" i="42" s="1"/>
  <c r="AB107" i="42"/>
  <c r="AB108" i="42" s="1"/>
  <c r="C282" i="42"/>
  <c r="E251" i="42"/>
  <c r="S5" i="42"/>
  <c r="AU261" i="42"/>
  <c r="AH261" i="42"/>
  <c r="B107" i="42"/>
  <c r="AH101" i="42"/>
  <c r="H5" i="42"/>
  <c r="I108" i="42"/>
  <c r="P5" i="42"/>
  <c r="X5" i="42"/>
  <c r="D252" i="42"/>
  <c r="E247" i="42"/>
  <c r="K5" i="42"/>
  <c r="L108" i="42"/>
  <c r="AF261" i="42"/>
  <c r="AH102" i="42"/>
  <c r="G246" i="42"/>
  <c r="G100" i="42"/>
  <c r="G7" i="42" s="1"/>
  <c r="AG261" i="42"/>
  <c r="O7" i="42"/>
  <c r="AI92" i="42"/>
  <c r="AG97" i="42"/>
  <c r="F107" i="42"/>
  <c r="F108" i="42" s="1"/>
  <c r="N107" i="42"/>
  <c r="N108" i="42" s="1"/>
  <c r="V107" i="42"/>
  <c r="V108" i="42" s="1"/>
  <c r="AD107" i="42"/>
  <c r="K108" i="42"/>
  <c r="AA108" i="42"/>
  <c r="X261" i="42"/>
  <c r="AH76" i="42"/>
  <c r="AH80" i="42"/>
  <c r="AH92" i="42"/>
  <c r="AH58" i="42"/>
  <c r="AH62" i="42"/>
  <c r="B97" i="42"/>
  <c r="AH103" i="42"/>
  <c r="AI58" i="42"/>
  <c r="AH104" i="42"/>
  <c r="V108" i="41"/>
  <c r="V97" i="41"/>
  <c r="V99" i="41" s="1"/>
  <c r="V100" i="41" s="1"/>
  <c r="U107" i="41"/>
  <c r="U108" i="41"/>
  <c r="U97" i="41"/>
  <c r="U99" i="41" s="1"/>
  <c r="U100" i="41" s="1"/>
  <c r="L123" i="41"/>
  <c r="L62" i="41"/>
  <c r="K123" i="41"/>
  <c r="K58" i="41"/>
  <c r="K62" i="41"/>
  <c r="K76" i="41"/>
  <c r="K80" i="41"/>
  <c r="J123" i="41"/>
  <c r="J58" i="41"/>
  <c r="J62" i="41"/>
  <c r="I123" i="41"/>
  <c r="I58" i="41"/>
  <c r="I62" i="41"/>
  <c r="H123" i="41"/>
  <c r="H58" i="41"/>
  <c r="H62" i="41"/>
  <c r="G58" i="41"/>
  <c r="G123" i="41"/>
  <c r="F123" i="41"/>
  <c r="F58" i="41"/>
  <c r="F62" i="41"/>
  <c r="E123" i="41"/>
  <c r="E58" i="41"/>
  <c r="E62" i="41"/>
  <c r="R100" i="42" l="1"/>
  <c r="R7" i="42" s="1"/>
  <c r="Q108" i="42"/>
  <c r="AF100" i="42"/>
  <c r="AF7" i="42" s="1"/>
  <c r="AW261" i="42"/>
  <c r="AD100" i="42"/>
  <c r="AD7" i="42" s="1"/>
  <c r="AC100" i="42"/>
  <c r="AC7" i="42" s="1"/>
  <c r="Z100" i="42"/>
  <c r="Z7" i="42" s="1"/>
  <c r="AC108" i="42"/>
  <c r="AB261" i="42"/>
  <c r="H100" i="42"/>
  <c r="H7" i="42" s="1"/>
  <c r="Y100" i="42"/>
  <c r="Y7" i="42" s="1"/>
  <c r="W100" i="42"/>
  <c r="W7" i="42" s="1"/>
  <c r="U100" i="42"/>
  <c r="U7" i="42" s="1"/>
  <c r="S100" i="42"/>
  <c r="S7" i="42" s="1"/>
  <c r="C100" i="42"/>
  <c r="C7" i="42" s="1"/>
  <c r="AD261" i="42"/>
  <c r="L100" i="42"/>
  <c r="L7" i="42" s="1"/>
  <c r="AI97" i="42"/>
  <c r="AH97" i="42"/>
  <c r="B99" i="42"/>
  <c r="V100" i="42"/>
  <c r="V7" i="42" s="1"/>
  <c r="D282" i="42"/>
  <c r="F251" i="42"/>
  <c r="F247" i="42"/>
  <c r="E252" i="42"/>
  <c r="V261" i="42"/>
  <c r="D100" i="42"/>
  <c r="D7" i="42" s="1"/>
  <c r="B108" i="42"/>
  <c r="AI107" i="42"/>
  <c r="AH107" i="42"/>
  <c r="H246" i="42"/>
  <c r="E118" i="42"/>
  <c r="C256" i="42"/>
  <c r="N100" i="42"/>
  <c r="N7" i="42" s="1"/>
  <c r="B256" i="42"/>
  <c r="AD108" i="42"/>
  <c r="AT261" i="42"/>
  <c r="AB100" i="42"/>
  <c r="AB7" i="42" s="1"/>
  <c r="AL261" i="42"/>
  <c r="T100" i="42"/>
  <c r="T7" i="42" s="1"/>
  <c r="D123" i="41"/>
  <c r="AH123" i="41" s="1"/>
  <c r="C123" i="41"/>
  <c r="B123" i="41"/>
  <c r="AF286" i="41"/>
  <c r="AE286" i="41"/>
  <c r="AD286" i="41"/>
  <c r="AC286" i="41"/>
  <c r="AB286" i="41"/>
  <c r="AA286" i="41"/>
  <c r="Z286" i="41"/>
  <c r="Y286" i="41"/>
  <c r="X286" i="41"/>
  <c r="W286" i="41"/>
  <c r="V286" i="41"/>
  <c r="U286" i="41"/>
  <c r="T286" i="41"/>
  <c r="S286" i="41"/>
  <c r="R286" i="41"/>
  <c r="Q286" i="41"/>
  <c r="P286" i="41"/>
  <c r="O286" i="41"/>
  <c r="N286" i="41"/>
  <c r="M286" i="41"/>
  <c r="L286" i="41"/>
  <c r="K286" i="41"/>
  <c r="J286" i="41"/>
  <c r="I286" i="41"/>
  <c r="H286" i="41"/>
  <c r="G286" i="41"/>
  <c r="F286" i="41"/>
  <c r="E286" i="41"/>
  <c r="D286" i="41"/>
  <c r="C286" i="41"/>
  <c r="B286" i="41"/>
  <c r="A286" i="41"/>
  <c r="AF285" i="41"/>
  <c r="AE285" i="41"/>
  <c r="AD285" i="41"/>
  <c r="AC285" i="41"/>
  <c r="AB285" i="41"/>
  <c r="AA285" i="41"/>
  <c r="Z285" i="41"/>
  <c r="Y285" i="41"/>
  <c r="X285" i="41"/>
  <c r="W285" i="41"/>
  <c r="V285" i="41"/>
  <c r="U285" i="41"/>
  <c r="T285" i="41"/>
  <c r="S285" i="41"/>
  <c r="R285" i="41"/>
  <c r="Q285" i="41"/>
  <c r="P285" i="41"/>
  <c r="O285" i="41"/>
  <c r="N285" i="41"/>
  <c r="M285" i="41"/>
  <c r="L285" i="41"/>
  <c r="K285" i="41"/>
  <c r="J285" i="41"/>
  <c r="I285" i="41"/>
  <c r="H285" i="41"/>
  <c r="G285" i="41"/>
  <c r="F285" i="41"/>
  <c r="E285" i="41"/>
  <c r="D285" i="41"/>
  <c r="C285" i="41"/>
  <c r="B285" i="41"/>
  <c r="A285" i="41"/>
  <c r="AF284" i="41"/>
  <c r="AE284" i="41"/>
  <c r="AD284" i="41"/>
  <c r="AC284" i="41"/>
  <c r="AB284" i="41"/>
  <c r="AA284" i="41"/>
  <c r="Z284" i="41"/>
  <c r="Y284" i="41"/>
  <c r="X284" i="41"/>
  <c r="W284" i="41"/>
  <c r="V284" i="41"/>
  <c r="U284" i="41"/>
  <c r="T284" i="41"/>
  <c r="S284" i="41"/>
  <c r="R284" i="41"/>
  <c r="Q284" i="41"/>
  <c r="P284" i="41"/>
  <c r="O284" i="41"/>
  <c r="N284" i="41"/>
  <c r="M284" i="41"/>
  <c r="L284" i="41"/>
  <c r="K284" i="41"/>
  <c r="J284" i="41"/>
  <c r="I284" i="41"/>
  <c r="H284" i="41"/>
  <c r="G284" i="41"/>
  <c r="F284" i="41"/>
  <c r="E284" i="41"/>
  <c r="D284" i="41"/>
  <c r="C284" i="41"/>
  <c r="B284" i="41"/>
  <c r="A284" i="41"/>
  <c r="AF283" i="41"/>
  <c r="AE283" i="41"/>
  <c r="AD283" i="41"/>
  <c r="AC283" i="41"/>
  <c r="AB283" i="41"/>
  <c r="AA283" i="41"/>
  <c r="Z283" i="41"/>
  <c r="Y283" i="41"/>
  <c r="X283" i="41"/>
  <c r="W283" i="41"/>
  <c r="V283" i="41"/>
  <c r="U283" i="41"/>
  <c r="T283" i="41"/>
  <c r="S283" i="41"/>
  <c r="R283" i="41"/>
  <c r="Q283" i="41"/>
  <c r="P283" i="41"/>
  <c r="O283" i="41"/>
  <c r="N283" i="41"/>
  <c r="M283" i="41"/>
  <c r="L283" i="41"/>
  <c r="K283" i="41"/>
  <c r="J283" i="41"/>
  <c r="I283" i="41"/>
  <c r="H283" i="41"/>
  <c r="G283" i="41"/>
  <c r="F283" i="41"/>
  <c r="E283" i="41"/>
  <c r="D283" i="41"/>
  <c r="C283" i="41"/>
  <c r="B283" i="41"/>
  <c r="A283" i="41"/>
  <c r="B282" i="41"/>
  <c r="S257" i="41"/>
  <c r="AG252" i="41"/>
  <c r="C252" i="41"/>
  <c r="D251" i="41"/>
  <c r="R250" i="41"/>
  <c r="S250" i="41" s="1"/>
  <c r="T250" i="41" s="1"/>
  <c r="U250" i="41" s="1"/>
  <c r="V250" i="41" s="1"/>
  <c r="W250" i="41" s="1"/>
  <c r="X250" i="41" s="1"/>
  <c r="Y250" i="41" s="1"/>
  <c r="Z250" i="41" s="1"/>
  <c r="AA250" i="41" s="1"/>
  <c r="AB250" i="41" s="1"/>
  <c r="AC250" i="41" s="1"/>
  <c r="AD250" i="41" s="1"/>
  <c r="AE250" i="41" s="1"/>
  <c r="AF250" i="41" s="1"/>
  <c r="B250" i="41" s="1"/>
  <c r="J250" i="41"/>
  <c r="K250" i="41" s="1"/>
  <c r="L250" i="41" s="1"/>
  <c r="M250" i="41" s="1"/>
  <c r="N250" i="41" s="1"/>
  <c r="O250" i="41" s="1"/>
  <c r="P250" i="41" s="1"/>
  <c r="Q250" i="41" s="1"/>
  <c r="E250" i="41"/>
  <c r="F250" i="41" s="1"/>
  <c r="G250" i="41" s="1"/>
  <c r="H250" i="41" s="1"/>
  <c r="I250" i="41" s="1"/>
  <c r="D250" i="41"/>
  <c r="D249" i="41"/>
  <c r="E249" i="41" s="1"/>
  <c r="F249" i="41" s="1"/>
  <c r="G249" i="41" s="1"/>
  <c r="H249" i="41" s="1"/>
  <c r="I249" i="41" s="1"/>
  <c r="J249" i="41" s="1"/>
  <c r="K249" i="41" s="1"/>
  <c r="L249" i="41" s="1"/>
  <c r="M249" i="41" s="1"/>
  <c r="N249" i="41" s="1"/>
  <c r="O249" i="41" s="1"/>
  <c r="P249" i="41" s="1"/>
  <c r="Q249" i="41" s="1"/>
  <c r="R249" i="41" s="1"/>
  <c r="S249" i="41" s="1"/>
  <c r="T249" i="41" s="1"/>
  <c r="U249" i="41" s="1"/>
  <c r="V249" i="41" s="1"/>
  <c r="W249" i="41" s="1"/>
  <c r="X249" i="41" s="1"/>
  <c r="Y249" i="41" s="1"/>
  <c r="Z249" i="41" s="1"/>
  <c r="AA249" i="41" s="1"/>
  <c r="AB249" i="41" s="1"/>
  <c r="AC249" i="41" s="1"/>
  <c r="AD249" i="41" s="1"/>
  <c r="AE249" i="41" s="1"/>
  <c r="AF249" i="41" s="1"/>
  <c r="B249" i="41" s="1"/>
  <c r="D248" i="41"/>
  <c r="E248" i="41" s="1"/>
  <c r="F248" i="41" s="1"/>
  <c r="G248" i="41" s="1"/>
  <c r="H248" i="41" s="1"/>
  <c r="I248" i="41" s="1"/>
  <c r="J248" i="41" s="1"/>
  <c r="K248" i="41" s="1"/>
  <c r="L248" i="41" s="1"/>
  <c r="M248" i="41" s="1"/>
  <c r="N248" i="41" s="1"/>
  <c r="O248" i="41" s="1"/>
  <c r="P248" i="41" s="1"/>
  <c r="Q248" i="41" s="1"/>
  <c r="R248" i="41" s="1"/>
  <c r="S248" i="41" s="1"/>
  <c r="T248" i="41" s="1"/>
  <c r="U248" i="41" s="1"/>
  <c r="V248" i="41" s="1"/>
  <c r="W248" i="41" s="1"/>
  <c r="X248" i="41" s="1"/>
  <c r="Y248" i="41" s="1"/>
  <c r="Z248" i="41" s="1"/>
  <c r="AA248" i="41" s="1"/>
  <c r="AB248" i="41" s="1"/>
  <c r="AC248" i="41" s="1"/>
  <c r="AD248" i="41" s="1"/>
  <c r="AE248" i="41" s="1"/>
  <c r="AF248" i="41" s="1"/>
  <c r="B248" i="41" s="1"/>
  <c r="D247" i="41"/>
  <c r="E247" i="41" s="1"/>
  <c r="F247" i="41" s="1"/>
  <c r="G247" i="41" s="1"/>
  <c r="H247" i="41" s="1"/>
  <c r="I247" i="41" s="1"/>
  <c r="J247" i="41" s="1"/>
  <c r="K247" i="41" s="1"/>
  <c r="L247" i="41" s="1"/>
  <c r="M247" i="41" s="1"/>
  <c r="N247" i="41" s="1"/>
  <c r="O247" i="41" s="1"/>
  <c r="P247" i="41" s="1"/>
  <c r="Q247" i="41" s="1"/>
  <c r="R247" i="41" s="1"/>
  <c r="S247" i="41" s="1"/>
  <c r="T247" i="41" s="1"/>
  <c r="U247" i="41" s="1"/>
  <c r="V247" i="41" s="1"/>
  <c r="W247" i="41" s="1"/>
  <c r="X247" i="41" s="1"/>
  <c r="Y247" i="41" s="1"/>
  <c r="Z247" i="41" s="1"/>
  <c r="AA247" i="41" s="1"/>
  <c r="AB247" i="41" s="1"/>
  <c r="AC247" i="41" s="1"/>
  <c r="AD247" i="41" s="1"/>
  <c r="AE247" i="41" s="1"/>
  <c r="AF247" i="41" s="1"/>
  <c r="B247" i="41" s="1"/>
  <c r="E246" i="41"/>
  <c r="D246" i="41"/>
  <c r="D252" i="41" s="1"/>
  <c r="AG244" i="41"/>
  <c r="AF244" i="41"/>
  <c r="AE244" i="41"/>
  <c r="AD244" i="41"/>
  <c r="AC244" i="41"/>
  <c r="AB244" i="41"/>
  <c r="AA244" i="41"/>
  <c r="Z244" i="41"/>
  <c r="Y244" i="41"/>
  <c r="X244" i="41"/>
  <c r="W244" i="41"/>
  <c r="V244" i="41"/>
  <c r="U244" i="41"/>
  <c r="T244" i="41"/>
  <c r="S244" i="41"/>
  <c r="R244" i="41"/>
  <c r="Q244" i="41"/>
  <c r="P244" i="41"/>
  <c r="O244" i="41"/>
  <c r="N244" i="41"/>
  <c r="M244" i="41"/>
  <c r="L244" i="41"/>
  <c r="K244" i="41"/>
  <c r="J244" i="41"/>
  <c r="I244" i="41"/>
  <c r="H244" i="41"/>
  <c r="G244" i="41"/>
  <c r="F244" i="41"/>
  <c r="E244" i="41"/>
  <c r="D244" i="41"/>
  <c r="C244" i="41"/>
  <c r="B244" i="41"/>
  <c r="AI130" i="41"/>
  <c r="AH130" i="41"/>
  <c r="AI129" i="41"/>
  <c r="AH129" i="41"/>
  <c r="AI128" i="41"/>
  <c r="AH128" i="41"/>
  <c r="AI127" i="41"/>
  <c r="AH127" i="41"/>
  <c r="AI126" i="41"/>
  <c r="AH126" i="41"/>
  <c r="AI122" i="41"/>
  <c r="AH122" i="41"/>
  <c r="AI121" i="41"/>
  <c r="AH121" i="41"/>
  <c r="AI120" i="41"/>
  <c r="AH120" i="41"/>
  <c r="AI119" i="41"/>
  <c r="AH119" i="41"/>
  <c r="D118" i="41"/>
  <c r="C118" i="41"/>
  <c r="AI117" i="41"/>
  <c r="AH117" i="41"/>
  <c r="AI116" i="41"/>
  <c r="AH116" i="41"/>
  <c r="AI115" i="41"/>
  <c r="AH115" i="41"/>
  <c r="AI114" i="41"/>
  <c r="AH114" i="41"/>
  <c r="AI113" i="41"/>
  <c r="AH113" i="41"/>
  <c r="AI112" i="41"/>
  <c r="AH112" i="41"/>
  <c r="AI111" i="41"/>
  <c r="AH111" i="41"/>
  <c r="AI110" i="41"/>
  <c r="AH110" i="41"/>
  <c r="AI109" i="41"/>
  <c r="AH109" i="41"/>
  <c r="AI106" i="41"/>
  <c r="AH106" i="41"/>
  <c r="AF105" i="41"/>
  <c r="AE105" i="41"/>
  <c r="AD105" i="41"/>
  <c r="AC105" i="41"/>
  <c r="AB105" i="41"/>
  <c r="AA105" i="41"/>
  <c r="Z105" i="41"/>
  <c r="Y105" i="41"/>
  <c r="X105" i="41"/>
  <c r="W105" i="41"/>
  <c r="T105" i="41"/>
  <c r="S105" i="41"/>
  <c r="R105" i="41"/>
  <c r="Q105" i="41"/>
  <c r="P105" i="41"/>
  <c r="O105" i="41"/>
  <c r="N105" i="41"/>
  <c r="M105" i="41"/>
  <c r="L105" i="41"/>
  <c r="K105" i="41"/>
  <c r="K107" i="41" s="1"/>
  <c r="K108" i="41" s="1"/>
  <c r="J105" i="41"/>
  <c r="I105" i="41"/>
  <c r="H105" i="41"/>
  <c r="G105" i="41"/>
  <c r="F105" i="41"/>
  <c r="E105" i="41"/>
  <c r="D105" i="41"/>
  <c r="C105" i="41"/>
  <c r="B105" i="41"/>
  <c r="AF104" i="41"/>
  <c r="AE104" i="41"/>
  <c r="AD104" i="41"/>
  <c r="AC104" i="41"/>
  <c r="AB104" i="41"/>
  <c r="AA104" i="41"/>
  <c r="Z104" i="41"/>
  <c r="Y104" i="41"/>
  <c r="X104" i="41"/>
  <c r="W104" i="41"/>
  <c r="T104" i="41"/>
  <c r="S104" i="41"/>
  <c r="R104" i="41"/>
  <c r="Q104" i="41"/>
  <c r="P104" i="41"/>
  <c r="O104" i="41"/>
  <c r="N104" i="41"/>
  <c r="M104" i="41"/>
  <c r="L104" i="41"/>
  <c r="K104" i="41"/>
  <c r="J104" i="41"/>
  <c r="I104" i="41"/>
  <c r="H104" i="41"/>
  <c r="G104" i="41"/>
  <c r="F104" i="41"/>
  <c r="E104" i="41"/>
  <c r="D104" i="41"/>
  <c r="D107" i="41" s="1"/>
  <c r="C104" i="41"/>
  <c r="B104" i="41"/>
  <c r="AF103" i="41"/>
  <c r="AE103" i="41"/>
  <c r="AD103" i="41"/>
  <c r="AC103" i="41"/>
  <c r="AB103" i="41"/>
  <c r="AA103" i="41"/>
  <c r="Z103" i="41"/>
  <c r="Y103" i="41"/>
  <c r="X103" i="41"/>
  <c r="W103" i="41"/>
  <c r="T103" i="41"/>
  <c r="S103" i="41"/>
  <c r="R103" i="41"/>
  <c r="Q103" i="41"/>
  <c r="P103" i="41"/>
  <c r="O103" i="41"/>
  <c r="N103" i="41"/>
  <c r="M103" i="41"/>
  <c r="L103" i="41"/>
  <c r="K103" i="41"/>
  <c r="J103" i="41"/>
  <c r="I103" i="41"/>
  <c r="H103" i="41"/>
  <c r="G103" i="41"/>
  <c r="F103" i="41"/>
  <c r="E103" i="41"/>
  <c r="D103" i="41"/>
  <c r="C103" i="41"/>
  <c r="B103" i="41"/>
  <c r="AF102" i="41"/>
  <c r="AE102" i="41"/>
  <c r="AD102" i="41"/>
  <c r="AC102" i="41"/>
  <c r="AB102" i="41"/>
  <c r="AA102" i="41"/>
  <c r="Z102" i="41"/>
  <c r="Y102" i="41"/>
  <c r="X102" i="41"/>
  <c r="X107" i="41" s="1"/>
  <c r="W102" i="41"/>
  <c r="T102" i="41"/>
  <c r="S102" i="41"/>
  <c r="R102" i="41"/>
  <c r="Q102" i="41"/>
  <c r="P102" i="41"/>
  <c r="O102" i="41"/>
  <c r="N102" i="41"/>
  <c r="M102" i="41"/>
  <c r="L102" i="41"/>
  <c r="K102" i="41"/>
  <c r="J102" i="41"/>
  <c r="I102" i="41"/>
  <c r="H102" i="41"/>
  <c r="G102" i="41"/>
  <c r="F102" i="41"/>
  <c r="E102" i="41"/>
  <c r="D102" i="41"/>
  <c r="C102" i="41"/>
  <c r="B102" i="41"/>
  <c r="AF101" i="41"/>
  <c r="AE101" i="41"/>
  <c r="AD101" i="41"/>
  <c r="AC101" i="41"/>
  <c r="AB101" i="41"/>
  <c r="AA101" i="41"/>
  <c r="Z101" i="41"/>
  <c r="Y101" i="41"/>
  <c r="Y107" i="41" s="1"/>
  <c r="X101" i="41"/>
  <c r="W101" i="41"/>
  <c r="W107" i="41" s="1"/>
  <c r="T101" i="41"/>
  <c r="S101" i="41"/>
  <c r="R101" i="41"/>
  <c r="Q101" i="41"/>
  <c r="P101" i="41"/>
  <c r="O101" i="41"/>
  <c r="O107" i="41" s="1"/>
  <c r="N101" i="41"/>
  <c r="M101" i="41"/>
  <c r="L101" i="41"/>
  <c r="K101" i="41"/>
  <c r="J101" i="41"/>
  <c r="I101" i="41"/>
  <c r="I107" i="41" s="1"/>
  <c r="H101" i="41"/>
  <c r="G101" i="41"/>
  <c r="F101" i="41"/>
  <c r="E101" i="41"/>
  <c r="D101" i="41"/>
  <c r="C101" i="41"/>
  <c r="B101" i="41"/>
  <c r="AI98" i="41"/>
  <c r="AH98" i="41"/>
  <c r="AI96" i="41"/>
  <c r="AH96" i="41"/>
  <c r="AG96" i="41"/>
  <c r="AG99" i="41" s="1"/>
  <c r="AI95" i="41"/>
  <c r="AH95" i="41"/>
  <c r="AI94" i="41"/>
  <c r="AH94" i="41"/>
  <c r="AI93" i="41"/>
  <c r="AH93" i="41"/>
  <c r="AG92" i="41"/>
  <c r="AF92" i="41"/>
  <c r="AE5" i="41" s="1"/>
  <c r="AE92" i="41"/>
  <c r="AD5" i="41" s="1"/>
  <c r="AD92" i="41"/>
  <c r="AC5" i="41" s="1"/>
  <c r="AC92" i="41"/>
  <c r="AB92" i="41"/>
  <c r="AA92" i="41"/>
  <c r="Z5" i="41" s="1"/>
  <c r="Z92" i="41"/>
  <c r="Y5" i="41" s="1"/>
  <c r="Y92" i="41"/>
  <c r="X92" i="41"/>
  <c r="W92" i="41"/>
  <c r="V5" i="41" s="1"/>
  <c r="T92" i="41"/>
  <c r="S92" i="41"/>
  <c r="R5" i="41" s="1"/>
  <c r="R92" i="41"/>
  <c r="Q92" i="41"/>
  <c r="P92" i="41"/>
  <c r="O92" i="41"/>
  <c r="O108" i="41" s="1"/>
  <c r="N92" i="41"/>
  <c r="M5" i="41" s="1"/>
  <c r="M92" i="41"/>
  <c r="L92" i="41"/>
  <c r="K92" i="41"/>
  <c r="K97" i="41" s="1"/>
  <c r="K99" i="41" s="1"/>
  <c r="AC261" i="41" s="1"/>
  <c r="J92" i="41"/>
  <c r="I5" i="41" s="1"/>
  <c r="I92" i="41"/>
  <c r="H92" i="41"/>
  <c r="G5" i="41" s="1"/>
  <c r="G92" i="41"/>
  <c r="G97" i="41" s="1"/>
  <c r="G99" i="41" s="1"/>
  <c r="F92" i="41"/>
  <c r="E5" i="41" s="1"/>
  <c r="E92" i="41"/>
  <c r="D5" i="41" s="1"/>
  <c r="D92" i="41"/>
  <c r="C92" i="41"/>
  <c r="B5" i="41" s="1"/>
  <c r="B92" i="41"/>
  <c r="AF5" i="41" s="1"/>
  <c r="AI91" i="41"/>
  <c r="AH91" i="41"/>
  <c r="AI90" i="41"/>
  <c r="AH90" i="41"/>
  <c r="AI89" i="41"/>
  <c r="AH89" i="41"/>
  <c r="AI88" i="41"/>
  <c r="AH88" i="41"/>
  <c r="AI87" i="41"/>
  <c r="AH87" i="41"/>
  <c r="AI86" i="41"/>
  <c r="AH86" i="41"/>
  <c r="AI85" i="41"/>
  <c r="AH85" i="41"/>
  <c r="AI84" i="41"/>
  <c r="AH84" i="41"/>
  <c r="AI83" i="41"/>
  <c r="AH83" i="41"/>
  <c r="AI82" i="41"/>
  <c r="AH82" i="41"/>
  <c r="AI81" i="41"/>
  <c r="AH81" i="41"/>
  <c r="AG80" i="41"/>
  <c r="AG4" i="41" s="1"/>
  <c r="AF80" i="41"/>
  <c r="AE80" i="41"/>
  <c r="AD80" i="41"/>
  <c r="AC80" i="41"/>
  <c r="AB80" i="41"/>
  <c r="AA80" i="41"/>
  <c r="Z80" i="41"/>
  <c r="Y80" i="41"/>
  <c r="X80" i="41"/>
  <c r="T80" i="41"/>
  <c r="S80" i="41"/>
  <c r="R80" i="41"/>
  <c r="Q80" i="41"/>
  <c r="P80" i="41"/>
  <c r="O80" i="41"/>
  <c r="N80" i="41"/>
  <c r="M80" i="41"/>
  <c r="L80" i="41"/>
  <c r="J80" i="41"/>
  <c r="I80" i="41"/>
  <c r="H80" i="41"/>
  <c r="G80" i="41"/>
  <c r="F80" i="41"/>
  <c r="E80" i="41"/>
  <c r="D80" i="41"/>
  <c r="C80" i="41"/>
  <c r="B80" i="41"/>
  <c r="AI79" i="41"/>
  <c r="AH79" i="41"/>
  <c r="AI78" i="41"/>
  <c r="AH78" i="41"/>
  <c r="AI77" i="41"/>
  <c r="AH77" i="41"/>
  <c r="AG76" i="41"/>
  <c r="AF76" i="41"/>
  <c r="AE76" i="41"/>
  <c r="AD76" i="41"/>
  <c r="AC76" i="41"/>
  <c r="AB76" i="41"/>
  <c r="AA76" i="41"/>
  <c r="Z76" i="41"/>
  <c r="Y76" i="41"/>
  <c r="X76" i="41"/>
  <c r="W76" i="41"/>
  <c r="T76" i="41"/>
  <c r="S76" i="41"/>
  <c r="R76" i="41"/>
  <c r="Q76" i="41"/>
  <c r="P76" i="41"/>
  <c r="O76" i="41"/>
  <c r="N76" i="41"/>
  <c r="M76" i="41"/>
  <c r="L76" i="41"/>
  <c r="J76" i="41"/>
  <c r="J97" i="41" s="1"/>
  <c r="J99" i="41" s="1"/>
  <c r="I76" i="41"/>
  <c r="I97" i="41" s="1"/>
  <c r="I99" i="41" s="1"/>
  <c r="H76" i="41"/>
  <c r="G76" i="41"/>
  <c r="F76" i="41"/>
  <c r="E76" i="41"/>
  <c r="D76" i="41"/>
  <c r="C76" i="41"/>
  <c r="B76" i="41"/>
  <c r="AI75" i="41"/>
  <c r="AH75" i="41"/>
  <c r="AG75" i="41"/>
  <c r="AI74" i="41"/>
  <c r="AH74" i="41"/>
  <c r="AI73" i="41"/>
  <c r="AH73" i="41"/>
  <c r="AI72" i="41"/>
  <c r="AH72" i="41"/>
  <c r="AI71" i="41"/>
  <c r="AH71" i="41"/>
  <c r="AI70" i="41"/>
  <c r="AH70" i="41"/>
  <c r="AI69" i="41"/>
  <c r="AH69" i="41"/>
  <c r="AI68" i="41"/>
  <c r="AH68" i="41"/>
  <c r="AI67" i="41"/>
  <c r="AH67" i="41"/>
  <c r="AI66" i="41"/>
  <c r="AH66" i="41"/>
  <c r="AI65" i="41"/>
  <c r="AH65" i="41"/>
  <c r="AI64" i="41"/>
  <c r="AH64" i="41"/>
  <c r="AI63" i="41"/>
  <c r="AH63" i="41"/>
  <c r="AG62" i="41"/>
  <c r="AF62" i="41"/>
  <c r="AE62" i="41"/>
  <c r="AD62" i="41"/>
  <c r="AC62" i="41"/>
  <c r="AB62" i="41"/>
  <c r="AA62" i="41"/>
  <c r="Z62" i="41"/>
  <c r="Y62" i="41"/>
  <c r="X62" i="41"/>
  <c r="W62" i="41"/>
  <c r="T62" i="41"/>
  <c r="S62" i="41"/>
  <c r="R62" i="41"/>
  <c r="Q62" i="41"/>
  <c r="P62" i="41"/>
  <c r="O62" i="41"/>
  <c r="N62" i="41"/>
  <c r="M62" i="41"/>
  <c r="G62" i="41"/>
  <c r="D62" i="41"/>
  <c r="C62" i="41"/>
  <c r="B62" i="41"/>
  <c r="AI61" i="41"/>
  <c r="AH61" i="41"/>
  <c r="AI60" i="41"/>
  <c r="AH60" i="41"/>
  <c r="AI59" i="41"/>
  <c r="AH59" i="41"/>
  <c r="AG58" i="41"/>
  <c r="AG2" i="41" s="1"/>
  <c r="AF58" i="41"/>
  <c r="AE58" i="41"/>
  <c r="AD58" i="41"/>
  <c r="AC58" i="41"/>
  <c r="AB58" i="41"/>
  <c r="AA58" i="41"/>
  <c r="Z58" i="41"/>
  <c r="Y58" i="41"/>
  <c r="X58" i="41"/>
  <c r="W58" i="41"/>
  <c r="T58" i="41"/>
  <c r="S58" i="41"/>
  <c r="R58" i="41"/>
  <c r="Q58" i="41"/>
  <c r="P58" i="41"/>
  <c r="O58" i="41"/>
  <c r="N58" i="41"/>
  <c r="M58" i="41"/>
  <c r="L58" i="41"/>
  <c r="D58" i="41"/>
  <c r="C58" i="41"/>
  <c r="AI57" i="41"/>
  <c r="AH57" i="41"/>
  <c r="AI56" i="41"/>
  <c r="AH56" i="41"/>
  <c r="AI55" i="41"/>
  <c r="AH55" i="41"/>
  <c r="AI54" i="41"/>
  <c r="AH54" i="41"/>
  <c r="AI53" i="41"/>
  <c r="AH53" i="41"/>
  <c r="AI52" i="41"/>
  <c r="AH52" i="41"/>
  <c r="AI51" i="41"/>
  <c r="AH51" i="41"/>
  <c r="AI50" i="41"/>
  <c r="AH50" i="41"/>
  <c r="AI49" i="41"/>
  <c r="AH49" i="41"/>
  <c r="AI48" i="41"/>
  <c r="AH48" i="41"/>
  <c r="AI47" i="41"/>
  <c r="AH47" i="41"/>
  <c r="AI46" i="41"/>
  <c r="AH46" i="41"/>
  <c r="AI45" i="41"/>
  <c r="AH45" i="41"/>
  <c r="AI44" i="41"/>
  <c r="AH44" i="41"/>
  <c r="AI43" i="41"/>
  <c r="AH43" i="41"/>
  <c r="AI42" i="41"/>
  <c r="AH42" i="41"/>
  <c r="AI41" i="41"/>
  <c r="AH41" i="41"/>
  <c r="AI40" i="41"/>
  <c r="AH40" i="41"/>
  <c r="AI39" i="41"/>
  <c r="AH39" i="41"/>
  <c r="AI38" i="41"/>
  <c r="AH38" i="41"/>
  <c r="AI37" i="41"/>
  <c r="AH37" i="41"/>
  <c r="AI36" i="41"/>
  <c r="AH36" i="41"/>
  <c r="AI35" i="41"/>
  <c r="AH35" i="41"/>
  <c r="AI34" i="41"/>
  <c r="AH34" i="41"/>
  <c r="AI33" i="41"/>
  <c r="AH33" i="41"/>
  <c r="AI32" i="41"/>
  <c r="AH32" i="41"/>
  <c r="AI31" i="41"/>
  <c r="AH31" i="41"/>
  <c r="AI30" i="41"/>
  <c r="AH30" i="41"/>
  <c r="AI29" i="41"/>
  <c r="AH29" i="41"/>
  <c r="AI28" i="41"/>
  <c r="AH28" i="41"/>
  <c r="AI27" i="41"/>
  <c r="AH27" i="41"/>
  <c r="AI26" i="41"/>
  <c r="AH26" i="41"/>
  <c r="AI25" i="41"/>
  <c r="AH25" i="41"/>
  <c r="AI24" i="41"/>
  <c r="AH24" i="41"/>
  <c r="AI23" i="41"/>
  <c r="AH23" i="41"/>
  <c r="AI22" i="41"/>
  <c r="AH22" i="41"/>
  <c r="AI21" i="41"/>
  <c r="AH21" i="41"/>
  <c r="AI20" i="41"/>
  <c r="AH20" i="41"/>
  <c r="AI19" i="41"/>
  <c r="AH19" i="41"/>
  <c r="AI18" i="41"/>
  <c r="AH18" i="41"/>
  <c r="AI17" i="41"/>
  <c r="AH17" i="41"/>
  <c r="AI16" i="41"/>
  <c r="AH16" i="41"/>
  <c r="AI15" i="41"/>
  <c r="AH15" i="41"/>
  <c r="AI14" i="41"/>
  <c r="AH14" i="41"/>
  <c r="AI13" i="41"/>
  <c r="AH13" i="41"/>
  <c r="AI12" i="41"/>
  <c r="AH12" i="41"/>
  <c r="AI11" i="41"/>
  <c r="AH11" i="41"/>
  <c r="U5" i="41"/>
  <c r="T5" i="41"/>
  <c r="O5" i="41"/>
  <c r="K4" i="41"/>
  <c r="E4" i="41"/>
  <c r="H4" i="41" s="1"/>
  <c r="B4" i="41"/>
  <c r="S258" i="41" s="1"/>
  <c r="AG3" i="41"/>
  <c r="AF123" i="40"/>
  <c r="AE123" i="40"/>
  <c r="AD123" i="40"/>
  <c r="AC123" i="40"/>
  <c r="AB123" i="40"/>
  <c r="AA123" i="40"/>
  <c r="AA58" i="40"/>
  <c r="AA62" i="40"/>
  <c r="AA76" i="40"/>
  <c r="AA80" i="40"/>
  <c r="AA92" i="40"/>
  <c r="AA108" i="40" s="1"/>
  <c r="AA101" i="40"/>
  <c r="AA102" i="40"/>
  <c r="AA103" i="40"/>
  <c r="AA104" i="40"/>
  <c r="AA105" i="40"/>
  <c r="AA107" i="40"/>
  <c r="AA118" i="40"/>
  <c r="Z123" i="40"/>
  <c r="Z58" i="40"/>
  <c r="Z62" i="40"/>
  <c r="Z76" i="40"/>
  <c r="Z80" i="40"/>
  <c r="Z92" i="40"/>
  <c r="Z101" i="40"/>
  <c r="Z102" i="40"/>
  <c r="Z103" i="40"/>
  <c r="Z104" i="40"/>
  <c r="Z105" i="40"/>
  <c r="Z118" i="40"/>
  <c r="Y123" i="40"/>
  <c r="Y58" i="40"/>
  <c r="Y62" i="40"/>
  <c r="Y76" i="40"/>
  <c r="Y80" i="40"/>
  <c r="Y92" i="40"/>
  <c r="Y108" i="40" s="1"/>
  <c r="Y101" i="40"/>
  <c r="Y102" i="40"/>
  <c r="Y103" i="40"/>
  <c r="Y104" i="40"/>
  <c r="Y105" i="40"/>
  <c r="Y107" i="40" s="1"/>
  <c r="Y118" i="40"/>
  <c r="X124" i="40"/>
  <c r="X118" i="40"/>
  <c r="X105" i="40"/>
  <c r="X104" i="40"/>
  <c r="X103" i="40"/>
  <c r="X102" i="40"/>
  <c r="X101" i="40"/>
  <c r="X92" i="40"/>
  <c r="X80" i="40"/>
  <c r="X76" i="40"/>
  <c r="X62" i="40"/>
  <c r="X58" i="40"/>
  <c r="W123" i="40"/>
  <c r="W58" i="40"/>
  <c r="W62" i="40"/>
  <c r="W76" i="40"/>
  <c r="W80" i="40"/>
  <c r="W92" i="40"/>
  <c r="W101" i="40"/>
  <c r="W107" i="40" s="1"/>
  <c r="W102" i="40"/>
  <c r="W103" i="40"/>
  <c r="W104" i="40"/>
  <c r="W105" i="40"/>
  <c r="W118" i="40"/>
  <c r="V58" i="40"/>
  <c r="V97" i="40" s="1"/>
  <c r="V99" i="40" s="1"/>
  <c r="V100" i="40" s="1"/>
  <c r="V62" i="40"/>
  <c r="V76" i="40"/>
  <c r="V80" i="40"/>
  <c r="V92" i="40"/>
  <c r="V101" i="40"/>
  <c r="V107" i="40" s="1"/>
  <c r="V108" i="40" s="1"/>
  <c r="V102" i="40"/>
  <c r="V103" i="40"/>
  <c r="V104" i="40"/>
  <c r="V105" i="40"/>
  <c r="V123" i="40"/>
  <c r="V118" i="40" s="1"/>
  <c r="U123" i="40"/>
  <c r="U118" i="40" s="1"/>
  <c r="U58" i="40"/>
  <c r="U62" i="40"/>
  <c r="U76" i="40"/>
  <c r="U80" i="40"/>
  <c r="U92" i="40"/>
  <c r="U101" i="40"/>
  <c r="U102" i="40"/>
  <c r="U103" i="40"/>
  <c r="U104" i="40"/>
  <c r="U105" i="40"/>
  <c r="T123" i="40"/>
  <c r="T58" i="40"/>
  <c r="T62" i="40"/>
  <c r="T76" i="40"/>
  <c r="T80" i="40"/>
  <c r="T92" i="40"/>
  <c r="T101" i="40"/>
  <c r="T107" i="40" s="1"/>
  <c r="T102" i="40"/>
  <c r="T103" i="40"/>
  <c r="T104" i="40"/>
  <c r="T105" i="40"/>
  <c r="T118" i="40"/>
  <c r="G251" i="42" l="1"/>
  <c r="E282" i="42"/>
  <c r="F118" i="42"/>
  <c r="K6" i="42"/>
  <c r="AI108" i="42"/>
  <c r="AH108" i="42"/>
  <c r="T261" i="42"/>
  <c r="B100" i="42"/>
  <c r="AI99" i="42"/>
  <c r="AH99" i="42"/>
  <c r="I246" i="42"/>
  <c r="G247" i="42"/>
  <c r="F252" i="42"/>
  <c r="AE107" i="41"/>
  <c r="AE108" i="41"/>
  <c r="AF107" i="41"/>
  <c r="AF97" i="41"/>
  <c r="AF99" i="41" s="1"/>
  <c r="AX261" i="41" s="1"/>
  <c r="AE97" i="41"/>
  <c r="AE99" i="41" s="1"/>
  <c r="AE100" i="41" s="1"/>
  <c r="AE7" i="41" s="1"/>
  <c r="AC107" i="41"/>
  <c r="AC108" i="41" s="1"/>
  <c r="AB5" i="41"/>
  <c r="AC97" i="41"/>
  <c r="AC99" i="41" s="1"/>
  <c r="AD97" i="41"/>
  <c r="AD99" i="41" s="1"/>
  <c r="AV261" i="41" s="1"/>
  <c r="AB107" i="41"/>
  <c r="AA107" i="41"/>
  <c r="AA108" i="41" s="1"/>
  <c r="AA97" i="41"/>
  <c r="AA99" i="41" s="1"/>
  <c r="AS261" i="41" s="1"/>
  <c r="Z107" i="41"/>
  <c r="Z108" i="41" s="1"/>
  <c r="Z97" i="41"/>
  <c r="Z99" i="41" s="1"/>
  <c r="Y97" i="41"/>
  <c r="Y99" i="41" s="1"/>
  <c r="X108" i="41"/>
  <c r="W5" i="41"/>
  <c r="X97" i="41"/>
  <c r="X99" i="41" s="1"/>
  <c r="AP261" i="41" s="1"/>
  <c r="W108" i="41"/>
  <c r="W97" i="41"/>
  <c r="W99" i="41" s="1"/>
  <c r="T107" i="41"/>
  <c r="S107" i="41"/>
  <c r="S97" i="41"/>
  <c r="S99" i="41" s="1"/>
  <c r="AK261" i="41" s="1"/>
  <c r="R107" i="41"/>
  <c r="R108" i="41" s="1"/>
  <c r="Q5" i="41"/>
  <c r="R97" i="41"/>
  <c r="R99" i="41" s="1"/>
  <c r="AJ261" i="41" s="1"/>
  <c r="Q97" i="41"/>
  <c r="Q99" i="41" s="1"/>
  <c r="AI261" i="41" s="1"/>
  <c r="Q107" i="41"/>
  <c r="P107" i="41"/>
  <c r="P108" i="41" s="1"/>
  <c r="P97" i="41"/>
  <c r="P99" i="41" s="1"/>
  <c r="AH261" i="41" s="1"/>
  <c r="N5" i="41"/>
  <c r="O97" i="41"/>
  <c r="O99" i="41" s="1"/>
  <c r="O100" i="41" s="1"/>
  <c r="O7" i="41" s="1"/>
  <c r="N97" i="41"/>
  <c r="N99" i="41" s="1"/>
  <c r="AF261" i="41" s="1"/>
  <c r="M107" i="41"/>
  <c r="M108" i="41" s="1"/>
  <c r="L5" i="41"/>
  <c r="M97" i="41"/>
  <c r="M99" i="41" s="1"/>
  <c r="AE261" i="41" s="1"/>
  <c r="L107" i="41"/>
  <c r="J5" i="41"/>
  <c r="K100" i="41"/>
  <c r="K7" i="41" s="1"/>
  <c r="J107" i="41"/>
  <c r="J108" i="41" s="1"/>
  <c r="H107" i="41"/>
  <c r="H97" i="41"/>
  <c r="H99" i="41" s="1"/>
  <c r="G107" i="41"/>
  <c r="G108" i="41"/>
  <c r="F5" i="41"/>
  <c r="F97" i="41"/>
  <c r="F99" i="41" s="1"/>
  <c r="E97" i="41"/>
  <c r="E99" i="41" s="1"/>
  <c r="W261" i="41" s="1"/>
  <c r="E107" i="41"/>
  <c r="E108" i="41" s="1"/>
  <c r="AI123" i="41"/>
  <c r="AI62" i="41"/>
  <c r="C97" i="41"/>
  <c r="C99" i="41" s="1"/>
  <c r="U261" i="41" s="1"/>
  <c r="D258" i="41"/>
  <c r="AB261" i="41"/>
  <c r="J100" i="41"/>
  <c r="J7" i="41" s="1"/>
  <c r="S108" i="41"/>
  <c r="AU261" i="41"/>
  <c r="AC100" i="41"/>
  <c r="AC7" i="41" s="1"/>
  <c r="AM261" i="41"/>
  <c r="U7" i="41"/>
  <c r="AN261" i="41"/>
  <c r="V7" i="41"/>
  <c r="H100" i="41"/>
  <c r="H7" i="41" s="1"/>
  <c r="AA261" i="41"/>
  <c r="I100" i="41"/>
  <c r="I7" i="41" s="1"/>
  <c r="H108" i="41"/>
  <c r="AQ261" i="41"/>
  <c r="Y100" i="41"/>
  <c r="Y7" i="41" s="1"/>
  <c r="AH58" i="41"/>
  <c r="H5" i="41"/>
  <c r="I108" i="41"/>
  <c r="P5" i="41"/>
  <c r="Q108" i="41"/>
  <c r="X5" i="41"/>
  <c r="Y108" i="41"/>
  <c r="P100" i="41"/>
  <c r="P7" i="41" s="1"/>
  <c r="AH103" i="41"/>
  <c r="Z261" i="41"/>
  <c r="AF108" i="41"/>
  <c r="Y261" i="41"/>
  <c r="G100" i="41"/>
  <c r="G7" i="41" s="1"/>
  <c r="AG261" i="41"/>
  <c r="AO261" i="41"/>
  <c r="W100" i="41"/>
  <c r="W7" i="41" s="1"/>
  <c r="AW261" i="41"/>
  <c r="AI92" i="41"/>
  <c r="AG97" i="41"/>
  <c r="F107" i="41"/>
  <c r="F100" i="41" s="1"/>
  <c r="F7" i="41" s="1"/>
  <c r="N107" i="41"/>
  <c r="AD107" i="41"/>
  <c r="X261" i="41"/>
  <c r="X100" i="41"/>
  <c r="X7" i="41" s="1"/>
  <c r="AG6" i="41"/>
  <c r="AI80" i="41"/>
  <c r="C5" i="41"/>
  <c r="D108" i="41"/>
  <c r="K5" i="41"/>
  <c r="L108" i="41"/>
  <c r="S5" i="41"/>
  <c r="T108" i="41"/>
  <c r="AA5" i="41"/>
  <c r="AB108" i="41"/>
  <c r="AA100" i="41"/>
  <c r="AA7" i="41" s="1"/>
  <c r="AI105" i="41"/>
  <c r="AR261" i="41"/>
  <c r="Z100" i="41"/>
  <c r="Z7" i="41" s="1"/>
  <c r="AI101" i="41"/>
  <c r="AH102" i="41"/>
  <c r="AI104" i="41"/>
  <c r="AH105" i="41"/>
  <c r="C107" i="41"/>
  <c r="C108" i="41" s="1"/>
  <c r="C282" i="41"/>
  <c r="E251" i="41"/>
  <c r="AI76" i="41"/>
  <c r="B107" i="41"/>
  <c r="AH101" i="41"/>
  <c r="AI102" i="41"/>
  <c r="AI103" i="41"/>
  <c r="F246" i="41"/>
  <c r="E118" i="41"/>
  <c r="D97" i="41"/>
  <c r="D99" i="41" s="1"/>
  <c r="L97" i="41"/>
  <c r="L99" i="41" s="1"/>
  <c r="T97" i="41"/>
  <c r="T99" i="41" s="1"/>
  <c r="AB97" i="41"/>
  <c r="AB99" i="41" s="1"/>
  <c r="AH76" i="41"/>
  <c r="AH80" i="41"/>
  <c r="AH92" i="41"/>
  <c r="AH62" i="41"/>
  <c r="B97" i="41"/>
  <c r="AI58" i="41"/>
  <c r="AH104" i="41"/>
  <c r="AA97" i="40"/>
  <c r="AA99" i="40" s="1"/>
  <c r="AA100" i="40" s="1"/>
  <c r="Z107" i="40"/>
  <c r="Z108" i="40" s="1"/>
  <c r="Z97" i="40"/>
  <c r="Z99" i="40" s="1"/>
  <c r="X97" i="40"/>
  <c r="X99" i="40" s="1"/>
  <c r="X107" i="40"/>
  <c r="X108" i="40" s="1"/>
  <c r="Y97" i="40"/>
  <c r="Y99" i="40" s="1"/>
  <c r="Y100" i="40" s="1"/>
  <c r="X100" i="40"/>
  <c r="W97" i="40"/>
  <c r="W99" i="40" s="1"/>
  <c r="W100" i="40" s="1"/>
  <c r="W108" i="40"/>
  <c r="U107" i="40"/>
  <c r="U108" i="40"/>
  <c r="U97" i="40"/>
  <c r="U99" i="40" s="1"/>
  <c r="U100" i="40" s="1"/>
  <c r="T108" i="40"/>
  <c r="T97" i="40"/>
  <c r="T99" i="40" s="1"/>
  <c r="T100" i="40" s="1"/>
  <c r="S123" i="40"/>
  <c r="S58" i="40"/>
  <c r="S62" i="40"/>
  <c r="S76" i="40"/>
  <c r="S80" i="40"/>
  <c r="S92" i="40"/>
  <c r="S108" i="40" s="1"/>
  <c r="S101" i="40"/>
  <c r="S102" i="40"/>
  <c r="S103" i="40"/>
  <c r="S104" i="40"/>
  <c r="S105" i="40"/>
  <c r="S107" i="40"/>
  <c r="S118" i="40"/>
  <c r="R123" i="40"/>
  <c r="R58" i="40"/>
  <c r="R62" i="40"/>
  <c r="R76" i="40"/>
  <c r="R92" i="40"/>
  <c r="P118" i="40"/>
  <c r="Q118" i="40"/>
  <c r="Q123" i="40"/>
  <c r="P123" i="40"/>
  <c r="O123" i="40"/>
  <c r="O121" i="40"/>
  <c r="O58" i="40"/>
  <c r="O62" i="40"/>
  <c r="O76" i="40"/>
  <c r="O80" i="40"/>
  <c r="O92" i="40"/>
  <c r="O101" i="40"/>
  <c r="O107" i="40" s="1"/>
  <c r="O102" i="40"/>
  <c r="O103" i="40"/>
  <c r="O104" i="40"/>
  <c r="O105" i="40"/>
  <c r="N123" i="40"/>
  <c r="N58" i="40"/>
  <c r="N62" i="40"/>
  <c r="N76" i="40"/>
  <c r="N80" i="40"/>
  <c r="M123" i="40"/>
  <c r="M58" i="40"/>
  <c r="M62" i="40"/>
  <c r="L123" i="40"/>
  <c r="K123" i="40"/>
  <c r="J123" i="40"/>
  <c r="I123" i="40"/>
  <c r="H123" i="40"/>
  <c r="G123" i="40"/>
  <c r="F123" i="40"/>
  <c r="E123" i="40"/>
  <c r="E121" i="40"/>
  <c r="D123" i="40"/>
  <c r="H247" i="42" l="1"/>
  <c r="G252" i="42"/>
  <c r="AI100" i="42"/>
  <c r="AH100" i="42"/>
  <c r="B7" i="42"/>
  <c r="A7" i="42" s="1"/>
  <c r="J246" i="42"/>
  <c r="F282" i="42"/>
  <c r="H251" i="42"/>
  <c r="G118" i="42"/>
  <c r="AF100" i="41"/>
  <c r="AF7" i="41" s="1"/>
  <c r="AD100" i="41"/>
  <c r="AD7" i="41" s="1"/>
  <c r="S100" i="41"/>
  <c r="S7" i="41" s="1"/>
  <c r="R100" i="41"/>
  <c r="R7" i="41" s="1"/>
  <c r="Q100" i="41"/>
  <c r="Q7" i="41" s="1"/>
  <c r="N100" i="41"/>
  <c r="N7" i="41" s="1"/>
  <c r="N108" i="41"/>
  <c r="M100" i="41"/>
  <c r="M7" i="41" s="1"/>
  <c r="B256" i="41"/>
  <c r="E100" i="41"/>
  <c r="E7" i="41" s="1"/>
  <c r="AI97" i="41"/>
  <c r="AH97" i="41"/>
  <c r="B99" i="41"/>
  <c r="V261" i="41"/>
  <c r="D100" i="41"/>
  <c r="D7" i="41" s="1"/>
  <c r="AD108" i="41"/>
  <c r="G246" i="41"/>
  <c r="F108" i="41"/>
  <c r="AD261" i="41"/>
  <c r="L100" i="41"/>
  <c r="L7" i="41" s="1"/>
  <c r="C256" i="41"/>
  <c r="K6" i="41" s="1"/>
  <c r="AT261" i="41"/>
  <c r="AB100" i="41"/>
  <c r="AB7" i="41" s="1"/>
  <c r="D282" i="41"/>
  <c r="F251" i="41"/>
  <c r="C100" i="41"/>
  <c r="C7" i="41" s="1"/>
  <c r="AL261" i="41"/>
  <c r="T100" i="41"/>
  <c r="T7" i="41" s="1"/>
  <c r="AI107" i="41"/>
  <c r="AH107" i="41"/>
  <c r="B108" i="41"/>
  <c r="E252" i="41"/>
  <c r="Z100" i="40"/>
  <c r="S97" i="40"/>
  <c r="S99" i="40" s="1"/>
  <c r="S100" i="40" s="1"/>
  <c r="O118" i="40"/>
  <c r="O97" i="40"/>
  <c r="O99" i="40" s="1"/>
  <c r="O100" i="40" s="1"/>
  <c r="O108" i="40"/>
  <c r="C58" i="40"/>
  <c r="C62" i="40"/>
  <c r="C76" i="40"/>
  <c r="C80" i="40"/>
  <c r="C92" i="40"/>
  <c r="C101" i="40"/>
  <c r="C102" i="40"/>
  <c r="C103" i="40"/>
  <c r="C104" i="40"/>
  <c r="C105" i="40"/>
  <c r="C118" i="40"/>
  <c r="B105" i="40"/>
  <c r="B104" i="40"/>
  <c r="B103" i="40"/>
  <c r="B102" i="40"/>
  <c r="B101" i="40"/>
  <c r="B92" i="40"/>
  <c r="B80" i="40"/>
  <c r="B76" i="40"/>
  <c r="B62" i="40"/>
  <c r="B58" i="40"/>
  <c r="AF286" i="40"/>
  <c r="AE286" i="40"/>
  <c r="AD286" i="40"/>
  <c r="AC286" i="40"/>
  <c r="AB286" i="40"/>
  <c r="AA286" i="40"/>
  <c r="Z286" i="40"/>
  <c r="Y286" i="40"/>
  <c r="X286" i="40"/>
  <c r="W286" i="40"/>
  <c r="V286" i="40"/>
  <c r="U286" i="40"/>
  <c r="T286" i="40"/>
  <c r="S286" i="40"/>
  <c r="R286" i="40"/>
  <c r="Q286" i="40"/>
  <c r="P286" i="40"/>
  <c r="O286" i="40"/>
  <c r="N286" i="40"/>
  <c r="M286" i="40"/>
  <c r="L286" i="40"/>
  <c r="K286" i="40"/>
  <c r="J286" i="40"/>
  <c r="I286" i="40"/>
  <c r="H286" i="40"/>
  <c r="G286" i="40"/>
  <c r="F286" i="40"/>
  <c r="E286" i="40"/>
  <c r="D286" i="40"/>
  <c r="C286" i="40"/>
  <c r="B286" i="40"/>
  <c r="A286" i="40"/>
  <c r="AF285" i="40"/>
  <c r="AE285" i="40"/>
  <c r="AD285" i="40"/>
  <c r="AC285" i="40"/>
  <c r="AB285" i="40"/>
  <c r="AA285" i="40"/>
  <c r="Z285" i="40"/>
  <c r="Y285" i="40"/>
  <c r="X285" i="40"/>
  <c r="W285" i="40"/>
  <c r="V285" i="40"/>
  <c r="U285" i="40"/>
  <c r="T285" i="40"/>
  <c r="S285" i="40"/>
  <c r="R285" i="40"/>
  <c r="Q285" i="40"/>
  <c r="P285" i="40"/>
  <c r="O285" i="40"/>
  <c r="N285" i="40"/>
  <c r="M285" i="40"/>
  <c r="L285" i="40"/>
  <c r="K285" i="40"/>
  <c r="J285" i="40"/>
  <c r="I285" i="40"/>
  <c r="H285" i="40"/>
  <c r="G285" i="40"/>
  <c r="F285" i="40"/>
  <c r="E285" i="40"/>
  <c r="D285" i="40"/>
  <c r="C285" i="40"/>
  <c r="B285" i="40"/>
  <c r="A285" i="40"/>
  <c r="AF284" i="40"/>
  <c r="AE284" i="40"/>
  <c r="AD284" i="40"/>
  <c r="AC284" i="40"/>
  <c r="AB284" i="40"/>
  <c r="AA284" i="40"/>
  <c r="Z284" i="40"/>
  <c r="Y284" i="40"/>
  <c r="X284" i="40"/>
  <c r="W284" i="40"/>
  <c r="V284" i="40"/>
  <c r="U284" i="40"/>
  <c r="T284" i="40"/>
  <c r="S284" i="40"/>
  <c r="R284" i="40"/>
  <c r="Q284" i="40"/>
  <c r="P284" i="40"/>
  <c r="O284" i="40"/>
  <c r="N284" i="40"/>
  <c r="M284" i="40"/>
  <c r="L284" i="40"/>
  <c r="K284" i="40"/>
  <c r="J284" i="40"/>
  <c r="I284" i="40"/>
  <c r="H284" i="40"/>
  <c r="G284" i="40"/>
  <c r="F284" i="40"/>
  <c r="E284" i="40"/>
  <c r="D284" i="40"/>
  <c r="C284" i="40"/>
  <c r="B284" i="40"/>
  <c r="A284" i="40"/>
  <c r="AF283" i="40"/>
  <c r="AE283" i="40"/>
  <c r="AD283" i="40"/>
  <c r="AC283" i="40"/>
  <c r="AB283" i="40"/>
  <c r="AA283" i="40"/>
  <c r="Z283" i="40"/>
  <c r="Y283" i="40"/>
  <c r="X283" i="40"/>
  <c r="W283" i="40"/>
  <c r="V283" i="40"/>
  <c r="U283" i="40"/>
  <c r="T283" i="40"/>
  <c r="S283" i="40"/>
  <c r="R283" i="40"/>
  <c r="Q283" i="40"/>
  <c r="P283" i="40"/>
  <c r="O283" i="40"/>
  <c r="N283" i="40"/>
  <c r="M283" i="40"/>
  <c r="L283" i="40"/>
  <c r="K283" i="40"/>
  <c r="J283" i="40"/>
  <c r="I283" i="40"/>
  <c r="H283" i="40"/>
  <c r="G283" i="40"/>
  <c r="F283" i="40"/>
  <c r="E283" i="40"/>
  <c r="D283" i="40"/>
  <c r="C283" i="40"/>
  <c r="B283" i="40"/>
  <c r="A283" i="40"/>
  <c r="C282" i="40"/>
  <c r="B282" i="40"/>
  <c r="S257" i="40"/>
  <c r="AG252" i="40"/>
  <c r="C252" i="40"/>
  <c r="E251" i="40"/>
  <c r="D251" i="40"/>
  <c r="D250" i="40"/>
  <c r="E250" i="40" s="1"/>
  <c r="F250" i="40" s="1"/>
  <c r="G250" i="40" s="1"/>
  <c r="H250" i="40" s="1"/>
  <c r="I250" i="40" s="1"/>
  <c r="J250" i="40" s="1"/>
  <c r="K250" i="40" s="1"/>
  <c r="L250" i="40" s="1"/>
  <c r="M250" i="40" s="1"/>
  <c r="N250" i="40" s="1"/>
  <c r="O250" i="40" s="1"/>
  <c r="P250" i="40" s="1"/>
  <c r="Q250" i="40" s="1"/>
  <c r="R250" i="40" s="1"/>
  <c r="S250" i="40" s="1"/>
  <c r="T250" i="40" s="1"/>
  <c r="U250" i="40" s="1"/>
  <c r="V250" i="40" s="1"/>
  <c r="W250" i="40" s="1"/>
  <c r="X250" i="40" s="1"/>
  <c r="Y250" i="40" s="1"/>
  <c r="Z250" i="40" s="1"/>
  <c r="AA250" i="40" s="1"/>
  <c r="AB250" i="40" s="1"/>
  <c r="AC250" i="40" s="1"/>
  <c r="AD250" i="40" s="1"/>
  <c r="AE250" i="40" s="1"/>
  <c r="AF250" i="40" s="1"/>
  <c r="B250" i="40" s="1"/>
  <c r="D249" i="40"/>
  <c r="E249" i="40" s="1"/>
  <c r="F249" i="40" s="1"/>
  <c r="G249" i="40" s="1"/>
  <c r="H249" i="40" s="1"/>
  <c r="I249" i="40" s="1"/>
  <c r="J249" i="40" s="1"/>
  <c r="K249" i="40" s="1"/>
  <c r="L249" i="40" s="1"/>
  <c r="M249" i="40" s="1"/>
  <c r="N249" i="40" s="1"/>
  <c r="O249" i="40" s="1"/>
  <c r="P249" i="40" s="1"/>
  <c r="Q249" i="40" s="1"/>
  <c r="R249" i="40" s="1"/>
  <c r="S249" i="40" s="1"/>
  <c r="T249" i="40" s="1"/>
  <c r="U249" i="40" s="1"/>
  <c r="V249" i="40" s="1"/>
  <c r="W249" i="40" s="1"/>
  <c r="X249" i="40" s="1"/>
  <c r="Y249" i="40" s="1"/>
  <c r="Z249" i="40" s="1"/>
  <c r="AA249" i="40" s="1"/>
  <c r="AB249" i="40" s="1"/>
  <c r="AC249" i="40" s="1"/>
  <c r="AD249" i="40" s="1"/>
  <c r="AE249" i="40" s="1"/>
  <c r="AF249" i="40" s="1"/>
  <c r="B249" i="40" s="1"/>
  <c r="E248" i="40"/>
  <c r="F248" i="40" s="1"/>
  <c r="G248" i="40" s="1"/>
  <c r="H248" i="40" s="1"/>
  <c r="I248" i="40" s="1"/>
  <c r="J248" i="40" s="1"/>
  <c r="K248" i="40" s="1"/>
  <c r="L248" i="40" s="1"/>
  <c r="M248" i="40" s="1"/>
  <c r="N248" i="40" s="1"/>
  <c r="O248" i="40" s="1"/>
  <c r="P248" i="40" s="1"/>
  <c r="Q248" i="40" s="1"/>
  <c r="R248" i="40" s="1"/>
  <c r="S248" i="40" s="1"/>
  <c r="T248" i="40" s="1"/>
  <c r="U248" i="40" s="1"/>
  <c r="V248" i="40" s="1"/>
  <c r="W248" i="40" s="1"/>
  <c r="X248" i="40" s="1"/>
  <c r="Y248" i="40" s="1"/>
  <c r="Z248" i="40" s="1"/>
  <c r="AA248" i="40" s="1"/>
  <c r="AB248" i="40" s="1"/>
  <c r="AC248" i="40" s="1"/>
  <c r="AD248" i="40" s="1"/>
  <c r="AE248" i="40" s="1"/>
  <c r="AF248" i="40" s="1"/>
  <c r="B248" i="40" s="1"/>
  <c r="D248" i="40"/>
  <c r="D247" i="40"/>
  <c r="E247" i="40" s="1"/>
  <c r="F247" i="40" s="1"/>
  <c r="G247" i="40" s="1"/>
  <c r="H247" i="40" s="1"/>
  <c r="I247" i="40" s="1"/>
  <c r="J247" i="40" s="1"/>
  <c r="K247" i="40" s="1"/>
  <c r="L247" i="40" s="1"/>
  <c r="M247" i="40" s="1"/>
  <c r="N247" i="40" s="1"/>
  <c r="O247" i="40" s="1"/>
  <c r="P247" i="40" s="1"/>
  <c r="Q247" i="40" s="1"/>
  <c r="R247" i="40" s="1"/>
  <c r="S247" i="40" s="1"/>
  <c r="T247" i="40" s="1"/>
  <c r="U247" i="40" s="1"/>
  <c r="V247" i="40" s="1"/>
  <c r="W247" i="40" s="1"/>
  <c r="X247" i="40" s="1"/>
  <c r="Y247" i="40" s="1"/>
  <c r="Z247" i="40" s="1"/>
  <c r="AA247" i="40" s="1"/>
  <c r="AB247" i="40" s="1"/>
  <c r="AC247" i="40" s="1"/>
  <c r="AD247" i="40" s="1"/>
  <c r="AE247" i="40" s="1"/>
  <c r="AF247" i="40" s="1"/>
  <c r="B247" i="40" s="1"/>
  <c r="D246" i="40"/>
  <c r="AG244" i="40"/>
  <c r="AF244" i="40"/>
  <c r="AE244" i="40"/>
  <c r="AD244" i="40"/>
  <c r="AC244" i="40"/>
  <c r="AB244" i="40"/>
  <c r="AA244" i="40"/>
  <c r="Z244" i="40"/>
  <c r="Y244" i="40"/>
  <c r="X244" i="40"/>
  <c r="W244" i="40"/>
  <c r="V244" i="40"/>
  <c r="U244" i="40"/>
  <c r="T244" i="40"/>
  <c r="S244" i="40"/>
  <c r="R244" i="40"/>
  <c r="Q244" i="40"/>
  <c r="P244" i="40"/>
  <c r="O244" i="40"/>
  <c r="N244" i="40"/>
  <c r="M244" i="40"/>
  <c r="L244" i="40"/>
  <c r="K244" i="40"/>
  <c r="J244" i="40"/>
  <c r="I244" i="40"/>
  <c r="H244" i="40"/>
  <c r="G244" i="40"/>
  <c r="F244" i="40"/>
  <c r="E244" i="40"/>
  <c r="D244" i="40"/>
  <c r="C244" i="40"/>
  <c r="B244" i="40"/>
  <c r="AI130" i="40"/>
  <c r="AH130" i="40"/>
  <c r="AI129" i="40"/>
  <c r="AH129" i="40"/>
  <c r="AI128" i="40"/>
  <c r="AH128" i="40"/>
  <c r="AI127" i="40"/>
  <c r="AH127" i="40"/>
  <c r="AI126" i="40"/>
  <c r="AH126" i="40"/>
  <c r="AI123" i="40"/>
  <c r="AH123" i="40"/>
  <c r="AI122" i="40"/>
  <c r="AH122" i="40"/>
  <c r="AI121" i="40"/>
  <c r="AH121" i="40"/>
  <c r="AI120" i="40"/>
  <c r="AH120" i="40"/>
  <c r="AI119" i="40"/>
  <c r="AH119" i="40"/>
  <c r="AI117" i="40"/>
  <c r="AH117" i="40"/>
  <c r="AI116" i="40"/>
  <c r="AH116" i="40"/>
  <c r="AI115" i="40"/>
  <c r="AH115" i="40"/>
  <c r="AI114" i="40"/>
  <c r="AH114" i="40"/>
  <c r="AI113" i="40"/>
  <c r="AH113" i="40"/>
  <c r="AI112" i="40"/>
  <c r="AH112" i="40"/>
  <c r="AI111" i="40"/>
  <c r="AH111" i="40"/>
  <c r="AI110" i="40"/>
  <c r="AH110" i="40"/>
  <c r="AI109" i="40"/>
  <c r="AH109" i="40"/>
  <c r="AI106" i="40"/>
  <c r="AH106" i="40"/>
  <c r="AF105" i="40"/>
  <c r="AE105" i="40"/>
  <c r="AD105" i="40"/>
  <c r="AC105" i="40"/>
  <c r="AB105" i="40"/>
  <c r="R105" i="40"/>
  <c r="Q105" i="40"/>
  <c r="P105" i="40"/>
  <c r="N105" i="40"/>
  <c r="M105" i="40"/>
  <c r="L105" i="40"/>
  <c r="K105" i="40"/>
  <c r="J105" i="40"/>
  <c r="I105" i="40"/>
  <c r="H105" i="40"/>
  <c r="G105" i="40"/>
  <c r="F105" i="40"/>
  <c r="E105" i="40"/>
  <c r="D105" i="40"/>
  <c r="AF104" i="40"/>
  <c r="AE104" i="40"/>
  <c r="AD104" i="40"/>
  <c r="AC104" i="40"/>
  <c r="AB104" i="40"/>
  <c r="R104" i="40"/>
  <c r="Q104" i="40"/>
  <c r="P104" i="40"/>
  <c r="N104" i="40"/>
  <c r="M104" i="40"/>
  <c r="L104" i="40"/>
  <c r="K104" i="40"/>
  <c r="J104" i="40"/>
  <c r="I104" i="40"/>
  <c r="H104" i="40"/>
  <c r="G104" i="40"/>
  <c r="F104" i="40"/>
  <c r="E104" i="40"/>
  <c r="D104" i="40"/>
  <c r="AF103" i="40"/>
  <c r="AE103" i="40"/>
  <c r="AD103" i="40"/>
  <c r="AC103" i="40"/>
  <c r="AB103" i="40"/>
  <c r="R103" i="40"/>
  <c r="Q103" i="40"/>
  <c r="P103" i="40"/>
  <c r="N103" i="40"/>
  <c r="M103" i="40"/>
  <c r="L103" i="40"/>
  <c r="K103" i="40"/>
  <c r="J103" i="40"/>
  <c r="I103" i="40"/>
  <c r="H103" i="40"/>
  <c r="G103" i="40"/>
  <c r="F103" i="40"/>
  <c r="E103" i="40"/>
  <c r="D103" i="40"/>
  <c r="AF102" i="40"/>
  <c r="AE102" i="40"/>
  <c r="AD102" i="40"/>
  <c r="AC102" i="40"/>
  <c r="AB102" i="40"/>
  <c r="R102" i="40"/>
  <c r="R107" i="40" s="1"/>
  <c r="Q102" i="40"/>
  <c r="P102" i="40"/>
  <c r="N102" i="40"/>
  <c r="M102" i="40"/>
  <c r="L102" i="40"/>
  <c r="K102" i="40"/>
  <c r="J102" i="40"/>
  <c r="I102" i="40"/>
  <c r="H102" i="40"/>
  <c r="G102" i="40"/>
  <c r="F102" i="40"/>
  <c r="E102" i="40"/>
  <c r="D102" i="40"/>
  <c r="AF101" i="40"/>
  <c r="AE101" i="40"/>
  <c r="AD101" i="40"/>
  <c r="AC101" i="40"/>
  <c r="AB101" i="40"/>
  <c r="R101" i="40"/>
  <c r="Q101" i="40"/>
  <c r="P101" i="40"/>
  <c r="N101" i="40"/>
  <c r="M101" i="40"/>
  <c r="L101" i="40"/>
  <c r="K101" i="40"/>
  <c r="J101" i="40"/>
  <c r="I101" i="40"/>
  <c r="H101" i="40"/>
  <c r="G101" i="40"/>
  <c r="F101" i="40"/>
  <c r="E101" i="40"/>
  <c r="D101" i="40"/>
  <c r="AI98" i="40"/>
  <c r="AH98" i="40"/>
  <c r="AI96" i="40"/>
  <c r="AH96" i="40"/>
  <c r="AG96" i="40"/>
  <c r="AI95" i="40"/>
  <c r="AH95" i="40"/>
  <c r="AI94" i="40"/>
  <c r="AH94" i="40"/>
  <c r="AI93" i="40"/>
  <c r="AH93" i="40"/>
  <c r="AG92" i="40"/>
  <c r="AF92" i="40"/>
  <c r="AE5" i="40" s="1"/>
  <c r="AE92" i="40"/>
  <c r="AD5" i="40" s="1"/>
  <c r="AD92" i="40"/>
  <c r="AC5" i="40" s="1"/>
  <c r="AC92" i="40"/>
  <c r="AB92" i="40"/>
  <c r="AA5" i="40" s="1"/>
  <c r="Z5" i="40"/>
  <c r="R5" i="40"/>
  <c r="Q92" i="40"/>
  <c r="P5" i="40" s="1"/>
  <c r="P92" i="40"/>
  <c r="O5" i="40" s="1"/>
  <c r="N92" i="40"/>
  <c r="M5" i="40" s="1"/>
  <c r="M92" i="40"/>
  <c r="L5" i="40" s="1"/>
  <c r="L92" i="40"/>
  <c r="K5" i="40" s="1"/>
  <c r="K92" i="40"/>
  <c r="J5" i="40" s="1"/>
  <c r="J92" i="40"/>
  <c r="I92" i="40"/>
  <c r="H92" i="40"/>
  <c r="G5" i="40" s="1"/>
  <c r="G92" i="40"/>
  <c r="F5" i="40" s="1"/>
  <c r="F92" i="40"/>
  <c r="E5" i="40" s="1"/>
  <c r="E92" i="40"/>
  <c r="D5" i="40" s="1"/>
  <c r="D92" i="40"/>
  <c r="AI91" i="40"/>
  <c r="AH91" i="40"/>
  <c r="AI90" i="40"/>
  <c r="AH90" i="40"/>
  <c r="AI89" i="40"/>
  <c r="AH89" i="40"/>
  <c r="AI88" i="40"/>
  <c r="AH88" i="40"/>
  <c r="AI87" i="40"/>
  <c r="AH87" i="40"/>
  <c r="AI86" i="40"/>
  <c r="AH86" i="40"/>
  <c r="AI85" i="40"/>
  <c r="AH85" i="40"/>
  <c r="AI84" i="40"/>
  <c r="AH84" i="40"/>
  <c r="AI83" i="40"/>
  <c r="AH83" i="40"/>
  <c r="AI82" i="40"/>
  <c r="AH82" i="40"/>
  <c r="AI81" i="40"/>
  <c r="AH81" i="40"/>
  <c r="AG80" i="40"/>
  <c r="AF80" i="40"/>
  <c r="AE80" i="40"/>
  <c r="AD80" i="40"/>
  <c r="AC80" i="40"/>
  <c r="AB80" i="40"/>
  <c r="R80" i="40"/>
  <c r="Q80" i="40"/>
  <c r="P80" i="40"/>
  <c r="M80" i="40"/>
  <c r="L80" i="40"/>
  <c r="K80" i="40"/>
  <c r="J80" i="40"/>
  <c r="I80" i="40"/>
  <c r="H80" i="40"/>
  <c r="G80" i="40"/>
  <c r="F80" i="40"/>
  <c r="E80" i="40"/>
  <c r="D80" i="40"/>
  <c r="AI79" i="40"/>
  <c r="AH79" i="40"/>
  <c r="AI78" i="40"/>
  <c r="AH78" i="40"/>
  <c r="AI77" i="40"/>
  <c r="AH77" i="40"/>
  <c r="AF76" i="40"/>
  <c r="AE76" i="40"/>
  <c r="AD76" i="40"/>
  <c r="AC76" i="40"/>
  <c r="AB76" i="40"/>
  <c r="Q76" i="40"/>
  <c r="P76" i="40"/>
  <c r="M76" i="40"/>
  <c r="L76" i="40"/>
  <c r="K76" i="40"/>
  <c r="J76" i="40"/>
  <c r="I76" i="40"/>
  <c r="H76" i="40"/>
  <c r="G76" i="40"/>
  <c r="F76" i="40"/>
  <c r="E76" i="40"/>
  <c r="D76" i="40"/>
  <c r="AI75" i="40"/>
  <c r="AH75" i="40"/>
  <c r="AG75" i="40"/>
  <c r="AG76" i="40" s="1"/>
  <c r="AG3" i="40" s="1"/>
  <c r="AI74" i="40"/>
  <c r="AH74" i="40"/>
  <c r="AI73" i="40"/>
  <c r="AH73" i="40"/>
  <c r="AI72" i="40"/>
  <c r="AH72" i="40"/>
  <c r="AI71" i="40"/>
  <c r="AH71" i="40"/>
  <c r="AI70" i="40"/>
  <c r="AH70" i="40"/>
  <c r="AI69" i="40"/>
  <c r="AH69" i="40"/>
  <c r="AI68" i="40"/>
  <c r="AH68" i="40"/>
  <c r="AI67" i="40"/>
  <c r="AH67" i="40"/>
  <c r="AI66" i="40"/>
  <c r="AH66" i="40"/>
  <c r="AI65" i="40"/>
  <c r="AH65" i="40"/>
  <c r="AI64" i="40"/>
  <c r="AH64" i="40"/>
  <c r="AI63" i="40"/>
  <c r="AH63" i="40"/>
  <c r="AG62" i="40"/>
  <c r="AF62" i="40"/>
  <c r="AE62" i="40"/>
  <c r="AD62" i="40"/>
  <c r="AC62" i="40"/>
  <c r="AB62" i="40"/>
  <c r="Q62" i="40"/>
  <c r="P62" i="40"/>
  <c r="L62" i="40"/>
  <c r="K62" i="40"/>
  <c r="J62" i="40"/>
  <c r="I62" i="40"/>
  <c r="H62" i="40"/>
  <c r="G62" i="40"/>
  <c r="F62" i="40"/>
  <c r="E62" i="40"/>
  <c r="D62" i="40"/>
  <c r="AI61" i="40"/>
  <c r="AH61" i="40"/>
  <c r="AI60" i="40"/>
  <c r="AH60" i="40"/>
  <c r="AI59" i="40"/>
  <c r="AH59" i="40"/>
  <c r="AG58" i="40"/>
  <c r="AF58" i="40"/>
  <c r="AE58" i="40"/>
  <c r="AD58" i="40"/>
  <c r="AC58" i="40"/>
  <c r="AB58" i="40"/>
  <c r="Q58" i="40"/>
  <c r="P58" i="40"/>
  <c r="L58" i="40"/>
  <c r="K58" i="40"/>
  <c r="J58" i="40"/>
  <c r="I58" i="40"/>
  <c r="H58" i="40"/>
  <c r="G58" i="40"/>
  <c r="F58" i="40"/>
  <c r="F97" i="40" s="1"/>
  <c r="F99" i="40" s="1"/>
  <c r="E58" i="40"/>
  <c r="D58" i="40"/>
  <c r="AI57" i="40"/>
  <c r="AH57" i="40"/>
  <c r="AI56" i="40"/>
  <c r="AH56" i="40"/>
  <c r="AI55" i="40"/>
  <c r="AH55" i="40"/>
  <c r="AI54" i="40"/>
  <c r="AH54" i="40"/>
  <c r="AI53" i="40"/>
  <c r="AH53" i="40"/>
  <c r="AI52" i="40"/>
  <c r="AH52" i="40"/>
  <c r="AI51" i="40"/>
  <c r="AH51" i="40"/>
  <c r="AI50" i="40"/>
  <c r="AH50" i="40"/>
  <c r="AI49" i="40"/>
  <c r="AH49" i="40"/>
  <c r="AI48" i="40"/>
  <c r="AH48" i="40"/>
  <c r="AI47" i="40"/>
  <c r="AH47" i="40"/>
  <c r="AI46" i="40"/>
  <c r="AH46" i="40"/>
  <c r="AI45" i="40"/>
  <c r="AH45" i="40"/>
  <c r="AI44" i="40"/>
  <c r="AH44" i="40"/>
  <c r="AI43" i="40"/>
  <c r="AH43" i="40"/>
  <c r="AI42" i="40"/>
  <c r="AH42" i="40"/>
  <c r="AI41" i="40"/>
  <c r="AH41" i="40"/>
  <c r="AI40" i="40"/>
  <c r="AH40" i="40"/>
  <c r="AI39" i="40"/>
  <c r="AH39" i="40"/>
  <c r="AI38" i="40"/>
  <c r="AH38" i="40"/>
  <c r="AI37" i="40"/>
  <c r="AH37" i="40"/>
  <c r="AI36" i="40"/>
  <c r="AH36" i="40"/>
  <c r="AI35" i="40"/>
  <c r="AH35" i="40"/>
  <c r="AI34" i="40"/>
  <c r="AH34" i="40"/>
  <c r="AI33" i="40"/>
  <c r="AH33" i="40"/>
  <c r="AI32" i="40"/>
  <c r="AH32" i="40"/>
  <c r="AI31" i="40"/>
  <c r="AH31" i="40"/>
  <c r="AI30" i="40"/>
  <c r="AH30" i="40"/>
  <c r="AI29" i="40"/>
  <c r="AH29" i="40"/>
  <c r="AI28" i="40"/>
  <c r="AH28" i="40"/>
  <c r="AI27" i="40"/>
  <c r="AH27" i="40"/>
  <c r="AI26" i="40"/>
  <c r="AH26" i="40"/>
  <c r="AI25" i="40"/>
  <c r="AH25" i="40"/>
  <c r="AI24" i="40"/>
  <c r="AH24" i="40"/>
  <c r="AI23" i="40"/>
  <c r="AH23" i="40"/>
  <c r="AI22" i="40"/>
  <c r="AH22" i="40"/>
  <c r="AI21" i="40"/>
  <c r="AH21" i="40"/>
  <c r="AI20" i="40"/>
  <c r="AH20" i="40"/>
  <c r="AI19" i="40"/>
  <c r="AH19" i="40"/>
  <c r="AI18" i="40"/>
  <c r="AH18" i="40"/>
  <c r="AI17" i="40"/>
  <c r="AH17" i="40"/>
  <c r="AI16" i="40"/>
  <c r="AH16" i="40"/>
  <c r="AI15" i="40"/>
  <c r="AH15" i="40"/>
  <c r="AI14" i="40"/>
  <c r="AH14" i="40"/>
  <c r="AI13" i="40"/>
  <c r="AH13" i="40"/>
  <c r="AI12" i="40"/>
  <c r="AH12" i="40"/>
  <c r="AI11" i="40"/>
  <c r="AH11" i="40"/>
  <c r="AB5" i="40"/>
  <c r="X5" i="40"/>
  <c r="W5" i="40"/>
  <c r="V5" i="40"/>
  <c r="U5" i="40"/>
  <c r="T5" i="40"/>
  <c r="S5" i="40"/>
  <c r="N5" i="40"/>
  <c r="H5" i="40"/>
  <c r="AG4" i="40"/>
  <c r="K4" i="40"/>
  <c r="E4" i="40"/>
  <c r="H4" i="40" s="1"/>
  <c r="B4" i="40"/>
  <c r="AG2" i="40"/>
  <c r="AF58" i="39"/>
  <c r="AF62" i="39"/>
  <c r="AF76" i="39"/>
  <c r="AF80" i="39"/>
  <c r="AF92" i="39"/>
  <c r="AF101" i="39"/>
  <c r="AF102" i="39"/>
  <c r="AF103" i="39"/>
  <c r="AF104" i="39"/>
  <c r="AF105" i="39"/>
  <c r="AF118" i="39"/>
  <c r="AE58" i="39"/>
  <c r="AE62" i="39"/>
  <c r="AE76" i="39"/>
  <c r="AE80" i="39"/>
  <c r="AE92" i="39"/>
  <c r="AE101" i="39"/>
  <c r="AE102" i="39"/>
  <c r="AE103" i="39"/>
  <c r="AE104" i="39"/>
  <c r="AE107" i="39" s="1"/>
  <c r="AE105" i="39"/>
  <c r="AE118" i="39"/>
  <c r="AD58" i="39"/>
  <c r="AD62" i="39"/>
  <c r="AD76" i="39"/>
  <c r="AD80" i="39"/>
  <c r="AD92" i="39"/>
  <c r="AD97" i="39" s="1"/>
  <c r="AD99" i="39" s="1"/>
  <c r="AD100" i="39" s="1"/>
  <c r="AD101" i="39"/>
  <c r="AD102" i="39"/>
  <c r="AD103" i="39"/>
  <c r="AD104" i="39"/>
  <c r="AD105" i="39"/>
  <c r="AD107" i="39"/>
  <c r="AD118" i="39"/>
  <c r="AD123" i="39"/>
  <c r="K246" i="42" l="1"/>
  <c r="G282" i="42"/>
  <c r="I251" i="42"/>
  <c r="H118" i="42"/>
  <c r="I247" i="42"/>
  <c r="H252" i="42"/>
  <c r="H246" i="41"/>
  <c r="AH108" i="41"/>
  <c r="AI108" i="41"/>
  <c r="T261" i="41"/>
  <c r="B100" i="41"/>
  <c r="AI99" i="41"/>
  <c r="AH99" i="41"/>
  <c r="G251" i="41"/>
  <c r="G118" i="41" s="1"/>
  <c r="E282" i="41"/>
  <c r="F252" i="41"/>
  <c r="F118" i="41"/>
  <c r="AF107" i="40"/>
  <c r="AF108" i="40"/>
  <c r="AD97" i="40"/>
  <c r="AD99" i="40" s="1"/>
  <c r="Q107" i="40"/>
  <c r="Q108" i="40"/>
  <c r="P107" i="40"/>
  <c r="P108" i="40" s="1"/>
  <c r="N97" i="40"/>
  <c r="N99" i="40" s="1"/>
  <c r="AF261" i="40" s="1"/>
  <c r="P97" i="40"/>
  <c r="P99" i="40" s="1"/>
  <c r="AH261" i="40" s="1"/>
  <c r="AF97" i="40"/>
  <c r="AF99" i="40" s="1"/>
  <c r="AF100" i="40" s="1"/>
  <c r="AF7" i="40" s="1"/>
  <c r="C107" i="40"/>
  <c r="Q97" i="40"/>
  <c r="Q99" i="40" s="1"/>
  <c r="AI261" i="40" s="1"/>
  <c r="AQ261" i="40"/>
  <c r="D252" i="40"/>
  <c r="AB107" i="40"/>
  <c r="AB108" i="40" s="1"/>
  <c r="AS261" i="40"/>
  <c r="W7" i="40"/>
  <c r="AE97" i="40"/>
  <c r="AE99" i="40" s="1"/>
  <c r="AW261" i="40" s="1"/>
  <c r="AB97" i="40"/>
  <c r="AB99" i="40" s="1"/>
  <c r="AT261" i="40" s="1"/>
  <c r="F107" i="40"/>
  <c r="N107" i="40"/>
  <c r="AD107" i="40"/>
  <c r="AD100" i="40" s="1"/>
  <c r="AD7" i="40" s="1"/>
  <c r="M97" i="40"/>
  <c r="M99" i="40" s="1"/>
  <c r="AE261" i="40" s="1"/>
  <c r="AC97" i="40"/>
  <c r="AC99" i="40" s="1"/>
  <c r="AU261" i="40" s="1"/>
  <c r="K97" i="40"/>
  <c r="K99" i="40" s="1"/>
  <c r="AC261" i="40" s="1"/>
  <c r="I97" i="40"/>
  <c r="I99" i="40" s="1"/>
  <c r="AA261" i="40" s="1"/>
  <c r="H97" i="40"/>
  <c r="H99" i="40" s="1"/>
  <c r="L97" i="40"/>
  <c r="L99" i="40" s="1"/>
  <c r="AD261" i="40" s="1"/>
  <c r="I107" i="40"/>
  <c r="I108" i="40" s="1"/>
  <c r="J107" i="40"/>
  <c r="J108" i="40" s="1"/>
  <c r="AI102" i="40"/>
  <c r="K107" i="40"/>
  <c r="K108" i="40" s="1"/>
  <c r="L107" i="40"/>
  <c r="L108" i="40" s="1"/>
  <c r="G97" i="40"/>
  <c r="G99" i="40" s="1"/>
  <c r="Y261" i="40" s="1"/>
  <c r="E97" i="40"/>
  <c r="E99" i="40" s="1"/>
  <c r="W261" i="40" s="1"/>
  <c r="D107" i="40"/>
  <c r="D108" i="40" s="1"/>
  <c r="C5" i="40"/>
  <c r="AI105" i="40"/>
  <c r="AI80" i="40"/>
  <c r="D97" i="40"/>
  <c r="D99" i="40" s="1"/>
  <c r="V261" i="40" s="1"/>
  <c r="AI62" i="40"/>
  <c r="C97" i="40"/>
  <c r="C99" i="40" s="1"/>
  <c r="C100" i="40" s="1"/>
  <c r="C7" i="40" s="1"/>
  <c r="C108" i="40"/>
  <c r="B5" i="40"/>
  <c r="AI76" i="40"/>
  <c r="AI101" i="40"/>
  <c r="AH76" i="40"/>
  <c r="B97" i="40"/>
  <c r="B99" i="40" s="1"/>
  <c r="B107" i="40"/>
  <c r="AG261" i="40"/>
  <c r="Y5" i="40"/>
  <c r="AG97" i="40"/>
  <c r="AH80" i="40"/>
  <c r="F251" i="40"/>
  <c r="D282" i="40"/>
  <c r="J97" i="40"/>
  <c r="J99" i="40" s="1"/>
  <c r="R97" i="40"/>
  <c r="R99" i="40" s="1"/>
  <c r="AK261" i="40"/>
  <c r="S7" i="40"/>
  <c r="Z261" i="40"/>
  <c r="AL261" i="40"/>
  <c r="T7" i="40"/>
  <c r="F108" i="40"/>
  <c r="N108" i="40"/>
  <c r="E107" i="40"/>
  <c r="M107" i="40"/>
  <c r="M108" i="40" s="1"/>
  <c r="AC107" i="40"/>
  <c r="AF5" i="40"/>
  <c r="AI92" i="40"/>
  <c r="I5" i="40"/>
  <c r="S258" i="40"/>
  <c r="D258" i="40"/>
  <c r="X261" i="40"/>
  <c r="F100" i="40"/>
  <c r="F7" i="40" s="1"/>
  <c r="AN261" i="40"/>
  <c r="V7" i="40"/>
  <c r="AV261" i="40"/>
  <c r="G107" i="40"/>
  <c r="G108" i="40" s="1"/>
  <c r="O7" i="40"/>
  <c r="AE107" i="40"/>
  <c r="AE108" i="40" s="1"/>
  <c r="AI104" i="40"/>
  <c r="AP261" i="40"/>
  <c r="X7" i="40"/>
  <c r="Q5" i="40"/>
  <c r="R108" i="40"/>
  <c r="AH92" i="40"/>
  <c r="AG6" i="40"/>
  <c r="AM261" i="40"/>
  <c r="U7" i="40"/>
  <c r="AG99" i="40"/>
  <c r="Y7" i="40"/>
  <c r="AH101" i="40"/>
  <c r="H107" i="40"/>
  <c r="H108" i="40" s="1"/>
  <c r="AI103" i="40"/>
  <c r="D118" i="40"/>
  <c r="AH102" i="40"/>
  <c r="E246" i="40"/>
  <c r="AH58" i="40"/>
  <c r="AH62" i="40"/>
  <c r="AH103" i="40"/>
  <c r="AI58" i="40"/>
  <c r="AH104" i="40"/>
  <c r="AH105" i="40"/>
  <c r="AF107" i="39"/>
  <c r="AF108" i="39"/>
  <c r="AF97" i="39"/>
  <c r="AF99" i="39" s="1"/>
  <c r="AF100" i="39" s="1"/>
  <c r="AE108" i="39"/>
  <c r="AE97" i="39"/>
  <c r="AE99" i="39" s="1"/>
  <c r="AE100" i="39" s="1"/>
  <c r="AD108" i="39"/>
  <c r="AC123" i="39"/>
  <c r="AB58" i="39"/>
  <c r="AB62" i="39"/>
  <c r="AB76" i="39"/>
  <c r="AB80" i="39"/>
  <c r="AB92" i="39"/>
  <c r="AB101" i="39"/>
  <c r="AB102" i="39"/>
  <c r="AB103" i="39"/>
  <c r="AB104" i="39"/>
  <c r="AB105" i="39"/>
  <c r="AB118" i="39"/>
  <c r="AB123" i="39"/>
  <c r="AA123" i="39"/>
  <c r="AA58" i="39"/>
  <c r="AA62" i="39"/>
  <c r="AA76" i="39"/>
  <c r="AA80" i="39"/>
  <c r="AA92" i="39"/>
  <c r="AA97" i="39" s="1"/>
  <c r="AA99" i="39" s="1"/>
  <c r="AA101" i="39"/>
  <c r="AA102" i="39"/>
  <c r="AA103" i="39"/>
  <c r="AA104" i="39"/>
  <c r="AA105" i="39"/>
  <c r="AA107" i="39"/>
  <c r="AA118" i="39"/>
  <c r="Z123" i="39"/>
  <c r="Y123" i="39"/>
  <c r="Y58" i="39"/>
  <c r="Y62" i="39"/>
  <c r="Y76" i="39"/>
  <c r="Y80" i="39"/>
  <c r="Y92" i="39"/>
  <c r="Y101" i="39"/>
  <c r="Y102" i="39"/>
  <c r="Y103" i="39"/>
  <c r="Y104" i="39"/>
  <c r="Y105" i="39"/>
  <c r="Y107" i="39"/>
  <c r="Y118" i="39"/>
  <c r="X123" i="39"/>
  <c r="X118" i="39"/>
  <c r="X105" i="39"/>
  <c r="X104" i="39"/>
  <c r="X103" i="39"/>
  <c r="X102" i="39"/>
  <c r="X107" i="39" s="1"/>
  <c r="X101" i="39"/>
  <c r="X92" i="39"/>
  <c r="X108" i="39" s="1"/>
  <c r="X80" i="39"/>
  <c r="X76" i="39"/>
  <c r="X62" i="39"/>
  <c r="X97" i="39" s="1"/>
  <c r="X99" i="39" s="1"/>
  <c r="X58" i="39"/>
  <c r="W123" i="39"/>
  <c r="W58" i="39"/>
  <c r="W62" i="39"/>
  <c r="W76" i="39"/>
  <c r="W80" i="39"/>
  <c r="W92" i="39"/>
  <c r="W101" i="39"/>
  <c r="W102" i="39"/>
  <c r="W103" i="39"/>
  <c r="W104" i="39"/>
  <c r="W105" i="39"/>
  <c r="W118" i="39"/>
  <c r="H282" i="42" l="1"/>
  <c r="J251" i="42"/>
  <c r="I118" i="42"/>
  <c r="J247" i="42"/>
  <c r="I252" i="42"/>
  <c r="L246" i="42"/>
  <c r="AI100" i="41"/>
  <c r="AH100" i="41"/>
  <c r="B7" i="41"/>
  <c r="A7" i="41" s="1"/>
  <c r="F282" i="41"/>
  <c r="H251" i="41"/>
  <c r="G252" i="41"/>
  <c r="I246" i="41"/>
  <c r="H252" i="41"/>
  <c r="AX261" i="40"/>
  <c r="AE100" i="40"/>
  <c r="AE7" i="40" s="1"/>
  <c r="AD108" i="40"/>
  <c r="AC100" i="40"/>
  <c r="AC7" i="40" s="1"/>
  <c r="AB100" i="40"/>
  <c r="AB7" i="40" s="1"/>
  <c r="P100" i="40"/>
  <c r="P7" i="40" s="1"/>
  <c r="N100" i="40"/>
  <c r="N7" i="40" s="1"/>
  <c r="I100" i="40"/>
  <c r="I7" i="40" s="1"/>
  <c r="AO261" i="40"/>
  <c r="Q100" i="40"/>
  <c r="Q7" i="40" s="1"/>
  <c r="AA7" i="40"/>
  <c r="K100" i="40"/>
  <c r="K7" i="40" s="1"/>
  <c r="C256" i="40"/>
  <c r="L100" i="40"/>
  <c r="L7" i="40" s="1"/>
  <c r="AI107" i="40"/>
  <c r="H100" i="40"/>
  <c r="H7" i="40" s="1"/>
  <c r="E100" i="40"/>
  <c r="E7" i="40" s="1"/>
  <c r="E108" i="40"/>
  <c r="U261" i="40"/>
  <c r="D100" i="40"/>
  <c r="D7" i="40" s="1"/>
  <c r="B100" i="40"/>
  <c r="B108" i="40"/>
  <c r="AR261" i="40"/>
  <c r="Z7" i="40"/>
  <c r="AC108" i="40"/>
  <c r="B256" i="40"/>
  <c r="M100" i="40"/>
  <c r="M7" i="40" s="1"/>
  <c r="AH107" i="40"/>
  <c r="J100" i="40"/>
  <c r="J7" i="40" s="1"/>
  <c r="AB261" i="40"/>
  <c r="E282" i="40"/>
  <c r="G251" i="40"/>
  <c r="G100" i="40"/>
  <c r="G7" i="40" s="1"/>
  <c r="F246" i="40"/>
  <c r="E252" i="40"/>
  <c r="E118" i="40"/>
  <c r="AJ261" i="40"/>
  <c r="R100" i="40"/>
  <c r="R7" i="40" s="1"/>
  <c r="AI97" i="40"/>
  <c r="AH97" i="40"/>
  <c r="AB107" i="39"/>
  <c r="AB108" i="39"/>
  <c r="AB97" i="39"/>
  <c r="AB99" i="39" s="1"/>
  <c r="AB100" i="39" s="1"/>
  <c r="AA100" i="39"/>
  <c r="AA108" i="39"/>
  <c r="Y97" i="39"/>
  <c r="Y99" i="39" s="1"/>
  <c r="Y100" i="39" s="1"/>
  <c r="Y108" i="39"/>
  <c r="X100" i="39"/>
  <c r="W107" i="39"/>
  <c r="W108" i="39"/>
  <c r="W97" i="39"/>
  <c r="W99" i="39" s="1"/>
  <c r="W100" i="39" s="1"/>
  <c r="V123" i="39"/>
  <c r="V118" i="39" s="1"/>
  <c r="V58" i="39"/>
  <c r="V62" i="39"/>
  <c r="V76" i="39"/>
  <c r="V80" i="39"/>
  <c r="V92" i="39"/>
  <c r="V101" i="39"/>
  <c r="V102" i="39"/>
  <c r="V103" i="39"/>
  <c r="V104" i="39"/>
  <c r="V107" i="39" s="1"/>
  <c r="V105" i="39"/>
  <c r="U123" i="39"/>
  <c r="U118" i="39" s="1"/>
  <c r="U58" i="39"/>
  <c r="U62" i="39"/>
  <c r="U76" i="39"/>
  <c r="U80" i="39"/>
  <c r="U92" i="39"/>
  <c r="U101" i="39"/>
  <c r="U102" i="39"/>
  <c r="U103" i="39"/>
  <c r="U104" i="39"/>
  <c r="U105" i="39"/>
  <c r="T123" i="39"/>
  <c r="T58" i="39"/>
  <c r="T62" i="39"/>
  <c r="T76" i="39"/>
  <c r="T80" i="39"/>
  <c r="T92" i="39"/>
  <c r="T108" i="39" s="1"/>
  <c r="T101" i="39"/>
  <c r="T107" i="39" s="1"/>
  <c r="T102" i="39"/>
  <c r="T103" i="39"/>
  <c r="T104" i="39"/>
  <c r="T105" i="39"/>
  <c r="T118" i="39"/>
  <c r="S58" i="39"/>
  <c r="S62" i="39"/>
  <c r="Q123" i="39"/>
  <c r="K247" i="42" l="1"/>
  <c r="J252" i="42"/>
  <c r="K251" i="42"/>
  <c r="I282" i="42"/>
  <c r="J118" i="42"/>
  <c r="M246" i="42"/>
  <c r="J246" i="41"/>
  <c r="G282" i="41"/>
  <c r="I251" i="41"/>
  <c r="H118" i="41"/>
  <c r="AH108" i="40"/>
  <c r="AI108" i="40"/>
  <c r="K6" i="40"/>
  <c r="F252" i="40"/>
  <c r="G246" i="40"/>
  <c r="F118" i="40"/>
  <c r="T261" i="40"/>
  <c r="AH99" i="40"/>
  <c r="AI99" i="40"/>
  <c r="F282" i="40"/>
  <c r="H251" i="40"/>
  <c r="V97" i="39"/>
  <c r="V99" i="39" s="1"/>
  <c r="V100" i="39" s="1"/>
  <c r="V108" i="39"/>
  <c r="U107" i="39"/>
  <c r="U108" i="39"/>
  <c r="U97" i="39"/>
  <c r="U99" i="39" s="1"/>
  <c r="U100" i="39" s="1"/>
  <c r="T97" i="39"/>
  <c r="T99" i="39" s="1"/>
  <c r="T100" i="39" s="1"/>
  <c r="N246" i="42" l="1"/>
  <c r="J282" i="42"/>
  <c r="L251" i="42"/>
  <c r="K118" i="42"/>
  <c r="L247" i="42"/>
  <c r="K252" i="42"/>
  <c r="H282" i="41"/>
  <c r="J251" i="41"/>
  <c r="J118" i="41"/>
  <c r="J252" i="41"/>
  <c r="K246" i="41"/>
  <c r="I252" i="41"/>
  <c r="I118" i="41"/>
  <c r="AI100" i="40"/>
  <c r="B7" i="40"/>
  <c r="A7" i="40" s="1"/>
  <c r="AH100" i="40"/>
  <c r="H246" i="40"/>
  <c r="G252" i="40"/>
  <c r="G118" i="40"/>
  <c r="G282" i="40"/>
  <c r="I251" i="40"/>
  <c r="M247" i="42" l="1"/>
  <c r="L252" i="42"/>
  <c r="K282" i="42"/>
  <c r="M251" i="42"/>
  <c r="M118" i="42" s="1"/>
  <c r="L118" i="42"/>
  <c r="O246" i="42"/>
  <c r="K251" i="41"/>
  <c r="I282" i="41"/>
  <c r="K118" i="41"/>
  <c r="K252" i="41"/>
  <c r="L246" i="41"/>
  <c r="H282" i="40"/>
  <c r="J251" i="40"/>
  <c r="I246" i="40"/>
  <c r="H118" i="40"/>
  <c r="H252" i="40"/>
  <c r="P246" i="42" l="1"/>
  <c r="L282" i="42"/>
  <c r="N251" i="42"/>
  <c r="N247" i="42"/>
  <c r="M252" i="42"/>
  <c r="M246" i="41"/>
  <c r="J282" i="41"/>
  <c r="L251" i="41"/>
  <c r="K251" i="40"/>
  <c r="I282" i="40"/>
  <c r="I118" i="40"/>
  <c r="I252" i="40"/>
  <c r="J246" i="40"/>
  <c r="O247" i="42" l="1"/>
  <c r="N252" i="42"/>
  <c r="M282" i="42"/>
  <c r="O251" i="42"/>
  <c r="O118" i="42" s="1"/>
  <c r="N118" i="42"/>
  <c r="Q246" i="42"/>
  <c r="K282" i="41"/>
  <c r="M251" i="41"/>
  <c r="N246" i="41"/>
  <c r="M118" i="41"/>
  <c r="M252" i="41"/>
  <c r="L118" i="41"/>
  <c r="L252" i="41"/>
  <c r="J118" i="40"/>
  <c r="J252" i="40"/>
  <c r="K246" i="40"/>
  <c r="J282" i="40"/>
  <c r="L251" i="40"/>
  <c r="R246" i="42" l="1"/>
  <c r="N282" i="42"/>
  <c r="P251" i="42"/>
  <c r="P118" i="42" s="1"/>
  <c r="P247" i="42"/>
  <c r="O252" i="42"/>
  <c r="O246" i="41"/>
  <c r="L282" i="41"/>
  <c r="N251" i="41"/>
  <c r="K282" i="40"/>
  <c r="M251" i="40"/>
  <c r="K118" i="40"/>
  <c r="K252" i="40"/>
  <c r="L246" i="40"/>
  <c r="S246" i="42" l="1"/>
  <c r="Q247" i="42"/>
  <c r="P252" i="42"/>
  <c r="O282" i="42"/>
  <c r="Q251" i="42"/>
  <c r="O251" i="41"/>
  <c r="M282" i="41"/>
  <c r="N252" i="41"/>
  <c r="N118" i="41"/>
  <c r="P246" i="41"/>
  <c r="O252" i="41"/>
  <c r="O118" i="41"/>
  <c r="L252" i="40"/>
  <c r="M246" i="40"/>
  <c r="L118" i="40"/>
  <c r="N251" i="40"/>
  <c r="L282" i="40"/>
  <c r="P282" i="42" l="1"/>
  <c r="R251" i="42"/>
  <c r="Q118" i="42"/>
  <c r="R247" i="42"/>
  <c r="Q252" i="42"/>
  <c r="T246" i="42"/>
  <c r="Q246" i="41"/>
  <c r="N282" i="41"/>
  <c r="P251" i="41"/>
  <c r="M282" i="40"/>
  <c r="O251" i="40"/>
  <c r="N246" i="40"/>
  <c r="M252" i="40"/>
  <c r="M118" i="40"/>
  <c r="U246" i="42" l="1"/>
  <c r="S247" i="42"/>
  <c r="R252" i="42"/>
  <c r="S251" i="42"/>
  <c r="Q282" i="42"/>
  <c r="R118" i="42"/>
  <c r="O282" i="41"/>
  <c r="Q251" i="41"/>
  <c r="P252" i="41"/>
  <c r="Q252" i="41"/>
  <c r="Q118" i="41"/>
  <c r="R246" i="41"/>
  <c r="N282" i="40"/>
  <c r="P251" i="40"/>
  <c r="N118" i="40"/>
  <c r="O246" i="40"/>
  <c r="N252" i="40"/>
  <c r="O123" i="39"/>
  <c r="N123" i="39"/>
  <c r="R282" i="42" l="1"/>
  <c r="T251" i="42"/>
  <c r="S118" i="42"/>
  <c r="T247" i="42"/>
  <c r="S252" i="42"/>
  <c r="V246" i="42"/>
  <c r="S246" i="41"/>
  <c r="P282" i="41"/>
  <c r="R251" i="41"/>
  <c r="P246" i="40"/>
  <c r="O252" i="40"/>
  <c r="O282" i="40"/>
  <c r="Q251" i="40"/>
  <c r="W246" i="42" l="1"/>
  <c r="U247" i="42"/>
  <c r="T252" i="42"/>
  <c r="S282" i="42"/>
  <c r="U251" i="42"/>
  <c r="T118" i="42"/>
  <c r="S251" i="41"/>
  <c r="Q282" i="41"/>
  <c r="S252" i="41"/>
  <c r="S118" i="41"/>
  <c r="T246" i="41"/>
  <c r="R118" i="41"/>
  <c r="R252" i="41"/>
  <c r="P282" i="40"/>
  <c r="R251" i="40"/>
  <c r="Q246" i="40"/>
  <c r="P252" i="40"/>
  <c r="V247" i="42" l="1"/>
  <c r="U252" i="42"/>
  <c r="T282" i="42"/>
  <c r="V251" i="42"/>
  <c r="U118" i="42"/>
  <c r="X246" i="42"/>
  <c r="U246" i="41"/>
  <c r="R282" i="41"/>
  <c r="T251" i="41"/>
  <c r="Q252" i="40"/>
  <c r="R246" i="40"/>
  <c r="S251" i="40"/>
  <c r="Q282" i="40"/>
  <c r="Y246" i="42" l="1"/>
  <c r="W251" i="42"/>
  <c r="U282" i="42"/>
  <c r="V118" i="42"/>
  <c r="W247" i="42"/>
  <c r="V252" i="42"/>
  <c r="S282" i="41"/>
  <c r="U251" i="41"/>
  <c r="V246" i="41"/>
  <c r="U252" i="41"/>
  <c r="T118" i="41"/>
  <c r="T252" i="41"/>
  <c r="R282" i="40"/>
  <c r="T251" i="40"/>
  <c r="R252" i="40"/>
  <c r="R118" i="40"/>
  <c r="S246" i="40"/>
  <c r="X247" i="42" l="1"/>
  <c r="W252" i="42"/>
  <c r="V282" i="42"/>
  <c r="X251" i="42"/>
  <c r="W118" i="42"/>
  <c r="Z246" i="42"/>
  <c r="W246" i="41"/>
  <c r="T282" i="41"/>
  <c r="V251" i="41"/>
  <c r="S252" i="40"/>
  <c r="T246" i="40"/>
  <c r="S282" i="40"/>
  <c r="U251" i="40"/>
  <c r="AA246" i="42" l="1"/>
  <c r="W282" i="42"/>
  <c r="Y251" i="42"/>
  <c r="Y247" i="42"/>
  <c r="X252" i="42"/>
  <c r="W251" i="41"/>
  <c r="W252" i="41" s="1"/>
  <c r="U282" i="41"/>
  <c r="V252" i="41"/>
  <c r="X246" i="41"/>
  <c r="T282" i="40"/>
  <c r="V251" i="40"/>
  <c r="T252" i="40"/>
  <c r="U246" i="40"/>
  <c r="Z247" i="42" l="1"/>
  <c r="Y252" i="42"/>
  <c r="X282" i="42"/>
  <c r="Z251" i="42"/>
  <c r="Y118" i="42"/>
  <c r="AB246" i="42"/>
  <c r="Y246" i="41"/>
  <c r="W118" i="41"/>
  <c r="V282" i="41"/>
  <c r="X251" i="41"/>
  <c r="V246" i="40"/>
  <c r="U252" i="40"/>
  <c r="U282" i="40"/>
  <c r="W251" i="40"/>
  <c r="AC246" i="42" l="1"/>
  <c r="AA251" i="42"/>
  <c r="Y282" i="42"/>
  <c r="Z118" i="42"/>
  <c r="AA247" i="42"/>
  <c r="Z252" i="42"/>
  <c r="W282" i="41"/>
  <c r="Y251" i="41"/>
  <c r="X118" i="41"/>
  <c r="X252" i="41"/>
  <c r="Y252" i="41"/>
  <c r="Y118" i="41"/>
  <c r="Z246" i="41"/>
  <c r="V282" i="40"/>
  <c r="X251" i="40"/>
  <c r="V252" i="40"/>
  <c r="W246" i="40"/>
  <c r="AB247" i="42" l="1"/>
  <c r="AA252" i="42"/>
  <c r="Z282" i="42"/>
  <c r="AB251" i="42"/>
  <c r="AA118" i="42"/>
  <c r="AD246" i="42"/>
  <c r="AA246" i="41"/>
  <c r="X282" i="41"/>
  <c r="Z251" i="41"/>
  <c r="W252" i="40"/>
  <c r="X246" i="40"/>
  <c r="W282" i="40"/>
  <c r="Y251" i="40"/>
  <c r="AE246" i="42" l="1"/>
  <c r="AA282" i="42"/>
  <c r="AC251" i="42"/>
  <c r="AB118" i="42"/>
  <c r="AC247" i="42"/>
  <c r="AB252" i="42"/>
  <c r="AA251" i="41"/>
  <c r="Y282" i="41"/>
  <c r="Z118" i="41"/>
  <c r="AA252" i="41"/>
  <c r="AA118" i="41"/>
  <c r="AB246" i="41"/>
  <c r="Z252" i="41"/>
  <c r="X282" i="40"/>
  <c r="Z251" i="40"/>
  <c r="Y246" i="40"/>
  <c r="X252" i="40"/>
  <c r="AD247" i="42" l="1"/>
  <c r="AC252" i="42"/>
  <c r="AB282" i="42"/>
  <c r="AD251" i="42"/>
  <c r="AC118" i="42"/>
  <c r="AF246" i="42"/>
  <c r="AC246" i="41"/>
  <c r="Z282" i="41"/>
  <c r="AB251" i="41"/>
  <c r="Y252" i="40"/>
  <c r="Z246" i="40"/>
  <c r="AA251" i="40"/>
  <c r="Y282" i="40"/>
  <c r="B246" i="42" l="1"/>
  <c r="AC282" i="42"/>
  <c r="AE251" i="42"/>
  <c r="AE247" i="42"/>
  <c r="AD252" i="42"/>
  <c r="AA282" i="41"/>
  <c r="AC251" i="41"/>
  <c r="AD246" i="41"/>
  <c r="AC118" i="41"/>
  <c r="AC252" i="41"/>
  <c r="AB118" i="41"/>
  <c r="AB252" i="41"/>
  <c r="Z282" i="40"/>
  <c r="AB251" i="40"/>
  <c r="Z252" i="40"/>
  <c r="AA246" i="40"/>
  <c r="AF247" i="42" l="1"/>
  <c r="AE252" i="42"/>
  <c r="AD282" i="42"/>
  <c r="AF251" i="42"/>
  <c r="AE118" i="42"/>
  <c r="AE246" i="41"/>
  <c r="AB282" i="41"/>
  <c r="AD251" i="41"/>
  <c r="AA252" i="40"/>
  <c r="AB246" i="40"/>
  <c r="AA282" i="40"/>
  <c r="AC251" i="40"/>
  <c r="B251" i="42" l="1"/>
  <c r="AE282" i="42"/>
  <c r="AF118" i="42"/>
  <c r="B247" i="42"/>
  <c r="AF252" i="42"/>
  <c r="AE251" i="41"/>
  <c r="AC282" i="41"/>
  <c r="AD252" i="41"/>
  <c r="AF246" i="41"/>
  <c r="AE252" i="41"/>
  <c r="AE118" i="41"/>
  <c r="AB282" i="40"/>
  <c r="AD251" i="40"/>
  <c r="AB252" i="40"/>
  <c r="AB118" i="40"/>
  <c r="AC246" i="40"/>
  <c r="B252" i="42" l="1"/>
  <c r="AF282" i="42"/>
  <c r="B118" i="42"/>
  <c r="B246" i="41"/>
  <c r="AD282" i="41"/>
  <c r="AF251" i="41"/>
  <c r="AC282" i="40"/>
  <c r="AE251" i="40"/>
  <c r="AD246" i="40"/>
  <c r="AC252" i="40"/>
  <c r="AC118" i="40"/>
  <c r="AI118" i="42" l="1"/>
  <c r="AH118" i="42"/>
  <c r="B251" i="41"/>
  <c r="AF282" i="41" s="1"/>
  <c r="AE282" i="41"/>
  <c r="B118" i="41"/>
  <c r="B252" i="41"/>
  <c r="AF118" i="41"/>
  <c r="AF252" i="41"/>
  <c r="AE246" i="40"/>
  <c r="AD252" i="40"/>
  <c r="AD282" i="40"/>
  <c r="AF251" i="40"/>
  <c r="L123" i="39"/>
  <c r="L121" i="39"/>
  <c r="K123" i="39"/>
  <c r="J123" i="39"/>
  <c r="J121" i="39"/>
  <c r="I123" i="39"/>
  <c r="I121" i="39"/>
  <c r="H123" i="39"/>
  <c r="H121" i="39"/>
  <c r="H58" i="39"/>
  <c r="I58" i="39"/>
  <c r="H62" i="39"/>
  <c r="I62" i="39"/>
  <c r="H76" i="39"/>
  <c r="I76" i="39"/>
  <c r="H80" i="39"/>
  <c r="I80" i="39"/>
  <c r="AI118" i="41" l="1"/>
  <c r="AH118" i="41"/>
  <c r="B251" i="40"/>
  <c r="AF282" i="40" s="1"/>
  <c r="AE282" i="40"/>
  <c r="AF246" i="40"/>
  <c r="AE252" i="40"/>
  <c r="AE118" i="40"/>
  <c r="G123" i="39"/>
  <c r="F123" i="39"/>
  <c r="F121" i="39"/>
  <c r="E123" i="39"/>
  <c r="AF252" i="40" l="1"/>
  <c r="AF118" i="40"/>
  <c r="B246" i="40"/>
  <c r="B118" i="40" s="1"/>
  <c r="D123" i="39"/>
  <c r="D58" i="39"/>
  <c r="D62" i="39"/>
  <c r="D76" i="39"/>
  <c r="D80" i="39"/>
  <c r="D92" i="39"/>
  <c r="D101" i="39"/>
  <c r="D107" i="39" s="1"/>
  <c r="D102" i="39"/>
  <c r="D103" i="39"/>
  <c r="D104" i="39"/>
  <c r="D105" i="39"/>
  <c r="D118" i="39"/>
  <c r="C123" i="39"/>
  <c r="C121" i="39"/>
  <c r="C58" i="39"/>
  <c r="C62" i="39"/>
  <c r="C76" i="39"/>
  <c r="C80" i="39"/>
  <c r="C92" i="39"/>
  <c r="C101" i="39"/>
  <c r="C107" i="39" s="1"/>
  <c r="C102" i="39"/>
  <c r="C103" i="39"/>
  <c r="C104" i="39"/>
  <c r="C105" i="39"/>
  <c r="C118" i="39"/>
  <c r="B252" i="40" l="1"/>
  <c r="D97" i="39"/>
  <c r="D99" i="39" s="1"/>
  <c r="D100" i="39" s="1"/>
  <c r="D108" i="39"/>
  <c r="C108" i="39"/>
  <c r="C97" i="39"/>
  <c r="C99" i="39" s="1"/>
  <c r="C100" i="39" s="1"/>
  <c r="B123" i="39"/>
  <c r="B118" i="39" s="1"/>
  <c r="B105" i="39"/>
  <c r="B104" i="39"/>
  <c r="B103" i="39"/>
  <c r="B102" i="39"/>
  <c r="B101" i="39"/>
  <c r="B92" i="39"/>
  <c r="AF5" i="39" s="1"/>
  <c r="B80" i="39"/>
  <c r="B76" i="39"/>
  <c r="B62" i="39"/>
  <c r="B58" i="39"/>
  <c r="AF286" i="39"/>
  <c r="AE286" i="39"/>
  <c r="AD286" i="39"/>
  <c r="AC286" i="39"/>
  <c r="AB286" i="39"/>
  <c r="AA286" i="39"/>
  <c r="Z286" i="39"/>
  <c r="Y286" i="39"/>
  <c r="X286" i="39"/>
  <c r="W286" i="39"/>
  <c r="V286" i="39"/>
  <c r="U286" i="39"/>
  <c r="T286" i="39"/>
  <c r="S286" i="39"/>
  <c r="R286" i="39"/>
  <c r="Q286" i="39"/>
  <c r="P286" i="39"/>
  <c r="O286" i="39"/>
  <c r="N286" i="39"/>
  <c r="M286" i="39"/>
  <c r="L286" i="39"/>
  <c r="K286" i="39"/>
  <c r="J286" i="39"/>
  <c r="I286" i="39"/>
  <c r="H286" i="39"/>
  <c r="G286" i="39"/>
  <c r="F286" i="39"/>
  <c r="E286" i="39"/>
  <c r="D286" i="39"/>
  <c r="C286" i="39"/>
  <c r="B286" i="39"/>
  <c r="A286" i="39"/>
  <c r="AF285" i="39"/>
  <c r="AE285" i="39"/>
  <c r="AD285" i="39"/>
  <c r="AC285" i="39"/>
  <c r="AB285" i="39"/>
  <c r="AA285" i="39"/>
  <c r="Z285" i="39"/>
  <c r="Y285" i="39"/>
  <c r="X285" i="39"/>
  <c r="W285" i="39"/>
  <c r="V285" i="39"/>
  <c r="U285" i="39"/>
  <c r="T285" i="39"/>
  <c r="S285" i="39"/>
  <c r="R285" i="39"/>
  <c r="Q285" i="39"/>
  <c r="P285" i="39"/>
  <c r="O285" i="39"/>
  <c r="N285" i="39"/>
  <c r="M285" i="39"/>
  <c r="L285" i="39"/>
  <c r="K285" i="39"/>
  <c r="J285" i="39"/>
  <c r="I285" i="39"/>
  <c r="H285" i="39"/>
  <c r="G285" i="39"/>
  <c r="F285" i="39"/>
  <c r="E285" i="39"/>
  <c r="D285" i="39"/>
  <c r="C285" i="39"/>
  <c r="B285" i="39"/>
  <c r="A285" i="39"/>
  <c r="AF284" i="39"/>
  <c r="AE284" i="39"/>
  <c r="AD284" i="39"/>
  <c r="AC284" i="39"/>
  <c r="AB284" i="39"/>
  <c r="AA284" i="39"/>
  <c r="Z284" i="39"/>
  <c r="Y284" i="39"/>
  <c r="X284" i="39"/>
  <c r="W284" i="39"/>
  <c r="V284" i="39"/>
  <c r="U284" i="39"/>
  <c r="T284" i="39"/>
  <c r="S284" i="39"/>
  <c r="R284" i="39"/>
  <c r="Q284" i="39"/>
  <c r="P284" i="39"/>
  <c r="O284" i="39"/>
  <c r="N284" i="39"/>
  <c r="M284" i="39"/>
  <c r="L284" i="39"/>
  <c r="K284" i="39"/>
  <c r="J284" i="39"/>
  <c r="I284" i="39"/>
  <c r="H284" i="39"/>
  <c r="G284" i="39"/>
  <c r="F284" i="39"/>
  <c r="E284" i="39"/>
  <c r="D284" i="39"/>
  <c r="C284" i="39"/>
  <c r="B284" i="39"/>
  <c r="A284" i="39"/>
  <c r="AF283" i="39"/>
  <c r="AE283" i="39"/>
  <c r="AD283" i="39"/>
  <c r="AC283" i="39"/>
  <c r="AB283" i="39"/>
  <c r="AA283" i="39"/>
  <c r="Z283" i="39"/>
  <c r="Y283" i="39"/>
  <c r="X283" i="39"/>
  <c r="W283" i="39"/>
  <c r="V283" i="39"/>
  <c r="U283" i="39"/>
  <c r="T283" i="39"/>
  <c r="S283" i="39"/>
  <c r="R283" i="39"/>
  <c r="Q283" i="39"/>
  <c r="P283" i="39"/>
  <c r="O283" i="39"/>
  <c r="N283" i="39"/>
  <c r="M283" i="39"/>
  <c r="L283" i="39"/>
  <c r="K283" i="39"/>
  <c r="J283" i="39"/>
  <c r="I283" i="39"/>
  <c r="H283" i="39"/>
  <c r="G283" i="39"/>
  <c r="F283" i="39"/>
  <c r="E283" i="39"/>
  <c r="D283" i="39"/>
  <c r="C283" i="39"/>
  <c r="B283" i="39"/>
  <c r="A283" i="39"/>
  <c r="B282" i="39"/>
  <c r="S257" i="39"/>
  <c r="AG252" i="39"/>
  <c r="C252" i="39"/>
  <c r="D251" i="39"/>
  <c r="E251" i="39" s="1"/>
  <c r="D250" i="39"/>
  <c r="E250" i="39" s="1"/>
  <c r="F250" i="39" s="1"/>
  <c r="G250" i="39" s="1"/>
  <c r="H250" i="39" s="1"/>
  <c r="I250" i="39" s="1"/>
  <c r="J250" i="39" s="1"/>
  <c r="K250" i="39" s="1"/>
  <c r="L250" i="39" s="1"/>
  <c r="M250" i="39" s="1"/>
  <c r="N250" i="39" s="1"/>
  <c r="O250" i="39" s="1"/>
  <c r="P250" i="39" s="1"/>
  <c r="Q250" i="39" s="1"/>
  <c r="R250" i="39" s="1"/>
  <c r="S250" i="39" s="1"/>
  <c r="T250" i="39" s="1"/>
  <c r="U250" i="39" s="1"/>
  <c r="V250" i="39" s="1"/>
  <c r="W250" i="39" s="1"/>
  <c r="X250" i="39" s="1"/>
  <c r="Y250" i="39" s="1"/>
  <c r="Z250" i="39" s="1"/>
  <c r="AA250" i="39" s="1"/>
  <c r="AB250" i="39" s="1"/>
  <c r="AC250" i="39" s="1"/>
  <c r="AD250" i="39" s="1"/>
  <c r="AE250" i="39" s="1"/>
  <c r="AF250" i="39" s="1"/>
  <c r="B250" i="39" s="1"/>
  <c r="E249" i="39"/>
  <c r="F249" i="39" s="1"/>
  <c r="G249" i="39" s="1"/>
  <c r="H249" i="39" s="1"/>
  <c r="I249" i="39" s="1"/>
  <c r="J249" i="39" s="1"/>
  <c r="K249" i="39" s="1"/>
  <c r="L249" i="39" s="1"/>
  <c r="M249" i="39" s="1"/>
  <c r="N249" i="39" s="1"/>
  <c r="O249" i="39" s="1"/>
  <c r="P249" i="39" s="1"/>
  <c r="Q249" i="39" s="1"/>
  <c r="R249" i="39" s="1"/>
  <c r="S249" i="39" s="1"/>
  <c r="T249" i="39" s="1"/>
  <c r="U249" i="39" s="1"/>
  <c r="V249" i="39" s="1"/>
  <c r="W249" i="39" s="1"/>
  <c r="X249" i="39" s="1"/>
  <c r="Y249" i="39" s="1"/>
  <c r="Z249" i="39" s="1"/>
  <c r="AA249" i="39" s="1"/>
  <c r="AB249" i="39" s="1"/>
  <c r="AC249" i="39" s="1"/>
  <c r="AD249" i="39" s="1"/>
  <c r="AE249" i="39" s="1"/>
  <c r="AF249" i="39" s="1"/>
  <c r="B249" i="39" s="1"/>
  <c r="D249" i="39"/>
  <c r="F248" i="39"/>
  <c r="G248" i="39" s="1"/>
  <c r="H248" i="39" s="1"/>
  <c r="I248" i="39" s="1"/>
  <c r="J248" i="39" s="1"/>
  <c r="K248" i="39" s="1"/>
  <c r="L248" i="39" s="1"/>
  <c r="M248" i="39" s="1"/>
  <c r="N248" i="39" s="1"/>
  <c r="O248" i="39" s="1"/>
  <c r="P248" i="39" s="1"/>
  <c r="Q248" i="39" s="1"/>
  <c r="R248" i="39" s="1"/>
  <c r="S248" i="39" s="1"/>
  <c r="T248" i="39" s="1"/>
  <c r="U248" i="39" s="1"/>
  <c r="V248" i="39" s="1"/>
  <c r="W248" i="39" s="1"/>
  <c r="X248" i="39" s="1"/>
  <c r="Y248" i="39" s="1"/>
  <c r="Z248" i="39" s="1"/>
  <c r="AA248" i="39" s="1"/>
  <c r="AB248" i="39" s="1"/>
  <c r="AC248" i="39" s="1"/>
  <c r="AD248" i="39" s="1"/>
  <c r="AE248" i="39" s="1"/>
  <c r="AF248" i="39" s="1"/>
  <c r="B248" i="39" s="1"/>
  <c r="E248" i="39"/>
  <c r="D248" i="39"/>
  <c r="D247" i="39"/>
  <c r="D246" i="39"/>
  <c r="E246" i="39" s="1"/>
  <c r="AG244" i="39"/>
  <c r="AF244" i="39"/>
  <c r="AE244" i="39"/>
  <c r="AD244" i="39"/>
  <c r="AC244" i="39"/>
  <c r="AB244" i="39"/>
  <c r="AA244" i="39"/>
  <c r="Z244" i="39"/>
  <c r="Y244" i="39"/>
  <c r="X244" i="39"/>
  <c r="W244" i="39"/>
  <c r="V244" i="39"/>
  <c r="U244" i="39"/>
  <c r="T244" i="39"/>
  <c r="S244" i="39"/>
  <c r="R244" i="39"/>
  <c r="Q244" i="39"/>
  <c r="P244" i="39"/>
  <c r="O244" i="39"/>
  <c r="N244" i="39"/>
  <c r="M244" i="39"/>
  <c r="L244" i="39"/>
  <c r="K244" i="39"/>
  <c r="J244" i="39"/>
  <c r="I244" i="39"/>
  <c r="H244" i="39"/>
  <c r="G244" i="39"/>
  <c r="F244" i="39"/>
  <c r="E244" i="39"/>
  <c r="D244" i="39"/>
  <c r="C244" i="39"/>
  <c r="B244" i="39"/>
  <c r="AI130" i="39"/>
  <c r="AH130" i="39"/>
  <c r="AI129" i="39"/>
  <c r="AH129" i="39"/>
  <c r="AI128" i="39"/>
  <c r="AH128" i="39"/>
  <c r="AI127" i="39"/>
  <c r="AH127" i="39"/>
  <c r="AI126" i="39"/>
  <c r="AH126" i="39"/>
  <c r="AI123" i="39"/>
  <c r="AI122" i="39"/>
  <c r="AH122" i="39"/>
  <c r="AI121" i="39"/>
  <c r="AH121" i="39"/>
  <c r="AI120" i="39"/>
  <c r="AH120" i="39"/>
  <c r="AI119" i="39"/>
  <c r="AH119" i="39"/>
  <c r="AI117" i="39"/>
  <c r="AH117" i="39"/>
  <c r="AI116" i="39"/>
  <c r="AH116" i="39"/>
  <c r="AI115" i="39"/>
  <c r="AH115" i="39"/>
  <c r="AI114" i="39"/>
  <c r="AH114" i="39"/>
  <c r="AI113" i="39"/>
  <c r="AH113" i="39"/>
  <c r="AI112" i="39"/>
  <c r="AH112" i="39"/>
  <c r="AI111" i="39"/>
  <c r="AH111" i="39"/>
  <c r="AI110" i="39"/>
  <c r="AH110" i="39"/>
  <c r="AI109" i="39"/>
  <c r="AH109" i="39"/>
  <c r="AI106" i="39"/>
  <c r="AH106" i="39"/>
  <c r="AC105" i="39"/>
  <c r="Z105" i="39"/>
  <c r="S105" i="39"/>
  <c r="R105" i="39"/>
  <c r="Q105" i="39"/>
  <c r="P105" i="39"/>
  <c r="O105" i="39"/>
  <c r="N105" i="39"/>
  <c r="M105" i="39"/>
  <c r="L105" i="39"/>
  <c r="K105" i="39"/>
  <c r="J105" i="39"/>
  <c r="I105" i="39"/>
  <c r="H105" i="39"/>
  <c r="G105" i="39"/>
  <c r="F105" i="39"/>
  <c r="E105" i="39"/>
  <c r="AC104" i="39"/>
  <c r="Z104" i="39"/>
  <c r="S104" i="39"/>
  <c r="R104" i="39"/>
  <c r="Q104" i="39"/>
  <c r="P104" i="39"/>
  <c r="O104" i="39"/>
  <c r="N104" i="39"/>
  <c r="M104" i="39"/>
  <c r="L104" i="39"/>
  <c r="K104" i="39"/>
  <c r="J104" i="39"/>
  <c r="I104" i="39"/>
  <c r="H104" i="39"/>
  <c r="G104" i="39"/>
  <c r="F104" i="39"/>
  <c r="E104" i="39"/>
  <c r="AC103" i="39"/>
  <c r="AC107" i="39" s="1"/>
  <c r="Z103" i="39"/>
  <c r="S103" i="39"/>
  <c r="R103" i="39"/>
  <c r="Q103" i="39"/>
  <c r="P103" i="39"/>
  <c r="O103" i="39"/>
  <c r="N103" i="39"/>
  <c r="M103" i="39"/>
  <c r="L103" i="39"/>
  <c r="K103" i="39"/>
  <c r="J103" i="39"/>
  <c r="I103" i="39"/>
  <c r="H103" i="39"/>
  <c r="G103" i="39"/>
  <c r="F103" i="39"/>
  <c r="E103" i="39"/>
  <c r="E107" i="39" s="1"/>
  <c r="AC102" i="39"/>
  <c r="Z102" i="39"/>
  <c r="S102" i="39"/>
  <c r="R102" i="39"/>
  <c r="Q102" i="39"/>
  <c r="P102" i="39"/>
  <c r="O102" i="39"/>
  <c r="N102" i="39"/>
  <c r="M102" i="39"/>
  <c r="L102" i="39"/>
  <c r="K102" i="39"/>
  <c r="J102" i="39"/>
  <c r="I102" i="39"/>
  <c r="H102" i="39"/>
  <c r="G102" i="39"/>
  <c r="F102" i="39"/>
  <c r="E102" i="39"/>
  <c r="AC101" i="39"/>
  <c r="Z101" i="39"/>
  <c r="S101" i="39"/>
  <c r="R101" i="39"/>
  <c r="Q101" i="39"/>
  <c r="P101" i="39"/>
  <c r="O101" i="39"/>
  <c r="O107" i="39" s="1"/>
  <c r="N101" i="39"/>
  <c r="M101" i="39"/>
  <c r="L101" i="39"/>
  <c r="K101" i="39"/>
  <c r="J101" i="39"/>
  <c r="I101" i="39"/>
  <c r="H101" i="39"/>
  <c r="G101" i="39"/>
  <c r="F101" i="39"/>
  <c r="E101" i="39"/>
  <c r="X7" i="39"/>
  <c r="AI98" i="39"/>
  <c r="AH98" i="39"/>
  <c r="AI96" i="39"/>
  <c r="AH96" i="39"/>
  <c r="AG96" i="39"/>
  <c r="AG99" i="39" s="1"/>
  <c r="AI95" i="39"/>
  <c r="AH95" i="39"/>
  <c r="AI94" i="39"/>
  <c r="AH94" i="39"/>
  <c r="AI93" i="39"/>
  <c r="AH93" i="39"/>
  <c r="AG92" i="39"/>
  <c r="AC92" i="39"/>
  <c r="Z92" i="39"/>
  <c r="Y5" i="39" s="1"/>
  <c r="S92" i="39"/>
  <c r="R5" i="39" s="1"/>
  <c r="R92" i="39"/>
  <c r="Q5" i="39" s="1"/>
  <c r="Q92" i="39"/>
  <c r="P92" i="39"/>
  <c r="O5" i="39" s="1"/>
  <c r="O92" i="39"/>
  <c r="N5" i="39" s="1"/>
  <c r="N92" i="39"/>
  <c r="M5" i="39" s="1"/>
  <c r="M92" i="39"/>
  <c r="L92" i="39"/>
  <c r="K92" i="39"/>
  <c r="J5" i="39" s="1"/>
  <c r="J92" i="39"/>
  <c r="I5" i="39" s="1"/>
  <c r="I92" i="39"/>
  <c r="H92" i="39"/>
  <c r="H97" i="39" s="1"/>
  <c r="H99" i="39" s="1"/>
  <c r="Z261" i="39" s="1"/>
  <c r="G92" i="39"/>
  <c r="F5" i="39" s="1"/>
  <c r="F92" i="39"/>
  <c r="E5" i="39" s="1"/>
  <c r="E92" i="39"/>
  <c r="AI91" i="39"/>
  <c r="AH91" i="39"/>
  <c r="AI90" i="39"/>
  <c r="AH90" i="39"/>
  <c r="AI89" i="39"/>
  <c r="AH89" i="39"/>
  <c r="AI88" i="39"/>
  <c r="AH88" i="39"/>
  <c r="AI87" i="39"/>
  <c r="AH87" i="39"/>
  <c r="AI86" i="39"/>
  <c r="AH86" i="39"/>
  <c r="AI85" i="39"/>
  <c r="AH85" i="39"/>
  <c r="AI84" i="39"/>
  <c r="AH84" i="39"/>
  <c r="AI83" i="39"/>
  <c r="AH83" i="39"/>
  <c r="AI82" i="39"/>
  <c r="AH82" i="39"/>
  <c r="AI81" i="39"/>
  <c r="AH81" i="39"/>
  <c r="AG80" i="39"/>
  <c r="AG4" i="39" s="1"/>
  <c r="AC80" i="39"/>
  <c r="Z80" i="39"/>
  <c r="S80" i="39"/>
  <c r="R80" i="39"/>
  <c r="Q80" i="39"/>
  <c r="P80" i="39"/>
  <c r="O80" i="39"/>
  <c r="N80" i="39"/>
  <c r="M80" i="39"/>
  <c r="L80" i="39"/>
  <c r="K80" i="39"/>
  <c r="J80" i="39"/>
  <c r="G80" i="39"/>
  <c r="F80" i="39"/>
  <c r="E80" i="39"/>
  <c r="AI79" i="39"/>
  <c r="AH79" i="39"/>
  <c r="AI78" i="39"/>
  <c r="AH78" i="39"/>
  <c r="AI77" i="39"/>
  <c r="AH77" i="39"/>
  <c r="AG76" i="39"/>
  <c r="AC76" i="39"/>
  <c r="Z76" i="39"/>
  <c r="S76" i="39"/>
  <c r="R76" i="39"/>
  <c r="Q76" i="39"/>
  <c r="P76" i="39"/>
  <c r="O76" i="39"/>
  <c r="N76" i="39"/>
  <c r="M76" i="39"/>
  <c r="L76" i="39"/>
  <c r="K76" i="39"/>
  <c r="J76" i="39"/>
  <c r="G76" i="39"/>
  <c r="F76" i="39"/>
  <c r="E76" i="39"/>
  <c r="AI75" i="39"/>
  <c r="AH75" i="39"/>
  <c r="AG75" i="39"/>
  <c r="AI74" i="39"/>
  <c r="AH74" i="39"/>
  <c r="AI73" i="39"/>
  <c r="AH73" i="39"/>
  <c r="AI72" i="39"/>
  <c r="AH72" i="39"/>
  <c r="AI71" i="39"/>
  <c r="AH71" i="39"/>
  <c r="AI70" i="39"/>
  <c r="AH70" i="39"/>
  <c r="AI69" i="39"/>
  <c r="AH69" i="39"/>
  <c r="AI68" i="39"/>
  <c r="AH68" i="39"/>
  <c r="AI67" i="39"/>
  <c r="AH67" i="39"/>
  <c r="AI66" i="39"/>
  <c r="AH66" i="39"/>
  <c r="AI65" i="39"/>
  <c r="AH65" i="39"/>
  <c r="AI64" i="39"/>
  <c r="AH64" i="39"/>
  <c r="AI63" i="39"/>
  <c r="AH63" i="39"/>
  <c r="AG62" i="39"/>
  <c r="AC62" i="39"/>
  <c r="Z62" i="39"/>
  <c r="R62" i="39"/>
  <c r="Q62" i="39"/>
  <c r="P62" i="39"/>
  <c r="O62" i="39"/>
  <c r="N62" i="39"/>
  <c r="M62" i="39"/>
  <c r="L62" i="39"/>
  <c r="K62" i="39"/>
  <c r="J62" i="39"/>
  <c r="G62" i="39"/>
  <c r="F62" i="39"/>
  <c r="E62" i="39"/>
  <c r="AI61" i="39"/>
  <c r="AH61" i="39"/>
  <c r="AI60" i="39"/>
  <c r="AH60" i="39"/>
  <c r="AI59" i="39"/>
  <c r="AH59" i="39"/>
  <c r="AG58" i="39"/>
  <c r="AX261" i="39"/>
  <c r="AC58" i="39"/>
  <c r="Z58" i="39"/>
  <c r="Z97" i="39" s="1"/>
  <c r="Z99" i="39" s="1"/>
  <c r="AP261" i="39"/>
  <c r="R58" i="39"/>
  <c r="Q58" i="39"/>
  <c r="P58" i="39"/>
  <c r="O58" i="39"/>
  <c r="N58" i="39"/>
  <c r="M58" i="39"/>
  <c r="L58" i="39"/>
  <c r="K58" i="39"/>
  <c r="J58" i="39"/>
  <c r="G58" i="39"/>
  <c r="F58" i="39"/>
  <c r="E58" i="39"/>
  <c r="AI57" i="39"/>
  <c r="AH57" i="39"/>
  <c r="AI56" i="39"/>
  <c r="AH56" i="39"/>
  <c r="AI55" i="39"/>
  <c r="AH55" i="39"/>
  <c r="AI54" i="39"/>
  <c r="AH54" i="39"/>
  <c r="AI53" i="39"/>
  <c r="AH53" i="39"/>
  <c r="AI52" i="39"/>
  <c r="AH52" i="39"/>
  <c r="AI51" i="39"/>
  <c r="AH51" i="39"/>
  <c r="AI50" i="39"/>
  <c r="AH50" i="39"/>
  <c r="AI49" i="39"/>
  <c r="AH49" i="39"/>
  <c r="AI48" i="39"/>
  <c r="AH48" i="39"/>
  <c r="AI47" i="39"/>
  <c r="AH47" i="39"/>
  <c r="AI46" i="39"/>
  <c r="AH46" i="39"/>
  <c r="AI45" i="39"/>
  <c r="AH45" i="39"/>
  <c r="AI44" i="39"/>
  <c r="AH44" i="39"/>
  <c r="AI43" i="39"/>
  <c r="AH43" i="39"/>
  <c r="AI42" i="39"/>
  <c r="AH42" i="39"/>
  <c r="AI41" i="39"/>
  <c r="AH41" i="39"/>
  <c r="AI40" i="39"/>
  <c r="AH40" i="39"/>
  <c r="AI39" i="39"/>
  <c r="AH39" i="39"/>
  <c r="AI38" i="39"/>
  <c r="AH38" i="39"/>
  <c r="AI37" i="39"/>
  <c r="AH37" i="39"/>
  <c r="AI36" i="39"/>
  <c r="AH36" i="39"/>
  <c r="AI35" i="39"/>
  <c r="AH35" i="39"/>
  <c r="AI34" i="39"/>
  <c r="AH34" i="39"/>
  <c r="AI33" i="39"/>
  <c r="AH33" i="39"/>
  <c r="AI32" i="39"/>
  <c r="AH32" i="39"/>
  <c r="AI31" i="39"/>
  <c r="AH31" i="39"/>
  <c r="AI30" i="39"/>
  <c r="AH30" i="39"/>
  <c r="AI29" i="39"/>
  <c r="AH29" i="39"/>
  <c r="AI28" i="39"/>
  <c r="AH28" i="39"/>
  <c r="AI27" i="39"/>
  <c r="AH27" i="39"/>
  <c r="AI26" i="39"/>
  <c r="AH26" i="39"/>
  <c r="AI25" i="39"/>
  <c r="AH25" i="39"/>
  <c r="AI24" i="39"/>
  <c r="AH24" i="39"/>
  <c r="AI23" i="39"/>
  <c r="AH23" i="39"/>
  <c r="AI22" i="39"/>
  <c r="AH22" i="39"/>
  <c r="AI21" i="39"/>
  <c r="AH21" i="39"/>
  <c r="AI20" i="39"/>
  <c r="AH20" i="39"/>
  <c r="AI19" i="39"/>
  <c r="AH19" i="39"/>
  <c r="AI18" i="39"/>
  <c r="AH18" i="39"/>
  <c r="AI17" i="39"/>
  <c r="AH17" i="39"/>
  <c r="AI16" i="39"/>
  <c r="AH16" i="39"/>
  <c r="AI15" i="39"/>
  <c r="AH15" i="39"/>
  <c r="AI14" i="39"/>
  <c r="AH14" i="39"/>
  <c r="AI13" i="39"/>
  <c r="AH13" i="39"/>
  <c r="AI12" i="39"/>
  <c r="AH12" i="39"/>
  <c r="AI11" i="39"/>
  <c r="AH11" i="39"/>
  <c r="AE5" i="39"/>
  <c r="AD5" i="39"/>
  <c r="AC5" i="39"/>
  <c r="AA5" i="39"/>
  <c r="Z5" i="39"/>
  <c r="W5" i="39"/>
  <c r="V5" i="39"/>
  <c r="U5" i="39"/>
  <c r="T5" i="39"/>
  <c r="S5" i="39"/>
  <c r="G5" i="39"/>
  <c r="C5" i="39"/>
  <c r="B5" i="39"/>
  <c r="K4" i="39"/>
  <c r="E4" i="39"/>
  <c r="H4" i="39" s="1"/>
  <c r="B4" i="39"/>
  <c r="S258" i="39" s="1"/>
  <c r="AG3" i="39"/>
  <c r="AG2" i="39"/>
  <c r="AG6" i="39" s="1"/>
  <c r="AF58" i="38"/>
  <c r="AF62" i="38"/>
  <c r="AF76" i="38"/>
  <c r="AF80" i="38"/>
  <c r="AF92" i="38"/>
  <c r="AF101" i="38"/>
  <c r="AF107" i="38" s="1"/>
  <c r="AF102" i="38"/>
  <c r="AF103" i="38"/>
  <c r="AF104" i="38"/>
  <c r="AF105" i="38"/>
  <c r="AF118" i="38"/>
  <c r="AE123" i="38"/>
  <c r="AE121" i="38"/>
  <c r="AE58" i="38"/>
  <c r="AE62" i="38"/>
  <c r="AD123" i="38"/>
  <c r="AD121" i="38"/>
  <c r="AC123" i="38"/>
  <c r="AB123" i="38"/>
  <c r="AA123" i="38"/>
  <c r="Z123" i="38"/>
  <c r="Y123" i="38"/>
  <c r="X123" i="38"/>
  <c r="W123" i="38"/>
  <c r="AI118" i="40" l="1"/>
  <c r="AH118" i="40"/>
  <c r="AC108" i="39"/>
  <c r="AC97" i="39"/>
  <c r="AC99" i="39" s="1"/>
  <c r="AU261" i="39" s="1"/>
  <c r="AB5" i="39"/>
  <c r="Z107" i="39"/>
  <c r="S97" i="39"/>
  <c r="S99" i="39" s="1"/>
  <c r="R107" i="39"/>
  <c r="R97" i="39"/>
  <c r="R99" i="39" s="1"/>
  <c r="R100" i="39" s="1"/>
  <c r="R7" i="39" s="1"/>
  <c r="Q107" i="39"/>
  <c r="P107" i="39"/>
  <c r="AI103" i="39"/>
  <c r="P108" i="39"/>
  <c r="P97" i="39"/>
  <c r="P99" i="39" s="1"/>
  <c r="AH261" i="39" s="1"/>
  <c r="O108" i="39"/>
  <c r="O97" i="39"/>
  <c r="O99" i="39" s="1"/>
  <c r="AG261" i="39" s="1"/>
  <c r="N97" i="39"/>
  <c r="N99" i="39" s="1"/>
  <c r="M107" i="39"/>
  <c r="M108" i="39" s="1"/>
  <c r="L5" i="39"/>
  <c r="M97" i="39"/>
  <c r="M99" i="39" s="1"/>
  <c r="AE261" i="39" s="1"/>
  <c r="K5" i="39"/>
  <c r="L107" i="39"/>
  <c r="L108" i="39" s="1"/>
  <c r="L97" i="39"/>
  <c r="L99" i="39" s="1"/>
  <c r="AD261" i="39" s="1"/>
  <c r="K97" i="39"/>
  <c r="K99" i="39" s="1"/>
  <c r="J107" i="39"/>
  <c r="J97" i="39"/>
  <c r="J99" i="39" s="1"/>
  <c r="J100" i="39" s="1"/>
  <c r="J7" i="39" s="1"/>
  <c r="I107" i="39"/>
  <c r="I108" i="39" s="1"/>
  <c r="H107" i="39"/>
  <c r="H108" i="39" s="1"/>
  <c r="AH104" i="39"/>
  <c r="G107" i="39"/>
  <c r="G108" i="39" s="1"/>
  <c r="G97" i="39"/>
  <c r="G99" i="39" s="1"/>
  <c r="G100" i="39" s="1"/>
  <c r="G7" i="39" s="1"/>
  <c r="AI104" i="39"/>
  <c r="F97" i="39"/>
  <c r="F99" i="39" s="1"/>
  <c r="X261" i="39" s="1"/>
  <c r="E108" i="39"/>
  <c r="D5" i="39"/>
  <c r="E97" i="39"/>
  <c r="E99" i="39" s="1"/>
  <c r="W261" i="39" s="1"/>
  <c r="AH123" i="39"/>
  <c r="B107" i="39"/>
  <c r="B108" i="39" s="1"/>
  <c r="B97" i="39"/>
  <c r="B99" i="39" s="1"/>
  <c r="B100" i="39" s="1"/>
  <c r="D258" i="39"/>
  <c r="AF261" i="39"/>
  <c r="AR261" i="39"/>
  <c r="Z100" i="39"/>
  <c r="Z7" i="39" s="1"/>
  <c r="AV261" i="39"/>
  <c r="AD7" i="39"/>
  <c r="AN261" i="39"/>
  <c r="H5" i="39"/>
  <c r="P5" i="39"/>
  <c r="Q108" i="39"/>
  <c r="X5" i="39"/>
  <c r="AF7" i="39"/>
  <c r="AI102" i="39"/>
  <c r="D252" i="39"/>
  <c r="E247" i="39"/>
  <c r="F247" i="39" s="1"/>
  <c r="G247" i="39" s="1"/>
  <c r="H247" i="39" s="1"/>
  <c r="I247" i="39" s="1"/>
  <c r="J247" i="39" s="1"/>
  <c r="K247" i="39" s="1"/>
  <c r="L247" i="39" s="1"/>
  <c r="M247" i="39" s="1"/>
  <c r="N247" i="39" s="1"/>
  <c r="O247" i="39" s="1"/>
  <c r="P247" i="39" s="1"/>
  <c r="Q247" i="39" s="1"/>
  <c r="R247" i="39" s="1"/>
  <c r="S247" i="39" s="1"/>
  <c r="T247" i="39" s="1"/>
  <c r="U247" i="39" s="1"/>
  <c r="V247" i="39" s="1"/>
  <c r="W247" i="39" s="1"/>
  <c r="X247" i="39" s="1"/>
  <c r="Y247" i="39" s="1"/>
  <c r="Z247" i="39" s="1"/>
  <c r="AA247" i="39" s="1"/>
  <c r="AB247" i="39" s="1"/>
  <c r="AC247" i="39" s="1"/>
  <c r="AD247" i="39" s="1"/>
  <c r="AE247" i="39" s="1"/>
  <c r="AF247" i="39" s="1"/>
  <c r="B247" i="39" s="1"/>
  <c r="D282" i="39"/>
  <c r="F251" i="39"/>
  <c r="V261" i="39"/>
  <c r="D7" i="39"/>
  <c r="E100" i="39"/>
  <c r="E7" i="39" s="1"/>
  <c r="AO261" i="39"/>
  <c r="W7" i="39"/>
  <c r="AW261" i="39"/>
  <c r="AE7" i="39"/>
  <c r="AI101" i="39"/>
  <c r="K107" i="39"/>
  <c r="K108" i="39" s="1"/>
  <c r="S107" i="39"/>
  <c r="S108" i="39" s="1"/>
  <c r="AT261" i="39"/>
  <c r="AB7" i="39"/>
  <c r="AM261" i="39"/>
  <c r="U7" i="39"/>
  <c r="I97" i="39"/>
  <c r="I99" i="39" s="1"/>
  <c r="Q97" i="39"/>
  <c r="Q99" i="39" s="1"/>
  <c r="AG97" i="39"/>
  <c r="AI62" i="39"/>
  <c r="AH80" i="39"/>
  <c r="E118" i="39"/>
  <c r="E252" i="39"/>
  <c r="F246" i="39"/>
  <c r="AL261" i="39"/>
  <c r="T7" i="39"/>
  <c r="U261" i="39"/>
  <c r="C7" i="39"/>
  <c r="AK261" i="39"/>
  <c r="AS261" i="39"/>
  <c r="AA7" i="39"/>
  <c r="AH76" i="39"/>
  <c r="H100" i="39"/>
  <c r="H7" i="39" s="1"/>
  <c r="F107" i="39"/>
  <c r="N107" i="39"/>
  <c r="V7" i="39"/>
  <c r="AI105" i="39"/>
  <c r="AH92" i="39"/>
  <c r="AI76" i="39"/>
  <c r="AI80" i="39"/>
  <c r="AI92" i="39"/>
  <c r="AH101" i="39"/>
  <c r="C282" i="39"/>
  <c r="AH102" i="39"/>
  <c r="J108" i="39"/>
  <c r="R108" i="39"/>
  <c r="Z108" i="39"/>
  <c r="AH58" i="39"/>
  <c r="AH62" i="39"/>
  <c r="AH103" i="39"/>
  <c r="AI58" i="39"/>
  <c r="AH105" i="39"/>
  <c r="AF108" i="38"/>
  <c r="AF97" i="38"/>
  <c r="AF99" i="38" s="1"/>
  <c r="AF100" i="38" s="1"/>
  <c r="AC100" i="39" l="1"/>
  <c r="AC7" i="39" s="1"/>
  <c r="N100" i="39"/>
  <c r="N7" i="39" s="1"/>
  <c r="AJ261" i="39"/>
  <c r="P100" i="39"/>
  <c r="P7" i="39" s="1"/>
  <c r="O100" i="39"/>
  <c r="O7" i="39" s="1"/>
  <c r="N108" i="39"/>
  <c r="AI108" i="39" s="1"/>
  <c r="M100" i="39"/>
  <c r="M7" i="39" s="1"/>
  <c r="L100" i="39"/>
  <c r="L7" i="39" s="1"/>
  <c r="K100" i="39"/>
  <c r="K7" i="39" s="1"/>
  <c r="AC261" i="39"/>
  <c r="AB261" i="39"/>
  <c r="Y261" i="39"/>
  <c r="F100" i="39"/>
  <c r="F7" i="39" s="1"/>
  <c r="F108" i="39"/>
  <c r="AI99" i="39"/>
  <c r="T261" i="39"/>
  <c r="B7" i="39"/>
  <c r="AI97" i="39"/>
  <c r="B256" i="39"/>
  <c r="E282" i="39"/>
  <c r="G251" i="39"/>
  <c r="AH99" i="39"/>
  <c r="AH97" i="39"/>
  <c r="C256" i="39"/>
  <c r="AA261" i="39"/>
  <c r="I100" i="39"/>
  <c r="I7" i="39" s="1"/>
  <c r="S100" i="39"/>
  <c r="S7" i="39" s="1"/>
  <c r="G246" i="39"/>
  <c r="F118" i="39"/>
  <c r="F252" i="39"/>
  <c r="AH107" i="39"/>
  <c r="AI107" i="39"/>
  <c r="AQ261" i="39"/>
  <c r="Y7" i="39"/>
  <c r="AI261" i="39"/>
  <c r="Q100" i="39"/>
  <c r="Q7" i="39" s="1"/>
  <c r="AH108" i="39" l="1"/>
  <c r="K6" i="39"/>
  <c r="H246" i="39"/>
  <c r="G118" i="39"/>
  <c r="G252" i="39"/>
  <c r="F282" i="39"/>
  <c r="H251" i="39"/>
  <c r="A7" i="39"/>
  <c r="AI100" i="39"/>
  <c r="AH100" i="39"/>
  <c r="G282" i="39" l="1"/>
  <c r="I251" i="39"/>
  <c r="I246" i="39"/>
  <c r="H118" i="39"/>
  <c r="H252" i="39"/>
  <c r="I118" i="39" l="1"/>
  <c r="I252" i="39"/>
  <c r="J246" i="39"/>
  <c r="H282" i="39"/>
  <c r="J251" i="39"/>
  <c r="K251" i="39" l="1"/>
  <c r="I282" i="39"/>
  <c r="J118" i="39"/>
  <c r="J252" i="39"/>
  <c r="K246" i="39"/>
  <c r="K118" i="39" l="1"/>
  <c r="K252" i="39"/>
  <c r="L246" i="39"/>
  <c r="J282" i="39"/>
  <c r="L251" i="39"/>
  <c r="M251" i="39" l="1"/>
  <c r="K282" i="39"/>
  <c r="L252" i="39"/>
  <c r="M246" i="39"/>
  <c r="L118" i="39"/>
  <c r="N246" i="39" l="1"/>
  <c r="M118" i="39"/>
  <c r="M252" i="39"/>
  <c r="L282" i="39"/>
  <c r="N251" i="39"/>
  <c r="M282" i="39" l="1"/>
  <c r="O251" i="39"/>
  <c r="N252" i="39"/>
  <c r="O246" i="39"/>
  <c r="N118" i="39"/>
  <c r="V123" i="38"/>
  <c r="U123" i="38"/>
  <c r="T123" i="38"/>
  <c r="S123" i="38"/>
  <c r="R123" i="38"/>
  <c r="P246" i="39" l="1"/>
  <c r="O118" i="39"/>
  <c r="O252" i="39"/>
  <c r="N282" i="39"/>
  <c r="P251" i="39"/>
  <c r="O123" i="38"/>
  <c r="N123" i="38"/>
  <c r="N58" i="38"/>
  <c r="N62" i="38"/>
  <c r="N76" i="38"/>
  <c r="N80" i="38"/>
  <c r="M123" i="38"/>
  <c r="L123" i="38"/>
  <c r="L58" i="38"/>
  <c r="L62" i="38"/>
  <c r="L76" i="38"/>
  <c r="L80" i="38"/>
  <c r="L92" i="38"/>
  <c r="L101" i="38"/>
  <c r="L107" i="38" s="1"/>
  <c r="L102" i="38"/>
  <c r="L103" i="38"/>
  <c r="L104" i="38"/>
  <c r="L105" i="38"/>
  <c r="L118" i="38"/>
  <c r="K123" i="38"/>
  <c r="K118" i="38" s="1"/>
  <c r="K58" i="38"/>
  <c r="K62" i="38"/>
  <c r="K76" i="38"/>
  <c r="K80" i="38"/>
  <c r="K92" i="38"/>
  <c r="K101" i="38"/>
  <c r="K102" i="38"/>
  <c r="K103" i="38"/>
  <c r="K107" i="38" s="1"/>
  <c r="K104" i="38"/>
  <c r="K105" i="38"/>
  <c r="J123" i="38"/>
  <c r="J58" i="38"/>
  <c r="J62" i="38"/>
  <c r="J76" i="38"/>
  <c r="J80" i="38"/>
  <c r="J92" i="38"/>
  <c r="I5" i="38" s="1"/>
  <c r="J101" i="38"/>
  <c r="J102" i="38"/>
  <c r="J103" i="38"/>
  <c r="J104" i="38"/>
  <c r="J105" i="38"/>
  <c r="I123" i="38"/>
  <c r="I58" i="38"/>
  <c r="I97" i="38" s="1"/>
  <c r="I99" i="38" s="1"/>
  <c r="I100" i="38" s="1"/>
  <c r="I62" i="38"/>
  <c r="I76" i="38"/>
  <c r="I80" i="38"/>
  <c r="I92" i="38"/>
  <c r="I108" i="38" s="1"/>
  <c r="I101" i="38"/>
  <c r="I102" i="38"/>
  <c r="I103" i="38"/>
  <c r="I104" i="38"/>
  <c r="I105" i="38"/>
  <c r="I107" i="38"/>
  <c r="I118" i="38"/>
  <c r="H123" i="38"/>
  <c r="H58" i="38"/>
  <c r="H62" i="38"/>
  <c r="H76" i="38"/>
  <c r="H80" i="38"/>
  <c r="H92" i="38"/>
  <c r="G5" i="38" s="1"/>
  <c r="H101" i="38"/>
  <c r="H107" i="38" s="1"/>
  <c r="H102" i="38"/>
  <c r="H103" i="38"/>
  <c r="H104" i="38"/>
  <c r="H105" i="38"/>
  <c r="G123" i="38"/>
  <c r="G58" i="38"/>
  <c r="G62" i="38"/>
  <c r="G76" i="38"/>
  <c r="G80" i="38"/>
  <c r="G92" i="38"/>
  <c r="F5" i="38" s="1"/>
  <c r="G101" i="38"/>
  <c r="G102" i="38"/>
  <c r="G107" i="38" s="1"/>
  <c r="G103" i="38"/>
  <c r="G104" i="38"/>
  <c r="G105" i="38"/>
  <c r="G118" i="38"/>
  <c r="F123" i="38"/>
  <c r="F58" i="38"/>
  <c r="F62" i="38"/>
  <c r="F76" i="38"/>
  <c r="F80" i="38"/>
  <c r="F92" i="38"/>
  <c r="F108" i="38" s="1"/>
  <c r="F101" i="38"/>
  <c r="F102" i="38"/>
  <c r="F103" i="38"/>
  <c r="F104" i="38"/>
  <c r="F105" i="38"/>
  <c r="F107" i="38"/>
  <c r="F118" i="38"/>
  <c r="E58" i="38"/>
  <c r="E62" i="38"/>
  <c r="E76" i="38"/>
  <c r="E80" i="38"/>
  <c r="E92" i="38"/>
  <c r="E101" i="38"/>
  <c r="E102" i="38"/>
  <c r="E103" i="38"/>
  <c r="E104" i="38"/>
  <c r="E105" i="38"/>
  <c r="E118" i="38"/>
  <c r="D123" i="38"/>
  <c r="D118" i="38" s="1"/>
  <c r="D58" i="38"/>
  <c r="D62" i="38"/>
  <c r="D76" i="38"/>
  <c r="D80" i="38"/>
  <c r="D92" i="38"/>
  <c r="C5" i="38" s="1"/>
  <c r="D101" i="38"/>
  <c r="D102" i="38"/>
  <c r="D103" i="38"/>
  <c r="D104" i="38"/>
  <c r="D105" i="38"/>
  <c r="C58" i="38"/>
  <c r="C97" i="38" s="1"/>
  <c r="C99" i="38" s="1"/>
  <c r="C62" i="38"/>
  <c r="C76" i="38"/>
  <c r="C80" i="38"/>
  <c r="C92" i="38"/>
  <c r="B5" i="38" s="1"/>
  <c r="C101" i="38"/>
  <c r="C102" i="38"/>
  <c r="C103" i="38"/>
  <c r="C104" i="38"/>
  <c r="C107" i="38" s="1"/>
  <c r="C108" i="38" s="1"/>
  <c r="C105" i="38"/>
  <c r="C118" i="38"/>
  <c r="B118" i="38"/>
  <c r="B105" i="38"/>
  <c r="B104" i="38"/>
  <c r="B103" i="38"/>
  <c r="B102" i="38"/>
  <c r="B101" i="38"/>
  <c r="B107" i="38" s="1"/>
  <c r="B92" i="38"/>
  <c r="B80" i="38"/>
  <c r="B76" i="38"/>
  <c r="B62" i="38"/>
  <c r="AF286" i="38"/>
  <c r="AE286" i="38"/>
  <c r="AD286" i="38"/>
  <c r="AC286" i="38"/>
  <c r="AB286" i="38"/>
  <c r="AA286" i="38"/>
  <c r="Z286" i="38"/>
  <c r="Y286" i="38"/>
  <c r="X286" i="38"/>
  <c r="W286" i="38"/>
  <c r="V286" i="38"/>
  <c r="U286" i="38"/>
  <c r="T286" i="38"/>
  <c r="S286" i="38"/>
  <c r="R286" i="38"/>
  <c r="Q286" i="38"/>
  <c r="P286" i="38"/>
  <c r="O286" i="38"/>
  <c r="N286" i="38"/>
  <c r="M286" i="38"/>
  <c r="L286" i="38"/>
  <c r="K286" i="38"/>
  <c r="J286" i="38"/>
  <c r="I286" i="38"/>
  <c r="H286" i="38"/>
  <c r="G286" i="38"/>
  <c r="F286" i="38"/>
  <c r="E286" i="38"/>
  <c r="D286" i="38"/>
  <c r="C286" i="38"/>
  <c r="B286" i="38"/>
  <c r="A286" i="38"/>
  <c r="AF285" i="38"/>
  <c r="AE285" i="38"/>
  <c r="AD285" i="38"/>
  <c r="AC285" i="38"/>
  <c r="AB285" i="38"/>
  <c r="AA285" i="38"/>
  <c r="Z285" i="38"/>
  <c r="Y285" i="38"/>
  <c r="X285" i="38"/>
  <c r="W285" i="38"/>
  <c r="V285" i="38"/>
  <c r="U285" i="38"/>
  <c r="T285" i="38"/>
  <c r="S285" i="38"/>
  <c r="R285" i="38"/>
  <c r="Q285" i="38"/>
  <c r="P285" i="38"/>
  <c r="O285" i="38"/>
  <c r="N285" i="38"/>
  <c r="M285" i="38"/>
  <c r="L285" i="38"/>
  <c r="K285" i="38"/>
  <c r="J285" i="38"/>
  <c r="I285" i="38"/>
  <c r="H285" i="38"/>
  <c r="G285" i="38"/>
  <c r="F285" i="38"/>
  <c r="E285" i="38"/>
  <c r="D285" i="38"/>
  <c r="C285" i="38"/>
  <c r="B285" i="38"/>
  <c r="A285" i="38"/>
  <c r="AF284" i="38"/>
  <c r="AE284" i="38"/>
  <c r="AD284" i="38"/>
  <c r="AC284" i="38"/>
  <c r="AB284" i="38"/>
  <c r="AA284" i="38"/>
  <c r="Z284" i="38"/>
  <c r="Y284" i="38"/>
  <c r="X284" i="38"/>
  <c r="W284" i="38"/>
  <c r="V284" i="38"/>
  <c r="U284" i="38"/>
  <c r="T284" i="38"/>
  <c r="S284" i="38"/>
  <c r="R284" i="38"/>
  <c r="Q284" i="38"/>
  <c r="P284" i="38"/>
  <c r="O284" i="38"/>
  <c r="N284" i="38"/>
  <c r="M284" i="38"/>
  <c r="L284" i="38"/>
  <c r="K284" i="38"/>
  <c r="J284" i="38"/>
  <c r="I284" i="38"/>
  <c r="H284" i="38"/>
  <c r="G284" i="38"/>
  <c r="F284" i="38"/>
  <c r="E284" i="38"/>
  <c r="D284" i="38"/>
  <c r="C284" i="38"/>
  <c r="B284" i="38"/>
  <c r="A284" i="38"/>
  <c r="AF283" i="38"/>
  <c r="AE283" i="38"/>
  <c r="AD283" i="38"/>
  <c r="AC283" i="38"/>
  <c r="AB283" i="38"/>
  <c r="AA283" i="38"/>
  <c r="Z283" i="38"/>
  <c r="Y283" i="38"/>
  <c r="X283" i="38"/>
  <c r="W283" i="38"/>
  <c r="V283" i="38"/>
  <c r="U283" i="38"/>
  <c r="T283" i="38"/>
  <c r="S283" i="38"/>
  <c r="R283" i="38"/>
  <c r="Q283" i="38"/>
  <c r="P283" i="38"/>
  <c r="O283" i="38"/>
  <c r="N283" i="38"/>
  <c r="M283" i="38"/>
  <c r="L283" i="38"/>
  <c r="K283" i="38"/>
  <c r="J283" i="38"/>
  <c r="I283" i="38"/>
  <c r="H283" i="38"/>
  <c r="G283" i="38"/>
  <c r="F283" i="38"/>
  <c r="E283" i="38"/>
  <c r="D283" i="38"/>
  <c r="C283" i="38"/>
  <c r="B283" i="38"/>
  <c r="A283" i="38"/>
  <c r="B282" i="38"/>
  <c r="S257" i="38"/>
  <c r="AG252" i="38"/>
  <c r="E252" i="38"/>
  <c r="C252" i="38"/>
  <c r="E251" i="38"/>
  <c r="D251" i="38"/>
  <c r="C282" i="38" s="1"/>
  <c r="E250" i="38"/>
  <c r="F250" i="38" s="1"/>
  <c r="G250" i="38" s="1"/>
  <c r="H250" i="38" s="1"/>
  <c r="I250" i="38" s="1"/>
  <c r="J250" i="38" s="1"/>
  <c r="K250" i="38" s="1"/>
  <c r="L250" i="38" s="1"/>
  <c r="M250" i="38" s="1"/>
  <c r="N250" i="38" s="1"/>
  <c r="O250" i="38" s="1"/>
  <c r="P250" i="38" s="1"/>
  <c r="Q250" i="38" s="1"/>
  <c r="R250" i="38" s="1"/>
  <c r="S250" i="38" s="1"/>
  <c r="T250" i="38" s="1"/>
  <c r="U250" i="38" s="1"/>
  <c r="V250" i="38" s="1"/>
  <c r="W250" i="38" s="1"/>
  <c r="X250" i="38" s="1"/>
  <c r="Y250" i="38" s="1"/>
  <c r="Z250" i="38" s="1"/>
  <c r="AA250" i="38" s="1"/>
  <c r="AB250" i="38" s="1"/>
  <c r="AC250" i="38" s="1"/>
  <c r="AD250" i="38" s="1"/>
  <c r="AE250" i="38" s="1"/>
  <c r="AF250" i="38" s="1"/>
  <c r="B250" i="38" s="1"/>
  <c r="D250" i="38"/>
  <c r="E249" i="38"/>
  <c r="F249" i="38" s="1"/>
  <c r="G249" i="38" s="1"/>
  <c r="H249" i="38" s="1"/>
  <c r="I249" i="38" s="1"/>
  <c r="J249" i="38" s="1"/>
  <c r="K249" i="38" s="1"/>
  <c r="L249" i="38" s="1"/>
  <c r="M249" i="38" s="1"/>
  <c r="N249" i="38" s="1"/>
  <c r="O249" i="38" s="1"/>
  <c r="P249" i="38" s="1"/>
  <c r="Q249" i="38" s="1"/>
  <c r="R249" i="38" s="1"/>
  <c r="S249" i="38" s="1"/>
  <c r="T249" i="38" s="1"/>
  <c r="U249" i="38" s="1"/>
  <c r="V249" i="38" s="1"/>
  <c r="W249" i="38" s="1"/>
  <c r="X249" i="38" s="1"/>
  <c r="Y249" i="38" s="1"/>
  <c r="Z249" i="38" s="1"/>
  <c r="AA249" i="38" s="1"/>
  <c r="AB249" i="38" s="1"/>
  <c r="AC249" i="38" s="1"/>
  <c r="AD249" i="38" s="1"/>
  <c r="AE249" i="38" s="1"/>
  <c r="AF249" i="38" s="1"/>
  <c r="B249" i="38" s="1"/>
  <c r="D249" i="38"/>
  <c r="F248" i="38"/>
  <c r="G248" i="38" s="1"/>
  <c r="H248" i="38" s="1"/>
  <c r="I248" i="38" s="1"/>
  <c r="J248" i="38" s="1"/>
  <c r="K248" i="38" s="1"/>
  <c r="L248" i="38" s="1"/>
  <c r="M248" i="38" s="1"/>
  <c r="N248" i="38" s="1"/>
  <c r="O248" i="38" s="1"/>
  <c r="P248" i="38" s="1"/>
  <c r="Q248" i="38" s="1"/>
  <c r="R248" i="38" s="1"/>
  <c r="S248" i="38" s="1"/>
  <c r="T248" i="38" s="1"/>
  <c r="U248" i="38" s="1"/>
  <c r="V248" i="38" s="1"/>
  <c r="W248" i="38" s="1"/>
  <c r="X248" i="38" s="1"/>
  <c r="Y248" i="38" s="1"/>
  <c r="Z248" i="38" s="1"/>
  <c r="AA248" i="38" s="1"/>
  <c r="AB248" i="38" s="1"/>
  <c r="AC248" i="38" s="1"/>
  <c r="AD248" i="38" s="1"/>
  <c r="AE248" i="38" s="1"/>
  <c r="AF248" i="38" s="1"/>
  <c r="B248" i="38" s="1"/>
  <c r="E248" i="38"/>
  <c r="D248" i="38"/>
  <c r="L247" i="38"/>
  <c r="M247" i="38" s="1"/>
  <c r="N247" i="38" s="1"/>
  <c r="O247" i="38" s="1"/>
  <c r="P247" i="38" s="1"/>
  <c r="Q247" i="38" s="1"/>
  <c r="R247" i="38" s="1"/>
  <c r="S247" i="38" s="1"/>
  <c r="T247" i="38" s="1"/>
  <c r="U247" i="38" s="1"/>
  <c r="V247" i="38" s="1"/>
  <c r="W247" i="38" s="1"/>
  <c r="X247" i="38" s="1"/>
  <c r="Y247" i="38" s="1"/>
  <c r="Z247" i="38" s="1"/>
  <c r="AA247" i="38" s="1"/>
  <c r="AB247" i="38" s="1"/>
  <c r="AC247" i="38" s="1"/>
  <c r="AD247" i="38" s="1"/>
  <c r="AE247" i="38" s="1"/>
  <c r="AF247" i="38" s="1"/>
  <c r="B247" i="38" s="1"/>
  <c r="E247" i="38"/>
  <c r="F247" i="38" s="1"/>
  <c r="G247" i="38" s="1"/>
  <c r="H247" i="38" s="1"/>
  <c r="I247" i="38" s="1"/>
  <c r="J247" i="38" s="1"/>
  <c r="K247" i="38" s="1"/>
  <c r="D247" i="38"/>
  <c r="E246" i="38"/>
  <c r="F246" i="38" s="1"/>
  <c r="D246" i="38"/>
  <c r="AG244" i="38"/>
  <c r="AF244" i="38"/>
  <c r="AE244" i="38"/>
  <c r="AD244" i="38"/>
  <c r="AC244" i="38"/>
  <c r="AB244" i="38"/>
  <c r="AA244" i="38"/>
  <c r="Z244" i="38"/>
  <c r="Y244" i="38"/>
  <c r="X244" i="38"/>
  <c r="W244" i="38"/>
  <c r="V244" i="38"/>
  <c r="U244" i="38"/>
  <c r="T244" i="38"/>
  <c r="S244" i="38"/>
  <c r="R244" i="38"/>
  <c r="Q244" i="38"/>
  <c r="P244" i="38"/>
  <c r="O244" i="38"/>
  <c r="N244" i="38"/>
  <c r="M244" i="38"/>
  <c r="L244" i="38"/>
  <c r="K244" i="38"/>
  <c r="J244" i="38"/>
  <c r="I244" i="38"/>
  <c r="H244" i="38"/>
  <c r="G244" i="38"/>
  <c r="F244" i="38"/>
  <c r="E244" i="38"/>
  <c r="D244" i="38"/>
  <c r="C244" i="38"/>
  <c r="B244" i="38"/>
  <c r="AI130" i="38"/>
  <c r="AH130" i="38"/>
  <c r="AI129" i="38"/>
  <c r="AH129" i="38"/>
  <c r="AI128" i="38"/>
  <c r="AH128" i="38"/>
  <c r="AI127" i="38"/>
  <c r="AH127" i="38"/>
  <c r="AI126" i="38"/>
  <c r="AH126" i="38"/>
  <c r="AI122" i="38"/>
  <c r="AH122" i="38"/>
  <c r="AI121" i="38"/>
  <c r="AH121" i="38"/>
  <c r="AI120" i="38"/>
  <c r="AH120" i="38"/>
  <c r="AI119" i="38"/>
  <c r="AH119" i="38"/>
  <c r="AI117" i="38"/>
  <c r="AH117" i="38"/>
  <c r="AI116" i="38"/>
  <c r="AH116" i="38"/>
  <c r="AI115" i="38"/>
  <c r="AH115" i="38"/>
  <c r="AI114" i="38"/>
  <c r="AH114" i="38"/>
  <c r="AI113" i="38"/>
  <c r="AH113" i="38"/>
  <c r="AI112" i="38"/>
  <c r="AH112" i="38"/>
  <c r="AI111" i="38"/>
  <c r="AH111" i="38"/>
  <c r="AI110" i="38"/>
  <c r="AH110" i="38"/>
  <c r="AI109" i="38"/>
  <c r="AH109" i="38"/>
  <c r="Q107" i="38"/>
  <c r="M107" i="38"/>
  <c r="AI106" i="38"/>
  <c r="AH106" i="38"/>
  <c r="AE105" i="38"/>
  <c r="AD105" i="38"/>
  <c r="AC105" i="38"/>
  <c r="AC107" i="38" s="1"/>
  <c r="AB105" i="38"/>
  <c r="AA105" i="38"/>
  <c r="Z105" i="38"/>
  <c r="Y105" i="38"/>
  <c r="X105" i="38"/>
  <c r="W105" i="38"/>
  <c r="V105" i="38"/>
  <c r="U105" i="38"/>
  <c r="T105" i="38"/>
  <c r="S105" i="38"/>
  <c r="R105" i="38"/>
  <c r="Q105" i="38"/>
  <c r="P105" i="38"/>
  <c r="O105" i="38"/>
  <c r="N105" i="38"/>
  <c r="M105" i="38"/>
  <c r="AE104" i="38"/>
  <c r="AD104" i="38"/>
  <c r="AC104" i="38"/>
  <c r="AB104" i="38"/>
  <c r="AA104" i="38"/>
  <c r="Z104" i="38"/>
  <c r="Y104" i="38"/>
  <c r="X104" i="38"/>
  <c r="W104" i="38"/>
  <c r="V104" i="38"/>
  <c r="U104" i="38"/>
  <c r="T104" i="38"/>
  <c r="S104" i="38"/>
  <c r="R104" i="38"/>
  <c r="Q104" i="38"/>
  <c r="P104" i="38"/>
  <c r="O104" i="38"/>
  <c r="N104" i="38"/>
  <c r="M104" i="38"/>
  <c r="AE103" i="38"/>
  <c r="AD103" i="38"/>
  <c r="AC103" i="38"/>
  <c r="AB103" i="38"/>
  <c r="AA103" i="38"/>
  <c r="Z103" i="38"/>
  <c r="Y103" i="38"/>
  <c r="X103" i="38"/>
  <c r="W103" i="38"/>
  <c r="V103" i="38"/>
  <c r="U103" i="38"/>
  <c r="T103" i="38"/>
  <c r="S103" i="38"/>
  <c r="R103" i="38"/>
  <c r="Q103" i="38"/>
  <c r="P103" i="38"/>
  <c r="O103" i="38"/>
  <c r="N103" i="38"/>
  <c r="M103" i="38"/>
  <c r="AE102" i="38"/>
  <c r="AD102" i="38"/>
  <c r="AC102" i="38"/>
  <c r="AB102" i="38"/>
  <c r="AA102" i="38"/>
  <c r="Z102" i="38"/>
  <c r="Y102" i="38"/>
  <c r="X102" i="38"/>
  <c r="W102" i="38"/>
  <c r="V102" i="38"/>
  <c r="U102" i="38"/>
  <c r="T102" i="38"/>
  <c r="S102" i="38"/>
  <c r="R102" i="38"/>
  <c r="Q102" i="38"/>
  <c r="P102" i="38"/>
  <c r="O102" i="38"/>
  <c r="N102" i="38"/>
  <c r="M102" i="38"/>
  <c r="AE101" i="38"/>
  <c r="AD101" i="38"/>
  <c r="AC101" i="38"/>
  <c r="AB101" i="38"/>
  <c r="AA101" i="38"/>
  <c r="Z101" i="38"/>
  <c r="Y101" i="38"/>
  <c r="X101" i="38"/>
  <c r="W101" i="38"/>
  <c r="V101" i="38"/>
  <c r="U101" i="38"/>
  <c r="T101" i="38"/>
  <c r="S101" i="38"/>
  <c r="R101" i="38"/>
  <c r="R107" i="38" s="1"/>
  <c r="Q101" i="38"/>
  <c r="P101" i="38"/>
  <c r="O101" i="38"/>
  <c r="N101" i="38"/>
  <c r="M101" i="38"/>
  <c r="AI98" i="38"/>
  <c r="AH98" i="38"/>
  <c r="AI96" i="38"/>
  <c r="AH96" i="38"/>
  <c r="AG96" i="38"/>
  <c r="AI95" i="38"/>
  <c r="AH95" i="38"/>
  <c r="AI94" i="38"/>
  <c r="AH94" i="38"/>
  <c r="AI93" i="38"/>
  <c r="AH93" i="38"/>
  <c r="AG92" i="38"/>
  <c r="AE92" i="38"/>
  <c r="AD5" i="38" s="1"/>
  <c r="AD92" i="38"/>
  <c r="AC5" i="38" s="1"/>
  <c r="AC92" i="38"/>
  <c r="AB5" i="38" s="1"/>
  <c r="AB92" i="38"/>
  <c r="AA5" i="38" s="1"/>
  <c r="AA92" i="38"/>
  <c r="Z5" i="38" s="1"/>
  <c r="Z92" i="38"/>
  <c r="Y5" i="38" s="1"/>
  <c r="Y92" i="38"/>
  <c r="X92" i="38"/>
  <c r="W5" i="38" s="1"/>
  <c r="W92" i="38"/>
  <c r="V5" i="38" s="1"/>
  <c r="V92" i="38"/>
  <c r="U5" i="38" s="1"/>
  <c r="U92" i="38"/>
  <c r="T5" i="38" s="1"/>
  <c r="T92" i="38"/>
  <c r="S5" i="38" s="1"/>
  <c r="S92" i="38"/>
  <c r="R5" i="38" s="1"/>
  <c r="R92" i="38"/>
  <c r="Q5" i="38" s="1"/>
  <c r="Q92" i="38"/>
  <c r="P92" i="38"/>
  <c r="O5" i="38" s="1"/>
  <c r="O92" i="38"/>
  <c r="N5" i="38" s="1"/>
  <c r="N92" i="38"/>
  <c r="M5" i="38" s="1"/>
  <c r="M92" i="38"/>
  <c r="M108" i="38" s="1"/>
  <c r="K5" i="38"/>
  <c r="AI91" i="38"/>
  <c r="AH91" i="38"/>
  <c r="AI90" i="38"/>
  <c r="AH90" i="38"/>
  <c r="AI89" i="38"/>
  <c r="AH89" i="38"/>
  <c r="AI88" i="38"/>
  <c r="AH88" i="38"/>
  <c r="AI87" i="38"/>
  <c r="AH87" i="38"/>
  <c r="AI86" i="38"/>
  <c r="AH86" i="38"/>
  <c r="AI85" i="38"/>
  <c r="AH85" i="38"/>
  <c r="AI84" i="38"/>
  <c r="AH84" i="38"/>
  <c r="AI83" i="38"/>
  <c r="AH83" i="38"/>
  <c r="AI82" i="38"/>
  <c r="AH82" i="38"/>
  <c r="AI81" i="38"/>
  <c r="AH81" i="38"/>
  <c r="AG80" i="38"/>
  <c r="AE80" i="38"/>
  <c r="AD80" i="38"/>
  <c r="AC80" i="38"/>
  <c r="AB80" i="38"/>
  <c r="AA80" i="38"/>
  <c r="Z80" i="38"/>
  <c r="Y80" i="38"/>
  <c r="X80" i="38"/>
  <c r="W80" i="38"/>
  <c r="V80" i="38"/>
  <c r="U80" i="38"/>
  <c r="T80" i="38"/>
  <c r="S80" i="38"/>
  <c r="R80" i="38"/>
  <c r="Q80" i="38"/>
  <c r="P80" i="38"/>
  <c r="O80" i="38"/>
  <c r="M80" i="38"/>
  <c r="AI79" i="38"/>
  <c r="AH79" i="38"/>
  <c r="AI78" i="38"/>
  <c r="AH78" i="38"/>
  <c r="AI77" i="38"/>
  <c r="AH77" i="38"/>
  <c r="AG76" i="38"/>
  <c r="AG3" i="38" s="1"/>
  <c r="AE76" i="38"/>
  <c r="AD76" i="38"/>
  <c r="AC76" i="38"/>
  <c r="AB76" i="38"/>
  <c r="AA76" i="38"/>
  <c r="Z76" i="38"/>
  <c r="Y76" i="38"/>
  <c r="X76" i="38"/>
  <c r="W76" i="38"/>
  <c r="V76" i="38"/>
  <c r="U76" i="38"/>
  <c r="T76" i="38"/>
  <c r="S76" i="38"/>
  <c r="R76" i="38"/>
  <c r="Q76" i="38"/>
  <c r="P76" i="38"/>
  <c r="O76" i="38"/>
  <c r="M76" i="38"/>
  <c r="AI75" i="38"/>
  <c r="AH75" i="38"/>
  <c r="AG75" i="38"/>
  <c r="AI74" i="38"/>
  <c r="AH74" i="38"/>
  <c r="AI73" i="38"/>
  <c r="AH73" i="38"/>
  <c r="AI72" i="38"/>
  <c r="AH72" i="38"/>
  <c r="AI71" i="38"/>
  <c r="AH71" i="38"/>
  <c r="AI70" i="38"/>
  <c r="AH70" i="38"/>
  <c r="AI69" i="38"/>
  <c r="AH69" i="38"/>
  <c r="AI68" i="38"/>
  <c r="AH68" i="38"/>
  <c r="AI67" i="38"/>
  <c r="AH67" i="38"/>
  <c r="AI66" i="38"/>
  <c r="AH66" i="38"/>
  <c r="AI65" i="38"/>
  <c r="AH65" i="38"/>
  <c r="AI64" i="38"/>
  <c r="AH64" i="38"/>
  <c r="AI63" i="38"/>
  <c r="AH63" i="38"/>
  <c r="AG62" i="38"/>
  <c r="AD62" i="38"/>
  <c r="AC62" i="38"/>
  <c r="AB62" i="38"/>
  <c r="AA62" i="38"/>
  <c r="Z62" i="38"/>
  <c r="Y62" i="38"/>
  <c r="X62" i="38"/>
  <c r="W62" i="38"/>
  <c r="V62" i="38"/>
  <c r="U62" i="38"/>
  <c r="T62" i="38"/>
  <c r="S62" i="38"/>
  <c r="R62" i="38"/>
  <c r="Q62" i="38"/>
  <c r="P62" i="38"/>
  <c r="O62" i="38"/>
  <c r="M62" i="38"/>
  <c r="AI61" i="38"/>
  <c r="AH61" i="38"/>
  <c r="AI60" i="38"/>
  <c r="AH60" i="38"/>
  <c r="AI59" i="38"/>
  <c r="AH59" i="38"/>
  <c r="AG58" i="38"/>
  <c r="AG2" i="38" s="1"/>
  <c r="AX261" i="38"/>
  <c r="AD58" i="38"/>
  <c r="AC58" i="38"/>
  <c r="AB58" i="38"/>
  <c r="AA58" i="38"/>
  <c r="Z58" i="38"/>
  <c r="Y58" i="38"/>
  <c r="X58" i="38"/>
  <c r="W58" i="38"/>
  <c r="V58" i="38"/>
  <c r="U58" i="38"/>
  <c r="U97" i="38" s="1"/>
  <c r="U99" i="38" s="1"/>
  <c r="AM261" i="38" s="1"/>
  <c r="T58" i="38"/>
  <c r="S58" i="38"/>
  <c r="R58" i="38"/>
  <c r="Q58" i="38"/>
  <c r="P58" i="38"/>
  <c r="O58" i="38"/>
  <c r="M58" i="38"/>
  <c r="AI57" i="38"/>
  <c r="AH57" i="38"/>
  <c r="AI56" i="38"/>
  <c r="AH56" i="38"/>
  <c r="AI55" i="38"/>
  <c r="AH55" i="38"/>
  <c r="AI54" i="38"/>
  <c r="AH54" i="38"/>
  <c r="AI53" i="38"/>
  <c r="AH53" i="38"/>
  <c r="AI52" i="38"/>
  <c r="AH52" i="38"/>
  <c r="AI51" i="38"/>
  <c r="AH51" i="38"/>
  <c r="AI50" i="38"/>
  <c r="AH50" i="38"/>
  <c r="AI49" i="38"/>
  <c r="AH49" i="38"/>
  <c r="AI48" i="38"/>
  <c r="AH48" i="38"/>
  <c r="AI47" i="38"/>
  <c r="AH47" i="38"/>
  <c r="AI46" i="38"/>
  <c r="AH46" i="38"/>
  <c r="AI45" i="38"/>
  <c r="AH45" i="38"/>
  <c r="AI44" i="38"/>
  <c r="AH44" i="38"/>
  <c r="AI43" i="38"/>
  <c r="AH43" i="38"/>
  <c r="AI42" i="38"/>
  <c r="AH42" i="38"/>
  <c r="AI41" i="38"/>
  <c r="AH41" i="38"/>
  <c r="AI40" i="38"/>
  <c r="AH40" i="38"/>
  <c r="AI39" i="38"/>
  <c r="AH39" i="38"/>
  <c r="AI38" i="38"/>
  <c r="AH38" i="38"/>
  <c r="AI37" i="38"/>
  <c r="AH37" i="38"/>
  <c r="AI36" i="38"/>
  <c r="AH36" i="38"/>
  <c r="AI35" i="38"/>
  <c r="AH35" i="38"/>
  <c r="AI34" i="38"/>
  <c r="AH34" i="38"/>
  <c r="AI33" i="38"/>
  <c r="AH33" i="38"/>
  <c r="AI32" i="38"/>
  <c r="AH32" i="38"/>
  <c r="AI31" i="38"/>
  <c r="AH31" i="38"/>
  <c r="AI30" i="38"/>
  <c r="AH30" i="38"/>
  <c r="AI29" i="38"/>
  <c r="AH29" i="38"/>
  <c r="AI28" i="38"/>
  <c r="AH28" i="38"/>
  <c r="AI27" i="38"/>
  <c r="AH27" i="38"/>
  <c r="AI26" i="38"/>
  <c r="AH26" i="38"/>
  <c r="AI25" i="38"/>
  <c r="AH25" i="38"/>
  <c r="AI24" i="38"/>
  <c r="AH24" i="38"/>
  <c r="AI23" i="38"/>
  <c r="AH23" i="38"/>
  <c r="AI22" i="38"/>
  <c r="AH22" i="38"/>
  <c r="AI21" i="38"/>
  <c r="AH21" i="38"/>
  <c r="AI20" i="38"/>
  <c r="AH20" i="38"/>
  <c r="AI19" i="38"/>
  <c r="AH19" i="38"/>
  <c r="AI18" i="38"/>
  <c r="AH18" i="38"/>
  <c r="AI17" i="38"/>
  <c r="AH17" i="38"/>
  <c r="AI16" i="38"/>
  <c r="AH16" i="38"/>
  <c r="AI15" i="38"/>
  <c r="AH15" i="38"/>
  <c r="AI14" i="38"/>
  <c r="AH14" i="38"/>
  <c r="AI13" i="38"/>
  <c r="AH13" i="38"/>
  <c r="AI12" i="38"/>
  <c r="AH12" i="38"/>
  <c r="AI11" i="38"/>
  <c r="AH11" i="38"/>
  <c r="AE5" i="38"/>
  <c r="L5" i="38"/>
  <c r="J5" i="38"/>
  <c r="AG4" i="38"/>
  <c r="K4" i="38"/>
  <c r="E4" i="38"/>
  <c r="H4" i="38" s="1"/>
  <c r="B4" i="38"/>
  <c r="S258" i="38" s="1"/>
  <c r="O282" i="39" l="1"/>
  <c r="Q251" i="39"/>
  <c r="Q246" i="39"/>
  <c r="P252" i="39"/>
  <c r="AE97" i="38"/>
  <c r="AE99" i="38" s="1"/>
  <c r="AD107" i="38"/>
  <c r="AD97" i="38"/>
  <c r="AD99" i="38" s="1"/>
  <c r="AV261" i="38" s="1"/>
  <c r="AC108" i="38"/>
  <c r="AC97" i="38"/>
  <c r="AC99" i="38" s="1"/>
  <c r="AU261" i="38" s="1"/>
  <c r="AB97" i="38"/>
  <c r="AB99" i="38" s="1"/>
  <c r="Y107" i="38"/>
  <c r="Y108" i="38" s="1"/>
  <c r="Z107" i="38"/>
  <c r="X107" i="38"/>
  <c r="X108" i="38" s="1"/>
  <c r="AA97" i="38"/>
  <c r="AA99" i="38" s="1"/>
  <c r="AS261" i="38" s="1"/>
  <c r="X97" i="38"/>
  <c r="X99" i="38" s="1"/>
  <c r="AP261" i="38" s="1"/>
  <c r="W97" i="38"/>
  <c r="W99" i="38" s="1"/>
  <c r="V107" i="38"/>
  <c r="V97" i="38"/>
  <c r="V99" i="38" s="1"/>
  <c r="AN261" i="38" s="1"/>
  <c r="U107" i="38"/>
  <c r="T97" i="38"/>
  <c r="T99" i="38" s="1"/>
  <c r="S97" i="38"/>
  <c r="S99" i="38" s="1"/>
  <c r="AK261" i="38" s="1"/>
  <c r="P107" i="38"/>
  <c r="P97" i="38"/>
  <c r="P99" i="38" s="1"/>
  <c r="AH261" i="38" s="1"/>
  <c r="O97" i="38"/>
  <c r="O99" i="38" s="1"/>
  <c r="N97" i="38"/>
  <c r="N99" i="38" s="1"/>
  <c r="AF261" i="38" s="1"/>
  <c r="N107" i="38"/>
  <c r="M97" i="38"/>
  <c r="M99" i="38" s="1"/>
  <c r="AE261" i="38" s="1"/>
  <c r="L97" i="38"/>
  <c r="L99" i="38" s="1"/>
  <c r="L100" i="38" s="1"/>
  <c r="L108" i="38"/>
  <c r="AI123" i="38"/>
  <c r="K97" i="38"/>
  <c r="K99" i="38" s="1"/>
  <c r="K100" i="38" s="1"/>
  <c r="K7" i="38" s="1"/>
  <c r="K108" i="38"/>
  <c r="J107" i="38"/>
  <c r="J97" i="38"/>
  <c r="J99" i="38" s="1"/>
  <c r="J100" i="38" s="1"/>
  <c r="J118" i="38"/>
  <c r="J108" i="38"/>
  <c r="AI101" i="38"/>
  <c r="H108" i="38"/>
  <c r="H97" i="38"/>
  <c r="H99" i="38" s="1"/>
  <c r="Z261" i="38" s="1"/>
  <c r="H118" i="38"/>
  <c r="G97" i="38"/>
  <c r="G99" i="38" s="1"/>
  <c r="G100" i="38" s="1"/>
  <c r="G7" i="38" s="1"/>
  <c r="G108" i="38"/>
  <c r="AH103" i="38"/>
  <c r="AI62" i="38"/>
  <c r="AI76" i="38"/>
  <c r="E107" i="38"/>
  <c r="E108" i="38"/>
  <c r="F97" i="38"/>
  <c r="F99" i="38" s="1"/>
  <c r="F100" i="38" s="1"/>
  <c r="E5" i="38"/>
  <c r="D5" i="38"/>
  <c r="E97" i="38"/>
  <c r="E99" i="38" s="1"/>
  <c r="W261" i="38" s="1"/>
  <c r="AI80" i="38"/>
  <c r="AH123" i="38"/>
  <c r="D107" i="38"/>
  <c r="D97" i="38"/>
  <c r="D99" i="38" s="1"/>
  <c r="D100" i="38" s="1"/>
  <c r="D7" i="38" s="1"/>
  <c r="D108" i="38"/>
  <c r="AI102" i="38"/>
  <c r="C100" i="38"/>
  <c r="C7" i="38" s="1"/>
  <c r="AH104" i="38"/>
  <c r="B108" i="38"/>
  <c r="B97" i="38"/>
  <c r="B99" i="38" s="1"/>
  <c r="B100" i="38" s="1"/>
  <c r="AI58" i="38"/>
  <c r="U261" i="38"/>
  <c r="AC261" i="38"/>
  <c r="AO261" i="38"/>
  <c r="P100" i="38"/>
  <c r="P7" i="38" s="1"/>
  <c r="P108" i="38"/>
  <c r="AF7" i="38"/>
  <c r="AG261" i="38"/>
  <c r="AW261" i="38"/>
  <c r="AH102" i="38"/>
  <c r="AA107" i="38"/>
  <c r="N108" i="38"/>
  <c r="V108" i="38"/>
  <c r="AD108" i="38"/>
  <c r="U100" i="38"/>
  <c r="U7" i="38" s="1"/>
  <c r="T107" i="38"/>
  <c r="T108" i="38" s="1"/>
  <c r="AB107" i="38"/>
  <c r="AB108" i="38" s="1"/>
  <c r="D282" i="38"/>
  <c r="F251" i="38"/>
  <c r="AH76" i="38"/>
  <c r="U108" i="38"/>
  <c r="S107" i="38"/>
  <c r="Q97" i="38"/>
  <c r="Q99" i="38" s="1"/>
  <c r="Y97" i="38"/>
  <c r="Y99" i="38" s="1"/>
  <c r="AG6" i="38"/>
  <c r="R97" i="38"/>
  <c r="R99" i="38" s="1"/>
  <c r="Z97" i="38"/>
  <c r="Z99" i="38" s="1"/>
  <c r="H5" i="38"/>
  <c r="P5" i="38"/>
  <c r="Q108" i="38"/>
  <c r="X5" i="38"/>
  <c r="AG99" i="38"/>
  <c r="AH58" i="38"/>
  <c r="AF5" i="38"/>
  <c r="AI92" i="38"/>
  <c r="R108" i="38"/>
  <c r="Z108" i="38"/>
  <c r="AH92" i="38"/>
  <c r="O107" i="38"/>
  <c r="O108" i="38" s="1"/>
  <c r="W107" i="38"/>
  <c r="W108" i="38" s="1"/>
  <c r="AE107" i="38"/>
  <c r="AE108" i="38" s="1"/>
  <c r="AI103" i="38"/>
  <c r="D252" i="38"/>
  <c r="V261" i="38"/>
  <c r="AL261" i="38"/>
  <c r="T100" i="38"/>
  <c r="T7" i="38" s="1"/>
  <c r="AT261" i="38"/>
  <c r="AH80" i="38"/>
  <c r="AI104" i="38"/>
  <c r="AI105" i="38"/>
  <c r="G246" i="38"/>
  <c r="D258" i="38"/>
  <c r="AH101" i="38"/>
  <c r="AG97" i="38"/>
  <c r="AH62" i="38"/>
  <c r="AH105" i="38"/>
  <c r="Q252" i="39" l="1"/>
  <c r="Q118" i="39"/>
  <c r="R246" i="39"/>
  <c r="P282" i="39"/>
  <c r="R251" i="39"/>
  <c r="AD100" i="38"/>
  <c r="AD7" i="38" s="1"/>
  <c r="AC100" i="38"/>
  <c r="AC7" i="38" s="1"/>
  <c r="V100" i="38"/>
  <c r="V7" i="38" s="1"/>
  <c r="AA100" i="38"/>
  <c r="AA7" i="38" s="1"/>
  <c r="X100" i="38"/>
  <c r="X7" i="38" s="1"/>
  <c r="S100" i="38"/>
  <c r="S7" i="38" s="1"/>
  <c r="S108" i="38"/>
  <c r="N100" i="38"/>
  <c r="N7" i="38" s="1"/>
  <c r="AD261" i="38"/>
  <c r="M100" i="38"/>
  <c r="M7" i="38" s="1"/>
  <c r="H100" i="38"/>
  <c r="H7" i="38" s="1"/>
  <c r="Y261" i="38"/>
  <c r="E100" i="38"/>
  <c r="E7" i="38" s="1"/>
  <c r="AE100" i="38"/>
  <c r="AE7" i="38" s="1"/>
  <c r="AB261" i="38"/>
  <c r="J7" i="38"/>
  <c r="X261" i="38"/>
  <c r="F7" i="38"/>
  <c r="AI107" i="38"/>
  <c r="AH107" i="38"/>
  <c r="W100" i="38"/>
  <c r="W7" i="38" s="1"/>
  <c r="L7" i="38"/>
  <c r="AQ261" i="38"/>
  <c r="Y100" i="38"/>
  <c r="Y7" i="38" s="1"/>
  <c r="AH97" i="38"/>
  <c r="AI97" i="38"/>
  <c r="E282" i="38"/>
  <c r="G251" i="38"/>
  <c r="AA108" i="38"/>
  <c r="AI261" i="38"/>
  <c r="Q100" i="38"/>
  <c r="Q7" i="38" s="1"/>
  <c r="O100" i="38"/>
  <c r="O7" i="38" s="1"/>
  <c r="AA261" i="38"/>
  <c r="I7" i="38"/>
  <c r="F252" i="38"/>
  <c r="AR261" i="38"/>
  <c r="Z100" i="38"/>
  <c r="Z7" i="38" s="1"/>
  <c r="C256" i="38"/>
  <c r="H246" i="38"/>
  <c r="G252" i="38"/>
  <c r="AB100" i="38"/>
  <c r="AB7" i="38" s="1"/>
  <c r="AJ261" i="38"/>
  <c r="R100" i="38"/>
  <c r="R7" i="38" s="1"/>
  <c r="B256" i="38"/>
  <c r="S251" i="39" l="1"/>
  <c r="Q282" i="39"/>
  <c r="R252" i="39"/>
  <c r="R118" i="39"/>
  <c r="S246" i="39"/>
  <c r="I246" i="38"/>
  <c r="H252" i="38"/>
  <c r="T261" i="38"/>
  <c r="AI99" i="38"/>
  <c r="AH99" i="38"/>
  <c r="K6" i="38"/>
  <c r="AI108" i="38"/>
  <c r="AH108" i="38"/>
  <c r="F282" i="38"/>
  <c r="H251" i="38"/>
  <c r="S252" i="39" l="1"/>
  <c r="S118" i="39"/>
  <c r="T246" i="39"/>
  <c r="R282" i="39"/>
  <c r="T251" i="39"/>
  <c r="AI100" i="38"/>
  <c r="B7" i="38"/>
  <c r="A7" i="38" s="1"/>
  <c r="AH100" i="38"/>
  <c r="I251" i="38"/>
  <c r="G282" i="38"/>
  <c r="I252" i="38"/>
  <c r="J246" i="38"/>
  <c r="U251" i="39" l="1"/>
  <c r="S282" i="39"/>
  <c r="T252" i="39"/>
  <c r="U246" i="39"/>
  <c r="K246" i="38"/>
  <c r="H282" i="38"/>
  <c r="J251" i="38"/>
  <c r="J252" i="38" s="1"/>
  <c r="V246" i="39" l="1"/>
  <c r="U252" i="39"/>
  <c r="T282" i="39"/>
  <c r="V251" i="39"/>
  <c r="L246" i="38"/>
  <c r="K251" i="38"/>
  <c r="I282" i="38"/>
  <c r="U282" i="39" l="1"/>
  <c r="W251" i="39"/>
  <c r="V252" i="39"/>
  <c r="W246" i="39"/>
  <c r="J282" i="38"/>
  <c r="L251" i="38"/>
  <c r="L252" i="38" s="1"/>
  <c r="M246" i="38"/>
  <c r="K252" i="38"/>
  <c r="X246" i="39" l="1"/>
  <c r="W252" i="39"/>
  <c r="V282" i="39"/>
  <c r="X251" i="39"/>
  <c r="N246" i="38"/>
  <c r="K282" i="38"/>
  <c r="M251" i="38"/>
  <c r="W282" i="39" l="1"/>
  <c r="Y251" i="39"/>
  <c r="Y246" i="39"/>
  <c r="X252" i="39"/>
  <c r="L282" i="38"/>
  <c r="N251" i="38"/>
  <c r="M252" i="38"/>
  <c r="M118" i="38"/>
  <c r="O246" i="38"/>
  <c r="N118" i="38"/>
  <c r="N252" i="38"/>
  <c r="Y252" i="39" l="1"/>
  <c r="Z246" i="39"/>
  <c r="X282" i="39"/>
  <c r="Z251" i="39"/>
  <c r="P246" i="38"/>
  <c r="M282" i="38"/>
  <c r="O251" i="38"/>
  <c r="AA251" i="39" l="1"/>
  <c r="Y282" i="39"/>
  <c r="Z252" i="39"/>
  <c r="Z118" i="39"/>
  <c r="AA246" i="39"/>
  <c r="N282" i="38"/>
  <c r="P251" i="38"/>
  <c r="O118" i="38"/>
  <c r="O252" i="38"/>
  <c r="Q246" i="38"/>
  <c r="P252" i="38"/>
  <c r="AA252" i="39" l="1"/>
  <c r="AB246" i="39"/>
  <c r="Z282" i="39"/>
  <c r="AB251" i="39"/>
  <c r="O282" i="38"/>
  <c r="Q251" i="38"/>
  <c r="Q252" i="38"/>
  <c r="Q118" i="38"/>
  <c r="R246" i="38"/>
  <c r="AC251" i="39" l="1"/>
  <c r="AA282" i="39"/>
  <c r="AB252" i="39"/>
  <c r="AC246" i="39"/>
  <c r="P282" i="38"/>
  <c r="R251" i="38"/>
  <c r="R252" i="38"/>
  <c r="R118" i="38"/>
  <c r="S246" i="38"/>
  <c r="AD246" i="39" l="1"/>
  <c r="AC252" i="39"/>
  <c r="AC118" i="39"/>
  <c r="AB282" i="39"/>
  <c r="AD251" i="39"/>
  <c r="S251" i="38"/>
  <c r="Q282" i="38"/>
  <c r="S252" i="38"/>
  <c r="S118" i="38"/>
  <c r="T246" i="38"/>
  <c r="AC282" i="39" l="1"/>
  <c r="AE251" i="39"/>
  <c r="AE246" i="39"/>
  <c r="AD252" i="39"/>
  <c r="U246" i="38"/>
  <c r="R282" i="38"/>
  <c r="T251" i="38"/>
  <c r="T118" i="38" s="1"/>
  <c r="AF246" i="39" l="1"/>
  <c r="AE252" i="39"/>
  <c r="AD282" i="39"/>
  <c r="AF251" i="39"/>
  <c r="U251" i="38"/>
  <c r="S282" i="38"/>
  <c r="V246" i="38"/>
  <c r="U118" i="38"/>
  <c r="U252" i="38"/>
  <c r="T252" i="38"/>
  <c r="B251" i="39" l="1"/>
  <c r="AF282" i="39" s="1"/>
  <c r="AE282" i="39"/>
  <c r="B246" i="39"/>
  <c r="AF252" i="39"/>
  <c r="W246" i="38"/>
  <c r="T282" i="38"/>
  <c r="V251" i="38"/>
  <c r="B252" i="39" l="1"/>
  <c r="U282" i="38"/>
  <c r="W251" i="38"/>
  <c r="V252" i="38"/>
  <c r="V118" i="38"/>
  <c r="X246" i="38"/>
  <c r="W252" i="38"/>
  <c r="W118" i="38"/>
  <c r="AI118" i="39" l="1"/>
  <c r="AH118" i="39"/>
  <c r="Y246" i="38"/>
  <c r="V282" i="38"/>
  <c r="X251" i="38"/>
  <c r="Y251" i="38" l="1"/>
  <c r="W282" i="38"/>
  <c r="X252" i="38"/>
  <c r="X118" i="38"/>
  <c r="Y252" i="38"/>
  <c r="Y118" i="38"/>
  <c r="Z246" i="38"/>
  <c r="AA246" i="38" l="1"/>
  <c r="X282" i="38"/>
  <c r="Z251" i="38"/>
  <c r="AA251" i="38" l="1"/>
  <c r="Y282" i="38"/>
  <c r="AA252" i="38"/>
  <c r="AA118" i="38"/>
  <c r="AB246" i="38"/>
  <c r="Z252" i="38"/>
  <c r="Z118" i="38"/>
  <c r="AC246" i="38" l="1"/>
  <c r="Z282" i="38"/>
  <c r="AB251" i="38"/>
  <c r="AB118" i="38" s="1"/>
  <c r="AD246" i="38" l="1"/>
  <c r="AA282" i="38"/>
  <c r="AC251" i="38"/>
  <c r="AC118" i="38" s="1"/>
  <c r="AB252" i="38"/>
  <c r="AB282" i="38" l="1"/>
  <c r="AD251" i="38"/>
  <c r="AC252" i="38"/>
  <c r="AE246" i="38"/>
  <c r="AD252" i="38"/>
  <c r="AC282" i="38" l="1"/>
  <c r="AE251" i="38"/>
  <c r="AF246" i="38"/>
  <c r="AE252" i="38"/>
  <c r="AE118" i="38"/>
  <c r="AD282" i="38" l="1"/>
  <c r="AF251" i="38"/>
  <c r="AF252" i="38"/>
  <c r="B246" i="38"/>
  <c r="B251" i="38" l="1"/>
  <c r="AF282" i="38" s="1"/>
  <c r="AE282" i="38"/>
  <c r="B252" i="38"/>
  <c r="AI118" i="38" l="1"/>
  <c r="AH118" i="38"/>
  <c r="C105" i="18" l="1"/>
  <c r="D58" i="16" l="1"/>
  <c r="E58" i="16"/>
  <c r="F58" i="16"/>
  <c r="G58" i="16"/>
  <c r="H58" i="16"/>
  <c r="I58" i="16"/>
  <c r="J58" i="16"/>
  <c r="K58" i="16"/>
  <c r="L58" i="16"/>
  <c r="M58" i="16"/>
  <c r="M10" i="29" l="1"/>
  <c r="L103" i="18" l="1"/>
  <c r="I76" i="18" l="1"/>
  <c r="Q43" i="18"/>
  <c r="M43" i="18"/>
  <c r="M40" i="18"/>
  <c r="H35" i="18"/>
  <c r="H34" i="18"/>
  <c r="H36" i="18" s="1"/>
  <c r="B34" i="18"/>
  <c r="M33" i="18"/>
  <c r="G33" i="18"/>
  <c r="F33" i="18"/>
  <c r="E33" i="18"/>
  <c r="D33" i="18"/>
  <c r="C33" i="18"/>
  <c r="G32" i="18"/>
  <c r="F32" i="18"/>
  <c r="E32" i="18"/>
  <c r="D32" i="18"/>
  <c r="C32" i="18"/>
  <c r="G31" i="18"/>
  <c r="F31" i="18"/>
  <c r="E31" i="18"/>
  <c r="D31" i="18"/>
  <c r="C31" i="18"/>
  <c r="G30" i="18"/>
  <c r="G34" i="18" s="1"/>
  <c r="F30" i="18"/>
  <c r="E30" i="18"/>
  <c r="D30" i="18"/>
  <c r="C30" i="18"/>
  <c r="G28" i="18"/>
  <c r="F28" i="18"/>
  <c r="E28" i="18"/>
  <c r="D28" i="18"/>
  <c r="C28" i="18"/>
  <c r="N16" i="18"/>
  <c r="C7" i="18"/>
  <c r="D34" i="18" l="1"/>
  <c r="E34" i="18"/>
  <c r="F34" i="18"/>
  <c r="C34" i="18"/>
  <c r="C101" i="16" l="1"/>
  <c r="D101" i="16"/>
  <c r="E101" i="16"/>
  <c r="F101" i="16"/>
  <c r="G101" i="16"/>
  <c r="H101" i="16"/>
  <c r="I101" i="16"/>
  <c r="J101" i="16"/>
  <c r="K101" i="16"/>
  <c r="L101" i="16"/>
  <c r="M101" i="16"/>
  <c r="N101" i="16"/>
  <c r="O101" i="16"/>
  <c r="P101" i="16"/>
  <c r="Q101" i="16"/>
  <c r="R101" i="16"/>
  <c r="S101" i="16"/>
  <c r="T101" i="16"/>
  <c r="U101" i="16"/>
  <c r="V101" i="16"/>
  <c r="W101" i="16"/>
  <c r="X101" i="16"/>
  <c r="AA101" i="16"/>
  <c r="AB101" i="16"/>
  <c r="AC101" i="16"/>
  <c r="AD101" i="16"/>
  <c r="AE101" i="16"/>
  <c r="AF101" i="16"/>
  <c r="C102" i="16"/>
  <c r="D102" i="16"/>
  <c r="E102" i="16"/>
  <c r="F102" i="16"/>
  <c r="G102" i="16"/>
  <c r="H102" i="16"/>
  <c r="I102" i="16"/>
  <c r="J102" i="16"/>
  <c r="K102" i="16"/>
  <c r="L102" i="16"/>
  <c r="M102" i="16"/>
  <c r="N102" i="16"/>
  <c r="O102" i="16"/>
  <c r="P102" i="16"/>
  <c r="Q102" i="16"/>
  <c r="R102" i="16"/>
  <c r="S102" i="16"/>
  <c r="T102" i="16"/>
  <c r="U102" i="16"/>
  <c r="V102" i="16"/>
  <c r="W102" i="16"/>
  <c r="X102" i="16"/>
  <c r="AA102" i="16"/>
  <c r="AB102" i="16"/>
  <c r="AC102" i="16"/>
  <c r="AD102" i="16"/>
  <c r="AE102" i="16"/>
  <c r="AF102" i="16"/>
  <c r="C103" i="16"/>
  <c r="D103" i="16"/>
  <c r="E103" i="16"/>
  <c r="F103" i="16"/>
  <c r="G103" i="16"/>
  <c r="H103" i="16"/>
  <c r="I103" i="16"/>
  <c r="J103" i="16"/>
  <c r="K103" i="16"/>
  <c r="L103" i="16"/>
  <c r="M103" i="16"/>
  <c r="N103" i="16"/>
  <c r="O103" i="16"/>
  <c r="P103" i="16"/>
  <c r="Q103" i="16"/>
  <c r="R103" i="16"/>
  <c r="S103" i="16"/>
  <c r="T103" i="16"/>
  <c r="U103" i="16"/>
  <c r="V103" i="16"/>
  <c r="W103" i="16"/>
  <c r="X103" i="16"/>
  <c r="AA103" i="16"/>
  <c r="AB103" i="16"/>
  <c r="AC103" i="16"/>
  <c r="AD103" i="16"/>
  <c r="AE103" i="16"/>
  <c r="AF103" i="16"/>
  <c r="C104" i="16"/>
  <c r="D104" i="16"/>
  <c r="E104" i="16"/>
  <c r="F104" i="16"/>
  <c r="G104" i="16"/>
  <c r="H104" i="16"/>
  <c r="I104" i="16"/>
  <c r="J104" i="16"/>
  <c r="K104" i="16"/>
  <c r="L104" i="16"/>
  <c r="M104" i="16"/>
  <c r="N104" i="16"/>
  <c r="O104" i="16"/>
  <c r="P104" i="16"/>
  <c r="Q104" i="16"/>
  <c r="R104" i="16"/>
  <c r="S104" i="16"/>
  <c r="T104" i="16"/>
  <c r="U104" i="16"/>
  <c r="V104" i="16"/>
  <c r="W104" i="16"/>
  <c r="X104" i="16"/>
  <c r="AA104" i="16"/>
  <c r="AB104" i="16"/>
  <c r="AC104" i="16"/>
  <c r="AD104" i="16"/>
  <c r="AE104" i="16"/>
  <c r="AF104" i="16"/>
  <c r="C105" i="16"/>
  <c r="D105" i="16"/>
  <c r="E105" i="16"/>
  <c r="F105" i="16"/>
  <c r="G105" i="16"/>
  <c r="H105" i="16"/>
  <c r="I105" i="16"/>
  <c r="J105" i="16"/>
  <c r="K105" i="16"/>
  <c r="L105" i="16"/>
  <c r="M105" i="16"/>
  <c r="N105" i="16"/>
  <c r="O105" i="16"/>
  <c r="P105" i="16"/>
  <c r="Q105" i="16"/>
  <c r="R105" i="16"/>
  <c r="S105" i="16"/>
  <c r="T105" i="16"/>
  <c r="U105" i="16"/>
  <c r="V105" i="16"/>
  <c r="W105" i="16"/>
  <c r="X105" i="16"/>
  <c r="AA105" i="16"/>
  <c r="AB105" i="16"/>
  <c r="AC105" i="16"/>
  <c r="AD105" i="16"/>
  <c r="AE105" i="16"/>
  <c r="AF105" i="16"/>
  <c r="B105" i="16"/>
  <c r="B104" i="16"/>
  <c r="B103" i="16"/>
  <c r="B102" i="16"/>
  <c r="B101" i="16"/>
  <c r="AF286" i="16"/>
  <c r="AE286" i="16"/>
  <c r="AD286" i="16"/>
  <c r="AC286" i="16"/>
  <c r="AB286" i="16"/>
  <c r="AA286" i="16"/>
  <c r="Z286" i="16"/>
  <c r="Y286" i="16"/>
  <c r="X286" i="16"/>
  <c r="W286" i="16"/>
  <c r="V286" i="16"/>
  <c r="U286" i="16"/>
  <c r="T286" i="16"/>
  <c r="S286" i="16"/>
  <c r="R286" i="16"/>
  <c r="Q286" i="16"/>
  <c r="P286" i="16"/>
  <c r="O286" i="16"/>
  <c r="N286" i="16"/>
  <c r="M286" i="16"/>
  <c r="L286" i="16"/>
  <c r="K286" i="16"/>
  <c r="J286" i="16"/>
  <c r="I286" i="16"/>
  <c r="H286" i="16"/>
  <c r="G286" i="16"/>
  <c r="F286" i="16"/>
  <c r="E286" i="16"/>
  <c r="D286" i="16"/>
  <c r="C286" i="16"/>
  <c r="B286" i="16"/>
  <c r="A286" i="16"/>
  <c r="AF285" i="16"/>
  <c r="AE285" i="16"/>
  <c r="AD285" i="16"/>
  <c r="AC285" i="16"/>
  <c r="AB285" i="16"/>
  <c r="AA285" i="16"/>
  <c r="Z285" i="16"/>
  <c r="Y285" i="16"/>
  <c r="X285" i="16"/>
  <c r="W285" i="16"/>
  <c r="V285" i="16"/>
  <c r="U285" i="16"/>
  <c r="T285" i="16"/>
  <c r="S285" i="16"/>
  <c r="R285" i="16"/>
  <c r="Q285" i="16"/>
  <c r="P285" i="16"/>
  <c r="O285" i="16"/>
  <c r="N285" i="16"/>
  <c r="M285" i="16"/>
  <c r="L285" i="16"/>
  <c r="K285" i="16"/>
  <c r="J285" i="16"/>
  <c r="I285" i="16"/>
  <c r="H285" i="16"/>
  <c r="G285" i="16"/>
  <c r="F285" i="16"/>
  <c r="E285" i="16"/>
  <c r="D285" i="16"/>
  <c r="C285" i="16"/>
  <c r="B285" i="16"/>
  <c r="A285" i="16"/>
  <c r="AF284" i="16"/>
  <c r="AE284" i="16"/>
  <c r="AD284" i="16"/>
  <c r="AC284" i="16"/>
  <c r="AB284" i="16"/>
  <c r="AA284" i="16"/>
  <c r="Z284" i="16"/>
  <c r="Y284" i="16"/>
  <c r="X284" i="16"/>
  <c r="W284" i="16"/>
  <c r="V284" i="16"/>
  <c r="U284" i="16"/>
  <c r="T284" i="16"/>
  <c r="S284" i="16"/>
  <c r="R284" i="16"/>
  <c r="Q284" i="16"/>
  <c r="P284" i="16"/>
  <c r="O284" i="16"/>
  <c r="N284" i="16"/>
  <c r="M284" i="16"/>
  <c r="L284" i="16"/>
  <c r="K284" i="16"/>
  <c r="J284" i="16"/>
  <c r="I284" i="16"/>
  <c r="H284" i="16"/>
  <c r="G284" i="16"/>
  <c r="F284" i="16"/>
  <c r="E284" i="16"/>
  <c r="D284" i="16"/>
  <c r="C284" i="16"/>
  <c r="B284" i="16"/>
  <c r="A284" i="16"/>
  <c r="AF283" i="16"/>
  <c r="AE283" i="16"/>
  <c r="AD283" i="16"/>
  <c r="AC283" i="16"/>
  <c r="AB283" i="16"/>
  <c r="AA283" i="16"/>
  <c r="Z283" i="16"/>
  <c r="Y283" i="16"/>
  <c r="X283" i="16"/>
  <c r="W283" i="16"/>
  <c r="V283" i="16"/>
  <c r="U283" i="16"/>
  <c r="T283" i="16"/>
  <c r="S283" i="16"/>
  <c r="R283" i="16"/>
  <c r="Q283" i="16"/>
  <c r="P283" i="16"/>
  <c r="O283" i="16"/>
  <c r="N283" i="16"/>
  <c r="M283" i="16"/>
  <c r="L283" i="16"/>
  <c r="K283" i="16"/>
  <c r="J283" i="16"/>
  <c r="I283" i="16"/>
  <c r="H283" i="16"/>
  <c r="G283" i="16"/>
  <c r="F283" i="16"/>
  <c r="E283" i="16"/>
  <c r="D283" i="16"/>
  <c r="C283" i="16"/>
  <c r="B283" i="16"/>
  <c r="A283" i="16"/>
  <c r="B282" i="16"/>
  <c r="S257" i="16"/>
  <c r="AG252" i="16"/>
  <c r="AG75" i="16" s="1"/>
  <c r="AG76" i="16" s="1"/>
  <c r="AG3" i="16" s="1"/>
  <c r="C252" i="16"/>
  <c r="D251" i="16"/>
  <c r="C282" i="16" s="1"/>
  <c r="D250" i="16"/>
  <c r="E250" i="16" s="1"/>
  <c r="F250" i="16" s="1"/>
  <c r="G250" i="16" s="1"/>
  <c r="H250" i="16" s="1"/>
  <c r="I250" i="16" s="1"/>
  <c r="J250" i="16" s="1"/>
  <c r="K250" i="16" s="1"/>
  <c r="L250" i="16" s="1"/>
  <c r="M250" i="16" s="1"/>
  <c r="N250" i="16" s="1"/>
  <c r="O250" i="16" s="1"/>
  <c r="P250" i="16" s="1"/>
  <c r="Q250" i="16" s="1"/>
  <c r="R250" i="16" s="1"/>
  <c r="S250" i="16" s="1"/>
  <c r="T250" i="16" s="1"/>
  <c r="U250" i="16" s="1"/>
  <c r="V250" i="16" s="1"/>
  <c r="W250" i="16" s="1"/>
  <c r="X250" i="16" s="1"/>
  <c r="Y250" i="16" s="1"/>
  <c r="Z250" i="16" s="1"/>
  <c r="AA250" i="16" s="1"/>
  <c r="AB250" i="16" s="1"/>
  <c r="AC250" i="16" s="1"/>
  <c r="AD250" i="16" s="1"/>
  <c r="AE250" i="16" s="1"/>
  <c r="AF250" i="16" s="1"/>
  <c r="B250" i="16" s="1"/>
  <c r="D249" i="16"/>
  <c r="D248" i="16"/>
  <c r="E248" i="16" s="1"/>
  <c r="F248" i="16" s="1"/>
  <c r="G248" i="16" s="1"/>
  <c r="H248" i="16" s="1"/>
  <c r="I248" i="16" s="1"/>
  <c r="J248" i="16" s="1"/>
  <c r="K248" i="16" s="1"/>
  <c r="L248" i="16" s="1"/>
  <c r="M248" i="16" s="1"/>
  <c r="N248" i="16" s="1"/>
  <c r="O248" i="16" s="1"/>
  <c r="P248" i="16" s="1"/>
  <c r="Q248" i="16" s="1"/>
  <c r="R248" i="16" s="1"/>
  <c r="S248" i="16" s="1"/>
  <c r="T248" i="16" s="1"/>
  <c r="U248" i="16" s="1"/>
  <c r="V248" i="16" s="1"/>
  <c r="W248" i="16" s="1"/>
  <c r="X248" i="16" s="1"/>
  <c r="Y248" i="16" s="1"/>
  <c r="Z248" i="16" s="1"/>
  <c r="AA248" i="16" s="1"/>
  <c r="AB248" i="16" s="1"/>
  <c r="AC248" i="16" s="1"/>
  <c r="AD248" i="16" s="1"/>
  <c r="AE248" i="16" s="1"/>
  <c r="AF248" i="16" s="1"/>
  <c r="B248" i="16" s="1"/>
  <c r="D247" i="16"/>
  <c r="E247" i="16" s="1"/>
  <c r="F247" i="16" s="1"/>
  <c r="G247" i="16" s="1"/>
  <c r="H247" i="16" s="1"/>
  <c r="I247" i="16" s="1"/>
  <c r="J247" i="16" s="1"/>
  <c r="K247" i="16" s="1"/>
  <c r="L247" i="16" s="1"/>
  <c r="M247" i="16" s="1"/>
  <c r="N247" i="16" s="1"/>
  <c r="O247" i="16" s="1"/>
  <c r="P247" i="16" s="1"/>
  <c r="Q247" i="16" s="1"/>
  <c r="R247" i="16" s="1"/>
  <c r="S247" i="16" s="1"/>
  <c r="T247" i="16" s="1"/>
  <c r="U247" i="16" s="1"/>
  <c r="V247" i="16" s="1"/>
  <c r="W247" i="16" s="1"/>
  <c r="X247" i="16" s="1"/>
  <c r="Y247" i="16" s="1"/>
  <c r="Z247" i="16" s="1"/>
  <c r="AA247" i="16" s="1"/>
  <c r="AB247" i="16" s="1"/>
  <c r="AC247" i="16" s="1"/>
  <c r="AD247" i="16" s="1"/>
  <c r="AE247" i="16" s="1"/>
  <c r="AF247" i="16" s="1"/>
  <c r="B247" i="16" s="1"/>
  <c r="D246" i="16"/>
  <c r="E246" i="16" s="1"/>
  <c r="AG244" i="16"/>
  <c r="AF244" i="16"/>
  <c r="AE244" i="16"/>
  <c r="AD244" i="16"/>
  <c r="AC244" i="16"/>
  <c r="AB244" i="16"/>
  <c r="AA244" i="16"/>
  <c r="Z244" i="16"/>
  <c r="Y244" i="16"/>
  <c r="X244" i="16"/>
  <c r="W244" i="16"/>
  <c r="V244" i="16"/>
  <c r="U244" i="16"/>
  <c r="T244" i="16"/>
  <c r="S244" i="16"/>
  <c r="R244" i="16"/>
  <c r="Q244" i="16"/>
  <c r="P244" i="16"/>
  <c r="O244" i="16"/>
  <c r="N244" i="16"/>
  <c r="M244" i="16"/>
  <c r="L244" i="16"/>
  <c r="K244" i="16"/>
  <c r="J244" i="16"/>
  <c r="I244" i="16"/>
  <c r="H244" i="16"/>
  <c r="G244" i="16"/>
  <c r="F244" i="16"/>
  <c r="E244" i="16"/>
  <c r="D244" i="16"/>
  <c r="C244" i="16"/>
  <c r="B244" i="16"/>
  <c r="AI130" i="16"/>
  <c r="AH130" i="16"/>
  <c r="AI129" i="16"/>
  <c r="AH129" i="16"/>
  <c r="AI128" i="16"/>
  <c r="AH128" i="16"/>
  <c r="AI127" i="16"/>
  <c r="AH127" i="16"/>
  <c r="AI126" i="16"/>
  <c r="AH126" i="16"/>
  <c r="AI123" i="16"/>
  <c r="AI122" i="16"/>
  <c r="AH122" i="16"/>
  <c r="AI121" i="16"/>
  <c r="AI120" i="16"/>
  <c r="AH120" i="16"/>
  <c r="AI119" i="16"/>
  <c r="AH119" i="16"/>
  <c r="C118" i="16"/>
  <c r="AI117" i="16"/>
  <c r="AH117" i="16"/>
  <c r="AI116" i="16"/>
  <c r="AH116" i="16"/>
  <c r="AI115" i="16"/>
  <c r="AH115" i="16"/>
  <c r="AI114" i="16"/>
  <c r="AH114" i="16"/>
  <c r="AI113" i="16"/>
  <c r="AH113" i="16"/>
  <c r="AI112" i="16"/>
  <c r="AH112" i="16"/>
  <c r="AI111" i="16"/>
  <c r="AH111" i="16"/>
  <c r="AI110" i="16"/>
  <c r="AH110" i="16"/>
  <c r="AI109" i="16"/>
  <c r="AH109" i="16"/>
  <c r="AI106" i="16"/>
  <c r="AH106" i="16"/>
  <c r="AI98" i="16"/>
  <c r="AH98" i="16"/>
  <c r="AI96" i="16"/>
  <c r="AH96" i="16"/>
  <c r="AG96" i="16"/>
  <c r="AI95" i="16"/>
  <c r="AH95" i="16"/>
  <c r="AI94" i="16"/>
  <c r="AH94" i="16"/>
  <c r="AI93" i="16"/>
  <c r="AH93" i="16"/>
  <c r="AG92" i="16"/>
  <c r="AF92" i="16"/>
  <c r="AE92" i="16"/>
  <c r="AD92" i="16"/>
  <c r="AC92" i="16"/>
  <c r="AB92" i="16"/>
  <c r="AA92" i="16"/>
  <c r="Z5" i="16" s="1"/>
  <c r="X5" i="16"/>
  <c r="X92" i="16"/>
  <c r="W5" i="16" s="1"/>
  <c r="W92" i="16"/>
  <c r="V92" i="16"/>
  <c r="U5" i="16" s="1"/>
  <c r="U92" i="16"/>
  <c r="T92" i="16"/>
  <c r="S92" i="16"/>
  <c r="R5" i="16" s="1"/>
  <c r="R92" i="16"/>
  <c r="Q92" i="16"/>
  <c r="P5" i="16" s="1"/>
  <c r="P92" i="16"/>
  <c r="O5" i="16" s="1"/>
  <c r="O92" i="16"/>
  <c r="N92" i="16"/>
  <c r="M92" i="16"/>
  <c r="L92" i="16"/>
  <c r="K5" i="16" s="1"/>
  <c r="K92" i="16"/>
  <c r="J5" i="16" s="1"/>
  <c r="J92" i="16"/>
  <c r="I92" i="16"/>
  <c r="H5" i="16" s="1"/>
  <c r="H92" i="16"/>
  <c r="G92" i="16"/>
  <c r="F92" i="16"/>
  <c r="E92" i="16"/>
  <c r="D92" i="16"/>
  <c r="C92" i="16"/>
  <c r="B92" i="16"/>
  <c r="AI91" i="16"/>
  <c r="AH91" i="16"/>
  <c r="AI90" i="16"/>
  <c r="AH90" i="16"/>
  <c r="AI89" i="16"/>
  <c r="AH89" i="16"/>
  <c r="AI88" i="16"/>
  <c r="AH88" i="16"/>
  <c r="AI87" i="16"/>
  <c r="AH87" i="16"/>
  <c r="AI86" i="16"/>
  <c r="AH86" i="16"/>
  <c r="AI85" i="16"/>
  <c r="AH85" i="16"/>
  <c r="AI84" i="16"/>
  <c r="AH84" i="16"/>
  <c r="AI83" i="16"/>
  <c r="AH83" i="16"/>
  <c r="AI82" i="16"/>
  <c r="AH82" i="16"/>
  <c r="AI81" i="16"/>
  <c r="AH81" i="16"/>
  <c r="AG80" i="16"/>
  <c r="AG4" i="16" s="1"/>
  <c r="AF80" i="16"/>
  <c r="AE80" i="16"/>
  <c r="AD80" i="16"/>
  <c r="AC80" i="16"/>
  <c r="AB80" i="16"/>
  <c r="AA80" i="16"/>
  <c r="X80" i="16"/>
  <c r="W80" i="16"/>
  <c r="V80" i="16"/>
  <c r="U80" i="16"/>
  <c r="T80" i="16"/>
  <c r="S80" i="16"/>
  <c r="R80" i="16"/>
  <c r="Q80" i="16"/>
  <c r="P80" i="16"/>
  <c r="O80" i="16"/>
  <c r="N80" i="16"/>
  <c r="M80" i="16"/>
  <c r="L80" i="16"/>
  <c r="K80" i="16"/>
  <c r="J80" i="16"/>
  <c r="I80" i="16"/>
  <c r="H80" i="16"/>
  <c r="G80" i="16"/>
  <c r="F80" i="16"/>
  <c r="E80" i="16"/>
  <c r="D80" i="16"/>
  <c r="C80" i="16"/>
  <c r="B80" i="16"/>
  <c r="AI79" i="16"/>
  <c r="AH79" i="16"/>
  <c r="AI78" i="16"/>
  <c r="AH78" i="16"/>
  <c r="AI77" i="16"/>
  <c r="AH77" i="16"/>
  <c r="AF76" i="16"/>
  <c r="AE76" i="16"/>
  <c r="AD76" i="16"/>
  <c r="AC76" i="16"/>
  <c r="AB76" i="16"/>
  <c r="AA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E97" i="16" s="1"/>
  <c r="E99" i="16" s="1"/>
  <c r="D76" i="16"/>
  <c r="C76" i="16"/>
  <c r="B76" i="16"/>
  <c r="AI75" i="16"/>
  <c r="AH75" i="16"/>
  <c r="AI74" i="16"/>
  <c r="AH74" i="16"/>
  <c r="AI73" i="16"/>
  <c r="AH73" i="16"/>
  <c r="AI72" i="16"/>
  <c r="AH72" i="16"/>
  <c r="AI71" i="16"/>
  <c r="AH71" i="16"/>
  <c r="AI70" i="16"/>
  <c r="AH70" i="16"/>
  <c r="AI69" i="16"/>
  <c r="AH69" i="16"/>
  <c r="AI68" i="16"/>
  <c r="AH68" i="16"/>
  <c r="AI67" i="16"/>
  <c r="AH67" i="16"/>
  <c r="AI66" i="16"/>
  <c r="AH66" i="16"/>
  <c r="AI65" i="16"/>
  <c r="AH65" i="16"/>
  <c r="AI64" i="16"/>
  <c r="AH64" i="16"/>
  <c r="AI63" i="16"/>
  <c r="AH63" i="16"/>
  <c r="AG62" i="16"/>
  <c r="AF62" i="16"/>
  <c r="AE62" i="16"/>
  <c r="AD62" i="16"/>
  <c r="AC62" i="16"/>
  <c r="AB62" i="16"/>
  <c r="AA62" i="16"/>
  <c r="X62" i="16"/>
  <c r="W62" i="16"/>
  <c r="V62" i="16"/>
  <c r="U62" i="16"/>
  <c r="T62" i="16"/>
  <c r="S62" i="16"/>
  <c r="R62" i="16"/>
  <c r="Q62" i="16"/>
  <c r="P62" i="16"/>
  <c r="O62" i="16"/>
  <c r="N62" i="16"/>
  <c r="M62" i="16"/>
  <c r="L62" i="16"/>
  <c r="K62" i="16"/>
  <c r="J62" i="16"/>
  <c r="I62" i="16"/>
  <c r="H62" i="16"/>
  <c r="G62" i="16"/>
  <c r="F62" i="16"/>
  <c r="E62" i="16"/>
  <c r="D62" i="16"/>
  <c r="C62" i="16"/>
  <c r="B62" i="16"/>
  <c r="AI61" i="16"/>
  <c r="AH61" i="16"/>
  <c r="AI60" i="16"/>
  <c r="AH60" i="16"/>
  <c r="AI59" i="16"/>
  <c r="AH59" i="16"/>
  <c r="AG58" i="16"/>
  <c r="AG2" i="16" s="1"/>
  <c r="AF58" i="16"/>
  <c r="AE58" i="16"/>
  <c r="AD58" i="16"/>
  <c r="AC58" i="16"/>
  <c r="AC97" i="16" s="1"/>
  <c r="AC99" i="16" s="1"/>
  <c r="AB58" i="16"/>
  <c r="AA58" i="16"/>
  <c r="X58" i="16"/>
  <c r="W58" i="16"/>
  <c r="V58" i="16"/>
  <c r="U58" i="16"/>
  <c r="U97" i="16" s="1"/>
  <c r="U99" i="16" s="1"/>
  <c r="T58" i="16"/>
  <c r="S58" i="16"/>
  <c r="R58" i="16"/>
  <c r="Q58" i="16"/>
  <c r="P58" i="16"/>
  <c r="O58" i="16"/>
  <c r="N58" i="16"/>
  <c r="M97" i="16"/>
  <c r="M99" i="16" s="1"/>
  <c r="AI56" i="16"/>
  <c r="AH56" i="16"/>
  <c r="AI55" i="16"/>
  <c r="AH55" i="16"/>
  <c r="AI54" i="16"/>
  <c r="AH54" i="16"/>
  <c r="AI53" i="16"/>
  <c r="AH53" i="16"/>
  <c r="AI52" i="16"/>
  <c r="AH52" i="16"/>
  <c r="AI51" i="16"/>
  <c r="AH51" i="16"/>
  <c r="AI50" i="16"/>
  <c r="AH50" i="16"/>
  <c r="AI49" i="16"/>
  <c r="AH49" i="16"/>
  <c r="AI48" i="16"/>
  <c r="AH48" i="16"/>
  <c r="AI47" i="16"/>
  <c r="AH47" i="16"/>
  <c r="AI46" i="16"/>
  <c r="AH46" i="16"/>
  <c r="AI45" i="16"/>
  <c r="AH45" i="16"/>
  <c r="AI44" i="16"/>
  <c r="AH44" i="16"/>
  <c r="AI43" i="16"/>
  <c r="AH43" i="16"/>
  <c r="AI42" i="16"/>
  <c r="AH42" i="16"/>
  <c r="AI41" i="16"/>
  <c r="AH41" i="16"/>
  <c r="AI40" i="16"/>
  <c r="AH40" i="16"/>
  <c r="AI39" i="16"/>
  <c r="AH39" i="16"/>
  <c r="AI38" i="16"/>
  <c r="AH38" i="16"/>
  <c r="AI37" i="16"/>
  <c r="AH37" i="16"/>
  <c r="AI36" i="16"/>
  <c r="AH36" i="16"/>
  <c r="AI35" i="16"/>
  <c r="AH35" i="16"/>
  <c r="AI34" i="16"/>
  <c r="AH34" i="16"/>
  <c r="AI33" i="16"/>
  <c r="AH33" i="16"/>
  <c r="AI32" i="16"/>
  <c r="AH32" i="16"/>
  <c r="AI31" i="16"/>
  <c r="AH31" i="16"/>
  <c r="AI30" i="16"/>
  <c r="AH30" i="16"/>
  <c r="AI29" i="16"/>
  <c r="AH29" i="16"/>
  <c r="AI28" i="16"/>
  <c r="AH28" i="16"/>
  <c r="AI27" i="16"/>
  <c r="AH27" i="16"/>
  <c r="AI26" i="16"/>
  <c r="AH26" i="16"/>
  <c r="AI25" i="16"/>
  <c r="AH25" i="16"/>
  <c r="AI24" i="16"/>
  <c r="AH24" i="16"/>
  <c r="AI23" i="16"/>
  <c r="AH23" i="16"/>
  <c r="AI22" i="16"/>
  <c r="AH22" i="16"/>
  <c r="AI21" i="16"/>
  <c r="AH21" i="16"/>
  <c r="AI20" i="16"/>
  <c r="AH20" i="16"/>
  <c r="AI19" i="16"/>
  <c r="AH19" i="16"/>
  <c r="AI18" i="16"/>
  <c r="AH18" i="16"/>
  <c r="AI17" i="16"/>
  <c r="AH17" i="16"/>
  <c r="AI16" i="16"/>
  <c r="AH16" i="16"/>
  <c r="AI15" i="16"/>
  <c r="AH15" i="16"/>
  <c r="AI14" i="16"/>
  <c r="AH14" i="16"/>
  <c r="AI13" i="16"/>
  <c r="AH13" i="16"/>
  <c r="AI12" i="16"/>
  <c r="AH12" i="16"/>
  <c r="AI11" i="16"/>
  <c r="AH11" i="16"/>
  <c r="AE5" i="16"/>
  <c r="AD5" i="16"/>
  <c r="AC5" i="16"/>
  <c r="AA5" i="16"/>
  <c r="V5" i="16"/>
  <c r="N5" i="16"/>
  <c r="M5" i="16"/>
  <c r="G5" i="16"/>
  <c r="F5" i="16"/>
  <c r="E5" i="16"/>
  <c r="K4" i="16"/>
  <c r="H4" i="16"/>
  <c r="D258" i="16"/>
  <c r="AG6" i="16" l="1"/>
  <c r="J107" i="16"/>
  <c r="S97" i="16"/>
  <c r="S99" i="16" s="1"/>
  <c r="AA97" i="16"/>
  <c r="AA99" i="16" s="1"/>
  <c r="R107" i="16"/>
  <c r="D118" i="16"/>
  <c r="F246" i="16"/>
  <c r="G246" i="16" s="1"/>
  <c r="AE107" i="16"/>
  <c r="AE108" i="16" s="1"/>
  <c r="W107" i="16"/>
  <c r="W108" i="16" s="1"/>
  <c r="O107" i="16"/>
  <c r="O108" i="16" s="1"/>
  <c r="G107" i="16"/>
  <c r="I107" i="16"/>
  <c r="AE97" i="16"/>
  <c r="AE99" i="16" s="1"/>
  <c r="AF107" i="16"/>
  <c r="X107" i="16"/>
  <c r="X108" i="16" s="1"/>
  <c r="P107" i="16"/>
  <c r="H107" i="16"/>
  <c r="AD107" i="16"/>
  <c r="AD108" i="16" s="1"/>
  <c r="V107" i="16"/>
  <c r="V108" i="16" s="1"/>
  <c r="N107" i="16"/>
  <c r="N108" i="16" s="1"/>
  <c r="F107" i="16"/>
  <c r="F108" i="16" s="1"/>
  <c r="AI101" i="16"/>
  <c r="AC107" i="16"/>
  <c r="AC100" i="16" s="1"/>
  <c r="AC7" i="16" s="1"/>
  <c r="U107" i="16"/>
  <c r="U100" i="16" s="1"/>
  <c r="U7" i="16" s="1"/>
  <c r="M107" i="16"/>
  <c r="M100" i="16" s="1"/>
  <c r="M7" i="16" s="1"/>
  <c r="E107" i="16"/>
  <c r="E100" i="16" s="1"/>
  <c r="E7" i="16" s="1"/>
  <c r="B107" i="16"/>
  <c r="AB107" i="16"/>
  <c r="AB108" i="16" s="1"/>
  <c r="T107" i="16"/>
  <c r="L107" i="16"/>
  <c r="L108" i="16" s="1"/>
  <c r="D107" i="16"/>
  <c r="AA107" i="16"/>
  <c r="AA108" i="16" s="1"/>
  <c r="S107" i="16"/>
  <c r="S100" i="16" s="1"/>
  <c r="S7" i="16" s="1"/>
  <c r="K107" i="16"/>
  <c r="C107" i="16"/>
  <c r="C108" i="16" s="1"/>
  <c r="Q107" i="16"/>
  <c r="Q108" i="16" s="1"/>
  <c r="AG99" i="16"/>
  <c r="E251" i="16"/>
  <c r="E118" i="16" s="1"/>
  <c r="F97" i="16"/>
  <c r="F99" i="16" s="1"/>
  <c r="N97" i="16"/>
  <c r="N99" i="16" s="1"/>
  <c r="N100" i="16" s="1"/>
  <c r="V97" i="16"/>
  <c r="V99" i="16" s="1"/>
  <c r="V100" i="16" s="1"/>
  <c r="V7" i="16" s="1"/>
  <c r="AD97" i="16"/>
  <c r="AD99" i="16" s="1"/>
  <c r="AD100" i="16" s="1"/>
  <c r="T108" i="16"/>
  <c r="G97" i="16"/>
  <c r="G99" i="16" s="1"/>
  <c r="G100" i="16" s="1"/>
  <c r="G7" i="16" s="1"/>
  <c r="W97" i="16"/>
  <c r="W99" i="16" s="1"/>
  <c r="P97" i="16"/>
  <c r="P99" i="16" s="1"/>
  <c r="X97" i="16"/>
  <c r="X99" i="16" s="1"/>
  <c r="AP261" i="16" s="1"/>
  <c r="AF97" i="16"/>
  <c r="AF99" i="16" s="1"/>
  <c r="AF100" i="16" s="1"/>
  <c r="Z7" i="16"/>
  <c r="Q97" i="16"/>
  <c r="Q99" i="16" s="1"/>
  <c r="Y7" i="16"/>
  <c r="AG97" i="16"/>
  <c r="AH105" i="16"/>
  <c r="AI104" i="16"/>
  <c r="AI103" i="16"/>
  <c r="AH101" i="16"/>
  <c r="O97" i="16"/>
  <c r="O99" i="16" s="1"/>
  <c r="O100" i="16" s="1"/>
  <c r="O7" i="16" s="1"/>
  <c r="AH76" i="16"/>
  <c r="AH104" i="16"/>
  <c r="S5" i="16"/>
  <c r="T97" i="16"/>
  <c r="T99" i="16" s="1"/>
  <c r="AB97" i="16"/>
  <c r="AB99" i="16" s="1"/>
  <c r="K108" i="16"/>
  <c r="S108" i="16"/>
  <c r="AI105" i="16"/>
  <c r="AH103" i="16"/>
  <c r="AI102" i="16"/>
  <c r="AH102" i="16"/>
  <c r="B5" i="16"/>
  <c r="C5" i="16"/>
  <c r="H97" i="16"/>
  <c r="H99" i="16" s="1"/>
  <c r="H100" i="16" s="1"/>
  <c r="D108" i="16"/>
  <c r="C97" i="16"/>
  <c r="C99" i="16" s="1"/>
  <c r="K97" i="16"/>
  <c r="K99" i="16" s="1"/>
  <c r="K100" i="16" s="1"/>
  <c r="K7" i="16" s="1"/>
  <c r="D97" i="16"/>
  <c r="D99" i="16" s="1"/>
  <c r="AI80" i="16"/>
  <c r="AI58" i="16"/>
  <c r="AI62" i="16"/>
  <c r="I97" i="16"/>
  <c r="I99" i="16" s="1"/>
  <c r="L97" i="16"/>
  <c r="L99" i="16" s="1"/>
  <c r="AI76" i="16"/>
  <c r="S258" i="16"/>
  <c r="AF261" i="16"/>
  <c r="N7" i="16"/>
  <c r="X261" i="16"/>
  <c r="Y261" i="16"/>
  <c r="B108" i="16"/>
  <c r="AI92" i="16"/>
  <c r="AF5" i="16"/>
  <c r="J108" i="16"/>
  <c r="I5" i="16"/>
  <c r="Q5" i="16"/>
  <c r="R108" i="16"/>
  <c r="Y5" i="16"/>
  <c r="AH92" i="16"/>
  <c r="AH62" i="16"/>
  <c r="J97" i="16"/>
  <c r="J99" i="16" s="1"/>
  <c r="J100" i="16" s="1"/>
  <c r="R97" i="16"/>
  <c r="R99" i="16" s="1"/>
  <c r="R100" i="16" s="1"/>
  <c r="AS261" i="16"/>
  <c r="B97" i="16"/>
  <c r="AH121" i="16"/>
  <c r="AK261" i="16"/>
  <c r="D5" i="16"/>
  <c r="L5" i="16"/>
  <c r="M108" i="16"/>
  <c r="T5" i="16"/>
  <c r="U108" i="16"/>
  <c r="AB5" i="16"/>
  <c r="AH58" i="16"/>
  <c r="AH80" i="16"/>
  <c r="AW261" i="16"/>
  <c r="W261" i="16"/>
  <c r="AE261" i="16"/>
  <c r="AM261" i="16"/>
  <c r="AU261" i="16"/>
  <c r="AV261" i="16"/>
  <c r="AD7" i="16"/>
  <c r="D252" i="16"/>
  <c r="E249" i="16"/>
  <c r="F249" i="16" s="1"/>
  <c r="G249" i="16" s="1"/>
  <c r="H249" i="16" s="1"/>
  <c r="I249" i="16" s="1"/>
  <c r="J249" i="16" s="1"/>
  <c r="K249" i="16" s="1"/>
  <c r="L249" i="16" s="1"/>
  <c r="M249" i="16" s="1"/>
  <c r="N249" i="16" s="1"/>
  <c r="O249" i="16" s="1"/>
  <c r="P249" i="16" s="1"/>
  <c r="Q249" i="16" s="1"/>
  <c r="R249" i="16" s="1"/>
  <c r="S249" i="16" s="1"/>
  <c r="T249" i="16" s="1"/>
  <c r="U249" i="16" s="1"/>
  <c r="V249" i="16" s="1"/>
  <c r="W249" i="16" s="1"/>
  <c r="X249" i="16" s="1"/>
  <c r="Y249" i="16" s="1"/>
  <c r="Z249" i="16" s="1"/>
  <c r="AA249" i="16" s="1"/>
  <c r="AB249" i="16" s="1"/>
  <c r="AC249" i="16" s="1"/>
  <c r="AD249" i="16" s="1"/>
  <c r="AE249" i="16" s="1"/>
  <c r="AF249" i="16" s="1"/>
  <c r="B249" i="16" s="1"/>
  <c r="P108" i="16"/>
  <c r="AI57" i="16"/>
  <c r="AH261" i="16"/>
  <c r="AX261" i="16"/>
  <c r="I108" i="16"/>
  <c r="AH57" i="16"/>
  <c r="H108" i="16"/>
  <c r="AF108" i="16"/>
  <c r="AH123" i="16"/>
  <c r="AA100" i="16" l="1"/>
  <c r="AA7" i="16" s="1"/>
  <c r="Q100" i="16"/>
  <c r="Q7" i="16" s="1"/>
  <c r="AG261" i="16"/>
  <c r="AE100" i="16"/>
  <c r="AE7" i="16" s="1"/>
  <c r="AC261" i="16"/>
  <c r="F251" i="16"/>
  <c r="G251" i="16" s="1"/>
  <c r="X100" i="16"/>
  <c r="X7" i="16" s="1"/>
  <c r="F100" i="16"/>
  <c r="F7" i="16" s="1"/>
  <c r="D282" i="16"/>
  <c r="AQ261" i="16"/>
  <c r="P100" i="16"/>
  <c r="P7" i="16" s="1"/>
  <c r="AI261" i="16"/>
  <c r="W100" i="16"/>
  <c r="W7" i="16" s="1"/>
  <c r="Z261" i="16"/>
  <c r="U261" i="16"/>
  <c r="C100" i="16"/>
  <c r="C7" i="16" s="1"/>
  <c r="AT261" i="16"/>
  <c r="AB100" i="16"/>
  <c r="AB7" i="16" s="1"/>
  <c r="AD261" i="16"/>
  <c r="L100" i="16"/>
  <c r="L7" i="16" s="1"/>
  <c r="AL261" i="16"/>
  <c r="T100" i="16"/>
  <c r="T7" i="16" s="1"/>
  <c r="AA261" i="16"/>
  <c r="I100" i="16"/>
  <c r="I7" i="16" s="1"/>
  <c r="AN261" i="16"/>
  <c r="AO261" i="16"/>
  <c r="AR261" i="16"/>
  <c r="D100" i="16"/>
  <c r="D7" i="16" s="1"/>
  <c r="V261" i="16"/>
  <c r="E108" i="16"/>
  <c r="AH108" i="16" s="1"/>
  <c r="G108" i="16"/>
  <c r="H7" i="16"/>
  <c r="C256" i="16"/>
  <c r="AF7" i="16"/>
  <c r="AC108" i="16"/>
  <c r="B256" i="16"/>
  <c r="AI97" i="16"/>
  <c r="B99" i="16"/>
  <c r="B100" i="16" s="1"/>
  <c r="AH97" i="16"/>
  <c r="E282" i="16"/>
  <c r="AI107" i="16"/>
  <c r="AH107" i="16"/>
  <c r="AB261" i="16"/>
  <c r="J7" i="16"/>
  <c r="E252" i="16"/>
  <c r="H246" i="16"/>
  <c r="AJ261" i="16"/>
  <c r="R7" i="16"/>
  <c r="G252" i="16" l="1"/>
  <c r="G118" i="16"/>
  <c r="F252" i="16"/>
  <c r="F118" i="16"/>
  <c r="AI108" i="16"/>
  <c r="K6" i="16"/>
  <c r="T261" i="16"/>
  <c r="AH99" i="16"/>
  <c r="AI99" i="16"/>
  <c r="I246" i="16"/>
  <c r="F282" i="16"/>
  <c r="H251" i="16"/>
  <c r="H252" i="16" s="1"/>
  <c r="H118" i="16" l="1"/>
  <c r="I118" i="16"/>
  <c r="J246" i="16"/>
  <c r="I252" i="16"/>
  <c r="G282" i="16"/>
  <c r="I251" i="16"/>
  <c r="B7" i="16"/>
  <c r="A7" i="16" s="1"/>
  <c r="AI100" i="16"/>
  <c r="AH100" i="16"/>
  <c r="K246" i="16" l="1"/>
  <c r="H282" i="16"/>
  <c r="J251" i="16"/>
  <c r="K251" i="16" l="1"/>
  <c r="I282" i="16"/>
  <c r="K252" i="16"/>
  <c r="L246" i="16"/>
  <c r="K118" i="16"/>
  <c r="J118" i="16"/>
  <c r="J252" i="16"/>
  <c r="M246" i="16" l="1"/>
  <c r="L251" i="16"/>
  <c r="J282" i="16"/>
  <c r="K282" i="16" l="1"/>
  <c r="M251" i="16"/>
  <c r="M252" i="16" s="1"/>
  <c r="L118" i="16"/>
  <c r="M118" i="16"/>
  <c r="N246" i="16"/>
  <c r="L252" i="16"/>
  <c r="O246" i="16" l="1"/>
  <c r="L282" i="16"/>
  <c r="N251" i="16"/>
  <c r="O251" i="16" l="1"/>
  <c r="O252" i="16" s="1"/>
  <c r="M282" i="16"/>
  <c r="N252" i="16"/>
  <c r="P246" i="16"/>
  <c r="O118" i="16"/>
  <c r="N118" i="16"/>
  <c r="Q246" i="16" l="1"/>
  <c r="P252" i="16"/>
  <c r="N282" i="16"/>
  <c r="P251" i="16"/>
  <c r="O282" i="16" l="1"/>
  <c r="Q251" i="16"/>
  <c r="R246" i="16"/>
  <c r="Q252" i="16"/>
  <c r="Q118" i="16"/>
  <c r="S246" i="16" l="1"/>
  <c r="P282" i="16"/>
  <c r="R251" i="16"/>
  <c r="R118" i="16" s="1"/>
  <c r="T246" i="16" l="1"/>
  <c r="S251" i="16"/>
  <c r="S118" i="16" s="1"/>
  <c r="Q282" i="16"/>
  <c r="R252" i="16"/>
  <c r="T251" i="16" l="1"/>
  <c r="R282" i="16"/>
  <c r="T252" i="16"/>
  <c r="U246" i="16"/>
  <c r="T118" i="16"/>
  <c r="S252" i="16"/>
  <c r="U118" i="16" l="1"/>
  <c r="V246" i="16"/>
  <c r="S282" i="16"/>
  <c r="U251" i="16"/>
  <c r="U252" i="16" s="1"/>
  <c r="W246" i="16" l="1"/>
  <c r="T282" i="16"/>
  <c r="V251" i="16"/>
  <c r="V252" i="16" s="1"/>
  <c r="V118" i="16" l="1"/>
  <c r="X246" i="16"/>
  <c r="W251" i="16"/>
  <c r="W252" i="16" s="1"/>
  <c r="U282" i="16"/>
  <c r="V282" i="16" l="1"/>
  <c r="X251" i="16"/>
  <c r="Y246" i="16"/>
  <c r="X252" i="16"/>
  <c r="X118" i="16"/>
  <c r="W118" i="16"/>
  <c r="Z246" i="16" l="1"/>
  <c r="W282" i="16"/>
  <c r="Y251" i="16"/>
  <c r="X282" i="16" l="1"/>
  <c r="Z251" i="16"/>
  <c r="Y252" i="16"/>
  <c r="AA246" i="16"/>
  <c r="AA251" i="16" l="1"/>
  <c r="Y282" i="16"/>
  <c r="AA252" i="16"/>
  <c r="AA118" i="16"/>
  <c r="AB246" i="16"/>
  <c r="Z252" i="16"/>
  <c r="AC246" i="16" l="1"/>
  <c r="AB251" i="16"/>
  <c r="Z282" i="16"/>
  <c r="AA282" i="16" l="1"/>
  <c r="AC251" i="16"/>
  <c r="AC118" i="16" s="1"/>
  <c r="AB118" i="16"/>
  <c r="AD246" i="16"/>
  <c r="AB252" i="16"/>
  <c r="AC252" i="16" l="1"/>
  <c r="AE246" i="16"/>
  <c r="AD252" i="16"/>
  <c r="AB282" i="16"/>
  <c r="AD251" i="16"/>
  <c r="AF246" i="16" l="1"/>
  <c r="AE251" i="16"/>
  <c r="AC282" i="16"/>
  <c r="AD282" i="16" l="1"/>
  <c r="AF251" i="16"/>
  <c r="AE252" i="16"/>
  <c r="AE118" i="16"/>
  <c r="AF118" i="16"/>
  <c r="AF252" i="16"/>
  <c r="B246" i="16"/>
  <c r="B251" i="16" l="1"/>
  <c r="AF282" i="16" s="1"/>
  <c r="AE282" i="16"/>
  <c r="B118" i="16" l="1"/>
  <c r="B252" i="16"/>
  <c r="AH118" i="16" l="1"/>
  <c r="AI118" i="16"/>
  <c r="G12" i="4" l="1"/>
  <c r="E12" i="4"/>
  <c r="F12" i="4"/>
  <c r="D12" i="4"/>
  <c r="C1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6A96F538-C20B-4E6F-ADE8-D3885545C8E5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6D37F01E-C174-4E45-B221-C89C78B7C2D2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B5D80569-9712-487E-95B7-04E4EBCB8BAC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18751293-12C2-4A9A-B727-0086580299BC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7688B56-587D-4363-B787-D665F37355BF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85CD3F65-93AE-4646-B977-60899D9747B4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7F77C91D-EBFF-43EC-BEF0-09251A34EB9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72205D3-9EA1-4EB3-868E-D7105C88667A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D54BC6E2-E91E-4047-B57F-B061A21A4655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AF3318D1-16A7-439D-9A6E-896EE0DE2ADB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68DA0E59-AE5E-4272-8920-F69A72513702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A7684658-3ADC-4DD6-98A2-8AC0128DA645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8A0BBCA2-8F81-4763-8FFB-2B965E3CE456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E0A5D09F-FBBC-4992-B411-47FB57FEE9DF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13A04FD4-F74C-4E27-BAF8-992724856A57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10F0DC43-38A6-4FE2-BD84-CFF9BB7EF8BC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E47B627F-15B8-4A72-B030-14353B6BA88E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BFA3C4E6-219D-4BE5-888A-D55F0AB0B646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1FFFBEC6-A4E4-4EAD-9A17-9DED62C86E8E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848A779F-EA2B-4433-93AD-BBB155570BF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2EF0FD2A-814C-4DB2-88F1-2A4842EFF625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924F67AC-E9AD-4A8D-A6DD-070F1F43619B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86BEB0EB-AC69-46BE-B1D3-5359C9224A66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4D80E2F5-6EAA-44ED-875F-A9B2B573C4DC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5B5D09AA-C139-49F4-AABB-8A727D72C95D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D5CBE50D-7741-4EC4-A725-1B63CFC4B5F1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40BBB87F-3040-48ED-A783-2996CF7AF9AB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248A07E7-E5EF-4C74-979A-C297D7B94769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DB035FC8-BE6C-4E28-8D7A-E8A5EE76738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5AC910B-426B-48AE-AF5A-06C8DEB9FD47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F8A5B49D-456E-4726-9F27-51E149DC2735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sharedStrings.xml><?xml version="1.0" encoding="utf-8"?>
<sst xmlns="http://schemas.openxmlformats.org/spreadsheetml/2006/main" count="9279" uniqueCount="637">
  <si>
    <t xml:space="preserve">LOAD DISPATCH  CENTRE,  NEPAL   ELECTRICITY   AUTHORITY
DAILY SYSTEM OPERATION LOG  FOR INPS </t>
  </si>
  <si>
    <t>Installed Capacity (MW)</t>
  </si>
  <si>
    <t>Bhai</t>
  </si>
  <si>
    <t>Sim</t>
  </si>
  <si>
    <t>Ktm</t>
  </si>
  <si>
    <t>Brt</t>
  </si>
  <si>
    <t>Rainfall</t>
  </si>
  <si>
    <t>IPP</t>
  </si>
  <si>
    <t>* other ipp reduced to 210 due to addition of rudi khola a in log sheet</t>
  </si>
  <si>
    <t>llkkjmj</t>
  </si>
  <si>
    <t>NEA RoR</t>
  </si>
  <si>
    <t>Nepali Date:</t>
  </si>
  <si>
    <t>NEA Storage</t>
  </si>
  <si>
    <t>Total Hydro</t>
  </si>
  <si>
    <t>Night Shift(Contd..)</t>
  </si>
  <si>
    <t>Morning Shift</t>
  </si>
  <si>
    <t>Day Shift</t>
  </si>
  <si>
    <t>Night Shift</t>
  </si>
  <si>
    <t xml:space="preserve">                              Hrs.               Source</t>
  </si>
  <si>
    <t>Solu Khola Dudhkoshi(86)</t>
  </si>
  <si>
    <t>Super Dordi (54)</t>
  </si>
  <si>
    <t>Likhu-IV(52.4)</t>
  </si>
  <si>
    <t>Upper Marsyangdi "A"(50)</t>
  </si>
  <si>
    <t>Upper Bhotekoshi Khola(45)</t>
  </si>
  <si>
    <t>Super Madi ( 44 )</t>
  </si>
  <si>
    <t>Mistri Khola(42)</t>
  </si>
  <si>
    <t>Upper Kalanga Gad(38.46)</t>
  </si>
  <si>
    <t>Upper Balefi (36)</t>
  </si>
  <si>
    <t>Nyadi(30)</t>
  </si>
  <si>
    <t>Likhu Khola A(29.04)</t>
  </si>
  <si>
    <t>Lower Likhu(28)</t>
  </si>
  <si>
    <t>Dordi(27)</t>
  </si>
  <si>
    <t>Upper Madi(25)</t>
  </si>
  <si>
    <t>Kabeli B-1(25)</t>
  </si>
  <si>
    <t>Singati Khola(25)</t>
  </si>
  <si>
    <t>Upper Dordi (25)</t>
  </si>
  <si>
    <t>Solu Khola(23.5)</t>
  </si>
  <si>
    <t>Upper Chaku A(22.2)</t>
  </si>
  <si>
    <t>Tallo Hewa Khola(22.1)</t>
  </si>
  <si>
    <t xml:space="preserve"> Sanima Mai Khola(22)</t>
  </si>
  <si>
    <t>Bagmati Khola Small(22)</t>
  </si>
  <si>
    <t>Lower Modi (20)</t>
  </si>
  <si>
    <t>Middle Modi (18)</t>
  </si>
  <si>
    <t>Kalanga Gad(15.33)</t>
  </si>
  <si>
    <t>Hewa Khola A(14.9)</t>
  </si>
  <si>
    <t>Thapa Khola(13.6)</t>
  </si>
  <si>
    <t>Madkyu Khola(13)</t>
  </si>
  <si>
    <t>Dordi12)</t>
  </si>
  <si>
    <t>Jhimruk Khola(12)</t>
  </si>
  <si>
    <t>Upper Khimti(12)</t>
  </si>
  <si>
    <t>Upper Mai Khola (12)</t>
  </si>
  <si>
    <t>Namarjun Madi(11.88)</t>
  </si>
  <si>
    <t>Lower Khare(11)</t>
  </si>
  <si>
    <t>Lower Modi 1(10)</t>
  </si>
  <si>
    <t>Makari Gad(10.0)</t>
  </si>
  <si>
    <t>Mithila Solar PV Electric Project(10)</t>
  </si>
  <si>
    <t>Other IPP Total</t>
  </si>
  <si>
    <t>Kabeli Corridor</t>
  </si>
  <si>
    <t>Total IPP</t>
  </si>
  <si>
    <t>Upper Tamakoshi(456)</t>
  </si>
  <si>
    <t>Khimti Khola(60)</t>
  </si>
  <si>
    <t>Chilime(22.1)</t>
  </si>
  <si>
    <t>Total NEA SUBSIDIARIES</t>
  </si>
  <si>
    <t>KGA(144)</t>
  </si>
  <si>
    <t>Middle MRS(70)</t>
  </si>
  <si>
    <t>MRS(69)</t>
  </si>
  <si>
    <t>U Trisuli 3A(60)</t>
  </si>
  <si>
    <t>CHM(30)</t>
  </si>
  <si>
    <t>NEA  SOLAR(25)</t>
  </si>
  <si>
    <t>TRI(24)</t>
  </si>
  <si>
    <t>GDK(15)</t>
  </si>
  <si>
    <t>DEVI(14.1)</t>
  </si>
  <si>
    <t>MODI(14)</t>
  </si>
  <si>
    <t>SUN(10.05)</t>
  </si>
  <si>
    <t>PUWA(6.2)</t>
  </si>
  <si>
    <t>Other NEA Small</t>
  </si>
  <si>
    <t>Total ROR</t>
  </si>
  <si>
    <t>KL1(60)</t>
  </si>
  <si>
    <t>KL2(32)</t>
  </si>
  <si>
    <t>KL3(14)</t>
  </si>
  <si>
    <t>Total STORGE</t>
  </si>
  <si>
    <t>TANAKPUR</t>
  </si>
  <si>
    <t>KATAIYA</t>
  </si>
  <si>
    <t>MUJAFFARPUR</t>
  </si>
  <si>
    <t>RAMNAGAR</t>
  </si>
  <si>
    <t>RAXAUL 132</t>
  </si>
  <si>
    <t>NANPARA(33kV)</t>
  </si>
  <si>
    <t>BISHANPUR(33kV)</t>
  </si>
  <si>
    <t xml:space="preserve">UTK Discharge Test </t>
  </si>
  <si>
    <t>JALESHWOR(33kV)</t>
  </si>
  <si>
    <t>RAJBIRAJ(33kV)</t>
  </si>
  <si>
    <t>Line1</t>
  </si>
  <si>
    <t>RAXAUL(33kV)</t>
  </si>
  <si>
    <t>Line 2</t>
  </si>
  <si>
    <t>OTHERS IMPORT</t>
  </si>
  <si>
    <t>Total IMPORT</t>
  </si>
  <si>
    <t>MULTI F(39)</t>
  </si>
  <si>
    <t>HTD DIE(14.41)</t>
  </si>
  <si>
    <t>MRS DI()</t>
  </si>
  <si>
    <t>Total THERMAL</t>
  </si>
  <si>
    <t>TOTAL SYSTEM LOAD (ACTUAL)</t>
  </si>
  <si>
    <t>Interruption/Tripping</t>
  </si>
  <si>
    <t>TOTAL SYSTEM LOAD (EXPECTED)</t>
  </si>
  <si>
    <t>TOTAL NATIONAL LOAD (ACTUAL)</t>
  </si>
  <si>
    <t>RAXAUL</t>
  </si>
  <si>
    <t>MUZAFFARPUR</t>
  </si>
  <si>
    <t>OTHERS EXPORT</t>
  </si>
  <si>
    <t>Total EXPORT</t>
  </si>
  <si>
    <t>NET IMPORT</t>
  </si>
  <si>
    <t>HZ</t>
  </si>
  <si>
    <t>HTD 132KV</t>
  </si>
  <si>
    <t xml:space="preserve">SUI 132KV </t>
  </si>
  <si>
    <t xml:space="preserve">DUBI 132KV </t>
  </si>
  <si>
    <t xml:space="preserve">ANAMANI 132KV </t>
  </si>
  <si>
    <t xml:space="preserve">KG-A 132KV </t>
  </si>
  <si>
    <t xml:space="preserve">KOHALPUR 132KV </t>
  </si>
  <si>
    <t xml:space="preserve">SUI 66KV </t>
  </si>
  <si>
    <t/>
  </si>
  <si>
    <t>Kathmandu Load</t>
  </si>
  <si>
    <t>MRS-SYU</t>
  </si>
  <si>
    <t>NMRS-MATA</t>
  </si>
  <si>
    <t>KL2-MATA</t>
  </si>
  <si>
    <t>KL1-SYU</t>
  </si>
  <si>
    <t>KHIMTI-LAMOSAGU</t>
  </si>
  <si>
    <t>DAMAK-DUHABI</t>
  </si>
  <si>
    <t>Others IPP Detail</t>
  </si>
  <si>
    <t>Upper Mai Khola(9.98)</t>
  </si>
  <si>
    <t>Kabeli B-1 Cascade(9.94)</t>
  </si>
  <si>
    <t>Iwa Khola(9.9)</t>
  </si>
  <si>
    <t>Sipring Khola(9.658)</t>
  </si>
  <si>
    <t>Super Mai 'A' (9.6)</t>
  </si>
  <si>
    <t>Mai Beni(9.51)</t>
  </si>
  <si>
    <t>Andhi Khola(9.4)</t>
  </si>
  <si>
    <t>Rudi Khola A(8.8)</t>
  </si>
  <si>
    <t>Naugadh gad Khola(8.5)</t>
  </si>
  <si>
    <t>Butwal Solar Project(8.5)</t>
  </si>
  <si>
    <t>Upper Hewa Khola Small(8.5)</t>
  </si>
  <si>
    <t>Ankhu Khola - 1(8.4)</t>
  </si>
  <si>
    <t>Mai sana Cascade(8)</t>
  </si>
  <si>
    <t>Upper Naugad Gad(8)</t>
  </si>
  <si>
    <t>Taksar Pikhuwa(8)</t>
  </si>
  <si>
    <t>Super Mai(7.8)</t>
  </si>
  <si>
    <t>Jogmai(7.6)</t>
  </si>
  <si>
    <t>Indrawati - III (7.5)</t>
  </si>
  <si>
    <t>Upper Khorunga(7.5)</t>
  </si>
  <si>
    <t>Mai Cascade(7)</t>
  </si>
  <si>
    <t>Molung Khola(7)</t>
  </si>
  <si>
    <t>Upper Mardi(7)</t>
  </si>
  <si>
    <t>Upper Khimti II(7)</t>
  </si>
  <si>
    <t>Rudi Khola B(6.6)</t>
  </si>
  <si>
    <t>Sapsup Khola(6.6)</t>
  </si>
  <si>
    <t>Suri Khola(6.4)</t>
  </si>
  <si>
    <t>Lower Jogmai(6.2)</t>
  </si>
  <si>
    <t>Daraudi Khola A(6)</t>
  </si>
  <si>
    <t>Upper Mai C(5.1)</t>
  </si>
  <si>
    <t>Tadi Khola (Thaprek)(5)</t>
  </si>
  <si>
    <t>Mailung Khola(5)</t>
  </si>
  <si>
    <t>Upper Hugdi Khola(5)</t>
  </si>
  <si>
    <t>Pikhuwa Khola(5)</t>
  </si>
  <si>
    <t>Ghalemdi Khola(5)</t>
  </si>
  <si>
    <t>Ghatte Khola(5)</t>
  </si>
  <si>
    <t>Belchautara Solar Project(5)</t>
  </si>
  <si>
    <t>Lower Tadi(4.993)</t>
  </si>
  <si>
    <t>Richet Khola(4.98)</t>
  </si>
  <si>
    <t>Siuri Khola(4.95)</t>
  </si>
  <si>
    <t>Phawa Khola(4.95)</t>
  </si>
  <si>
    <t>Mardi Khola(4.8)</t>
  </si>
  <si>
    <t>Padam Khola(4.8)</t>
  </si>
  <si>
    <t>Mai Khola(4.5)</t>
  </si>
  <si>
    <t>Bijayapur 2 Khola Small(4.5)</t>
  </si>
  <si>
    <t>Hewa Khola(4.455)</t>
  </si>
  <si>
    <t>Bijayapur-1(4.41)</t>
  </si>
  <si>
    <t>Radhi Khola(4.4)</t>
  </si>
  <si>
    <t>Tungun-Thosne(4.36)</t>
  </si>
  <si>
    <t>Baramchi Khola(4.2)</t>
  </si>
  <si>
    <t>Khudi Khola(4)</t>
  </si>
  <si>
    <t>Sabha Khola(4)</t>
  </si>
  <si>
    <t>Puwa Khola -1 (4)</t>
  </si>
  <si>
    <t>Sardi Khola(4)</t>
  </si>
  <si>
    <t>Chandranigahpur Solar Project(4)</t>
  </si>
  <si>
    <t>Upper Chhyangdi Khola(4)</t>
  </si>
  <si>
    <t>Super Mai Cascade(3.8)</t>
  </si>
  <si>
    <t>Dwari Khola(3.75)</t>
  </si>
  <si>
    <t>Charanawati  Khola(3.52)</t>
  </si>
  <si>
    <t>Kapadi Gad(3.33)</t>
  </si>
  <si>
    <t>Piluwa Khola Small(3)</t>
  </si>
  <si>
    <t>Chaku Khola(3)</t>
  </si>
  <si>
    <t>Bhairab Kunda(3)</t>
  </si>
  <si>
    <t>Upper Puwa -1(3)</t>
  </si>
  <si>
    <t>Midim Karapu(3)</t>
  </si>
  <si>
    <t>Upper Rawa(3)</t>
  </si>
  <si>
    <t>Everest Sugar and Chemical Industries Ltd.(3)</t>
  </si>
  <si>
    <t>Indushankar Chini Udhyog Ltd.(3)</t>
  </si>
  <si>
    <t>Dhalkebar Solar Project(3)</t>
  </si>
  <si>
    <t>Chake Khola(2.83)</t>
  </si>
  <si>
    <t>Sunkoshi Small(2.5)</t>
  </si>
  <si>
    <t>Daram Khola A(2.5)</t>
  </si>
  <si>
    <t>Ridi Khola(2.4)</t>
  </si>
  <si>
    <t>Upper Syange Khola(2.4)</t>
  </si>
  <si>
    <t>Jiri Khola Small(2.2)</t>
  </si>
  <si>
    <t>Chhandi(2)</t>
  </si>
  <si>
    <t>Jhyadi Khola(2)</t>
  </si>
  <si>
    <t>Khani Khola(2)</t>
  </si>
  <si>
    <t>Middle Chaku(1.8)</t>
  </si>
  <si>
    <t>Lower Chaku Khola(1.8)</t>
  </si>
  <si>
    <t>Thoppal Khola(1.65)</t>
  </si>
  <si>
    <t>Theule Khola(1.5)</t>
  </si>
  <si>
    <t>Dhalkebar Saurya Aayojana(1)</t>
  </si>
  <si>
    <t>Suspa Bukhari(0.998)</t>
  </si>
  <si>
    <t>Lower Chhote Khola(0.997)</t>
  </si>
  <si>
    <t>Hadi Khola Sunkoshi A(0.997)</t>
  </si>
  <si>
    <t>Pati Khola Small(0.996)</t>
  </si>
  <si>
    <t>Miya Khola(0.996)</t>
  </si>
  <si>
    <t>Jeuligad(0.996)</t>
  </si>
  <si>
    <t>Pheme Khola(0.995)</t>
  </si>
  <si>
    <t>Chhote Khola(0.993)</t>
  </si>
  <si>
    <t>Upper Hadi Khola(0.991)</t>
  </si>
  <si>
    <t>Lower Piluwa Small(0.99)</t>
  </si>
  <si>
    <t>Seti-II(0.979)</t>
  </si>
  <si>
    <t>Bishnu Priya Solar Farm Project(0.96)</t>
  </si>
  <si>
    <t>Sisne Khola Small(0.75)</t>
  </si>
  <si>
    <t>Solar(0.68)</t>
  </si>
  <si>
    <t>Dhunge-Jiri(0.6)</t>
  </si>
  <si>
    <t>Belkhu(0.518)</t>
  </si>
  <si>
    <t>Rairang Khola(0.5)</t>
  </si>
  <si>
    <t>Sali Nadi(0.25)</t>
  </si>
  <si>
    <t>Syange Khola(0.183)</t>
  </si>
  <si>
    <t>Midim Khola(0.1)</t>
  </si>
  <si>
    <t>Sobuwa Khola-2 MHP(0.09)</t>
  </si>
  <si>
    <t>Leguwa Khola(0.04)</t>
  </si>
  <si>
    <t>Syauri Bhumey(0.023)</t>
  </si>
  <si>
    <t>Others IPP Total</t>
  </si>
  <si>
    <t>PANAUTI(2.4)</t>
  </si>
  <si>
    <t>TATOPANI(2)</t>
  </si>
  <si>
    <t>SETI(1.5)</t>
  </si>
  <si>
    <t>FEWA(1)</t>
  </si>
  <si>
    <t>TINAU(1)</t>
  </si>
  <si>
    <t>SUNDARIJAL(0.66)</t>
  </si>
  <si>
    <t>Water Level</t>
  </si>
  <si>
    <t>KGA</t>
  </si>
  <si>
    <t>MMRS</t>
  </si>
  <si>
    <t>MRS</t>
  </si>
  <si>
    <t>KL 1</t>
  </si>
  <si>
    <t>Morning Peak</t>
  </si>
  <si>
    <t>PEAK SUMMARY</t>
  </si>
  <si>
    <t>NEA(RoR+PRoR)</t>
  </si>
  <si>
    <t xml:space="preserve"> Hrs.</t>
  </si>
  <si>
    <t>KL1+KL2+KL3</t>
  </si>
  <si>
    <t>T_Load</t>
  </si>
  <si>
    <t>Import</t>
  </si>
  <si>
    <t>Export</t>
  </si>
  <si>
    <t>Total</t>
  </si>
  <si>
    <t>Time</t>
  </si>
  <si>
    <t>Frequency</t>
  </si>
  <si>
    <t xml:space="preserve"> </t>
  </si>
  <si>
    <t>DHALKE-NAWALPUR I</t>
  </si>
  <si>
    <t>BALAJU-SYUCHATAR</t>
  </si>
  <si>
    <t>N. BHARATPUR-BARDGHAT</t>
  </si>
  <si>
    <t>MIRCHAIYA LAHAN 2</t>
  </si>
  <si>
    <t>LAMOSHANGU-BHAKTAPUR</t>
  </si>
  <si>
    <t>KHIMTI-LAMOSANGHU</t>
  </si>
  <si>
    <t>HETAUDA-KAMANE</t>
  </si>
  <si>
    <t>Likhu-II(55)</t>
  </si>
  <si>
    <t>Upper Chameliya(40)</t>
  </si>
  <si>
    <t>Mathilo Solu khola(19.8)</t>
  </si>
  <si>
    <t>Sangen(14.8)</t>
  </si>
  <si>
    <t>Ghar khola(14)</t>
  </si>
  <si>
    <t>Upper Sanigad(10.7)</t>
  </si>
  <si>
    <t>Down Piluwa(10.3)</t>
  </si>
  <si>
    <t>Pure-Solar(10)</t>
  </si>
  <si>
    <t>Syule</t>
  </si>
  <si>
    <t>Upper Kalangad 38</t>
  </si>
  <si>
    <t>Kalanga Gad_15.33</t>
  </si>
  <si>
    <t>Upper Sanigad 10.70</t>
  </si>
  <si>
    <t>Upper Chameliya_</t>
  </si>
  <si>
    <t>API Darchula 8</t>
  </si>
  <si>
    <t>ind</t>
  </si>
  <si>
    <t>2 feeder</t>
  </si>
  <si>
    <t>purano</t>
  </si>
  <si>
    <t>11 kV</t>
  </si>
  <si>
    <t>L likhu</t>
  </si>
  <si>
    <t>labipur</t>
  </si>
  <si>
    <t>Mainya</t>
  </si>
  <si>
    <t>2 fed</t>
  </si>
  <si>
    <t>light</t>
  </si>
  <si>
    <t>1 fed</t>
  </si>
  <si>
    <t>8-9 MW</t>
  </si>
  <si>
    <t>45 MVA</t>
  </si>
  <si>
    <t>Butwal</t>
  </si>
  <si>
    <t>Argach</t>
  </si>
  <si>
    <t>Dhagdhagi</t>
  </si>
  <si>
    <t>300 Amp</t>
  </si>
  <si>
    <t>2 feeders of 33 kV</t>
  </si>
  <si>
    <t>Sunwal</t>
  </si>
  <si>
    <t>palpa+goyal</t>
  </si>
  <si>
    <t>10 MW</t>
  </si>
  <si>
    <t>2.5 domes</t>
  </si>
  <si>
    <t>Sarb shut</t>
  </si>
  <si>
    <t>laxmi</t>
  </si>
  <si>
    <t>1 mw</t>
  </si>
  <si>
    <t xml:space="preserve">Goyal </t>
  </si>
  <si>
    <t>5 mw</t>
  </si>
  <si>
    <t>Nyadi</t>
  </si>
  <si>
    <t>mistri</t>
  </si>
  <si>
    <t>Upper Sanigad</t>
  </si>
  <si>
    <t>Likhu2</t>
  </si>
  <si>
    <t>Sdordi</t>
  </si>
  <si>
    <t>ghalemdi</t>
  </si>
  <si>
    <t>Upper Chameliya</t>
  </si>
  <si>
    <t>udordi</t>
  </si>
  <si>
    <t>ghar khola</t>
  </si>
  <si>
    <t>dordi27</t>
  </si>
  <si>
    <t>lmodi1</t>
  </si>
  <si>
    <t>dordi 12</t>
  </si>
  <si>
    <t>lmodi20</t>
  </si>
  <si>
    <t>Chepe</t>
  </si>
  <si>
    <t>Dordi Corridor Total</t>
  </si>
  <si>
    <t>Dordi NyadiSpill</t>
  </si>
  <si>
    <t>Mistri</t>
  </si>
  <si>
    <t>L Modi</t>
  </si>
  <si>
    <t>L Modi-1</t>
  </si>
  <si>
    <t>Ghar</t>
  </si>
  <si>
    <t>Middle Modi</t>
  </si>
  <si>
    <t>Ghalamdi</t>
  </si>
  <si>
    <t>Date: 9</t>
  </si>
  <si>
    <t>Load at 0730</t>
  </si>
  <si>
    <t>DAM at 0730</t>
  </si>
  <si>
    <t>UTK at 0730</t>
  </si>
  <si>
    <t>Ghalamdi_5</t>
  </si>
  <si>
    <t>L-Modi</t>
  </si>
  <si>
    <t>Load at 4</t>
  </si>
  <si>
    <t>DAM at 0400</t>
  </si>
  <si>
    <t>UTK at 0400</t>
  </si>
  <si>
    <t>Ghar Khola_14</t>
  </si>
  <si>
    <t>M-Modi</t>
  </si>
  <si>
    <t>increase in Load</t>
  </si>
  <si>
    <t>Export Increase</t>
  </si>
  <si>
    <t>UTK Increase</t>
  </si>
  <si>
    <t>IdiMardi</t>
  </si>
  <si>
    <t>Super Madi</t>
  </si>
  <si>
    <t>Upper Madi</t>
  </si>
  <si>
    <t>KGA Increase</t>
  </si>
  <si>
    <t>Namarjun_12</t>
  </si>
  <si>
    <t>MMRS Increase</t>
  </si>
  <si>
    <t>Sikless_13</t>
  </si>
  <si>
    <t>IdiMardi_7</t>
  </si>
  <si>
    <t>Likhu-A</t>
  </si>
  <si>
    <t>L-Likhu</t>
  </si>
  <si>
    <t>Khimti</t>
  </si>
  <si>
    <t>Likhu-IV</t>
  </si>
  <si>
    <t>Likhu 2</t>
  </si>
  <si>
    <t>BKPC</t>
  </si>
  <si>
    <t>Balephi</t>
  </si>
  <si>
    <t>Singati</t>
  </si>
  <si>
    <t>Sipring_9.6</t>
  </si>
  <si>
    <t>Ghatte_5</t>
  </si>
  <si>
    <t>Spill</t>
  </si>
  <si>
    <t>U Solu_23.5</t>
  </si>
  <si>
    <t>Solu86</t>
  </si>
  <si>
    <t>-</t>
  </si>
  <si>
    <t>20 MW</t>
  </si>
  <si>
    <t>45 MW</t>
  </si>
  <si>
    <t>Shree Steel</t>
  </si>
  <si>
    <t>12 MW</t>
  </si>
  <si>
    <t>half load</t>
  </si>
  <si>
    <t>40 MW</t>
  </si>
  <si>
    <t>Full load</t>
  </si>
  <si>
    <t>Shivpur</t>
  </si>
  <si>
    <t>UTK</t>
  </si>
  <si>
    <t>Godak</t>
  </si>
  <si>
    <t>Sanima</t>
  </si>
  <si>
    <t>Panchakanya, 2 PH, supermai</t>
  </si>
  <si>
    <t>Sagarmatha</t>
  </si>
  <si>
    <t>PuwaNEA</t>
  </si>
  <si>
    <t>Jogmai</t>
  </si>
  <si>
    <t>Puwa khola</t>
  </si>
  <si>
    <t>Himal dolaka</t>
  </si>
  <si>
    <t>Mai beni</t>
  </si>
  <si>
    <t>13:45-14:00</t>
  </si>
  <si>
    <t>14:00-14:15</t>
  </si>
  <si>
    <t>DM</t>
  </si>
  <si>
    <t>Tanakpur</t>
  </si>
  <si>
    <t>Ghorai</t>
  </si>
  <si>
    <t xml:space="preserve">Sona </t>
  </si>
  <si>
    <t>S/D</t>
  </si>
  <si>
    <t>Bijaya Cement</t>
  </si>
  <si>
    <t>25 at peak</t>
  </si>
  <si>
    <t>7.2 after industry shutdown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</si>
  <si>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</si>
  <si>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</si>
  <si>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</si>
  <si>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</si>
  <si>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</si>
  <si>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</si>
  <si>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</si>
  <si>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</si>
  <si>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</si>
  <si>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</si>
  <si>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</si>
  <si>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</si>
  <si>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</si>
  <si>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</si>
  <si>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</si>
  <si>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</si>
  <si>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</si>
  <si>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</si>
  <si>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09:00-09:15</t>
  </si>
  <si>
    <t>CHM</t>
  </si>
  <si>
    <t>9-10 MW peak</t>
  </si>
  <si>
    <t>Birjung</t>
  </si>
  <si>
    <t>Bir-5- industry</t>
  </si>
  <si>
    <t>Bindambasini-Ind</t>
  </si>
  <si>
    <t>Parsuani-Ind</t>
  </si>
  <si>
    <t xml:space="preserve">Sarbottam </t>
  </si>
  <si>
    <t xml:space="preserve">Birg1: </t>
  </si>
  <si>
    <t>Parwani-Het</t>
  </si>
  <si>
    <t>Birjung-Parwani</t>
  </si>
  <si>
    <t>400 Amp</t>
  </si>
  <si>
    <t>11 to 8</t>
  </si>
  <si>
    <t>3 days</t>
  </si>
  <si>
    <t>Shree steel</t>
  </si>
  <si>
    <t>SAMPATIYA 132 kV</t>
  </si>
  <si>
    <t>S</t>
  </si>
  <si>
    <t>U</t>
  </si>
  <si>
    <t>M</t>
  </si>
  <si>
    <t>D</t>
  </si>
  <si>
    <t>T</t>
  </si>
  <si>
    <t>B</t>
  </si>
  <si>
    <t>Y</t>
  </si>
  <si>
    <t>E</t>
  </si>
  <si>
    <t>I</t>
  </si>
  <si>
    <t>R</t>
  </si>
  <si>
    <t>ANARMANI 132kV</t>
  </si>
  <si>
    <t>Kohal</t>
  </si>
  <si>
    <t>Mainiya</t>
  </si>
  <si>
    <t>Hetauda-2</t>
  </si>
  <si>
    <t>Hetauda-1</t>
  </si>
  <si>
    <t>Parwani-1</t>
  </si>
  <si>
    <t>1519..27</t>
  </si>
  <si>
    <t>49..963</t>
  </si>
  <si>
    <r>
      <t xml:space="preserve">                                                    Industrial Loading                                 </t>
    </r>
    <r>
      <rPr>
        <sz val="8"/>
        <color theme="1"/>
        <rFont val="Aptos Narrow"/>
        <family val="2"/>
        <scheme val="minor"/>
      </rPr>
      <t>(Updated 2080/10/16)</t>
    </r>
  </si>
  <si>
    <t>A.</t>
  </si>
  <si>
    <t>Hetauda Grid Division</t>
  </si>
  <si>
    <t>S.N.</t>
  </si>
  <si>
    <t>Consumer Name</t>
  </si>
  <si>
    <t>Supply Voltage</t>
  </si>
  <si>
    <t>Substation</t>
  </si>
  <si>
    <t>Recent Max Load (MW)</t>
  </si>
  <si>
    <t>Substations</t>
  </si>
  <si>
    <t>Hetauda cement</t>
  </si>
  <si>
    <t>Hetauda ss</t>
  </si>
  <si>
    <t>Hetauda:</t>
  </si>
  <si>
    <t>Hulas Steel Industries</t>
  </si>
  <si>
    <t>Parwanipur:</t>
  </si>
  <si>
    <t>Jagdamba Steel</t>
  </si>
  <si>
    <t>Birgung:</t>
  </si>
  <si>
    <t>Jagadamba Wires</t>
  </si>
  <si>
    <t>Parwanipur ss</t>
  </si>
  <si>
    <t>Kamane:</t>
  </si>
  <si>
    <t>Hama Iron &amp; Steel Ind.</t>
  </si>
  <si>
    <t>Surya Nepal</t>
  </si>
  <si>
    <t>Jagadamba Enterprises</t>
  </si>
  <si>
    <t>Ashok Steel</t>
  </si>
  <si>
    <t>Shalimar Cement</t>
  </si>
  <si>
    <t>Triveni Spinning Mill</t>
  </si>
  <si>
    <t>Narayani Ispat</t>
  </si>
  <si>
    <t>Himal Iron&amp; Steel Pvt.Ltd</t>
  </si>
  <si>
    <t>Sarbottam steels</t>
  </si>
  <si>
    <t>Triveni Syenthetic yarn</t>
  </si>
  <si>
    <t>Shivam Cement</t>
  </si>
  <si>
    <t>Kamane ss</t>
  </si>
  <si>
    <t>Riddhi Siddhi Cement</t>
  </si>
  <si>
    <t>Hetauda Industrial State A</t>
  </si>
  <si>
    <t>Hetauda Industrial State B</t>
  </si>
  <si>
    <t>Hetauda Industrial State C</t>
  </si>
  <si>
    <t>Ncell</t>
  </si>
  <si>
    <t>Dedicated feeders from hetauda ss</t>
  </si>
  <si>
    <t>Industrial-1</t>
  </si>
  <si>
    <t>Bharatpur ss</t>
  </si>
  <si>
    <t>Industrial -2</t>
  </si>
  <si>
    <t>Industrial-3</t>
  </si>
  <si>
    <t>From New-Bharatpur ss</t>
  </si>
  <si>
    <t>Coca Cola</t>
  </si>
  <si>
    <t>bharatpur ss</t>
  </si>
  <si>
    <t>Amlekhgunj Pole Plant</t>
  </si>
  <si>
    <t>Amlekhgunj ss</t>
  </si>
  <si>
    <t>Nepal Oil Nigam</t>
  </si>
  <si>
    <t>Dabur</t>
  </si>
  <si>
    <t xml:space="preserve">Simara </t>
  </si>
  <si>
    <t>Jagadamba</t>
  </si>
  <si>
    <t xml:space="preserve">Narayani </t>
  </si>
  <si>
    <t>Parwanipur</t>
  </si>
  <si>
    <t>Birgunj</t>
  </si>
  <si>
    <t>Chorni</t>
  </si>
  <si>
    <t>Nitanpur</t>
  </si>
  <si>
    <t>Parwanipur ss(with oxygen plant)</t>
  </si>
  <si>
    <t>Himal</t>
  </si>
  <si>
    <t>Pathaliya-1</t>
  </si>
  <si>
    <t>Piluwa ss</t>
  </si>
  <si>
    <t>Pathaliya-2</t>
  </si>
  <si>
    <t>Parsauni</t>
  </si>
  <si>
    <t xml:space="preserve">Birgunj ss </t>
  </si>
  <si>
    <t>Bindhabaseni</t>
  </si>
  <si>
    <t>Jagannathpur</t>
  </si>
  <si>
    <t>Birgunj ss with very few  domestic consumer</t>
  </si>
  <si>
    <t>Total (MW):</t>
  </si>
  <si>
    <t>B.</t>
  </si>
  <si>
    <t>Duhabi Grid Division</t>
  </si>
  <si>
    <t>Consumer/Feeder Name</t>
  </si>
  <si>
    <t>Substation/DCS</t>
  </si>
  <si>
    <t>11 kV Tahara1</t>
  </si>
  <si>
    <t>Duhabi</t>
  </si>
  <si>
    <t>11 kV Tahara2</t>
  </si>
  <si>
    <t>11 kV Biratnagar2</t>
  </si>
  <si>
    <t>11 kV Biratnagar1</t>
  </si>
  <si>
    <t>33 kV Pashupati Iron</t>
  </si>
  <si>
    <t>33 kV Premier</t>
  </si>
  <si>
    <t>33 kV Swastik</t>
  </si>
  <si>
    <t>33 kv Multifuel 2</t>
  </si>
  <si>
    <t>33  kv Duhabi Industries</t>
  </si>
  <si>
    <t>33 kv Biratnagar Industries</t>
  </si>
  <si>
    <t>33 kv Reliance</t>
  </si>
  <si>
    <t>Khanar</t>
  </si>
  <si>
    <t>11 kv Purano Udyog</t>
  </si>
  <si>
    <t>11 kv Udyog</t>
  </si>
  <si>
    <t>Inaruwa</t>
  </si>
  <si>
    <t>33 kv Arati</t>
  </si>
  <si>
    <t>Tanki SS</t>
  </si>
  <si>
    <t>11 kv Tanki</t>
  </si>
  <si>
    <t>Basbari SS</t>
  </si>
  <si>
    <t>11 kv Hatimuda</t>
  </si>
  <si>
    <t>11 kv Judi</t>
  </si>
  <si>
    <t>Katahari SS</t>
  </si>
  <si>
    <t>11 kv Singya</t>
  </si>
  <si>
    <t>33 kv RJM</t>
  </si>
  <si>
    <t>Rani SS</t>
  </si>
  <si>
    <t>11 KV BJM</t>
  </si>
  <si>
    <t>C.</t>
  </si>
  <si>
    <t>Kathmandu Grid Division</t>
  </si>
  <si>
    <t>Patan Industrial District</t>
  </si>
  <si>
    <t>Balaju</t>
  </si>
  <si>
    <t>Balaju Industrial District</t>
  </si>
  <si>
    <t>Patan</t>
  </si>
  <si>
    <t>Bhaktapur Industrial District</t>
  </si>
  <si>
    <t>Bhaktapur</t>
  </si>
  <si>
    <t>Huaxin Cement Narayani Pvt.Ltd.</t>
  </si>
  <si>
    <t>Malekhu</t>
  </si>
  <si>
    <t>United Cement</t>
  </si>
  <si>
    <t>Naubise DC SS</t>
  </si>
  <si>
    <t>D.</t>
  </si>
  <si>
    <t>Pokhara Grid Division</t>
  </si>
  <si>
    <t>Pokhara Industrial District</t>
  </si>
  <si>
    <t>Pokhara</t>
  </si>
  <si>
    <t>E.</t>
  </si>
  <si>
    <t>Butwal Grid Division</t>
  </si>
  <si>
    <t>DC/Substation</t>
  </si>
  <si>
    <t>33 KV Ghorahi Cement</t>
  </si>
  <si>
    <t>132/33</t>
  </si>
  <si>
    <t>Ghorahi</t>
  </si>
  <si>
    <t>33 KV Sonapur</t>
  </si>
  <si>
    <t>33 KV Samrat Cement</t>
  </si>
  <si>
    <t>Lamahi</t>
  </si>
  <si>
    <t>33 KV Agni Cement</t>
  </si>
  <si>
    <t>33 KV Vijaya Shree Steel</t>
  </si>
  <si>
    <t>Chanauta</t>
  </si>
  <si>
    <t>33 KV Industrial</t>
  </si>
  <si>
    <t>33 KV Dhakadhai I (Shree Steel)</t>
  </si>
  <si>
    <t>33 KV Dhakadhai II (Shree Steel)</t>
  </si>
  <si>
    <t xml:space="preserve">33 KV Bhairahawa New II </t>
  </si>
  <si>
    <t>33 KV Bhairahawa Old</t>
  </si>
  <si>
    <t>33 KV Groud water</t>
  </si>
  <si>
    <t>33 KV Laxmi Steel</t>
  </si>
  <si>
    <t>33 KV Palpa Cement</t>
  </si>
  <si>
    <t xml:space="preserve">33 KV Sarbottam Cement              </t>
  </si>
  <si>
    <t>33 KV Goyal Spat</t>
  </si>
  <si>
    <t>132 KV Hongshi Cement</t>
  </si>
  <si>
    <t>Bardaghat</t>
  </si>
  <si>
    <t>11 KV CG Cement</t>
  </si>
  <si>
    <t>132/11</t>
  </si>
  <si>
    <t>11 KV Industrial</t>
  </si>
  <si>
    <t>33 KV Industrial I</t>
  </si>
  <si>
    <t>Gandak</t>
  </si>
  <si>
    <t>33 KV Industrial II</t>
  </si>
  <si>
    <t>33 KV Arghakhanchi Cement</t>
  </si>
  <si>
    <t>Mainahiya</t>
  </si>
  <si>
    <t>33 KV Bhairahawa -I</t>
  </si>
  <si>
    <t>33 KV Bhairahawa -II</t>
  </si>
  <si>
    <t>33 KV  New -II</t>
  </si>
  <si>
    <t>33 KV Lumbini</t>
  </si>
  <si>
    <t>F.</t>
  </si>
  <si>
    <t>Dhalkebar Grid Division</t>
  </si>
  <si>
    <t>Supply Voltage, kV</t>
  </si>
  <si>
    <t>Cosmos Cement</t>
  </si>
  <si>
    <t>Dhalkebar S/S</t>
  </si>
  <si>
    <t>Everest Paper Mill</t>
  </si>
  <si>
    <t>Everest Sugar Mill</t>
  </si>
  <si>
    <t>11 kV Industrial (Dhalkebar, small industries)</t>
  </si>
  <si>
    <t>Saurya Cement</t>
  </si>
  <si>
    <t>Mirchaiya S/S</t>
  </si>
  <si>
    <t>Maruti Cement</t>
  </si>
  <si>
    <t>Udaypur Cement</t>
  </si>
  <si>
    <t>Jaljale S/S from Lahan</t>
  </si>
  <si>
    <t>InduShankar Sugar Mill, Bagmati Sinchai, karmahiya Khanepani</t>
  </si>
  <si>
    <t>Nawalpur S/S</t>
  </si>
  <si>
    <t>Godawari Steels</t>
  </si>
  <si>
    <t>Chapur S/S</t>
  </si>
  <si>
    <t>G.</t>
  </si>
  <si>
    <t>Attariya Grid Division</t>
  </si>
  <si>
    <t>Industrial Feeder</t>
  </si>
  <si>
    <t>Kohalpur</t>
  </si>
  <si>
    <t>Ambe steel</t>
  </si>
  <si>
    <t>Total Industrial Load in MW without considering Diversity Factor</t>
  </si>
  <si>
    <t>Note:</t>
  </si>
  <si>
    <t>Diversity Factor to be considered</t>
  </si>
  <si>
    <t>Total Industrial Load in MW considering Coincedence Factor of 0.75</t>
  </si>
  <si>
    <t xml:space="preserve">                                </t>
  </si>
  <si>
    <t>Parwani- 2</t>
  </si>
  <si>
    <t>Bard</t>
  </si>
  <si>
    <t>Ambe on Tr2m voltage on left</t>
  </si>
  <si>
    <t>123..2</t>
  </si>
  <si>
    <t>22+25</t>
  </si>
  <si>
    <t>Kathmandu</t>
  </si>
  <si>
    <t>Chapali</t>
  </si>
  <si>
    <t>132/11 kV Transformer</t>
  </si>
  <si>
    <t>218 Amp Max</t>
  </si>
  <si>
    <t>129..4</t>
  </si>
  <si>
    <t>Parwani-Simra Ckt#1</t>
  </si>
  <si>
    <t>Parwani-Birjung-1</t>
  </si>
  <si>
    <t>Jagadamba Wire</t>
  </si>
  <si>
    <t>Vijay Steel</t>
  </si>
  <si>
    <t>73..6</t>
  </si>
  <si>
    <t>Kat</t>
  </si>
  <si>
    <t>Muz</t>
  </si>
  <si>
    <t>Ram</t>
  </si>
  <si>
    <t>Rax</t>
  </si>
  <si>
    <t>Sam</t>
  </si>
  <si>
    <t>Solu Khola Dudhkoshi(91)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</si>
</sst>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F800]dddd\,\ mmmm\ dd\,\ yyyy"/>
    <numFmt numFmtId="165" formatCode="h:mm;@"/>
    <numFmt numFmtId="166" formatCode="0.0"/>
    <numFmt numFmtId="167" formatCode="[hh]:mm"/>
    <numFmt numFmtId="168" formatCode="00.00"/>
    <numFmt numFmtId="169" formatCode="0.000"/>
  </numFmts>
  <fonts count="4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name val="Times New Roman"/>
      <family val="1"/>
    </font>
    <font>
      <b/>
      <sz val="14"/>
      <color theme="0" tint="-4.9989318521683403E-2"/>
      <name val="Times New Roman"/>
      <family val="1"/>
    </font>
    <font>
      <b/>
      <sz val="16"/>
      <color rgb="FF002060"/>
      <name val="Times New Roman"/>
      <family val="1"/>
    </font>
    <font>
      <sz val="14"/>
      <name val="Times New Roman"/>
      <family val="1"/>
    </font>
    <font>
      <b/>
      <sz val="12"/>
      <color rgb="FF7030A0"/>
      <name val="Times New Roman"/>
      <family val="1"/>
    </font>
    <font>
      <sz val="12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name val="Times New Roman"/>
      <family val="1"/>
    </font>
    <font>
      <sz val="12"/>
      <name val="Aptos Narrow"/>
      <family val="2"/>
      <scheme val="minor"/>
    </font>
    <font>
      <b/>
      <sz val="9"/>
      <color rgb="FF7030A0"/>
      <name val="Aptos Narrow"/>
      <family val="2"/>
      <scheme val="minor"/>
    </font>
    <font>
      <b/>
      <i/>
      <sz val="12"/>
      <color indexed="12"/>
      <name val="Times New Roman"/>
      <family val="1"/>
    </font>
    <font>
      <b/>
      <sz val="10"/>
      <name val="Times New Roman"/>
      <family val="1"/>
    </font>
    <font>
      <b/>
      <i/>
      <sz val="10"/>
      <color indexed="12"/>
      <name val="Times New Roman"/>
      <family val="1"/>
    </font>
    <font>
      <b/>
      <sz val="12"/>
      <color theme="1"/>
      <name val="Aptos Narrow"/>
      <family val="2"/>
      <scheme val="minor"/>
    </font>
    <font>
      <b/>
      <sz val="12"/>
      <color rgb="FFFF0000"/>
      <name val="Times New Roman"/>
      <family val="1"/>
    </font>
    <font>
      <b/>
      <sz val="8"/>
      <name val="Times New Roman"/>
      <family val="1"/>
    </font>
    <font>
      <b/>
      <sz val="12"/>
      <name val="Aptos Narrow"/>
      <family val="2"/>
      <scheme val="minor"/>
    </font>
    <font>
      <b/>
      <i/>
      <sz val="11"/>
      <name val="Times New Roman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i/>
      <sz val="10"/>
      <name val="Times New Roman"/>
      <family val="1"/>
    </font>
    <font>
      <sz val="10"/>
      <color rgb="FFFF0000"/>
      <name val="Times New Roman"/>
      <family val="1"/>
    </font>
    <font>
      <sz val="10"/>
      <color rgb="FFFF0000"/>
      <name val="Arial"/>
      <family val="2"/>
    </font>
    <font>
      <sz val="10"/>
      <color indexed="10"/>
      <name val="Times New Roman"/>
      <family val="1"/>
    </font>
    <font>
      <sz val="8"/>
      <name val="Arial Narrow"/>
      <family val="2"/>
    </font>
    <font>
      <sz val="10"/>
      <color theme="1"/>
      <name val="Aptos Narrow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b/>
      <sz val="11"/>
      <color rgb="FFFF0000"/>
      <name val="Aptos Narrow"/>
      <family val="2"/>
      <scheme val="minor"/>
    </font>
    <font>
      <b/>
      <sz val="14"/>
      <color theme="1"/>
      <name val="Times New Roman"/>
      <family val="1"/>
    </font>
    <font>
      <sz val="10"/>
      <name val="Arial Narrow"/>
      <family val="2"/>
    </font>
    <font>
      <sz val="12"/>
      <color rgb="FFFF0000"/>
      <name val="Times New Roman"/>
      <family val="1"/>
    </font>
    <font>
      <sz val="12"/>
      <color rgb="FFFF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1"/>
      <name val="Arial Narrow"/>
      <family val="2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6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 diagonalDown="1">
      <left style="double">
        <color indexed="64"/>
      </left>
      <right style="thin">
        <color indexed="64"/>
      </right>
      <top style="double">
        <color indexed="64"/>
      </top>
      <bottom/>
      <diagonal style="double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 diagonalDown="1">
      <left style="double">
        <color indexed="64"/>
      </left>
      <right style="thin">
        <color indexed="64"/>
      </right>
      <top/>
      <bottom style="double">
        <color indexed="64"/>
      </bottom>
      <diagonal style="double">
        <color indexed="64"/>
      </diagonal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/>
    <xf numFmtId="43" fontId="1" fillId="0" borderId="0" applyFont="0" applyFill="0" applyBorder="0" applyAlignment="0" applyProtection="0"/>
  </cellStyleXfs>
  <cellXfs count="301">
    <xf numFmtId="0" fontId="0" fillId="0" borderId="0" xfId="0"/>
    <xf numFmtId="164" fontId="1" fillId="0" borderId="0" xfId="1"/>
    <xf numFmtId="164" fontId="1" fillId="0" borderId="0" xfId="1" applyProtection="1">
      <protection locked="0"/>
    </xf>
    <xf numFmtId="164" fontId="6" fillId="0" borderId="0" xfId="1" applyFont="1" applyAlignment="1">
      <alignment vertical="center"/>
    </xf>
    <xf numFmtId="164" fontId="7" fillId="0" borderId="2" xfId="1" applyFont="1" applyBorder="1" applyAlignment="1">
      <alignment vertical="center"/>
    </xf>
    <xf numFmtId="164" fontId="7" fillId="0" borderId="4" xfId="1" applyFont="1" applyBorder="1" applyAlignment="1">
      <alignment vertical="center"/>
    </xf>
    <xf numFmtId="164" fontId="4" fillId="0" borderId="6" xfId="1" applyFont="1" applyBorder="1" applyAlignment="1">
      <alignment horizontal="center" vertical="center"/>
    </xf>
    <xf numFmtId="164" fontId="4" fillId="0" borderId="6" xfId="1" applyFont="1" applyBorder="1" applyAlignment="1">
      <alignment vertical="center"/>
    </xf>
    <xf numFmtId="164" fontId="4" fillId="0" borderId="0" xfId="1" applyFont="1" applyAlignment="1">
      <alignment vertical="center"/>
    </xf>
    <xf numFmtId="14" fontId="8" fillId="0" borderId="0" xfId="1" applyNumberFormat="1" applyFont="1" applyAlignment="1">
      <alignment vertical="center"/>
    </xf>
    <xf numFmtId="43" fontId="9" fillId="3" borderId="0" xfId="2" applyFont="1" applyFill="1" applyAlignment="1">
      <alignment horizontal="center"/>
    </xf>
    <xf numFmtId="164" fontId="9" fillId="3" borderId="0" xfId="1" applyFont="1" applyFill="1"/>
    <xf numFmtId="164" fontId="1" fillId="3" borderId="0" xfId="1" applyFill="1"/>
    <xf numFmtId="164" fontId="10" fillId="0" borderId="0" xfId="1" applyFont="1" applyAlignment="1">
      <alignment horizontal="center" vertical="center"/>
    </xf>
    <xf numFmtId="164" fontId="11" fillId="0" borderId="0" xfId="1" applyFont="1"/>
    <xf numFmtId="164" fontId="12" fillId="0" borderId="0" xfId="1" applyFont="1" applyAlignment="1">
      <alignment vertical="center"/>
    </xf>
    <xf numFmtId="164" fontId="7" fillId="0" borderId="8" xfId="1" applyFont="1" applyBorder="1" applyAlignment="1">
      <alignment vertical="center"/>
    </xf>
    <xf numFmtId="164" fontId="7" fillId="0" borderId="10" xfId="1" applyFont="1" applyBorder="1" applyAlignment="1">
      <alignment vertical="center"/>
    </xf>
    <xf numFmtId="164" fontId="1" fillId="0" borderId="6" xfId="1" applyBorder="1" applyAlignment="1">
      <alignment horizontal="center" vertical="center"/>
    </xf>
    <xf numFmtId="164" fontId="3" fillId="0" borderId="0" xfId="1" applyFont="1" applyAlignment="1">
      <alignment horizontal="center" vertical="center"/>
    </xf>
    <xf numFmtId="164" fontId="3" fillId="0" borderId="0" xfId="1" applyFont="1" applyAlignment="1">
      <alignment vertical="center"/>
    </xf>
    <xf numFmtId="164" fontId="12" fillId="0" borderId="0" xfId="1" applyFont="1" applyAlignment="1">
      <alignment horizontal="center" vertical="center"/>
    </xf>
    <xf numFmtId="43" fontId="13" fillId="3" borderId="0" xfId="2" applyFont="1" applyFill="1" applyAlignment="1">
      <alignment horizontal="center" vertical="center"/>
    </xf>
    <xf numFmtId="20" fontId="1" fillId="0" borderId="0" xfId="1" applyNumberFormat="1" applyAlignment="1">
      <alignment horizontal="center" vertical="center"/>
    </xf>
    <xf numFmtId="165" fontId="14" fillId="0" borderId="0" xfId="1" applyNumberFormat="1" applyFont="1"/>
    <xf numFmtId="164" fontId="15" fillId="4" borderId="0" xfId="1" applyFont="1" applyFill="1" applyAlignment="1">
      <alignment horizontal="right" vertical="center"/>
    </xf>
    <xf numFmtId="164" fontId="16" fillId="0" borderId="0" xfId="1" applyFont="1" applyAlignment="1">
      <alignment vertical="center"/>
    </xf>
    <xf numFmtId="164" fontId="17" fillId="0" borderId="0" xfId="1" applyFont="1" applyAlignment="1">
      <alignment vertical="center"/>
    </xf>
    <xf numFmtId="164" fontId="1" fillId="0" borderId="0" xfId="1" applyAlignment="1">
      <alignment horizontal="center" vertical="center"/>
    </xf>
    <xf numFmtId="164" fontId="15" fillId="4" borderId="0" xfId="1" applyFont="1" applyFill="1" applyAlignment="1">
      <alignment vertical="center"/>
    </xf>
    <xf numFmtId="166" fontId="1" fillId="5" borderId="0" xfId="1" applyNumberFormat="1" applyFill="1"/>
    <xf numFmtId="164" fontId="1" fillId="5" borderId="0" xfId="1" applyFill="1"/>
    <xf numFmtId="164" fontId="15" fillId="4" borderId="0" xfId="1" applyFont="1" applyFill="1" applyAlignment="1">
      <alignment horizontal="left" vertical="center"/>
    </xf>
    <xf numFmtId="164" fontId="18" fillId="3" borderId="0" xfId="1" applyFont="1" applyFill="1"/>
    <xf numFmtId="164" fontId="19" fillId="0" borderId="0" xfId="1" applyFont="1" applyAlignment="1">
      <alignment horizontal="left" vertical="center"/>
    </xf>
    <xf numFmtId="1" fontId="20" fillId="0" borderId="0" xfId="1" applyNumberFormat="1" applyFont="1" applyAlignment="1">
      <alignment horizontal="center" vertical="center"/>
    </xf>
    <xf numFmtId="43" fontId="21" fillId="0" borderId="0" xfId="2" applyFont="1" applyFill="1" applyAlignment="1">
      <alignment horizontal="center" vertical="center"/>
    </xf>
    <xf numFmtId="164" fontId="2" fillId="0" borderId="0" xfId="1" applyFont="1"/>
    <xf numFmtId="164" fontId="12" fillId="0" borderId="12" xfId="1" applyFont="1" applyBorder="1" applyAlignment="1">
      <alignment vertical="center"/>
    </xf>
    <xf numFmtId="2" fontId="12" fillId="6" borderId="16" xfId="1" applyNumberFormat="1" applyFont="1" applyFill="1" applyBorder="1" applyAlignment="1">
      <alignment horizontal="center" vertical="center"/>
    </xf>
    <xf numFmtId="164" fontId="18" fillId="0" borderId="0" xfId="1" applyFont="1" applyAlignment="1">
      <alignment horizontal="center"/>
    </xf>
    <xf numFmtId="164" fontId="18" fillId="0" borderId="0" xfId="1" applyFont="1"/>
    <xf numFmtId="164" fontId="18" fillId="0" borderId="0" xfId="1" applyFont="1" applyAlignment="1">
      <alignment horizontal="left"/>
    </xf>
    <xf numFmtId="164" fontId="1" fillId="0" borderId="0" xfId="1" applyAlignment="1">
      <alignment horizontal="center"/>
    </xf>
    <xf numFmtId="164" fontId="12" fillId="0" borderId="24" xfId="1" applyFont="1" applyBorder="1" applyAlignment="1">
      <alignment horizontal="right" vertical="center"/>
    </xf>
    <xf numFmtId="166" fontId="12" fillId="0" borderId="25" xfId="1" applyNumberFormat="1" applyFont="1" applyBorder="1" applyAlignment="1" applyProtection="1">
      <alignment horizontal="center" vertical="center"/>
      <protection locked="0"/>
    </xf>
    <xf numFmtId="169" fontId="12" fillId="0" borderId="25" xfId="1" applyNumberFormat="1" applyFont="1" applyBorder="1" applyAlignment="1" applyProtection="1">
      <alignment horizontal="center" vertical="center"/>
      <protection locked="0"/>
    </xf>
    <xf numFmtId="166" fontId="1" fillId="0" borderId="0" xfId="1" applyNumberFormat="1" applyAlignment="1" applyProtection="1">
      <alignment horizontal="center"/>
      <protection locked="0"/>
    </xf>
    <xf numFmtId="166" fontId="1" fillId="0" borderId="0" xfId="1" applyNumberFormat="1" applyProtection="1">
      <protection locked="0"/>
    </xf>
    <xf numFmtId="169" fontId="12" fillId="0" borderId="26" xfId="1" applyNumberFormat="1" applyFont="1" applyBorder="1" applyAlignment="1" applyProtection="1">
      <alignment horizontal="center" vertical="center"/>
      <protection locked="0"/>
    </xf>
    <xf numFmtId="20" fontId="1" fillId="0" borderId="0" xfId="1" applyNumberFormat="1"/>
    <xf numFmtId="166" fontId="12" fillId="9" borderId="25" xfId="1" applyNumberFormat="1" applyFont="1" applyFill="1" applyBorder="1" applyAlignment="1" applyProtection="1">
      <alignment horizontal="center" vertical="center"/>
      <protection locked="0"/>
    </xf>
    <xf numFmtId="169" fontId="25" fillId="0" borderId="27" xfId="1" applyNumberFormat="1" applyFont="1" applyBorder="1" applyAlignment="1">
      <alignment horizontal="center" vertical="center"/>
    </xf>
    <xf numFmtId="2" fontId="25" fillId="0" borderId="27" xfId="1" applyNumberFormat="1" applyFont="1" applyBorder="1" applyAlignment="1">
      <alignment horizontal="center" vertical="center"/>
    </xf>
    <xf numFmtId="164" fontId="12" fillId="0" borderId="28" xfId="1" applyFont="1" applyBorder="1" applyAlignment="1">
      <alignment horizontal="right" vertical="center"/>
    </xf>
    <xf numFmtId="169" fontId="25" fillId="0" borderId="29" xfId="1" applyNumberFormat="1" applyFont="1" applyBorder="1" applyAlignment="1">
      <alignment horizontal="center" vertical="center"/>
    </xf>
    <xf numFmtId="164" fontId="26" fillId="0" borderId="28" xfId="1" applyFont="1" applyBorder="1" applyAlignment="1">
      <alignment horizontal="right" vertical="center"/>
    </xf>
    <xf numFmtId="166" fontId="12" fillId="10" borderId="6" xfId="1" applyNumberFormat="1" applyFont="1" applyFill="1" applyBorder="1" applyAlignment="1" applyProtection="1">
      <alignment horizontal="center" vertical="center"/>
      <protection locked="0"/>
    </xf>
    <xf numFmtId="164" fontId="16" fillId="0" borderId="24" xfId="1" applyFont="1" applyBorder="1" applyAlignment="1">
      <alignment horizontal="right" vertical="center"/>
    </xf>
    <xf numFmtId="164" fontId="16" fillId="0" borderId="30" xfId="1" applyFont="1" applyBorder="1" applyAlignment="1">
      <alignment horizontal="left" vertical="center"/>
    </xf>
    <xf numFmtId="166" fontId="16" fillId="0" borderId="31" xfId="1" applyNumberFormat="1" applyFont="1" applyBorder="1" applyAlignment="1">
      <alignment horizontal="center" vertical="center"/>
    </xf>
    <xf numFmtId="169" fontId="16" fillId="0" borderId="31" xfId="1" applyNumberFormat="1" applyFont="1" applyBorder="1" applyAlignment="1">
      <alignment horizontal="center" vertical="center"/>
    </xf>
    <xf numFmtId="164" fontId="12" fillId="0" borderId="32" xfId="1" applyFont="1" applyBorder="1" applyAlignment="1">
      <alignment horizontal="right" vertical="center"/>
    </xf>
    <xf numFmtId="166" fontId="12" fillId="11" borderId="25" xfId="1" applyNumberFormat="1" applyFont="1" applyFill="1" applyBorder="1" applyAlignment="1" applyProtection="1">
      <alignment horizontal="center" vertical="center"/>
      <protection locked="0"/>
    </xf>
    <xf numFmtId="164" fontId="12" fillId="0" borderId="33" xfId="1" applyFont="1" applyBorder="1" applyAlignment="1">
      <alignment horizontal="right" vertical="center"/>
    </xf>
    <xf numFmtId="166" fontId="12" fillId="0" borderId="6" xfId="1" applyNumberFormat="1" applyFont="1" applyBorder="1" applyAlignment="1" applyProtection="1">
      <alignment horizontal="center" vertical="center"/>
      <protection locked="0"/>
    </xf>
    <xf numFmtId="164" fontId="12" fillId="0" borderId="34" xfId="1" applyFont="1" applyBorder="1" applyAlignment="1">
      <alignment horizontal="right" vertical="center"/>
    </xf>
    <xf numFmtId="166" fontId="12" fillId="0" borderId="18" xfId="1" applyNumberFormat="1" applyFont="1" applyBorder="1" applyAlignment="1" applyProtection="1">
      <alignment horizontal="center" vertical="center"/>
      <protection locked="0"/>
    </xf>
    <xf numFmtId="169" fontId="25" fillId="0" borderId="23" xfId="1" applyNumberFormat="1" applyFont="1" applyBorder="1" applyAlignment="1">
      <alignment horizontal="center" vertical="center"/>
    </xf>
    <xf numFmtId="164" fontId="16" fillId="0" borderId="35" xfId="1" applyFont="1" applyBorder="1" applyAlignment="1">
      <alignment horizontal="left" vertical="center"/>
    </xf>
    <xf numFmtId="164" fontId="27" fillId="0" borderId="0" xfId="1" applyFont="1"/>
    <xf numFmtId="164" fontId="12" fillId="0" borderId="36" xfId="1" applyFont="1" applyBorder="1" applyAlignment="1">
      <alignment horizontal="right" vertical="center"/>
    </xf>
    <xf numFmtId="2" fontId="26" fillId="0" borderId="37" xfId="1" applyNumberFormat="1" applyFont="1" applyBorder="1" applyAlignment="1">
      <alignment horizontal="center" vertical="center"/>
    </xf>
    <xf numFmtId="169" fontId="26" fillId="0" borderId="37" xfId="1" applyNumberFormat="1" applyFont="1" applyBorder="1" applyAlignment="1">
      <alignment horizontal="center" vertical="center"/>
    </xf>
    <xf numFmtId="164" fontId="16" fillId="0" borderId="38" xfId="1" applyFont="1" applyBorder="1" applyAlignment="1">
      <alignment horizontal="left" vertical="center"/>
    </xf>
    <xf numFmtId="169" fontId="12" fillId="0" borderId="29" xfId="1" applyNumberFormat="1" applyFont="1" applyBorder="1" applyAlignment="1">
      <alignment horizontal="center" vertical="center"/>
    </xf>
    <xf numFmtId="166" fontId="12" fillId="0" borderId="25" xfId="1" applyNumberFormat="1" applyFont="1" applyBorder="1" applyAlignment="1">
      <alignment horizontal="center" vertical="center"/>
    </xf>
    <xf numFmtId="166" fontId="12" fillId="0" borderId="6" xfId="1" applyNumberFormat="1" applyFont="1" applyBorder="1" applyAlignment="1">
      <alignment horizontal="center" vertical="center"/>
    </xf>
    <xf numFmtId="164" fontId="2" fillId="12" borderId="0" xfId="1" applyFont="1" applyFill="1"/>
    <xf numFmtId="20" fontId="1" fillId="0" borderId="39" xfId="1" applyNumberFormat="1" applyBorder="1"/>
    <xf numFmtId="166" fontId="12" fillId="0" borderId="2" xfId="1" applyNumberFormat="1" applyFont="1" applyBorder="1" applyAlignment="1" applyProtection="1">
      <alignment horizontal="center" vertical="center"/>
      <protection locked="0"/>
    </xf>
    <xf numFmtId="166" fontId="12" fillId="0" borderId="4" xfId="1" applyNumberFormat="1" applyFont="1" applyBorder="1" applyAlignment="1" applyProtection="1">
      <alignment horizontal="center" vertical="center"/>
      <protection locked="0"/>
    </xf>
    <xf numFmtId="164" fontId="0" fillId="0" borderId="5" xfId="1" applyFont="1" applyBorder="1"/>
    <xf numFmtId="166" fontId="12" fillId="0" borderId="40" xfId="1" applyNumberFormat="1" applyFont="1" applyBorder="1" applyAlignment="1" applyProtection="1">
      <alignment horizontal="center" vertical="center"/>
      <protection locked="0"/>
    </xf>
    <xf numFmtId="164" fontId="12" fillId="0" borderId="41" xfId="1" applyFont="1" applyBorder="1" applyAlignment="1">
      <alignment horizontal="right" vertical="center"/>
    </xf>
    <xf numFmtId="169" fontId="12" fillId="0" borderId="42" xfId="1" applyNumberFormat="1" applyFont="1" applyBorder="1" applyAlignment="1">
      <alignment horizontal="center" vertical="center"/>
    </xf>
    <xf numFmtId="164" fontId="1" fillId="0" borderId="5" xfId="1" applyBorder="1"/>
    <xf numFmtId="166" fontId="12" fillId="12" borderId="43" xfId="1" applyNumberFormat="1" applyFont="1" applyFill="1" applyBorder="1" applyAlignment="1" applyProtection="1">
      <alignment horizontal="center" vertical="center"/>
      <protection locked="0"/>
    </xf>
    <xf numFmtId="169" fontId="16" fillId="0" borderId="44" xfId="1" applyNumberFormat="1" applyFont="1" applyBorder="1" applyAlignment="1">
      <alignment horizontal="center" vertical="center"/>
    </xf>
    <xf numFmtId="166" fontId="12" fillId="0" borderId="45" xfId="1" applyNumberFormat="1" applyFont="1" applyBorder="1" applyAlignment="1">
      <alignment horizontal="center" vertical="center"/>
    </xf>
    <xf numFmtId="169" fontId="12" fillId="0" borderId="27" xfId="1" applyNumberFormat="1" applyFont="1" applyBorder="1" applyAlignment="1">
      <alignment horizontal="center" vertical="center"/>
    </xf>
    <xf numFmtId="164" fontId="1" fillId="0" borderId="48" xfId="1" applyBorder="1"/>
    <xf numFmtId="166" fontId="12" fillId="0" borderId="8" xfId="1" applyNumberFormat="1" applyFont="1" applyBorder="1" applyAlignment="1" applyProtection="1">
      <alignment horizontal="center" vertical="center"/>
      <protection locked="0"/>
    </xf>
    <xf numFmtId="166" fontId="12" fillId="0" borderId="10" xfId="1" applyNumberFormat="1" applyFont="1" applyBorder="1" applyAlignment="1" applyProtection="1">
      <alignment horizontal="center" vertical="center"/>
      <protection locked="0"/>
    </xf>
    <xf numFmtId="166" fontId="12" fillId="0" borderId="37" xfId="1" applyNumberFormat="1" applyFont="1" applyBorder="1" applyAlignment="1">
      <alignment horizontal="center" vertical="center"/>
    </xf>
    <xf numFmtId="1" fontId="16" fillId="0" borderId="31" xfId="1" applyNumberFormat="1" applyFont="1" applyBorder="1" applyAlignment="1">
      <alignment horizontal="center" vertical="center"/>
    </xf>
    <xf numFmtId="164" fontId="16" fillId="12" borderId="38" xfId="1" applyFont="1" applyFill="1" applyBorder="1" applyAlignment="1">
      <alignment vertical="center" wrapText="1"/>
    </xf>
    <xf numFmtId="166" fontId="12" fillId="0" borderId="31" xfId="1" applyNumberFormat="1" applyFont="1" applyBorder="1" applyAlignment="1" applyProtection="1">
      <alignment horizontal="center" vertical="center"/>
      <protection locked="0"/>
    </xf>
    <xf numFmtId="169" fontId="25" fillId="0" borderId="42" xfId="1" applyNumberFormat="1" applyFont="1" applyBorder="1" applyAlignment="1">
      <alignment horizontal="center" vertical="center"/>
    </xf>
    <xf numFmtId="164" fontId="16" fillId="0" borderId="38" xfId="1" applyFont="1" applyBorder="1" applyAlignment="1">
      <alignment horizontal="center" vertical="center"/>
    </xf>
    <xf numFmtId="164" fontId="12" fillId="0" borderId="49" xfId="1" applyFont="1" applyBorder="1" applyAlignment="1">
      <alignment horizontal="right" vertical="center"/>
    </xf>
    <xf numFmtId="2" fontId="12" fillId="0" borderId="2" xfId="1" applyNumberFormat="1" applyFont="1" applyBorder="1" applyAlignment="1" applyProtection="1">
      <alignment horizontal="center" vertical="center"/>
      <protection locked="0"/>
    </xf>
    <xf numFmtId="169" fontId="12" fillId="0" borderId="50" xfId="1" applyNumberFormat="1" applyFont="1" applyBorder="1" applyAlignment="1">
      <alignment horizontal="center" vertical="center"/>
    </xf>
    <xf numFmtId="164" fontId="12" fillId="0" borderId="51" xfId="1" applyFont="1" applyBorder="1" applyAlignment="1">
      <alignment horizontal="right" vertical="center"/>
    </xf>
    <xf numFmtId="169" fontId="12" fillId="0" borderId="52" xfId="1" applyNumberFormat="1" applyFont="1" applyBorder="1" applyAlignment="1">
      <alignment horizontal="center" vertical="center"/>
    </xf>
    <xf numFmtId="164" fontId="12" fillId="0" borderId="53" xfId="1" applyFont="1" applyBorder="1" applyAlignment="1">
      <alignment horizontal="right" vertical="center"/>
    </xf>
    <xf numFmtId="166" fontId="12" fillId="0" borderId="6" xfId="1" applyNumberFormat="1" applyFont="1" applyBorder="1" applyAlignment="1" applyProtection="1">
      <alignment horizontal="center"/>
      <protection locked="0"/>
    </xf>
    <xf numFmtId="169" fontId="12" fillId="0" borderId="52" xfId="1" applyNumberFormat="1" applyFont="1" applyBorder="1" applyAlignment="1">
      <alignment horizontal="center"/>
    </xf>
    <xf numFmtId="169" fontId="12" fillId="0" borderId="54" xfId="1" applyNumberFormat="1" applyFont="1" applyBorder="1" applyAlignment="1">
      <alignment horizontal="center" vertical="center"/>
    </xf>
    <xf numFmtId="164" fontId="16" fillId="0" borderId="0" xfId="1" applyFont="1" applyAlignment="1">
      <alignment horizontal="right" vertical="center"/>
    </xf>
    <xf numFmtId="164" fontId="12" fillId="0" borderId="1" xfId="1" applyFont="1" applyBorder="1" applyAlignment="1">
      <alignment vertical="center"/>
    </xf>
    <xf numFmtId="166" fontId="16" fillId="0" borderId="3" xfId="1" applyNumberFormat="1" applyFont="1" applyBorder="1" applyAlignment="1">
      <alignment horizontal="center" vertical="center"/>
    </xf>
    <xf numFmtId="169" fontId="1" fillId="0" borderId="0" xfId="1" applyNumberFormat="1"/>
    <xf numFmtId="166" fontId="12" fillId="0" borderId="55" xfId="1" applyNumberFormat="1" applyFont="1" applyBorder="1" applyAlignment="1" applyProtection="1">
      <alignment horizontal="center" vertical="center"/>
      <protection locked="0"/>
    </xf>
    <xf numFmtId="169" fontId="1" fillId="0" borderId="6" xfId="1" applyNumberFormat="1" applyBorder="1" applyAlignment="1">
      <alignment horizontal="center"/>
    </xf>
    <xf numFmtId="166" fontId="12" fillId="0" borderId="45" xfId="1" applyNumberFormat="1" applyFont="1" applyBorder="1" applyAlignment="1" applyProtection="1">
      <alignment horizontal="center" vertical="center"/>
      <protection locked="0"/>
    </xf>
    <xf numFmtId="164" fontId="12" fillId="0" borderId="56" xfId="1" applyFont="1" applyBorder="1" applyAlignment="1">
      <alignment horizontal="right" vertical="center"/>
    </xf>
    <xf numFmtId="166" fontId="12" fillId="0" borderId="57" xfId="1" applyNumberFormat="1" applyFont="1" applyBorder="1" applyAlignment="1" applyProtection="1">
      <alignment horizontal="center"/>
      <protection locked="0"/>
    </xf>
    <xf numFmtId="169" fontId="1" fillId="0" borderId="37" xfId="1" applyNumberFormat="1" applyBorder="1" applyAlignment="1">
      <alignment horizontal="center"/>
    </xf>
    <xf numFmtId="169" fontId="1" fillId="0" borderId="0" xfId="1" applyNumberFormat="1" applyAlignment="1">
      <alignment horizontal="center"/>
    </xf>
    <xf numFmtId="164" fontId="16" fillId="0" borderId="48" xfId="1" applyFont="1" applyBorder="1" applyAlignment="1">
      <alignment vertical="center"/>
    </xf>
    <xf numFmtId="164" fontId="1" fillId="0" borderId="58" xfId="1" applyBorder="1" applyAlignment="1">
      <alignment horizontal="center"/>
    </xf>
    <xf numFmtId="164" fontId="12" fillId="0" borderId="59" xfId="1" applyFont="1" applyBorder="1" applyAlignment="1">
      <alignment horizontal="right" vertical="center"/>
    </xf>
    <xf numFmtId="2" fontId="12" fillId="0" borderId="25" xfId="1" applyNumberFormat="1" applyFont="1" applyBorder="1" applyAlignment="1">
      <alignment horizontal="center" vertical="center"/>
    </xf>
    <xf numFmtId="2" fontId="12" fillId="0" borderId="25" xfId="1" applyNumberFormat="1" applyFont="1" applyBorder="1" applyAlignment="1" applyProtection="1">
      <alignment horizontal="center" vertical="center"/>
      <protection locked="0"/>
    </xf>
    <xf numFmtId="169" fontId="25" fillId="0" borderId="60" xfId="1" applyNumberFormat="1" applyFont="1" applyBorder="1" applyAlignment="1">
      <alignment horizontal="center" vertical="center"/>
    </xf>
    <xf numFmtId="2" fontId="12" fillId="0" borderId="6" xfId="1" applyNumberFormat="1" applyFont="1" applyBorder="1" applyAlignment="1">
      <alignment horizontal="center" vertical="center"/>
    </xf>
    <xf numFmtId="2" fontId="12" fillId="0" borderId="6" xfId="1" applyNumberFormat="1" applyFont="1" applyBorder="1" applyAlignment="1" applyProtection="1">
      <alignment horizontal="center" vertical="center"/>
      <protection locked="0"/>
    </xf>
    <xf numFmtId="169" fontId="25" fillId="0" borderId="40" xfId="1" applyNumberFormat="1" applyFont="1" applyBorder="1" applyAlignment="1">
      <alignment horizontal="center" vertical="center"/>
    </xf>
    <xf numFmtId="169" fontId="25" fillId="0" borderId="61" xfId="1" applyNumberFormat="1" applyFont="1" applyBorder="1" applyAlignment="1">
      <alignment horizontal="center" vertical="center"/>
    </xf>
    <xf numFmtId="2" fontId="12" fillId="0" borderId="37" xfId="1" applyNumberFormat="1" applyFont="1" applyBorder="1" applyAlignment="1">
      <alignment horizontal="center" vertical="center"/>
    </xf>
    <xf numFmtId="2" fontId="12" fillId="0" borderId="18" xfId="1" applyNumberFormat="1" applyFont="1" applyBorder="1" applyAlignment="1" applyProtection="1">
      <alignment horizontal="center" vertical="center"/>
      <protection locked="0"/>
    </xf>
    <xf numFmtId="164" fontId="12" fillId="0" borderId="35" xfId="1" applyFont="1" applyBorder="1" applyAlignment="1">
      <alignment vertical="center"/>
    </xf>
    <xf numFmtId="2" fontId="12" fillId="0" borderId="62" xfId="1" applyNumberFormat="1" applyFont="1" applyBorder="1" applyAlignment="1">
      <alignment horizontal="center" vertical="center"/>
    </xf>
    <xf numFmtId="2" fontId="12" fillId="0" borderId="31" xfId="1" applyNumberFormat="1" applyFont="1" applyBorder="1" applyAlignment="1">
      <alignment horizontal="center" vertical="center"/>
    </xf>
    <xf numFmtId="2" fontId="12" fillId="0" borderId="63" xfId="1" applyNumberFormat="1" applyFont="1" applyBorder="1" applyAlignment="1">
      <alignment horizontal="center" vertical="center"/>
    </xf>
    <xf numFmtId="169" fontId="25" fillId="0" borderId="35" xfId="1" applyNumberFormat="1" applyFont="1" applyBorder="1" applyAlignment="1">
      <alignment horizontal="center" vertical="center"/>
    </xf>
    <xf numFmtId="2" fontId="1" fillId="0" borderId="0" xfId="1" applyNumberFormat="1" applyAlignment="1">
      <alignment horizontal="center"/>
    </xf>
    <xf numFmtId="2" fontId="12" fillId="0" borderId="2" xfId="1" applyNumberFormat="1" applyFont="1" applyBorder="1" applyAlignment="1">
      <alignment horizontal="center" vertical="center"/>
    </xf>
    <xf numFmtId="169" fontId="28" fillId="0" borderId="4" xfId="1" applyNumberFormat="1" applyFont="1" applyBorder="1" applyAlignment="1">
      <alignment horizontal="center" vertical="center"/>
    </xf>
    <xf numFmtId="169" fontId="28" fillId="0" borderId="40" xfId="1" applyNumberFormat="1" applyFont="1" applyBorder="1" applyAlignment="1">
      <alignment horizontal="center" vertical="center"/>
    </xf>
    <xf numFmtId="169" fontId="28" fillId="0" borderId="61" xfId="1" applyNumberFormat="1" applyFont="1" applyBorder="1" applyAlignment="1">
      <alignment horizontal="center" vertical="center"/>
    </xf>
    <xf numFmtId="164" fontId="12" fillId="0" borderId="62" xfId="1" applyFont="1" applyBorder="1" applyAlignment="1">
      <alignment horizontal="right" vertical="center"/>
    </xf>
    <xf numFmtId="169" fontId="1" fillId="0" borderId="64" xfId="1" applyNumberFormat="1" applyBorder="1" applyAlignment="1">
      <alignment horizontal="center"/>
    </xf>
    <xf numFmtId="164" fontId="16" fillId="0" borderId="49" xfId="1" applyFont="1" applyBorder="1" applyAlignment="1">
      <alignment vertical="center"/>
    </xf>
    <xf numFmtId="2" fontId="29" fillId="0" borderId="2" xfId="1" applyNumberFormat="1" applyFont="1" applyBorder="1" applyAlignment="1">
      <alignment horizontal="center" vertical="center"/>
    </xf>
    <xf numFmtId="2" fontId="29" fillId="0" borderId="4" xfId="1" applyNumberFormat="1" applyFont="1" applyBorder="1" applyAlignment="1">
      <alignment horizontal="center" vertical="center"/>
    </xf>
    <xf numFmtId="2" fontId="29" fillId="0" borderId="25" xfId="1" applyNumberFormat="1" applyFont="1" applyBorder="1" applyAlignment="1">
      <alignment horizontal="center" vertical="center"/>
    </xf>
    <xf numFmtId="2" fontId="29" fillId="0" borderId="60" xfId="1" applyNumberFormat="1" applyFont="1" applyBorder="1" applyAlignment="1">
      <alignment horizontal="center" vertical="center"/>
    </xf>
    <xf numFmtId="164" fontId="1" fillId="0" borderId="65" xfId="1" applyBorder="1" applyAlignment="1">
      <alignment horizontal="center"/>
    </xf>
    <xf numFmtId="2" fontId="29" fillId="0" borderId="6" xfId="1" applyNumberFormat="1" applyFont="1" applyBorder="1" applyAlignment="1">
      <alignment horizontal="center" vertical="center"/>
    </xf>
    <xf numFmtId="2" fontId="29" fillId="0" borderId="40" xfId="1" applyNumberFormat="1" applyFont="1" applyBorder="1" applyAlignment="1">
      <alignment horizontal="center" vertical="center"/>
    </xf>
    <xf numFmtId="2" fontId="29" fillId="0" borderId="8" xfId="1" applyNumberFormat="1" applyFont="1" applyBorder="1" applyAlignment="1">
      <alignment horizontal="center" vertical="center"/>
    </xf>
    <xf numFmtId="2" fontId="29" fillId="0" borderId="10" xfId="1" applyNumberFormat="1" applyFont="1" applyBorder="1" applyAlignment="1">
      <alignment horizontal="center" vertical="center"/>
    </xf>
    <xf numFmtId="164" fontId="12" fillId="13" borderId="6" xfId="1" applyFont="1" applyFill="1" applyBorder="1" applyAlignment="1">
      <alignment vertical="center"/>
    </xf>
    <xf numFmtId="1" fontId="1" fillId="13" borderId="6" xfId="1" applyNumberFormat="1" applyFill="1" applyBorder="1"/>
    <xf numFmtId="20" fontId="30" fillId="13" borderId="6" xfId="1" applyNumberFormat="1" applyFont="1" applyFill="1" applyBorder="1" applyAlignment="1">
      <alignment horizontal="center"/>
    </xf>
    <xf numFmtId="164" fontId="1" fillId="0" borderId="0" xfId="1" applyAlignment="1">
      <alignment horizontal="left"/>
    </xf>
    <xf numFmtId="164" fontId="31" fillId="15" borderId="0" xfId="1" applyFont="1" applyFill="1"/>
    <xf numFmtId="164" fontId="1" fillId="16" borderId="0" xfId="1" applyFill="1" applyProtection="1">
      <protection locked="0"/>
    </xf>
    <xf numFmtId="164" fontId="16" fillId="0" borderId="0" xfId="1" applyFont="1" applyAlignment="1">
      <alignment vertical="top" wrapText="1"/>
    </xf>
    <xf numFmtId="20" fontId="12" fillId="0" borderId="37" xfId="1" applyNumberFormat="1" applyFont="1" applyBorder="1" applyAlignment="1">
      <alignment vertical="center"/>
    </xf>
    <xf numFmtId="167" fontId="12" fillId="0" borderId="66" xfId="1" applyNumberFormat="1" applyFont="1" applyBorder="1" applyAlignment="1">
      <alignment vertical="center"/>
    </xf>
    <xf numFmtId="167" fontId="12" fillId="0" borderId="37" xfId="1" applyNumberFormat="1" applyFont="1" applyBorder="1" applyAlignment="1">
      <alignment vertical="center"/>
    </xf>
    <xf numFmtId="167" fontId="12" fillId="0" borderId="19" xfId="1" applyNumberFormat="1" applyFont="1" applyBorder="1" applyAlignment="1">
      <alignment vertical="center"/>
    </xf>
    <xf numFmtId="1" fontId="1" fillId="0" borderId="0" xfId="1" applyNumberFormat="1" applyAlignment="1">
      <alignment horizontal="center"/>
    </xf>
    <xf numFmtId="165" fontId="1" fillId="16" borderId="0" xfId="1" applyNumberFormat="1" applyFill="1" applyProtection="1">
      <protection locked="0"/>
    </xf>
    <xf numFmtId="164" fontId="1" fillId="0" borderId="6" xfId="1" applyBorder="1"/>
    <xf numFmtId="166" fontId="1" fillId="0" borderId="6" xfId="1" applyNumberFormat="1" applyBorder="1" applyAlignment="1">
      <alignment horizontal="center"/>
    </xf>
    <xf numFmtId="2" fontId="1" fillId="0" borderId="6" xfId="1" applyNumberFormat="1" applyBorder="1" applyAlignment="1">
      <alignment horizontal="center"/>
    </xf>
    <xf numFmtId="164" fontId="0" fillId="0" borderId="58" xfId="1" applyFont="1" applyBorder="1" applyAlignment="1">
      <alignment horizontal="center"/>
    </xf>
    <xf numFmtId="0" fontId="0" fillId="0" borderId="6" xfId="0" applyBorder="1" applyAlignment="1">
      <alignment horizontal="center"/>
    </xf>
    <xf numFmtId="164" fontId="12" fillId="0" borderId="49" xfId="1" applyFont="1" applyBorder="1" applyAlignment="1">
      <alignment horizontal="right" vertical="center" indent="1"/>
    </xf>
    <xf numFmtId="164" fontId="12" fillId="0" borderId="51" xfId="1" applyFont="1" applyBorder="1" applyAlignment="1">
      <alignment horizontal="right" vertical="center" indent="1"/>
    </xf>
    <xf numFmtId="169" fontId="1" fillId="0" borderId="58" xfId="1" applyNumberFormat="1" applyBorder="1" applyAlignment="1">
      <alignment horizontal="center"/>
    </xf>
    <xf numFmtId="0" fontId="0" fillId="0" borderId="6" xfId="0" applyBorder="1"/>
    <xf numFmtId="9" fontId="0" fillId="0" borderId="0" xfId="0" applyNumberFormat="1"/>
    <xf numFmtId="0" fontId="2" fillId="0" borderId="6" xfId="0" applyFont="1" applyBorder="1" applyAlignment="1">
      <alignment horizontal="right"/>
    </xf>
    <xf numFmtId="0" fontId="0" fillId="0" borderId="0" xfId="0" applyAlignment="1">
      <alignment wrapText="1"/>
    </xf>
    <xf numFmtId="0" fontId="2" fillId="0" borderId="0" xfId="0" applyFont="1"/>
    <xf numFmtId="0" fontId="0" fillId="0" borderId="45" xfId="0" applyBorder="1"/>
    <xf numFmtId="0" fontId="2" fillId="0" borderId="45" xfId="0" applyFont="1" applyBorder="1" applyAlignment="1">
      <alignment horizontal="right"/>
    </xf>
    <xf numFmtId="0" fontId="33" fillId="0" borderId="6" xfId="0" applyFont="1" applyBorder="1"/>
    <xf numFmtId="0" fontId="0" fillId="0" borderId="0" xfId="0" applyAlignment="1">
      <alignment horizontal="center"/>
    </xf>
    <xf numFmtId="20" fontId="0" fillId="0" borderId="0" xfId="0" applyNumberFormat="1"/>
    <xf numFmtId="2" fontId="0" fillId="0" borderId="0" xfId="0" applyNumberFormat="1" applyAlignment="1">
      <alignment horizontal="left" vertical="center"/>
    </xf>
    <xf numFmtId="0" fontId="34" fillId="0" borderId="0" xfId="0" applyFont="1"/>
    <xf numFmtId="2" fontId="34" fillId="0" borderId="0" xfId="0" applyNumberFormat="1" applyFont="1" applyAlignment="1">
      <alignment horizontal="left" vertical="center"/>
    </xf>
    <xf numFmtId="2" fontId="4" fillId="0" borderId="6" xfId="0" applyNumberFormat="1" applyFont="1" applyBorder="1" applyAlignment="1">
      <alignment horizontal="left" vertical="center"/>
    </xf>
    <xf numFmtId="164" fontId="16" fillId="0" borderId="51" xfId="1" applyFont="1" applyBorder="1" applyAlignment="1">
      <alignment horizontal="right" vertical="center" indent="1"/>
    </xf>
    <xf numFmtId="2" fontId="12" fillId="0" borderId="6" xfId="1" applyNumberFormat="1" applyFont="1" applyBorder="1" applyAlignment="1" applyProtection="1">
      <alignment horizontal="center"/>
      <protection locked="0"/>
    </xf>
    <xf numFmtId="2" fontId="35" fillId="0" borderId="25" xfId="1" applyNumberFormat="1" applyFont="1" applyBorder="1" applyAlignment="1">
      <alignment horizontal="center" vertical="center"/>
    </xf>
    <xf numFmtId="2" fontId="35" fillId="0" borderId="6" xfId="1" applyNumberFormat="1" applyFont="1" applyBorder="1" applyAlignment="1">
      <alignment horizontal="center" vertical="center"/>
    </xf>
    <xf numFmtId="2" fontId="35" fillId="0" borderId="8" xfId="1" applyNumberFormat="1" applyFont="1" applyBorder="1" applyAlignment="1">
      <alignment horizontal="center" vertical="center"/>
    </xf>
    <xf numFmtId="164" fontId="36" fillId="0" borderId="24" xfId="1" applyFont="1" applyBorder="1" applyAlignment="1">
      <alignment horizontal="right" vertical="center"/>
    </xf>
    <xf numFmtId="166" fontId="36" fillId="0" borderId="25" xfId="1" applyNumberFormat="1" applyFont="1" applyBorder="1" applyAlignment="1" applyProtection="1">
      <alignment horizontal="center" vertical="center"/>
      <protection locked="0"/>
    </xf>
    <xf numFmtId="169" fontId="36" fillId="0" borderId="26" xfId="1" applyNumberFormat="1" applyFont="1" applyBorder="1" applyAlignment="1" applyProtection="1">
      <alignment horizontal="center" vertical="center"/>
      <protection locked="0"/>
    </xf>
    <xf numFmtId="166" fontId="37" fillId="0" borderId="0" xfId="1" applyNumberFormat="1" applyFont="1" applyAlignment="1" applyProtection="1">
      <alignment horizontal="center"/>
      <protection locked="0"/>
    </xf>
    <xf numFmtId="166" fontId="37" fillId="0" borderId="0" xfId="1" applyNumberFormat="1" applyFont="1" applyProtection="1">
      <protection locked="0"/>
    </xf>
    <xf numFmtId="164" fontId="37" fillId="0" borderId="0" xfId="1" applyFont="1"/>
    <xf numFmtId="20" fontId="37" fillId="0" borderId="0" xfId="1" applyNumberFormat="1" applyFont="1"/>
    <xf numFmtId="164" fontId="37" fillId="0" borderId="0" xfId="1" applyFont="1" applyAlignment="1">
      <alignment horizontal="center" vertical="center"/>
    </xf>
    <xf numFmtId="165" fontId="38" fillId="0" borderId="0" xfId="1" applyNumberFormat="1" applyFont="1"/>
    <xf numFmtId="166" fontId="12" fillId="0" borderId="25" xfId="1" quotePrefix="1" applyNumberFormat="1" applyFont="1" applyBorder="1" applyAlignment="1" applyProtection="1">
      <alignment horizontal="center" vertical="center"/>
      <protection locked="0"/>
    </xf>
    <xf numFmtId="2" fontId="12" fillId="0" borderId="57" xfId="1" applyNumberFormat="1" applyFont="1" applyBorder="1" applyAlignment="1" applyProtection="1">
      <alignment horizontal="center"/>
      <protection locked="0"/>
    </xf>
    <xf numFmtId="2" fontId="39" fillId="0" borderId="25" xfId="1" applyNumberFormat="1" applyFont="1" applyBorder="1" applyAlignment="1">
      <alignment horizontal="center" vertical="center"/>
    </xf>
    <xf numFmtId="2" fontId="39" fillId="0" borderId="6" xfId="1" applyNumberFormat="1" applyFont="1" applyBorder="1" applyAlignment="1">
      <alignment horizontal="center" vertical="center"/>
    </xf>
    <xf numFmtId="2" fontId="39" fillId="0" borderId="8" xfId="1" applyNumberFormat="1" applyFont="1" applyBorder="1" applyAlignment="1">
      <alignment horizontal="center" vertical="center"/>
    </xf>
    <xf numFmtId="2" fontId="39" fillId="0" borderId="60" xfId="1" applyNumberFormat="1" applyFont="1" applyBorder="1" applyAlignment="1">
      <alignment horizontal="center" vertical="center"/>
    </xf>
    <xf numFmtId="2" fontId="39" fillId="0" borderId="40" xfId="1" applyNumberFormat="1" applyFont="1" applyBorder="1" applyAlignment="1">
      <alignment horizontal="center" vertical="center"/>
    </xf>
    <xf numFmtId="2" fontId="39" fillId="0" borderId="10" xfId="1" applyNumberFormat="1" applyFont="1" applyBorder="1" applyAlignment="1">
      <alignment horizontal="center" vertical="center"/>
    </xf>
    <xf numFmtId="166" fontId="12" fillId="0" borderId="26" xfId="1" applyNumberFormat="1" applyFont="1" applyBorder="1" applyAlignment="1" applyProtection="1">
      <alignment horizontal="center" vertical="center"/>
      <protection locked="0"/>
    </xf>
    <xf numFmtId="166" fontId="12" fillId="0" borderId="57" xfId="1" applyNumberFormat="1" applyFont="1" applyBorder="1" applyAlignment="1" applyProtection="1">
      <alignment horizontal="center" vertical="center"/>
      <protection locked="0"/>
    </xf>
    <xf numFmtId="166" fontId="12" fillId="0" borderId="45" xfId="1" applyNumberFormat="1" applyFont="1" applyBorder="1" applyAlignment="1" applyProtection="1">
      <alignment horizontal="center"/>
      <protection locked="0"/>
    </xf>
    <xf numFmtId="0" fontId="41" fillId="0" borderId="0" xfId="0" applyFont="1" applyAlignment="1">
      <alignment horizontal="center" vertical="center" wrapText="1"/>
    </xf>
    <xf numFmtId="0" fontId="43" fillId="0" borderId="0" xfId="0" applyFont="1"/>
    <xf numFmtId="0" fontId="4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horizontal="center"/>
    </xf>
    <xf numFmtId="0" fontId="18" fillId="9" borderId="0" xfId="0" applyFont="1" applyFill="1"/>
    <xf numFmtId="0" fontId="9" fillId="9" borderId="0" xfId="0" applyFont="1" applyFill="1"/>
    <xf numFmtId="0" fontId="9" fillId="0" borderId="0" xfId="0" applyFont="1"/>
    <xf numFmtId="0" fontId="2" fillId="0" borderId="6" xfId="0" applyFont="1" applyBorder="1" applyAlignment="1">
      <alignment horizontal="center"/>
    </xf>
    <xf numFmtId="0" fontId="45" fillId="0" borderId="67" xfId="0" applyFont="1" applyBorder="1" applyAlignment="1">
      <alignment horizontal="center"/>
    </xf>
    <xf numFmtId="166" fontId="0" fillId="0" borderId="6" xfId="0" applyNumberFormat="1" applyBorder="1" applyAlignment="1">
      <alignment horizontal="center"/>
    </xf>
    <xf numFmtId="166" fontId="0" fillId="9" borderId="6" xfId="0" applyNumberFormat="1" applyFill="1" applyBorder="1" applyAlignment="1">
      <alignment horizontal="center"/>
    </xf>
    <xf numFmtId="0" fontId="47" fillId="0" borderId="6" xfId="0" applyFont="1" applyBorder="1" applyAlignment="1">
      <alignment horizontal="left"/>
    </xf>
    <xf numFmtId="0" fontId="47" fillId="0" borderId="6" xfId="0" applyFont="1" applyBorder="1" applyAlignment="1">
      <alignment horizontal="center"/>
    </xf>
    <xf numFmtId="0" fontId="47" fillId="0" borderId="6" xfId="0" applyFont="1" applyBorder="1" applyAlignment="1">
      <alignment horizontal="center" wrapText="1"/>
    </xf>
    <xf numFmtId="1" fontId="2" fillId="0" borderId="6" xfId="0" applyNumberFormat="1" applyFont="1" applyBorder="1" applyAlignment="1">
      <alignment horizontal="center"/>
    </xf>
    <xf numFmtId="0" fontId="0" fillId="0" borderId="18" xfId="0" applyBorder="1" applyAlignment="1">
      <alignment horizontal="center"/>
    </xf>
    <xf numFmtId="166" fontId="0" fillId="0" borderId="18" xfId="0" applyNumberFormat="1" applyBorder="1" applyAlignment="1">
      <alignment horizontal="center"/>
    </xf>
    <xf numFmtId="0" fontId="0" fillId="9" borderId="6" xfId="0" applyFill="1" applyBorder="1"/>
    <xf numFmtId="0" fontId="0" fillId="9" borderId="6" xfId="0" applyFill="1" applyBorder="1" applyAlignment="1">
      <alignment horizontal="center"/>
    </xf>
    <xf numFmtId="166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37" xfId="0" applyFont="1" applyBorder="1" applyAlignment="1">
      <alignment horizontal="center"/>
    </xf>
    <xf numFmtId="166" fontId="0" fillId="9" borderId="6" xfId="0" applyNumberFormat="1" applyFill="1" applyBorder="1" applyAlignment="1">
      <alignment horizontal="center" vertical="center" wrapText="1"/>
    </xf>
    <xf numFmtId="2" fontId="0" fillId="0" borderId="0" xfId="0" applyNumberFormat="1"/>
    <xf numFmtId="166" fontId="46" fillId="0" borderId="6" xfId="0" applyNumberFormat="1" applyFont="1" applyBorder="1" applyAlignment="1">
      <alignment horizontal="center"/>
    </xf>
    <xf numFmtId="0" fontId="46" fillId="0" borderId="6" xfId="0" applyFont="1" applyBorder="1" applyAlignment="1">
      <alignment horizontal="center" vertical="center" wrapText="1"/>
    </xf>
    <xf numFmtId="166" fontId="46" fillId="0" borderId="6" xfId="0" applyNumberFormat="1" applyFont="1" applyBorder="1" applyAlignment="1">
      <alignment horizontal="center" vertical="center" wrapText="1"/>
    </xf>
    <xf numFmtId="2" fontId="2" fillId="0" borderId="0" xfId="0" applyNumberFormat="1" applyFont="1"/>
    <xf numFmtId="2" fontId="2" fillId="0" borderId="6" xfId="0" applyNumberFormat="1" applyFont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0" fillId="9" borderId="0" xfId="0" applyFill="1"/>
    <xf numFmtId="164" fontId="9" fillId="0" borderId="58" xfId="1" applyFont="1" applyBorder="1" applyAlignment="1">
      <alignment horizontal="center"/>
    </xf>
    <xf numFmtId="165" fontId="1" fillId="0" borderId="0" xfId="1" applyNumberFormat="1"/>
    <xf numFmtId="165" fontId="27" fillId="0" borderId="0" xfId="1" applyNumberFormat="1" applyFont="1"/>
    <xf numFmtId="0" fontId="1" fillId="0" borderId="0" xfId="1" applyNumberFormat="1"/>
    <xf numFmtId="166" fontId="1" fillId="0" borderId="0" xfId="1" applyNumberFormat="1"/>
    <xf numFmtId="0" fontId="1" fillId="0" borderId="0" xfId="1" applyNumberFormat="1" applyAlignment="1">
      <alignment horizontal="center" vertical="center"/>
    </xf>
    <xf numFmtId="0" fontId="14" fillId="0" borderId="0" xfId="1" applyNumberFormat="1" applyFont="1"/>
    <xf numFmtId="166" fontId="16" fillId="12" borderId="46" xfId="1" applyNumberFormat="1" applyFont="1" applyFill="1" applyBorder="1" applyAlignment="1">
      <alignment horizontal="center" vertical="center"/>
    </xf>
    <xf numFmtId="166" fontId="16" fillId="12" borderId="47" xfId="1" applyNumberFormat="1" applyFont="1" applyFill="1" applyBorder="1" applyAlignment="1">
      <alignment horizontal="center" vertical="center"/>
    </xf>
    <xf numFmtId="164" fontId="31" fillId="14" borderId="0" xfId="1" applyFont="1" applyFill="1" applyAlignment="1">
      <alignment horizontal="center"/>
    </xf>
    <xf numFmtId="167" fontId="12" fillId="0" borderId="19" xfId="1" applyNumberFormat="1" applyFont="1" applyBorder="1" applyAlignment="1">
      <alignment horizontal="center" vertical="center"/>
    </xf>
    <xf numFmtId="167" fontId="12" fillId="0" borderId="22" xfId="1" applyNumberFormat="1" applyFont="1" applyBorder="1" applyAlignment="1">
      <alignment horizontal="center" vertical="center"/>
    </xf>
    <xf numFmtId="168" fontId="24" fillId="8" borderId="20" xfId="1" applyNumberFormat="1" applyFont="1" applyFill="1" applyBorder="1" applyAlignment="1">
      <alignment horizontal="center" vertical="center" wrapText="1"/>
    </xf>
    <xf numFmtId="168" fontId="24" fillId="8" borderId="23" xfId="1" applyNumberFormat="1" applyFont="1" applyFill="1" applyBorder="1" applyAlignment="1">
      <alignment horizontal="center" vertical="center" wrapText="1"/>
    </xf>
    <xf numFmtId="167" fontId="12" fillId="7" borderId="19" xfId="1" applyNumberFormat="1" applyFont="1" applyFill="1" applyBorder="1" applyAlignment="1">
      <alignment horizontal="center" vertical="center"/>
    </xf>
    <xf numFmtId="167" fontId="12" fillId="7" borderId="22" xfId="1" applyNumberFormat="1" applyFont="1" applyFill="1" applyBorder="1" applyAlignment="1">
      <alignment horizontal="center" vertical="center"/>
    </xf>
    <xf numFmtId="167" fontId="12" fillId="0" borderId="18" xfId="1" applyNumberFormat="1" applyFont="1" applyBorder="1" applyAlignment="1">
      <alignment horizontal="center" vertical="center"/>
    </xf>
    <xf numFmtId="2" fontId="23" fillId="0" borderId="13" xfId="1" applyNumberFormat="1" applyFont="1" applyBorder="1" applyAlignment="1">
      <alignment horizontal="center" vertical="center"/>
    </xf>
    <xf numFmtId="2" fontId="23" fillId="0" borderId="14" xfId="1" applyNumberFormat="1" applyFont="1" applyBorder="1" applyAlignment="1">
      <alignment horizontal="center" vertical="center"/>
    </xf>
    <xf numFmtId="2" fontId="23" fillId="0" borderId="15" xfId="1" applyNumberFormat="1" applyFont="1" applyBorder="1" applyAlignment="1">
      <alignment horizontal="center" vertical="center"/>
    </xf>
    <xf numFmtId="164" fontId="16" fillId="0" borderId="17" xfId="1" applyFont="1" applyBorder="1" applyAlignment="1">
      <alignment horizontal="left" vertical="top" wrapText="1"/>
    </xf>
    <xf numFmtId="164" fontId="16" fillId="0" borderId="21" xfId="1" applyFont="1" applyBorder="1" applyAlignment="1">
      <alignment horizontal="left" vertical="top" wrapText="1"/>
    </xf>
    <xf numFmtId="164" fontId="15" fillId="4" borderId="11" xfId="1" applyFont="1" applyFill="1" applyBorder="1" applyAlignment="1">
      <alignment horizontal="left" vertical="center"/>
    </xf>
    <xf numFmtId="164" fontId="15" fillId="4" borderId="11" xfId="1" applyFont="1" applyFill="1" applyBorder="1" applyAlignment="1">
      <alignment horizontal="center" vertical="center"/>
    </xf>
    <xf numFmtId="2" fontId="22" fillId="0" borderId="13" xfId="1" applyNumberFormat="1" applyFont="1" applyBorder="1" applyAlignment="1">
      <alignment horizontal="center" vertical="center"/>
    </xf>
    <xf numFmtId="2" fontId="22" fillId="0" borderId="14" xfId="1" applyNumberFormat="1" applyFont="1" applyBorder="1" applyAlignment="1">
      <alignment horizontal="center" vertical="center"/>
    </xf>
    <xf numFmtId="2" fontId="22" fillId="0" borderId="15" xfId="1" applyNumberFormat="1" applyFont="1" applyBorder="1" applyAlignment="1">
      <alignment horizontal="center" vertical="center"/>
    </xf>
    <xf numFmtId="164" fontId="4" fillId="0" borderId="0" xfId="1" applyFont="1" applyAlignment="1">
      <alignment horizontal="center" vertical="center" wrapText="1"/>
    </xf>
    <xf numFmtId="164" fontId="5" fillId="2" borderId="0" xfId="1" applyFont="1" applyFill="1" applyAlignment="1">
      <alignment horizontal="center" vertical="center"/>
    </xf>
    <xf numFmtId="164" fontId="4" fillId="0" borderId="1" xfId="1" applyFont="1" applyBorder="1" applyAlignment="1">
      <alignment horizontal="center" vertical="center"/>
    </xf>
    <xf numFmtId="164" fontId="4" fillId="0" borderId="7" xfId="1" applyFont="1" applyBorder="1" applyAlignment="1">
      <alignment horizontal="center" vertical="center"/>
    </xf>
    <xf numFmtId="164" fontId="4" fillId="0" borderId="3" xfId="1" applyFont="1" applyBorder="1" applyAlignment="1">
      <alignment horizontal="center" vertical="center"/>
    </xf>
    <xf numFmtId="164" fontId="4" fillId="0" borderId="9" xfId="1" applyFont="1" applyBorder="1" applyAlignment="1">
      <alignment horizontal="center" vertical="center"/>
    </xf>
    <xf numFmtId="164" fontId="1" fillId="0" borderId="5" xfId="1" applyBorder="1" applyAlignment="1">
      <alignment horizontal="center" textRotation="90"/>
    </xf>
    <xf numFmtId="0" fontId="0" fillId="0" borderId="0" xfId="0" applyAlignment="1">
      <alignment horizontal="center" vertical="center"/>
    </xf>
    <xf numFmtId="0" fontId="41" fillId="0" borderId="0" xfId="0" applyFont="1" applyAlignment="1">
      <alignment horizontal="center" vertical="center" wrapText="1"/>
    </xf>
    <xf numFmtId="0" fontId="46" fillId="0" borderId="37" xfId="0" applyFont="1" applyBorder="1" applyAlignment="1">
      <alignment horizontal="center" vertical="center"/>
    </xf>
    <xf numFmtId="0" fontId="46" fillId="0" borderId="18" xfId="0" applyFont="1" applyBorder="1" applyAlignment="1">
      <alignment horizontal="center" vertical="center"/>
    </xf>
    <xf numFmtId="0" fontId="46" fillId="0" borderId="25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25" xfId="0" applyBorder="1" applyAlignment="1">
      <alignment horizontal="center"/>
    </xf>
    <xf numFmtId="0" fontId="46" fillId="0" borderId="6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right"/>
    </xf>
    <xf numFmtId="0" fontId="2" fillId="0" borderId="68" xfId="0" applyFont="1" applyBorder="1" applyAlignment="1">
      <alignment horizontal="right"/>
    </xf>
    <xf numFmtId="0" fontId="2" fillId="0" borderId="65" xfId="0" applyFont="1" applyBorder="1" applyAlignment="1">
      <alignment horizontal="right"/>
    </xf>
    <xf numFmtId="0" fontId="0" fillId="9" borderId="6" xfId="0" applyFill="1" applyBorder="1" applyAlignment="1">
      <alignment horizontal="center" vertical="center" wrapText="1"/>
    </xf>
    <xf numFmtId="0" fontId="46" fillId="0" borderId="6" xfId="0" applyFont="1" applyBorder="1"/>
    <xf numFmtId="166" fontId="46" fillId="0" borderId="37" xfId="0" applyNumberFormat="1" applyFont="1" applyBorder="1" applyAlignment="1">
      <alignment horizontal="center" vertical="center" wrapText="1"/>
    </xf>
    <xf numFmtId="166" fontId="46" fillId="0" borderId="25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3">
    <cellStyle name="Comma 2" xfId="2" xr:uid="{642D5685-8EF1-4C79-8202-1B9999E0DF09}"/>
    <cellStyle name="Normal" xfId="0" builtinId="0"/>
    <cellStyle name="Normal 2" xfId="1" xr:uid="{ECE62FCF-10BF-4865-9E6E-574E37C04DE3}"/>
  </cellStyles>
  <dxfs count="3742"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946-4C9E-8E7D-89E76C97B25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946-4C9E-8E7D-89E76C97B25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946-4C9E-8E7D-89E76C97B25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946-4C9E-8E7D-89E76C97B25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946-4C9E-8E7D-89E76C97B25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946-4C9E-8E7D-89E76C97B25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14A-46D6-B0EF-7A28FC2CF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353-48FF-BF06-68D8FE0A931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353-48FF-BF06-68D8FE0A931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353-48FF-BF06-68D8FE0A931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353-48FF-BF06-68D8FE0A931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353-48FF-BF06-68D8FE0A931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353-48FF-BF06-68D8FE0A931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'2'!$S$261</c:f>
              <c:strCache>
                <c:ptCount val="1"/>
                <c:pt idx="0">
                  <c:v>T_Load</c:v>
                </c:pt>
              </c:strCache>
            </c:strRef>
          </c:tx>
          <c:marker>
            <c:symbol val="none"/>
          </c:marker>
          <c:cat>
            <c:numRef>
              <c:f>'2'!$T$260:$AX$260</c:f>
              <c:numCache>
                <c:formatCode>[hh]:mm</c:formatCode>
                <c:ptCount val="31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0.22916666666666666</c:v>
                </c:pt>
                <c:pt idx="7">
                  <c:v>0.25</c:v>
                </c:pt>
                <c:pt idx="8">
                  <c:v>0.27083333333333331</c:v>
                </c:pt>
                <c:pt idx="9">
                  <c:v>0.29166666666666669</c:v>
                </c:pt>
                <c:pt idx="10">
                  <c:v>0.3125</c:v>
                </c:pt>
                <c:pt idx="11">
                  <c:v>0.33333333333333331</c:v>
                </c:pt>
                <c:pt idx="12">
                  <c:v>0.375</c:v>
                </c:pt>
                <c:pt idx="13">
                  <c:v>0.41666666666666702</c:v>
                </c:pt>
                <c:pt idx="14">
                  <c:v>0.45833333333333298</c:v>
                </c:pt>
                <c:pt idx="15">
                  <c:v>0.5</c:v>
                </c:pt>
                <c:pt idx="16">
                  <c:v>0.54166666666666696</c:v>
                </c:pt>
                <c:pt idx="17">
                  <c:v>0.58333333333333304</c:v>
                </c:pt>
                <c:pt idx="18">
                  <c:v>0.625</c:v>
                </c:pt>
                <c:pt idx="19">
                  <c:v>0.66666666666666696</c:v>
                </c:pt>
                <c:pt idx="20">
                  <c:v>0.70833333333333304</c:v>
                </c:pt>
                <c:pt idx="21">
                  <c:v>0.72916666666666663</c:v>
                </c:pt>
                <c:pt idx="22">
                  <c:v>0.75</c:v>
                </c:pt>
                <c:pt idx="23">
                  <c:v>0.77083333333333337</c:v>
                </c:pt>
                <c:pt idx="24">
                  <c:v>0.79166666666666663</c:v>
                </c:pt>
                <c:pt idx="25">
                  <c:v>0.8125</c:v>
                </c:pt>
                <c:pt idx="26">
                  <c:v>0.83333333333333337</c:v>
                </c:pt>
                <c:pt idx="27">
                  <c:v>0.85416666666666663</c:v>
                </c:pt>
                <c:pt idx="28">
                  <c:v>0.875</c:v>
                </c:pt>
                <c:pt idx="29">
                  <c:v>0.91666666666666696</c:v>
                </c:pt>
                <c:pt idx="30">
                  <c:v>0.95833333333333304</c:v>
                </c:pt>
              </c:numCache>
            </c:numRef>
          </c:cat>
          <c:val>
            <c:numRef>
              <c:f>'2'!$T$261:$AX$261</c:f>
              <c:numCache>
                <c:formatCode>0</c:formatCode>
                <c:ptCount val="31"/>
                <c:pt idx="0">
                  <c:v>1028.44</c:v>
                </c:pt>
                <c:pt idx="1">
                  <c:v>1000.6400000000001</c:v>
                </c:pt>
                <c:pt idx="2">
                  <c:v>986.94</c:v>
                </c:pt>
                <c:pt idx="3">
                  <c:v>978.74000000000012</c:v>
                </c:pt>
                <c:pt idx="4">
                  <c:v>979.64000000000021</c:v>
                </c:pt>
                <c:pt idx="5">
                  <c:v>1066.6400000000001</c:v>
                </c:pt>
                <c:pt idx="6">
                  <c:v>1080.74</c:v>
                </c:pt>
                <c:pt idx="7">
                  <c:v>1210.6400000000001</c:v>
                </c:pt>
                <c:pt idx="8">
                  <c:v>1298.6399999999999</c:v>
                </c:pt>
                <c:pt idx="9">
                  <c:v>1329.04</c:v>
                </c:pt>
                <c:pt idx="10">
                  <c:v>1469.2400000000002</c:v>
                </c:pt>
                <c:pt idx="11">
                  <c:v>1565.74</c:v>
                </c:pt>
                <c:pt idx="12">
                  <c:v>1536.24</c:v>
                </c:pt>
                <c:pt idx="13">
                  <c:v>1526.14</c:v>
                </c:pt>
                <c:pt idx="14">
                  <c:v>1496.74</c:v>
                </c:pt>
                <c:pt idx="15">
                  <c:v>1505.2400000000002</c:v>
                </c:pt>
                <c:pt idx="16">
                  <c:v>1510.04</c:v>
                </c:pt>
                <c:pt idx="17">
                  <c:v>1452.64</c:v>
                </c:pt>
                <c:pt idx="18">
                  <c:v>1383.44</c:v>
                </c:pt>
                <c:pt idx="19">
                  <c:v>1509.74</c:v>
                </c:pt>
                <c:pt idx="20">
                  <c:v>1402.64</c:v>
                </c:pt>
                <c:pt idx="21">
                  <c:v>1419.94</c:v>
                </c:pt>
                <c:pt idx="22">
                  <c:v>1836.2</c:v>
                </c:pt>
                <c:pt idx="23">
                  <c:v>1852.44</c:v>
                </c:pt>
                <c:pt idx="24">
                  <c:v>1779.74</c:v>
                </c:pt>
                <c:pt idx="25">
                  <c:v>1748.24</c:v>
                </c:pt>
                <c:pt idx="26">
                  <c:v>1656.44</c:v>
                </c:pt>
                <c:pt idx="27">
                  <c:v>1573.04</c:v>
                </c:pt>
                <c:pt idx="28">
                  <c:v>1424.04</c:v>
                </c:pt>
                <c:pt idx="29">
                  <c:v>1306.24</c:v>
                </c:pt>
                <c:pt idx="30">
                  <c:v>1173.24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125-476D-A10A-A44DEA8F9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h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4693336444120595E-2"/>
          <c:y val="0.12986952474850072"/>
          <c:w val="0.89480692951077934"/>
          <c:h val="0.7891825528639268"/>
        </c:manualLayout>
      </c:layout>
      <c:lineChart>
        <c:grouping val="standard"/>
        <c:varyColors val="0"/>
        <c:ser>
          <c:idx val="1"/>
          <c:order val="1"/>
          <c:tx>
            <c:v>UTK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'2'!$B$9:$AF$9</c:f>
              <c:numCache>
                <c:formatCode>[hh]:mm</c:formatCode>
                <c:ptCount val="31"/>
                <c:pt idx="0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0.22916666666666666</c:v>
                </c:pt>
                <c:pt idx="7">
                  <c:v>0.25</c:v>
                </c:pt>
                <c:pt idx="8">
                  <c:v>0.27083333333333331</c:v>
                </c:pt>
                <c:pt idx="9">
                  <c:v>0.29166666666666669</c:v>
                </c:pt>
                <c:pt idx="10">
                  <c:v>0.3125</c:v>
                </c:pt>
                <c:pt idx="11">
                  <c:v>0.33333333333333331</c:v>
                </c:pt>
                <c:pt idx="12">
                  <c:v>0.375</c:v>
                </c:pt>
                <c:pt idx="13">
                  <c:v>0.41666666666666702</c:v>
                </c:pt>
                <c:pt idx="14">
                  <c:v>0.45833333333333298</c:v>
                </c:pt>
                <c:pt idx="15">
                  <c:v>0.5</c:v>
                </c:pt>
                <c:pt idx="16">
                  <c:v>0.54166666666666696</c:v>
                </c:pt>
                <c:pt idx="17">
                  <c:v>0.58333333333333304</c:v>
                </c:pt>
                <c:pt idx="18">
                  <c:v>0.625</c:v>
                </c:pt>
                <c:pt idx="19">
                  <c:v>0.66666666666666696</c:v>
                </c:pt>
                <c:pt idx="20">
                  <c:v>0.70833333333333304</c:v>
                </c:pt>
                <c:pt idx="21">
                  <c:v>0.72916666666666663</c:v>
                </c:pt>
                <c:pt idx="22">
                  <c:v>0.75</c:v>
                </c:pt>
                <c:pt idx="23">
                  <c:v>0.77083333333333337</c:v>
                </c:pt>
                <c:pt idx="24">
                  <c:v>0.79166666666666663</c:v>
                </c:pt>
                <c:pt idx="25">
                  <c:v>0.8125</c:v>
                </c:pt>
                <c:pt idx="26">
                  <c:v>0.83333333333333337</c:v>
                </c:pt>
                <c:pt idx="27">
                  <c:v>0.85416666666666663</c:v>
                </c:pt>
                <c:pt idx="28">
                  <c:v>0.875</c:v>
                </c:pt>
                <c:pt idx="29">
                  <c:v>0.91666666666666696</c:v>
                </c:pt>
                <c:pt idx="30">
                  <c:v>0.95833333333333304</c:v>
                </c:pt>
              </c:numCache>
            </c:numRef>
          </c:cat>
          <c:val>
            <c:numRef>
              <c:f>'2'!$B$132:$AF$132</c:f>
              <c:numCache>
                <c:formatCode>0.00</c:formatCode>
                <c:ptCount val="31"/>
                <c:pt idx="3">
                  <c:v>1985.11</c:v>
                </c:pt>
                <c:pt idx="4">
                  <c:v>1985.4</c:v>
                </c:pt>
                <c:pt idx="5">
                  <c:v>1985.64</c:v>
                </c:pt>
                <c:pt idx="7">
                  <c:v>1985.9</c:v>
                </c:pt>
                <c:pt idx="9">
                  <c:v>1986.12</c:v>
                </c:pt>
                <c:pt idx="11">
                  <c:v>1986</c:v>
                </c:pt>
                <c:pt idx="12">
                  <c:v>1985.25</c:v>
                </c:pt>
                <c:pt idx="13">
                  <c:v>1984.4</c:v>
                </c:pt>
                <c:pt idx="14">
                  <c:v>1983.71</c:v>
                </c:pt>
                <c:pt idx="15">
                  <c:v>1983.55</c:v>
                </c:pt>
                <c:pt idx="17">
                  <c:v>1983.85</c:v>
                </c:pt>
                <c:pt idx="18">
                  <c:v>1983.85</c:v>
                </c:pt>
                <c:pt idx="19">
                  <c:v>1984.02</c:v>
                </c:pt>
                <c:pt idx="20">
                  <c:v>1984.27</c:v>
                </c:pt>
                <c:pt idx="26">
                  <c:v>1982.5</c:v>
                </c:pt>
                <c:pt idx="29">
                  <c:v>1983.19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C3A-4193-BBB0-A125A259157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57628303"/>
        <c:axId val="183113243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'2'!$A$10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'2'!$B$9:$AF$9</c15:sqref>
                        </c15:formulaRef>
                      </c:ext>
                    </c:extLst>
                    <c:numCache>
                      <c:formatCode>[hh]:mm</c:formatCode>
                      <c:ptCount val="31"/>
                      <c:pt idx="0">
                        <c:v>0</c:v>
                      </c:pt>
                      <c:pt idx="1">
                        <c:v>4.1666666666666664E-2</c:v>
                      </c:pt>
                      <c:pt idx="2">
                        <c:v>8.3333333333333301E-2</c:v>
                      </c:pt>
                      <c:pt idx="3">
                        <c:v>0.125</c:v>
                      </c:pt>
                      <c:pt idx="4">
                        <c:v>0.16666666666666699</c:v>
                      </c:pt>
                      <c:pt idx="5">
                        <c:v>0.20833333333333301</c:v>
                      </c:pt>
                      <c:pt idx="6">
                        <c:v>0.22916666666666666</c:v>
                      </c:pt>
                      <c:pt idx="7">
                        <c:v>0.25</c:v>
                      </c:pt>
                      <c:pt idx="8">
                        <c:v>0.27083333333333331</c:v>
                      </c:pt>
                      <c:pt idx="9">
                        <c:v>0.29166666666666669</c:v>
                      </c:pt>
                      <c:pt idx="10">
                        <c:v>0.3125</c:v>
                      </c:pt>
                      <c:pt idx="11">
                        <c:v>0.33333333333333331</c:v>
                      </c:pt>
                      <c:pt idx="12">
                        <c:v>0.375</c:v>
                      </c:pt>
                      <c:pt idx="13">
                        <c:v>0.41666666666666702</c:v>
                      </c:pt>
                      <c:pt idx="14">
                        <c:v>0.45833333333333298</c:v>
                      </c:pt>
                      <c:pt idx="15">
                        <c:v>0.5</c:v>
                      </c:pt>
                      <c:pt idx="16">
                        <c:v>0.54166666666666696</c:v>
                      </c:pt>
                      <c:pt idx="17">
                        <c:v>0.58333333333333304</c:v>
                      </c:pt>
                      <c:pt idx="18">
                        <c:v>0.625</c:v>
                      </c:pt>
                      <c:pt idx="19">
                        <c:v>0.66666666666666696</c:v>
                      </c:pt>
                      <c:pt idx="20">
                        <c:v>0.70833333333333304</c:v>
                      </c:pt>
                      <c:pt idx="21">
                        <c:v>0.72916666666666663</c:v>
                      </c:pt>
                      <c:pt idx="22">
                        <c:v>0.75</c:v>
                      </c:pt>
                      <c:pt idx="23">
                        <c:v>0.77083333333333337</c:v>
                      </c:pt>
                      <c:pt idx="24">
                        <c:v>0.79166666666666663</c:v>
                      </c:pt>
                      <c:pt idx="25">
                        <c:v>0.8125</c:v>
                      </c:pt>
                      <c:pt idx="26">
                        <c:v>0.83333333333333337</c:v>
                      </c:pt>
                      <c:pt idx="27">
                        <c:v>0.85416666666666663</c:v>
                      </c:pt>
                      <c:pt idx="28">
                        <c:v>0.875</c:v>
                      </c:pt>
                      <c:pt idx="29">
                        <c:v>0.91666666666666696</c:v>
                      </c:pt>
                      <c:pt idx="30">
                        <c:v>0.95833333333333304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'2'!$B$10:$AF$10</c15:sqref>
                        </c15:formulaRef>
                      </c:ext>
                    </c:extLst>
                    <c:numCache>
                      <c:formatCode>[hh]:mm</c:formatCode>
                      <c:ptCount val="31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C3A-4193-BBB0-A125A259157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KGA</c:v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'2'!$B$9:$AF$9</c15:sqref>
                        </c15:formulaRef>
                      </c:ext>
                    </c:extLst>
                    <c:numCache>
                      <c:formatCode>[hh]:mm</c:formatCode>
                      <c:ptCount val="31"/>
                      <c:pt idx="0">
                        <c:v>0</c:v>
                      </c:pt>
                      <c:pt idx="1">
                        <c:v>4.1666666666666664E-2</c:v>
                      </c:pt>
                      <c:pt idx="2">
                        <c:v>8.3333333333333301E-2</c:v>
                      </c:pt>
                      <c:pt idx="3">
                        <c:v>0.125</c:v>
                      </c:pt>
                      <c:pt idx="4">
                        <c:v>0.16666666666666699</c:v>
                      </c:pt>
                      <c:pt idx="5">
                        <c:v>0.20833333333333301</c:v>
                      </c:pt>
                      <c:pt idx="6">
                        <c:v>0.22916666666666666</c:v>
                      </c:pt>
                      <c:pt idx="7">
                        <c:v>0.25</c:v>
                      </c:pt>
                      <c:pt idx="8">
                        <c:v>0.27083333333333331</c:v>
                      </c:pt>
                      <c:pt idx="9">
                        <c:v>0.29166666666666669</c:v>
                      </c:pt>
                      <c:pt idx="10">
                        <c:v>0.3125</c:v>
                      </c:pt>
                      <c:pt idx="11">
                        <c:v>0.33333333333333331</c:v>
                      </c:pt>
                      <c:pt idx="12">
                        <c:v>0.375</c:v>
                      </c:pt>
                      <c:pt idx="13">
                        <c:v>0.41666666666666702</c:v>
                      </c:pt>
                      <c:pt idx="14">
                        <c:v>0.45833333333333298</c:v>
                      </c:pt>
                      <c:pt idx="15">
                        <c:v>0.5</c:v>
                      </c:pt>
                      <c:pt idx="16">
                        <c:v>0.54166666666666696</c:v>
                      </c:pt>
                      <c:pt idx="17">
                        <c:v>0.58333333333333304</c:v>
                      </c:pt>
                      <c:pt idx="18">
                        <c:v>0.625</c:v>
                      </c:pt>
                      <c:pt idx="19">
                        <c:v>0.66666666666666696</c:v>
                      </c:pt>
                      <c:pt idx="20">
                        <c:v>0.70833333333333304</c:v>
                      </c:pt>
                      <c:pt idx="21">
                        <c:v>0.72916666666666663</c:v>
                      </c:pt>
                      <c:pt idx="22">
                        <c:v>0.75</c:v>
                      </c:pt>
                      <c:pt idx="23">
                        <c:v>0.77083333333333337</c:v>
                      </c:pt>
                      <c:pt idx="24">
                        <c:v>0.79166666666666663</c:v>
                      </c:pt>
                      <c:pt idx="25">
                        <c:v>0.8125</c:v>
                      </c:pt>
                      <c:pt idx="26">
                        <c:v>0.83333333333333337</c:v>
                      </c:pt>
                      <c:pt idx="27">
                        <c:v>0.85416666666666663</c:v>
                      </c:pt>
                      <c:pt idx="28">
                        <c:v>0.875</c:v>
                      </c:pt>
                      <c:pt idx="29">
                        <c:v>0.91666666666666696</c:v>
                      </c:pt>
                      <c:pt idx="30">
                        <c:v>0.95833333333333304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'2'!$B$133:$AF$133</c15:sqref>
                        </c15:formulaRef>
                      </c:ext>
                    </c:extLst>
                    <c:numCache>
                      <c:formatCode>0.00</c:formatCode>
                      <c:ptCount val="31"/>
                      <c:pt idx="3">
                        <c:v>522.78</c:v>
                      </c:pt>
                      <c:pt idx="4">
                        <c:v>523.16</c:v>
                      </c:pt>
                      <c:pt idx="5">
                        <c:v>523.5</c:v>
                      </c:pt>
                      <c:pt idx="7">
                        <c:v>523.72</c:v>
                      </c:pt>
                      <c:pt idx="9">
                        <c:v>523.66999999999996</c:v>
                      </c:pt>
                      <c:pt idx="11">
                        <c:v>523.07000000000005</c:v>
                      </c:pt>
                      <c:pt idx="12">
                        <c:v>522.9</c:v>
                      </c:pt>
                      <c:pt idx="13">
                        <c:v>522.69000000000005</c:v>
                      </c:pt>
                      <c:pt idx="14">
                        <c:v>522.46</c:v>
                      </c:pt>
                      <c:pt idx="15">
                        <c:v>522.02</c:v>
                      </c:pt>
                      <c:pt idx="17">
                        <c:v>521.08000000000004</c:v>
                      </c:pt>
                      <c:pt idx="18">
                        <c:v>521.08000000000004</c:v>
                      </c:pt>
                      <c:pt idx="19">
                        <c:v>521.08000000000004</c:v>
                      </c:pt>
                      <c:pt idx="20">
                        <c:v>522.97</c:v>
                      </c:pt>
                      <c:pt idx="26">
                        <c:v>519.34</c:v>
                      </c:pt>
                      <c:pt idx="29">
                        <c:v>519.20000000000005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C3A-4193-BBB0-A125A259157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MMRS</c:v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'2'!$B$9:$AF$9</c15:sqref>
                        </c15:formulaRef>
                      </c:ext>
                    </c:extLst>
                    <c:numCache>
                      <c:formatCode>[hh]:mm</c:formatCode>
                      <c:ptCount val="31"/>
                      <c:pt idx="0">
                        <c:v>0</c:v>
                      </c:pt>
                      <c:pt idx="1">
                        <c:v>4.1666666666666664E-2</c:v>
                      </c:pt>
                      <c:pt idx="2">
                        <c:v>8.3333333333333301E-2</c:v>
                      </c:pt>
                      <c:pt idx="3">
                        <c:v>0.125</c:v>
                      </c:pt>
                      <c:pt idx="4">
                        <c:v>0.16666666666666699</c:v>
                      </c:pt>
                      <c:pt idx="5">
                        <c:v>0.20833333333333301</c:v>
                      </c:pt>
                      <c:pt idx="6">
                        <c:v>0.22916666666666666</c:v>
                      </c:pt>
                      <c:pt idx="7">
                        <c:v>0.25</c:v>
                      </c:pt>
                      <c:pt idx="8">
                        <c:v>0.27083333333333331</c:v>
                      </c:pt>
                      <c:pt idx="9">
                        <c:v>0.29166666666666669</c:v>
                      </c:pt>
                      <c:pt idx="10">
                        <c:v>0.3125</c:v>
                      </c:pt>
                      <c:pt idx="11">
                        <c:v>0.33333333333333331</c:v>
                      </c:pt>
                      <c:pt idx="12">
                        <c:v>0.375</c:v>
                      </c:pt>
                      <c:pt idx="13">
                        <c:v>0.41666666666666702</c:v>
                      </c:pt>
                      <c:pt idx="14">
                        <c:v>0.45833333333333298</c:v>
                      </c:pt>
                      <c:pt idx="15">
                        <c:v>0.5</c:v>
                      </c:pt>
                      <c:pt idx="16">
                        <c:v>0.54166666666666696</c:v>
                      </c:pt>
                      <c:pt idx="17">
                        <c:v>0.58333333333333304</c:v>
                      </c:pt>
                      <c:pt idx="18">
                        <c:v>0.625</c:v>
                      </c:pt>
                      <c:pt idx="19">
                        <c:v>0.66666666666666696</c:v>
                      </c:pt>
                      <c:pt idx="20">
                        <c:v>0.70833333333333304</c:v>
                      </c:pt>
                      <c:pt idx="21">
                        <c:v>0.72916666666666663</c:v>
                      </c:pt>
                      <c:pt idx="22">
                        <c:v>0.75</c:v>
                      </c:pt>
                      <c:pt idx="23">
                        <c:v>0.77083333333333337</c:v>
                      </c:pt>
                      <c:pt idx="24">
                        <c:v>0.79166666666666663</c:v>
                      </c:pt>
                      <c:pt idx="25">
                        <c:v>0.8125</c:v>
                      </c:pt>
                      <c:pt idx="26">
                        <c:v>0.83333333333333337</c:v>
                      </c:pt>
                      <c:pt idx="27">
                        <c:v>0.85416666666666663</c:v>
                      </c:pt>
                      <c:pt idx="28">
                        <c:v>0.875</c:v>
                      </c:pt>
                      <c:pt idx="29">
                        <c:v>0.91666666666666696</c:v>
                      </c:pt>
                      <c:pt idx="30">
                        <c:v>0.95833333333333304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'2'!$B$134:$AF$134</c15:sqref>
                        </c15:formulaRef>
                      </c:ext>
                    </c:extLst>
                    <c:numCache>
                      <c:formatCode>0.00</c:formatCode>
                      <c:ptCount val="31"/>
                      <c:pt idx="3">
                        <c:v>625.07000000000005</c:v>
                      </c:pt>
                      <c:pt idx="4">
                        <c:v>625.29</c:v>
                      </c:pt>
                      <c:pt idx="5">
                        <c:v>625.65</c:v>
                      </c:pt>
                      <c:pt idx="7">
                        <c:v>625.74</c:v>
                      </c:pt>
                      <c:pt idx="9">
                        <c:v>625.66</c:v>
                      </c:pt>
                      <c:pt idx="11">
                        <c:v>625.15</c:v>
                      </c:pt>
                      <c:pt idx="12">
                        <c:v>624.97</c:v>
                      </c:pt>
                      <c:pt idx="13">
                        <c:v>624.70000000000005</c:v>
                      </c:pt>
                      <c:pt idx="14">
                        <c:v>624.47</c:v>
                      </c:pt>
                      <c:pt idx="15">
                        <c:v>624.15</c:v>
                      </c:pt>
                      <c:pt idx="17">
                        <c:v>623.35</c:v>
                      </c:pt>
                      <c:pt idx="18">
                        <c:v>623.35</c:v>
                      </c:pt>
                      <c:pt idx="19">
                        <c:v>623.35</c:v>
                      </c:pt>
                      <c:pt idx="20">
                        <c:v>623.35</c:v>
                      </c:pt>
                      <c:pt idx="26">
                        <c:v>622.46</c:v>
                      </c:pt>
                      <c:pt idx="29">
                        <c:v>622.16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C3A-4193-BBB0-A125A259157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MRS</c:v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'2'!$B$9:$AF$9</c15:sqref>
                        </c15:formulaRef>
                      </c:ext>
                    </c:extLst>
                    <c:numCache>
                      <c:formatCode>[hh]:mm</c:formatCode>
                      <c:ptCount val="31"/>
                      <c:pt idx="0">
                        <c:v>0</c:v>
                      </c:pt>
                      <c:pt idx="1">
                        <c:v>4.1666666666666664E-2</c:v>
                      </c:pt>
                      <c:pt idx="2">
                        <c:v>8.3333333333333301E-2</c:v>
                      </c:pt>
                      <c:pt idx="3">
                        <c:v>0.125</c:v>
                      </c:pt>
                      <c:pt idx="4">
                        <c:v>0.16666666666666699</c:v>
                      </c:pt>
                      <c:pt idx="5">
                        <c:v>0.20833333333333301</c:v>
                      </c:pt>
                      <c:pt idx="6">
                        <c:v>0.22916666666666666</c:v>
                      </c:pt>
                      <c:pt idx="7">
                        <c:v>0.25</c:v>
                      </c:pt>
                      <c:pt idx="8">
                        <c:v>0.27083333333333331</c:v>
                      </c:pt>
                      <c:pt idx="9">
                        <c:v>0.29166666666666669</c:v>
                      </c:pt>
                      <c:pt idx="10">
                        <c:v>0.3125</c:v>
                      </c:pt>
                      <c:pt idx="11">
                        <c:v>0.33333333333333331</c:v>
                      </c:pt>
                      <c:pt idx="12">
                        <c:v>0.375</c:v>
                      </c:pt>
                      <c:pt idx="13">
                        <c:v>0.41666666666666702</c:v>
                      </c:pt>
                      <c:pt idx="14">
                        <c:v>0.45833333333333298</c:v>
                      </c:pt>
                      <c:pt idx="15">
                        <c:v>0.5</c:v>
                      </c:pt>
                      <c:pt idx="16">
                        <c:v>0.54166666666666696</c:v>
                      </c:pt>
                      <c:pt idx="17">
                        <c:v>0.58333333333333304</c:v>
                      </c:pt>
                      <c:pt idx="18">
                        <c:v>0.625</c:v>
                      </c:pt>
                      <c:pt idx="19">
                        <c:v>0.66666666666666696</c:v>
                      </c:pt>
                      <c:pt idx="20">
                        <c:v>0.70833333333333304</c:v>
                      </c:pt>
                      <c:pt idx="21">
                        <c:v>0.72916666666666663</c:v>
                      </c:pt>
                      <c:pt idx="22">
                        <c:v>0.75</c:v>
                      </c:pt>
                      <c:pt idx="23">
                        <c:v>0.77083333333333337</c:v>
                      </c:pt>
                      <c:pt idx="24">
                        <c:v>0.79166666666666663</c:v>
                      </c:pt>
                      <c:pt idx="25">
                        <c:v>0.8125</c:v>
                      </c:pt>
                      <c:pt idx="26">
                        <c:v>0.83333333333333337</c:v>
                      </c:pt>
                      <c:pt idx="27">
                        <c:v>0.85416666666666663</c:v>
                      </c:pt>
                      <c:pt idx="28">
                        <c:v>0.875</c:v>
                      </c:pt>
                      <c:pt idx="29">
                        <c:v>0.91666666666666696</c:v>
                      </c:pt>
                      <c:pt idx="30">
                        <c:v>0.95833333333333304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'2'!$B$135:$AF$135</c15:sqref>
                        </c15:formulaRef>
                      </c:ext>
                    </c:extLst>
                    <c:numCache>
                      <c:formatCode>0.00</c:formatCode>
                      <c:ptCount val="31"/>
                      <c:pt idx="0">
                        <c:v>335.18</c:v>
                      </c:pt>
                      <c:pt idx="3">
                        <c:v>336.67</c:v>
                      </c:pt>
                      <c:pt idx="4">
                        <c:v>336.96</c:v>
                      </c:pt>
                      <c:pt idx="5">
                        <c:v>337.18</c:v>
                      </c:pt>
                      <c:pt idx="7">
                        <c:v>337.37</c:v>
                      </c:pt>
                      <c:pt idx="9">
                        <c:v>337.18</c:v>
                      </c:pt>
                      <c:pt idx="11">
                        <c:v>336.76</c:v>
                      </c:pt>
                      <c:pt idx="12">
                        <c:v>336.21</c:v>
                      </c:pt>
                      <c:pt idx="13">
                        <c:v>335.75</c:v>
                      </c:pt>
                      <c:pt idx="14">
                        <c:v>335.36</c:v>
                      </c:pt>
                      <c:pt idx="15">
                        <c:v>334.72</c:v>
                      </c:pt>
                      <c:pt idx="17">
                        <c:v>334.86</c:v>
                      </c:pt>
                      <c:pt idx="18">
                        <c:v>334.86</c:v>
                      </c:pt>
                      <c:pt idx="19">
                        <c:v>334.86</c:v>
                      </c:pt>
                      <c:pt idx="20">
                        <c:v>334.86</c:v>
                      </c:pt>
                      <c:pt idx="26">
                        <c:v>335.82</c:v>
                      </c:pt>
                      <c:pt idx="29">
                        <c:v>335.6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C3A-4193-BBB0-A125A259157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CHM</c:v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'2'!$B$9:$AF$9</c15:sqref>
                        </c15:formulaRef>
                      </c:ext>
                    </c:extLst>
                    <c:numCache>
                      <c:formatCode>[hh]:mm</c:formatCode>
                      <c:ptCount val="31"/>
                      <c:pt idx="0">
                        <c:v>0</c:v>
                      </c:pt>
                      <c:pt idx="1">
                        <c:v>4.1666666666666664E-2</c:v>
                      </c:pt>
                      <c:pt idx="2">
                        <c:v>8.3333333333333301E-2</c:v>
                      </c:pt>
                      <c:pt idx="3">
                        <c:v>0.125</c:v>
                      </c:pt>
                      <c:pt idx="4">
                        <c:v>0.16666666666666699</c:v>
                      </c:pt>
                      <c:pt idx="5">
                        <c:v>0.20833333333333301</c:v>
                      </c:pt>
                      <c:pt idx="6">
                        <c:v>0.22916666666666666</c:v>
                      </c:pt>
                      <c:pt idx="7">
                        <c:v>0.25</c:v>
                      </c:pt>
                      <c:pt idx="8">
                        <c:v>0.27083333333333331</c:v>
                      </c:pt>
                      <c:pt idx="9">
                        <c:v>0.29166666666666669</c:v>
                      </c:pt>
                      <c:pt idx="10">
                        <c:v>0.3125</c:v>
                      </c:pt>
                      <c:pt idx="11">
                        <c:v>0.33333333333333331</c:v>
                      </c:pt>
                      <c:pt idx="12">
                        <c:v>0.375</c:v>
                      </c:pt>
                      <c:pt idx="13">
                        <c:v>0.41666666666666702</c:v>
                      </c:pt>
                      <c:pt idx="14">
                        <c:v>0.45833333333333298</c:v>
                      </c:pt>
                      <c:pt idx="15">
                        <c:v>0.5</c:v>
                      </c:pt>
                      <c:pt idx="16">
                        <c:v>0.54166666666666696</c:v>
                      </c:pt>
                      <c:pt idx="17">
                        <c:v>0.58333333333333304</c:v>
                      </c:pt>
                      <c:pt idx="18">
                        <c:v>0.625</c:v>
                      </c:pt>
                      <c:pt idx="19">
                        <c:v>0.66666666666666696</c:v>
                      </c:pt>
                      <c:pt idx="20">
                        <c:v>0.70833333333333304</c:v>
                      </c:pt>
                      <c:pt idx="21">
                        <c:v>0.72916666666666663</c:v>
                      </c:pt>
                      <c:pt idx="22">
                        <c:v>0.75</c:v>
                      </c:pt>
                      <c:pt idx="23">
                        <c:v>0.77083333333333337</c:v>
                      </c:pt>
                      <c:pt idx="24">
                        <c:v>0.79166666666666663</c:v>
                      </c:pt>
                      <c:pt idx="25">
                        <c:v>0.8125</c:v>
                      </c:pt>
                      <c:pt idx="26">
                        <c:v>0.83333333333333337</c:v>
                      </c:pt>
                      <c:pt idx="27">
                        <c:v>0.85416666666666663</c:v>
                      </c:pt>
                      <c:pt idx="28">
                        <c:v>0.875</c:v>
                      </c:pt>
                      <c:pt idx="29">
                        <c:v>0.91666666666666696</c:v>
                      </c:pt>
                      <c:pt idx="30">
                        <c:v>0.95833333333333304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'2'!$B$136:$AF$136</c15:sqref>
                        </c15:formulaRef>
                      </c:ext>
                    </c:extLst>
                    <c:numCache>
                      <c:formatCode>0.00</c:formatCode>
                      <c:ptCount val="31"/>
                      <c:pt idx="5">
                        <c:v>887.1</c:v>
                      </c:pt>
                      <c:pt idx="7">
                        <c:v>887.3</c:v>
                      </c:pt>
                      <c:pt idx="11">
                        <c:v>886.5</c:v>
                      </c:pt>
                      <c:pt idx="12">
                        <c:v>885.3</c:v>
                      </c:pt>
                      <c:pt idx="13">
                        <c:v>884.1</c:v>
                      </c:pt>
                      <c:pt idx="14">
                        <c:v>883.6</c:v>
                      </c:pt>
                      <c:pt idx="15">
                        <c:v>883.6</c:v>
                      </c:pt>
                      <c:pt idx="17">
                        <c:v>884.2</c:v>
                      </c:pt>
                      <c:pt idx="18">
                        <c:v>884.2</c:v>
                      </c:pt>
                      <c:pt idx="19">
                        <c:v>884.2</c:v>
                      </c:pt>
                      <c:pt idx="20">
                        <c:v>884.2</c:v>
                      </c:pt>
                      <c:pt idx="26">
                        <c:v>882.7</c:v>
                      </c:pt>
                      <c:pt idx="29">
                        <c:v>882.6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C3A-4193-BBB0-A125A259157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KL1</c:v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eparator> </c:separator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'2'!$B$9:$AF$9</c15:sqref>
                        </c15:formulaRef>
                      </c:ext>
                    </c:extLst>
                    <c:numCache>
                      <c:formatCode>[hh]:mm</c:formatCode>
                      <c:ptCount val="31"/>
                      <c:pt idx="0">
                        <c:v>0</c:v>
                      </c:pt>
                      <c:pt idx="1">
                        <c:v>4.1666666666666664E-2</c:v>
                      </c:pt>
                      <c:pt idx="2">
                        <c:v>8.3333333333333301E-2</c:v>
                      </c:pt>
                      <c:pt idx="3">
                        <c:v>0.125</c:v>
                      </c:pt>
                      <c:pt idx="4">
                        <c:v>0.16666666666666699</c:v>
                      </c:pt>
                      <c:pt idx="5">
                        <c:v>0.20833333333333301</c:v>
                      </c:pt>
                      <c:pt idx="6">
                        <c:v>0.22916666666666666</c:v>
                      </c:pt>
                      <c:pt idx="7">
                        <c:v>0.25</c:v>
                      </c:pt>
                      <c:pt idx="8">
                        <c:v>0.27083333333333331</c:v>
                      </c:pt>
                      <c:pt idx="9">
                        <c:v>0.29166666666666669</c:v>
                      </c:pt>
                      <c:pt idx="10">
                        <c:v>0.3125</c:v>
                      </c:pt>
                      <c:pt idx="11">
                        <c:v>0.33333333333333331</c:v>
                      </c:pt>
                      <c:pt idx="12">
                        <c:v>0.375</c:v>
                      </c:pt>
                      <c:pt idx="13">
                        <c:v>0.41666666666666702</c:v>
                      </c:pt>
                      <c:pt idx="14">
                        <c:v>0.45833333333333298</c:v>
                      </c:pt>
                      <c:pt idx="15">
                        <c:v>0.5</c:v>
                      </c:pt>
                      <c:pt idx="16">
                        <c:v>0.54166666666666696</c:v>
                      </c:pt>
                      <c:pt idx="17">
                        <c:v>0.58333333333333304</c:v>
                      </c:pt>
                      <c:pt idx="18">
                        <c:v>0.625</c:v>
                      </c:pt>
                      <c:pt idx="19">
                        <c:v>0.66666666666666696</c:v>
                      </c:pt>
                      <c:pt idx="20">
                        <c:v>0.70833333333333304</c:v>
                      </c:pt>
                      <c:pt idx="21">
                        <c:v>0.72916666666666663</c:v>
                      </c:pt>
                      <c:pt idx="22">
                        <c:v>0.75</c:v>
                      </c:pt>
                      <c:pt idx="23">
                        <c:v>0.77083333333333337</c:v>
                      </c:pt>
                      <c:pt idx="24">
                        <c:v>0.79166666666666663</c:v>
                      </c:pt>
                      <c:pt idx="25">
                        <c:v>0.8125</c:v>
                      </c:pt>
                      <c:pt idx="26">
                        <c:v>0.83333333333333337</c:v>
                      </c:pt>
                      <c:pt idx="27">
                        <c:v>0.85416666666666663</c:v>
                      </c:pt>
                      <c:pt idx="28">
                        <c:v>0.875</c:v>
                      </c:pt>
                      <c:pt idx="29">
                        <c:v>0.91666666666666696</c:v>
                      </c:pt>
                      <c:pt idx="30">
                        <c:v>0.95833333333333304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'2'!$B$137:$AF$137</c15:sqref>
                        </c15:formulaRef>
                      </c:ext>
                    </c:extLst>
                    <c:numCache>
                      <c:formatCode>0.00</c:formatCode>
                      <c:ptCount val="31"/>
                      <c:pt idx="6">
                        <c:v>1522.11</c:v>
                      </c:pt>
                      <c:pt idx="11">
                        <c:v>1522.11</c:v>
                      </c:pt>
                      <c:pt idx="12">
                        <c:v>1522.11</c:v>
                      </c:pt>
                      <c:pt idx="13">
                        <c:v>1522.11</c:v>
                      </c:pt>
                      <c:pt idx="14">
                        <c:v>1522.11</c:v>
                      </c:pt>
                      <c:pt idx="15">
                        <c:v>1522.11</c:v>
                      </c:pt>
                      <c:pt idx="17">
                        <c:v>1522.12</c:v>
                      </c:pt>
                      <c:pt idx="18">
                        <c:v>1522.12</c:v>
                      </c:pt>
                      <c:pt idx="19">
                        <c:v>1522.12</c:v>
                      </c:pt>
                      <c:pt idx="20">
                        <c:v>1522.12</c:v>
                      </c:pt>
                      <c:pt idx="26">
                        <c:v>1522.01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C3A-4193-BBB0-A125A2591570}"/>
                  </c:ext>
                </c:extLst>
              </c15:ser>
            </c15:filteredLineSeries>
          </c:ext>
        </c:extLst>
      </c:lineChart>
      <c:catAx>
        <c:axId val="1157628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hh]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132431"/>
        <c:crosses val="autoZero"/>
        <c:auto val="1"/>
        <c:lblAlgn val="ctr"/>
        <c:lblOffset val="100"/>
        <c:noMultiLvlLbl val="0"/>
      </c:catAx>
      <c:valAx>
        <c:axId val="1831132431"/>
        <c:scaling>
          <c:orientation val="minMax"/>
          <c:max val="1987"/>
          <c:min val="198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628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4693336444120595E-2"/>
          <c:y val="0.12986952474850072"/>
          <c:w val="0.89480692951077934"/>
          <c:h val="0.7891825528639268"/>
        </c:manualLayout>
      </c:layout>
      <c:lineChart>
        <c:grouping val="standard"/>
        <c:varyColors val="0"/>
        <c:ser>
          <c:idx val="2"/>
          <c:order val="2"/>
          <c:tx>
            <c:v>KGA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'2'!$B$9:$AF$9</c:f>
              <c:numCache>
                <c:formatCode>[hh]:mm</c:formatCode>
                <c:ptCount val="31"/>
                <c:pt idx="0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0.22916666666666666</c:v>
                </c:pt>
                <c:pt idx="7">
                  <c:v>0.25</c:v>
                </c:pt>
                <c:pt idx="8">
                  <c:v>0.27083333333333331</c:v>
                </c:pt>
                <c:pt idx="9">
                  <c:v>0.29166666666666669</c:v>
                </c:pt>
                <c:pt idx="10">
                  <c:v>0.3125</c:v>
                </c:pt>
                <c:pt idx="11">
                  <c:v>0.33333333333333331</c:v>
                </c:pt>
                <c:pt idx="12">
                  <c:v>0.375</c:v>
                </c:pt>
                <c:pt idx="13">
                  <c:v>0.41666666666666702</c:v>
                </c:pt>
                <c:pt idx="14">
                  <c:v>0.45833333333333298</c:v>
                </c:pt>
                <c:pt idx="15">
                  <c:v>0.5</c:v>
                </c:pt>
                <c:pt idx="16">
                  <c:v>0.54166666666666696</c:v>
                </c:pt>
                <c:pt idx="17">
                  <c:v>0.58333333333333304</c:v>
                </c:pt>
                <c:pt idx="18">
                  <c:v>0.625</c:v>
                </c:pt>
                <c:pt idx="19">
                  <c:v>0.66666666666666696</c:v>
                </c:pt>
                <c:pt idx="20">
                  <c:v>0.70833333333333304</c:v>
                </c:pt>
                <c:pt idx="21">
                  <c:v>0.72916666666666663</c:v>
                </c:pt>
                <c:pt idx="22">
                  <c:v>0.75</c:v>
                </c:pt>
                <c:pt idx="23">
                  <c:v>0.77083333333333337</c:v>
                </c:pt>
                <c:pt idx="24">
                  <c:v>0.79166666666666663</c:v>
                </c:pt>
                <c:pt idx="25">
                  <c:v>0.8125</c:v>
                </c:pt>
                <c:pt idx="26">
                  <c:v>0.83333333333333337</c:v>
                </c:pt>
                <c:pt idx="27">
                  <c:v>0.85416666666666663</c:v>
                </c:pt>
                <c:pt idx="28">
                  <c:v>0.875</c:v>
                </c:pt>
                <c:pt idx="29">
                  <c:v>0.91666666666666696</c:v>
                </c:pt>
                <c:pt idx="30">
                  <c:v>0.95833333333333304</c:v>
                </c:pt>
              </c:numCache>
            </c:numRef>
          </c:cat>
          <c:val>
            <c:numRef>
              <c:f>'2'!$B$133:$AF$133</c:f>
              <c:numCache>
                <c:formatCode>0.00</c:formatCode>
                <c:ptCount val="31"/>
                <c:pt idx="3">
                  <c:v>522.78</c:v>
                </c:pt>
                <c:pt idx="4">
                  <c:v>523.16</c:v>
                </c:pt>
                <c:pt idx="5">
                  <c:v>523.5</c:v>
                </c:pt>
                <c:pt idx="7">
                  <c:v>523.72</c:v>
                </c:pt>
                <c:pt idx="9">
                  <c:v>523.66999999999996</c:v>
                </c:pt>
                <c:pt idx="11">
                  <c:v>523.07000000000005</c:v>
                </c:pt>
                <c:pt idx="12">
                  <c:v>522.9</c:v>
                </c:pt>
                <c:pt idx="13">
                  <c:v>522.69000000000005</c:v>
                </c:pt>
                <c:pt idx="14">
                  <c:v>522.46</c:v>
                </c:pt>
                <c:pt idx="15">
                  <c:v>522.02</c:v>
                </c:pt>
                <c:pt idx="17">
                  <c:v>521.08000000000004</c:v>
                </c:pt>
                <c:pt idx="18">
                  <c:v>521.08000000000004</c:v>
                </c:pt>
                <c:pt idx="19">
                  <c:v>521.08000000000004</c:v>
                </c:pt>
                <c:pt idx="20">
                  <c:v>522.97</c:v>
                </c:pt>
                <c:pt idx="26">
                  <c:v>519.34</c:v>
                </c:pt>
                <c:pt idx="29">
                  <c:v>519.20000000000005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74-47AE-8D03-A3B59BE545A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57628303"/>
        <c:axId val="183113243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'2'!$A$10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'2'!$B$9:$AF$9</c15:sqref>
                        </c15:formulaRef>
                      </c:ext>
                    </c:extLst>
                    <c:numCache>
                      <c:formatCode>[hh]:mm</c:formatCode>
                      <c:ptCount val="31"/>
                      <c:pt idx="0">
                        <c:v>0</c:v>
                      </c:pt>
                      <c:pt idx="1">
                        <c:v>4.1666666666666664E-2</c:v>
                      </c:pt>
                      <c:pt idx="2">
                        <c:v>8.3333333333333301E-2</c:v>
                      </c:pt>
                      <c:pt idx="3">
                        <c:v>0.125</c:v>
                      </c:pt>
                      <c:pt idx="4">
                        <c:v>0.16666666666666699</c:v>
                      </c:pt>
                      <c:pt idx="5">
                        <c:v>0.20833333333333301</c:v>
                      </c:pt>
                      <c:pt idx="6">
                        <c:v>0.22916666666666666</c:v>
                      </c:pt>
                      <c:pt idx="7">
                        <c:v>0.25</c:v>
                      </c:pt>
                      <c:pt idx="8">
                        <c:v>0.27083333333333331</c:v>
                      </c:pt>
                      <c:pt idx="9">
                        <c:v>0.29166666666666669</c:v>
                      </c:pt>
                      <c:pt idx="10">
                        <c:v>0.3125</c:v>
                      </c:pt>
                      <c:pt idx="11">
                        <c:v>0.33333333333333331</c:v>
                      </c:pt>
                      <c:pt idx="12">
                        <c:v>0.375</c:v>
                      </c:pt>
                      <c:pt idx="13">
                        <c:v>0.41666666666666702</c:v>
                      </c:pt>
                      <c:pt idx="14">
                        <c:v>0.45833333333333298</c:v>
                      </c:pt>
                      <c:pt idx="15">
                        <c:v>0.5</c:v>
                      </c:pt>
                      <c:pt idx="16">
                        <c:v>0.54166666666666696</c:v>
                      </c:pt>
                      <c:pt idx="17">
                        <c:v>0.58333333333333304</c:v>
                      </c:pt>
                      <c:pt idx="18">
                        <c:v>0.625</c:v>
                      </c:pt>
                      <c:pt idx="19">
                        <c:v>0.66666666666666696</c:v>
                      </c:pt>
                      <c:pt idx="20">
                        <c:v>0.70833333333333304</c:v>
                      </c:pt>
                      <c:pt idx="21">
                        <c:v>0.72916666666666663</c:v>
                      </c:pt>
                      <c:pt idx="22">
                        <c:v>0.75</c:v>
                      </c:pt>
                      <c:pt idx="23">
                        <c:v>0.77083333333333337</c:v>
                      </c:pt>
                      <c:pt idx="24">
                        <c:v>0.79166666666666663</c:v>
                      </c:pt>
                      <c:pt idx="25">
                        <c:v>0.8125</c:v>
                      </c:pt>
                      <c:pt idx="26">
                        <c:v>0.83333333333333337</c:v>
                      </c:pt>
                      <c:pt idx="27">
                        <c:v>0.85416666666666663</c:v>
                      </c:pt>
                      <c:pt idx="28">
                        <c:v>0.875</c:v>
                      </c:pt>
                      <c:pt idx="29">
                        <c:v>0.91666666666666696</c:v>
                      </c:pt>
                      <c:pt idx="30">
                        <c:v>0.95833333333333304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'2'!$B$10:$AF$10</c15:sqref>
                        </c15:formulaRef>
                      </c:ext>
                    </c:extLst>
                    <c:numCache>
                      <c:formatCode>[hh]:mm</c:formatCode>
                      <c:ptCount val="31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1474-47AE-8D03-A3B59BE545A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v>UTK</c:v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'2'!$B$9:$AF$9</c15:sqref>
                        </c15:formulaRef>
                      </c:ext>
                    </c:extLst>
                    <c:numCache>
                      <c:formatCode>[hh]:mm</c:formatCode>
                      <c:ptCount val="31"/>
                      <c:pt idx="0">
                        <c:v>0</c:v>
                      </c:pt>
                      <c:pt idx="1">
                        <c:v>4.1666666666666664E-2</c:v>
                      </c:pt>
                      <c:pt idx="2">
                        <c:v>8.3333333333333301E-2</c:v>
                      </c:pt>
                      <c:pt idx="3">
                        <c:v>0.125</c:v>
                      </c:pt>
                      <c:pt idx="4">
                        <c:v>0.16666666666666699</c:v>
                      </c:pt>
                      <c:pt idx="5">
                        <c:v>0.20833333333333301</c:v>
                      </c:pt>
                      <c:pt idx="6">
                        <c:v>0.22916666666666666</c:v>
                      </c:pt>
                      <c:pt idx="7">
                        <c:v>0.25</c:v>
                      </c:pt>
                      <c:pt idx="8">
                        <c:v>0.27083333333333331</c:v>
                      </c:pt>
                      <c:pt idx="9">
                        <c:v>0.29166666666666669</c:v>
                      </c:pt>
                      <c:pt idx="10">
                        <c:v>0.3125</c:v>
                      </c:pt>
                      <c:pt idx="11">
                        <c:v>0.33333333333333331</c:v>
                      </c:pt>
                      <c:pt idx="12">
                        <c:v>0.375</c:v>
                      </c:pt>
                      <c:pt idx="13">
                        <c:v>0.41666666666666702</c:v>
                      </c:pt>
                      <c:pt idx="14">
                        <c:v>0.45833333333333298</c:v>
                      </c:pt>
                      <c:pt idx="15">
                        <c:v>0.5</c:v>
                      </c:pt>
                      <c:pt idx="16">
                        <c:v>0.54166666666666696</c:v>
                      </c:pt>
                      <c:pt idx="17">
                        <c:v>0.58333333333333304</c:v>
                      </c:pt>
                      <c:pt idx="18">
                        <c:v>0.625</c:v>
                      </c:pt>
                      <c:pt idx="19">
                        <c:v>0.66666666666666696</c:v>
                      </c:pt>
                      <c:pt idx="20">
                        <c:v>0.70833333333333304</c:v>
                      </c:pt>
                      <c:pt idx="21">
                        <c:v>0.72916666666666663</c:v>
                      </c:pt>
                      <c:pt idx="22">
                        <c:v>0.75</c:v>
                      </c:pt>
                      <c:pt idx="23">
                        <c:v>0.77083333333333337</c:v>
                      </c:pt>
                      <c:pt idx="24">
                        <c:v>0.79166666666666663</c:v>
                      </c:pt>
                      <c:pt idx="25">
                        <c:v>0.8125</c:v>
                      </c:pt>
                      <c:pt idx="26">
                        <c:v>0.83333333333333337</c:v>
                      </c:pt>
                      <c:pt idx="27">
                        <c:v>0.85416666666666663</c:v>
                      </c:pt>
                      <c:pt idx="28">
                        <c:v>0.875</c:v>
                      </c:pt>
                      <c:pt idx="29">
                        <c:v>0.91666666666666696</c:v>
                      </c:pt>
                      <c:pt idx="30">
                        <c:v>0.95833333333333304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'2'!$B$132:$AF$132</c15:sqref>
                        </c15:formulaRef>
                      </c:ext>
                    </c:extLst>
                    <c:numCache>
                      <c:formatCode>0.00</c:formatCode>
                      <c:ptCount val="31"/>
                      <c:pt idx="3">
                        <c:v>1985.11</c:v>
                      </c:pt>
                      <c:pt idx="4">
                        <c:v>1985.4</c:v>
                      </c:pt>
                      <c:pt idx="5">
                        <c:v>1985.64</c:v>
                      </c:pt>
                      <c:pt idx="7">
                        <c:v>1985.9</c:v>
                      </c:pt>
                      <c:pt idx="9">
                        <c:v>1986.12</c:v>
                      </c:pt>
                      <c:pt idx="11">
                        <c:v>1986</c:v>
                      </c:pt>
                      <c:pt idx="12">
                        <c:v>1985.25</c:v>
                      </c:pt>
                      <c:pt idx="13">
                        <c:v>1984.4</c:v>
                      </c:pt>
                      <c:pt idx="14">
                        <c:v>1983.71</c:v>
                      </c:pt>
                      <c:pt idx="15">
                        <c:v>1983.55</c:v>
                      </c:pt>
                      <c:pt idx="17">
                        <c:v>1983.85</c:v>
                      </c:pt>
                      <c:pt idx="18">
                        <c:v>1983.85</c:v>
                      </c:pt>
                      <c:pt idx="19">
                        <c:v>1984.02</c:v>
                      </c:pt>
                      <c:pt idx="20">
                        <c:v>1984.27</c:v>
                      </c:pt>
                      <c:pt idx="26">
                        <c:v>1982.5</c:v>
                      </c:pt>
                      <c:pt idx="29">
                        <c:v>1983.19</c:v>
                      </c:pt>
                    </c:numCache>
                  </c:numRef>
                </c: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1474-47AE-8D03-A3B59BE545A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MMRS</c:v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'2'!$B$9:$AF$9</c15:sqref>
                        </c15:formulaRef>
                      </c:ext>
                    </c:extLst>
                    <c:numCache>
                      <c:formatCode>[hh]:mm</c:formatCode>
                      <c:ptCount val="31"/>
                      <c:pt idx="0">
                        <c:v>0</c:v>
                      </c:pt>
                      <c:pt idx="1">
                        <c:v>4.1666666666666664E-2</c:v>
                      </c:pt>
                      <c:pt idx="2">
                        <c:v>8.3333333333333301E-2</c:v>
                      </c:pt>
                      <c:pt idx="3">
                        <c:v>0.125</c:v>
                      </c:pt>
                      <c:pt idx="4">
                        <c:v>0.16666666666666699</c:v>
                      </c:pt>
                      <c:pt idx="5">
                        <c:v>0.20833333333333301</c:v>
                      </c:pt>
                      <c:pt idx="6">
                        <c:v>0.22916666666666666</c:v>
                      </c:pt>
                      <c:pt idx="7">
                        <c:v>0.25</c:v>
                      </c:pt>
                      <c:pt idx="8">
                        <c:v>0.27083333333333331</c:v>
                      </c:pt>
                      <c:pt idx="9">
                        <c:v>0.29166666666666669</c:v>
                      </c:pt>
                      <c:pt idx="10">
                        <c:v>0.3125</c:v>
                      </c:pt>
                      <c:pt idx="11">
                        <c:v>0.33333333333333331</c:v>
                      </c:pt>
                      <c:pt idx="12">
                        <c:v>0.375</c:v>
                      </c:pt>
                      <c:pt idx="13">
                        <c:v>0.41666666666666702</c:v>
                      </c:pt>
                      <c:pt idx="14">
                        <c:v>0.45833333333333298</c:v>
                      </c:pt>
                      <c:pt idx="15">
                        <c:v>0.5</c:v>
                      </c:pt>
                      <c:pt idx="16">
                        <c:v>0.54166666666666696</c:v>
                      </c:pt>
                      <c:pt idx="17">
                        <c:v>0.58333333333333304</c:v>
                      </c:pt>
                      <c:pt idx="18">
                        <c:v>0.625</c:v>
                      </c:pt>
                      <c:pt idx="19">
                        <c:v>0.66666666666666696</c:v>
                      </c:pt>
                      <c:pt idx="20">
                        <c:v>0.70833333333333304</c:v>
                      </c:pt>
                      <c:pt idx="21">
                        <c:v>0.72916666666666663</c:v>
                      </c:pt>
                      <c:pt idx="22">
                        <c:v>0.75</c:v>
                      </c:pt>
                      <c:pt idx="23">
                        <c:v>0.77083333333333337</c:v>
                      </c:pt>
                      <c:pt idx="24">
                        <c:v>0.79166666666666663</c:v>
                      </c:pt>
                      <c:pt idx="25">
                        <c:v>0.8125</c:v>
                      </c:pt>
                      <c:pt idx="26">
                        <c:v>0.83333333333333337</c:v>
                      </c:pt>
                      <c:pt idx="27">
                        <c:v>0.85416666666666663</c:v>
                      </c:pt>
                      <c:pt idx="28">
                        <c:v>0.875</c:v>
                      </c:pt>
                      <c:pt idx="29">
                        <c:v>0.91666666666666696</c:v>
                      </c:pt>
                      <c:pt idx="30">
                        <c:v>0.95833333333333304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'2'!$B$134:$AF$134</c15:sqref>
                        </c15:formulaRef>
                      </c:ext>
                    </c:extLst>
                    <c:numCache>
                      <c:formatCode>0.00</c:formatCode>
                      <c:ptCount val="31"/>
                      <c:pt idx="3">
                        <c:v>625.07000000000005</c:v>
                      </c:pt>
                      <c:pt idx="4">
                        <c:v>625.29</c:v>
                      </c:pt>
                      <c:pt idx="5">
                        <c:v>625.65</c:v>
                      </c:pt>
                      <c:pt idx="7">
                        <c:v>625.74</c:v>
                      </c:pt>
                      <c:pt idx="9">
                        <c:v>625.66</c:v>
                      </c:pt>
                      <c:pt idx="11">
                        <c:v>625.15</c:v>
                      </c:pt>
                      <c:pt idx="12">
                        <c:v>624.97</c:v>
                      </c:pt>
                      <c:pt idx="13">
                        <c:v>624.70000000000005</c:v>
                      </c:pt>
                      <c:pt idx="14">
                        <c:v>624.47</c:v>
                      </c:pt>
                      <c:pt idx="15">
                        <c:v>624.15</c:v>
                      </c:pt>
                      <c:pt idx="17">
                        <c:v>623.35</c:v>
                      </c:pt>
                      <c:pt idx="18">
                        <c:v>623.35</c:v>
                      </c:pt>
                      <c:pt idx="19">
                        <c:v>623.35</c:v>
                      </c:pt>
                      <c:pt idx="20">
                        <c:v>623.35</c:v>
                      </c:pt>
                      <c:pt idx="26">
                        <c:v>622.46</c:v>
                      </c:pt>
                      <c:pt idx="29">
                        <c:v>622.16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474-47AE-8D03-A3B59BE545A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MRS</c:v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'2'!$B$9:$AF$9</c15:sqref>
                        </c15:formulaRef>
                      </c:ext>
                    </c:extLst>
                    <c:numCache>
                      <c:formatCode>[hh]:mm</c:formatCode>
                      <c:ptCount val="31"/>
                      <c:pt idx="0">
                        <c:v>0</c:v>
                      </c:pt>
                      <c:pt idx="1">
                        <c:v>4.1666666666666664E-2</c:v>
                      </c:pt>
                      <c:pt idx="2">
                        <c:v>8.3333333333333301E-2</c:v>
                      </c:pt>
                      <c:pt idx="3">
                        <c:v>0.125</c:v>
                      </c:pt>
                      <c:pt idx="4">
                        <c:v>0.16666666666666699</c:v>
                      </c:pt>
                      <c:pt idx="5">
                        <c:v>0.20833333333333301</c:v>
                      </c:pt>
                      <c:pt idx="6">
                        <c:v>0.22916666666666666</c:v>
                      </c:pt>
                      <c:pt idx="7">
                        <c:v>0.25</c:v>
                      </c:pt>
                      <c:pt idx="8">
                        <c:v>0.27083333333333331</c:v>
                      </c:pt>
                      <c:pt idx="9">
                        <c:v>0.29166666666666669</c:v>
                      </c:pt>
                      <c:pt idx="10">
                        <c:v>0.3125</c:v>
                      </c:pt>
                      <c:pt idx="11">
                        <c:v>0.33333333333333331</c:v>
                      </c:pt>
                      <c:pt idx="12">
                        <c:v>0.375</c:v>
                      </c:pt>
                      <c:pt idx="13">
                        <c:v>0.41666666666666702</c:v>
                      </c:pt>
                      <c:pt idx="14">
                        <c:v>0.45833333333333298</c:v>
                      </c:pt>
                      <c:pt idx="15">
                        <c:v>0.5</c:v>
                      </c:pt>
                      <c:pt idx="16">
                        <c:v>0.54166666666666696</c:v>
                      </c:pt>
                      <c:pt idx="17">
                        <c:v>0.58333333333333304</c:v>
                      </c:pt>
                      <c:pt idx="18">
                        <c:v>0.625</c:v>
                      </c:pt>
                      <c:pt idx="19">
                        <c:v>0.66666666666666696</c:v>
                      </c:pt>
                      <c:pt idx="20">
                        <c:v>0.70833333333333304</c:v>
                      </c:pt>
                      <c:pt idx="21">
                        <c:v>0.72916666666666663</c:v>
                      </c:pt>
                      <c:pt idx="22">
                        <c:v>0.75</c:v>
                      </c:pt>
                      <c:pt idx="23">
                        <c:v>0.77083333333333337</c:v>
                      </c:pt>
                      <c:pt idx="24">
                        <c:v>0.79166666666666663</c:v>
                      </c:pt>
                      <c:pt idx="25">
                        <c:v>0.8125</c:v>
                      </c:pt>
                      <c:pt idx="26">
                        <c:v>0.83333333333333337</c:v>
                      </c:pt>
                      <c:pt idx="27">
                        <c:v>0.85416666666666663</c:v>
                      </c:pt>
                      <c:pt idx="28">
                        <c:v>0.875</c:v>
                      </c:pt>
                      <c:pt idx="29">
                        <c:v>0.91666666666666696</c:v>
                      </c:pt>
                      <c:pt idx="30">
                        <c:v>0.95833333333333304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'2'!$B$135:$AF$135</c15:sqref>
                        </c15:formulaRef>
                      </c:ext>
                    </c:extLst>
                    <c:numCache>
                      <c:formatCode>0.00</c:formatCode>
                      <c:ptCount val="31"/>
                      <c:pt idx="0">
                        <c:v>335.18</c:v>
                      </c:pt>
                      <c:pt idx="3">
                        <c:v>336.67</c:v>
                      </c:pt>
                      <c:pt idx="4">
                        <c:v>336.96</c:v>
                      </c:pt>
                      <c:pt idx="5">
                        <c:v>337.18</c:v>
                      </c:pt>
                      <c:pt idx="7">
                        <c:v>337.37</c:v>
                      </c:pt>
                      <c:pt idx="9">
                        <c:v>337.18</c:v>
                      </c:pt>
                      <c:pt idx="11">
                        <c:v>336.76</c:v>
                      </c:pt>
                      <c:pt idx="12">
                        <c:v>336.21</c:v>
                      </c:pt>
                      <c:pt idx="13">
                        <c:v>335.75</c:v>
                      </c:pt>
                      <c:pt idx="14">
                        <c:v>335.36</c:v>
                      </c:pt>
                      <c:pt idx="15">
                        <c:v>334.72</c:v>
                      </c:pt>
                      <c:pt idx="17">
                        <c:v>334.86</c:v>
                      </c:pt>
                      <c:pt idx="18">
                        <c:v>334.86</c:v>
                      </c:pt>
                      <c:pt idx="19">
                        <c:v>334.86</c:v>
                      </c:pt>
                      <c:pt idx="20">
                        <c:v>334.86</c:v>
                      </c:pt>
                      <c:pt idx="26">
                        <c:v>335.82</c:v>
                      </c:pt>
                      <c:pt idx="29">
                        <c:v>335.6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474-47AE-8D03-A3B59BE545A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CHM</c:v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'2'!$B$9:$AF$9</c15:sqref>
                        </c15:formulaRef>
                      </c:ext>
                    </c:extLst>
                    <c:numCache>
                      <c:formatCode>[hh]:mm</c:formatCode>
                      <c:ptCount val="31"/>
                      <c:pt idx="0">
                        <c:v>0</c:v>
                      </c:pt>
                      <c:pt idx="1">
                        <c:v>4.1666666666666664E-2</c:v>
                      </c:pt>
                      <c:pt idx="2">
                        <c:v>8.3333333333333301E-2</c:v>
                      </c:pt>
                      <c:pt idx="3">
                        <c:v>0.125</c:v>
                      </c:pt>
                      <c:pt idx="4">
                        <c:v>0.16666666666666699</c:v>
                      </c:pt>
                      <c:pt idx="5">
                        <c:v>0.20833333333333301</c:v>
                      </c:pt>
                      <c:pt idx="6">
                        <c:v>0.22916666666666666</c:v>
                      </c:pt>
                      <c:pt idx="7">
                        <c:v>0.25</c:v>
                      </c:pt>
                      <c:pt idx="8">
                        <c:v>0.27083333333333331</c:v>
                      </c:pt>
                      <c:pt idx="9">
                        <c:v>0.29166666666666669</c:v>
                      </c:pt>
                      <c:pt idx="10">
                        <c:v>0.3125</c:v>
                      </c:pt>
                      <c:pt idx="11">
                        <c:v>0.33333333333333331</c:v>
                      </c:pt>
                      <c:pt idx="12">
                        <c:v>0.375</c:v>
                      </c:pt>
                      <c:pt idx="13">
                        <c:v>0.41666666666666702</c:v>
                      </c:pt>
                      <c:pt idx="14">
                        <c:v>0.45833333333333298</c:v>
                      </c:pt>
                      <c:pt idx="15">
                        <c:v>0.5</c:v>
                      </c:pt>
                      <c:pt idx="16">
                        <c:v>0.54166666666666696</c:v>
                      </c:pt>
                      <c:pt idx="17">
                        <c:v>0.58333333333333304</c:v>
                      </c:pt>
                      <c:pt idx="18">
                        <c:v>0.625</c:v>
                      </c:pt>
                      <c:pt idx="19">
                        <c:v>0.66666666666666696</c:v>
                      </c:pt>
                      <c:pt idx="20">
                        <c:v>0.70833333333333304</c:v>
                      </c:pt>
                      <c:pt idx="21">
                        <c:v>0.72916666666666663</c:v>
                      </c:pt>
                      <c:pt idx="22">
                        <c:v>0.75</c:v>
                      </c:pt>
                      <c:pt idx="23">
                        <c:v>0.77083333333333337</c:v>
                      </c:pt>
                      <c:pt idx="24">
                        <c:v>0.79166666666666663</c:v>
                      </c:pt>
                      <c:pt idx="25">
                        <c:v>0.8125</c:v>
                      </c:pt>
                      <c:pt idx="26">
                        <c:v>0.83333333333333337</c:v>
                      </c:pt>
                      <c:pt idx="27">
                        <c:v>0.85416666666666663</c:v>
                      </c:pt>
                      <c:pt idx="28">
                        <c:v>0.875</c:v>
                      </c:pt>
                      <c:pt idx="29">
                        <c:v>0.91666666666666696</c:v>
                      </c:pt>
                      <c:pt idx="30">
                        <c:v>0.95833333333333304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'2'!$B$136:$AF$136</c15:sqref>
                        </c15:formulaRef>
                      </c:ext>
                    </c:extLst>
                    <c:numCache>
                      <c:formatCode>0.00</c:formatCode>
                      <c:ptCount val="31"/>
                      <c:pt idx="5">
                        <c:v>887.1</c:v>
                      </c:pt>
                      <c:pt idx="7">
                        <c:v>887.3</c:v>
                      </c:pt>
                      <c:pt idx="11">
                        <c:v>886.5</c:v>
                      </c:pt>
                      <c:pt idx="12">
                        <c:v>885.3</c:v>
                      </c:pt>
                      <c:pt idx="13">
                        <c:v>884.1</c:v>
                      </c:pt>
                      <c:pt idx="14">
                        <c:v>883.6</c:v>
                      </c:pt>
                      <c:pt idx="15">
                        <c:v>883.6</c:v>
                      </c:pt>
                      <c:pt idx="17">
                        <c:v>884.2</c:v>
                      </c:pt>
                      <c:pt idx="18">
                        <c:v>884.2</c:v>
                      </c:pt>
                      <c:pt idx="19">
                        <c:v>884.2</c:v>
                      </c:pt>
                      <c:pt idx="20">
                        <c:v>884.2</c:v>
                      </c:pt>
                      <c:pt idx="26">
                        <c:v>882.7</c:v>
                      </c:pt>
                      <c:pt idx="29">
                        <c:v>882.6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474-47AE-8D03-A3B59BE545A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KL1</c:v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eparator> </c:separator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'2'!$B$9:$AF$9</c15:sqref>
                        </c15:formulaRef>
                      </c:ext>
                    </c:extLst>
                    <c:numCache>
                      <c:formatCode>[hh]:mm</c:formatCode>
                      <c:ptCount val="31"/>
                      <c:pt idx="0">
                        <c:v>0</c:v>
                      </c:pt>
                      <c:pt idx="1">
                        <c:v>4.1666666666666664E-2</c:v>
                      </c:pt>
                      <c:pt idx="2">
                        <c:v>8.3333333333333301E-2</c:v>
                      </c:pt>
                      <c:pt idx="3">
                        <c:v>0.125</c:v>
                      </c:pt>
                      <c:pt idx="4">
                        <c:v>0.16666666666666699</c:v>
                      </c:pt>
                      <c:pt idx="5">
                        <c:v>0.20833333333333301</c:v>
                      </c:pt>
                      <c:pt idx="6">
                        <c:v>0.22916666666666666</c:v>
                      </c:pt>
                      <c:pt idx="7">
                        <c:v>0.25</c:v>
                      </c:pt>
                      <c:pt idx="8">
                        <c:v>0.27083333333333331</c:v>
                      </c:pt>
                      <c:pt idx="9">
                        <c:v>0.29166666666666669</c:v>
                      </c:pt>
                      <c:pt idx="10">
                        <c:v>0.3125</c:v>
                      </c:pt>
                      <c:pt idx="11">
                        <c:v>0.33333333333333331</c:v>
                      </c:pt>
                      <c:pt idx="12">
                        <c:v>0.375</c:v>
                      </c:pt>
                      <c:pt idx="13">
                        <c:v>0.41666666666666702</c:v>
                      </c:pt>
                      <c:pt idx="14">
                        <c:v>0.45833333333333298</c:v>
                      </c:pt>
                      <c:pt idx="15">
                        <c:v>0.5</c:v>
                      </c:pt>
                      <c:pt idx="16">
                        <c:v>0.54166666666666696</c:v>
                      </c:pt>
                      <c:pt idx="17">
                        <c:v>0.58333333333333304</c:v>
                      </c:pt>
                      <c:pt idx="18">
                        <c:v>0.625</c:v>
                      </c:pt>
                      <c:pt idx="19">
                        <c:v>0.66666666666666696</c:v>
                      </c:pt>
                      <c:pt idx="20">
                        <c:v>0.70833333333333304</c:v>
                      </c:pt>
                      <c:pt idx="21">
                        <c:v>0.72916666666666663</c:v>
                      </c:pt>
                      <c:pt idx="22">
                        <c:v>0.75</c:v>
                      </c:pt>
                      <c:pt idx="23">
                        <c:v>0.77083333333333337</c:v>
                      </c:pt>
                      <c:pt idx="24">
                        <c:v>0.79166666666666663</c:v>
                      </c:pt>
                      <c:pt idx="25">
                        <c:v>0.8125</c:v>
                      </c:pt>
                      <c:pt idx="26">
                        <c:v>0.83333333333333337</c:v>
                      </c:pt>
                      <c:pt idx="27">
                        <c:v>0.85416666666666663</c:v>
                      </c:pt>
                      <c:pt idx="28">
                        <c:v>0.875</c:v>
                      </c:pt>
                      <c:pt idx="29">
                        <c:v>0.91666666666666696</c:v>
                      </c:pt>
                      <c:pt idx="30">
                        <c:v>0.95833333333333304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'2'!$B$137:$AF$137</c15:sqref>
                        </c15:formulaRef>
                      </c:ext>
                    </c:extLst>
                    <c:numCache>
                      <c:formatCode>0.00</c:formatCode>
                      <c:ptCount val="31"/>
                      <c:pt idx="6">
                        <c:v>1522.11</c:v>
                      </c:pt>
                      <c:pt idx="11">
                        <c:v>1522.11</c:v>
                      </c:pt>
                      <c:pt idx="12">
                        <c:v>1522.11</c:v>
                      </c:pt>
                      <c:pt idx="13">
                        <c:v>1522.11</c:v>
                      </c:pt>
                      <c:pt idx="14">
                        <c:v>1522.11</c:v>
                      </c:pt>
                      <c:pt idx="15">
                        <c:v>1522.11</c:v>
                      </c:pt>
                      <c:pt idx="17">
                        <c:v>1522.12</c:v>
                      </c:pt>
                      <c:pt idx="18">
                        <c:v>1522.12</c:v>
                      </c:pt>
                      <c:pt idx="19">
                        <c:v>1522.12</c:v>
                      </c:pt>
                      <c:pt idx="20">
                        <c:v>1522.12</c:v>
                      </c:pt>
                      <c:pt idx="26">
                        <c:v>1522.01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474-47AE-8D03-A3B59BE545A2}"/>
                  </c:ext>
                </c:extLst>
              </c15:ser>
            </c15:filteredLineSeries>
          </c:ext>
        </c:extLst>
      </c:lineChart>
      <c:catAx>
        <c:axId val="1157628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hh]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132431"/>
        <c:crosses val="autoZero"/>
        <c:auto val="1"/>
        <c:lblAlgn val="ctr"/>
        <c:lblOffset val="100"/>
        <c:noMultiLvlLbl val="0"/>
      </c:catAx>
      <c:valAx>
        <c:axId val="1831132431"/>
        <c:scaling>
          <c:orientation val="minMax"/>
          <c:min val="51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628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4693336444120595E-2"/>
          <c:y val="0.12986952474850072"/>
          <c:w val="0.89480692951077934"/>
          <c:h val="0.7891825528639268"/>
        </c:manualLayout>
      </c:layout>
      <c:lineChart>
        <c:grouping val="standard"/>
        <c:varyColors val="0"/>
        <c:ser>
          <c:idx val="3"/>
          <c:order val="3"/>
          <c:tx>
            <c:v>MMRS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'2'!$B$9:$AF$9</c:f>
              <c:numCache>
                <c:formatCode>[hh]:mm</c:formatCode>
                <c:ptCount val="31"/>
                <c:pt idx="0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0.22916666666666666</c:v>
                </c:pt>
                <c:pt idx="7">
                  <c:v>0.25</c:v>
                </c:pt>
                <c:pt idx="8">
                  <c:v>0.27083333333333331</c:v>
                </c:pt>
                <c:pt idx="9">
                  <c:v>0.29166666666666669</c:v>
                </c:pt>
                <c:pt idx="10">
                  <c:v>0.3125</c:v>
                </c:pt>
                <c:pt idx="11">
                  <c:v>0.33333333333333331</c:v>
                </c:pt>
                <c:pt idx="12">
                  <c:v>0.375</c:v>
                </c:pt>
                <c:pt idx="13">
                  <c:v>0.41666666666666702</c:v>
                </c:pt>
                <c:pt idx="14">
                  <c:v>0.45833333333333298</c:v>
                </c:pt>
                <c:pt idx="15">
                  <c:v>0.5</c:v>
                </c:pt>
                <c:pt idx="16">
                  <c:v>0.54166666666666696</c:v>
                </c:pt>
                <c:pt idx="17">
                  <c:v>0.58333333333333304</c:v>
                </c:pt>
                <c:pt idx="18">
                  <c:v>0.625</c:v>
                </c:pt>
                <c:pt idx="19">
                  <c:v>0.66666666666666696</c:v>
                </c:pt>
                <c:pt idx="20">
                  <c:v>0.70833333333333304</c:v>
                </c:pt>
                <c:pt idx="21">
                  <c:v>0.72916666666666663</c:v>
                </c:pt>
                <c:pt idx="22">
                  <c:v>0.75</c:v>
                </c:pt>
                <c:pt idx="23">
                  <c:v>0.77083333333333337</c:v>
                </c:pt>
                <c:pt idx="24">
                  <c:v>0.79166666666666663</c:v>
                </c:pt>
                <c:pt idx="25">
                  <c:v>0.8125</c:v>
                </c:pt>
                <c:pt idx="26">
                  <c:v>0.83333333333333337</c:v>
                </c:pt>
                <c:pt idx="27">
                  <c:v>0.85416666666666663</c:v>
                </c:pt>
                <c:pt idx="28">
                  <c:v>0.875</c:v>
                </c:pt>
                <c:pt idx="29">
                  <c:v>0.91666666666666696</c:v>
                </c:pt>
                <c:pt idx="30">
                  <c:v>0.95833333333333304</c:v>
                </c:pt>
              </c:numCache>
            </c:numRef>
          </c:cat>
          <c:val>
            <c:numRef>
              <c:f>'2'!$B$134:$AF$134</c:f>
              <c:numCache>
                <c:formatCode>0.00</c:formatCode>
                <c:ptCount val="31"/>
                <c:pt idx="3">
                  <c:v>625.07000000000005</c:v>
                </c:pt>
                <c:pt idx="4">
                  <c:v>625.29</c:v>
                </c:pt>
                <c:pt idx="5">
                  <c:v>625.65</c:v>
                </c:pt>
                <c:pt idx="7">
                  <c:v>625.74</c:v>
                </c:pt>
                <c:pt idx="9">
                  <c:v>625.66</c:v>
                </c:pt>
                <c:pt idx="11">
                  <c:v>625.15</c:v>
                </c:pt>
                <c:pt idx="12">
                  <c:v>624.97</c:v>
                </c:pt>
                <c:pt idx="13">
                  <c:v>624.70000000000005</c:v>
                </c:pt>
                <c:pt idx="14">
                  <c:v>624.47</c:v>
                </c:pt>
                <c:pt idx="15">
                  <c:v>624.15</c:v>
                </c:pt>
                <c:pt idx="17">
                  <c:v>623.35</c:v>
                </c:pt>
                <c:pt idx="18">
                  <c:v>623.35</c:v>
                </c:pt>
                <c:pt idx="19">
                  <c:v>623.35</c:v>
                </c:pt>
                <c:pt idx="20">
                  <c:v>623.35</c:v>
                </c:pt>
                <c:pt idx="26">
                  <c:v>622.46</c:v>
                </c:pt>
                <c:pt idx="29">
                  <c:v>622.16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75-49E2-B5B8-38D11173390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57628303"/>
        <c:axId val="183113243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'2'!$A$10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'2'!$B$9:$AF$9</c15:sqref>
                        </c15:formulaRef>
                      </c:ext>
                    </c:extLst>
                    <c:numCache>
                      <c:formatCode>[hh]:mm</c:formatCode>
                      <c:ptCount val="31"/>
                      <c:pt idx="0">
                        <c:v>0</c:v>
                      </c:pt>
                      <c:pt idx="1">
                        <c:v>4.1666666666666664E-2</c:v>
                      </c:pt>
                      <c:pt idx="2">
                        <c:v>8.3333333333333301E-2</c:v>
                      </c:pt>
                      <c:pt idx="3">
                        <c:v>0.125</c:v>
                      </c:pt>
                      <c:pt idx="4">
                        <c:v>0.16666666666666699</c:v>
                      </c:pt>
                      <c:pt idx="5">
                        <c:v>0.20833333333333301</c:v>
                      </c:pt>
                      <c:pt idx="6">
                        <c:v>0.22916666666666666</c:v>
                      </c:pt>
                      <c:pt idx="7">
                        <c:v>0.25</c:v>
                      </c:pt>
                      <c:pt idx="8">
                        <c:v>0.27083333333333331</c:v>
                      </c:pt>
                      <c:pt idx="9">
                        <c:v>0.29166666666666669</c:v>
                      </c:pt>
                      <c:pt idx="10">
                        <c:v>0.3125</c:v>
                      </c:pt>
                      <c:pt idx="11">
                        <c:v>0.33333333333333331</c:v>
                      </c:pt>
                      <c:pt idx="12">
                        <c:v>0.375</c:v>
                      </c:pt>
                      <c:pt idx="13">
                        <c:v>0.41666666666666702</c:v>
                      </c:pt>
                      <c:pt idx="14">
                        <c:v>0.45833333333333298</c:v>
                      </c:pt>
                      <c:pt idx="15">
                        <c:v>0.5</c:v>
                      </c:pt>
                      <c:pt idx="16">
                        <c:v>0.54166666666666696</c:v>
                      </c:pt>
                      <c:pt idx="17">
                        <c:v>0.58333333333333304</c:v>
                      </c:pt>
                      <c:pt idx="18">
                        <c:v>0.625</c:v>
                      </c:pt>
                      <c:pt idx="19">
                        <c:v>0.66666666666666696</c:v>
                      </c:pt>
                      <c:pt idx="20">
                        <c:v>0.70833333333333304</c:v>
                      </c:pt>
                      <c:pt idx="21">
                        <c:v>0.72916666666666663</c:v>
                      </c:pt>
                      <c:pt idx="22">
                        <c:v>0.75</c:v>
                      </c:pt>
                      <c:pt idx="23">
                        <c:v>0.77083333333333337</c:v>
                      </c:pt>
                      <c:pt idx="24">
                        <c:v>0.79166666666666663</c:v>
                      </c:pt>
                      <c:pt idx="25">
                        <c:v>0.8125</c:v>
                      </c:pt>
                      <c:pt idx="26">
                        <c:v>0.83333333333333337</c:v>
                      </c:pt>
                      <c:pt idx="27">
                        <c:v>0.85416666666666663</c:v>
                      </c:pt>
                      <c:pt idx="28">
                        <c:v>0.875</c:v>
                      </c:pt>
                      <c:pt idx="29">
                        <c:v>0.91666666666666696</c:v>
                      </c:pt>
                      <c:pt idx="30">
                        <c:v>0.95833333333333304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'2'!$B$10:$AF$10</c15:sqref>
                        </c15:formulaRef>
                      </c:ext>
                    </c:extLst>
                    <c:numCache>
                      <c:formatCode>[hh]:mm</c:formatCode>
                      <c:ptCount val="31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1575-49E2-B5B8-38D111733906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v>UTK</c:v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'2'!$B$9:$AF$9</c15:sqref>
                        </c15:formulaRef>
                      </c:ext>
                    </c:extLst>
                    <c:numCache>
                      <c:formatCode>[hh]:mm</c:formatCode>
                      <c:ptCount val="31"/>
                      <c:pt idx="0">
                        <c:v>0</c:v>
                      </c:pt>
                      <c:pt idx="1">
                        <c:v>4.1666666666666664E-2</c:v>
                      </c:pt>
                      <c:pt idx="2">
                        <c:v>8.3333333333333301E-2</c:v>
                      </c:pt>
                      <c:pt idx="3">
                        <c:v>0.125</c:v>
                      </c:pt>
                      <c:pt idx="4">
                        <c:v>0.16666666666666699</c:v>
                      </c:pt>
                      <c:pt idx="5">
                        <c:v>0.20833333333333301</c:v>
                      </c:pt>
                      <c:pt idx="6">
                        <c:v>0.22916666666666666</c:v>
                      </c:pt>
                      <c:pt idx="7">
                        <c:v>0.25</c:v>
                      </c:pt>
                      <c:pt idx="8">
                        <c:v>0.27083333333333331</c:v>
                      </c:pt>
                      <c:pt idx="9">
                        <c:v>0.29166666666666669</c:v>
                      </c:pt>
                      <c:pt idx="10">
                        <c:v>0.3125</c:v>
                      </c:pt>
                      <c:pt idx="11">
                        <c:v>0.33333333333333331</c:v>
                      </c:pt>
                      <c:pt idx="12">
                        <c:v>0.375</c:v>
                      </c:pt>
                      <c:pt idx="13">
                        <c:v>0.41666666666666702</c:v>
                      </c:pt>
                      <c:pt idx="14">
                        <c:v>0.45833333333333298</c:v>
                      </c:pt>
                      <c:pt idx="15">
                        <c:v>0.5</c:v>
                      </c:pt>
                      <c:pt idx="16">
                        <c:v>0.54166666666666696</c:v>
                      </c:pt>
                      <c:pt idx="17">
                        <c:v>0.58333333333333304</c:v>
                      </c:pt>
                      <c:pt idx="18">
                        <c:v>0.625</c:v>
                      </c:pt>
                      <c:pt idx="19">
                        <c:v>0.66666666666666696</c:v>
                      </c:pt>
                      <c:pt idx="20">
                        <c:v>0.70833333333333304</c:v>
                      </c:pt>
                      <c:pt idx="21">
                        <c:v>0.72916666666666663</c:v>
                      </c:pt>
                      <c:pt idx="22">
                        <c:v>0.75</c:v>
                      </c:pt>
                      <c:pt idx="23">
                        <c:v>0.77083333333333337</c:v>
                      </c:pt>
                      <c:pt idx="24">
                        <c:v>0.79166666666666663</c:v>
                      </c:pt>
                      <c:pt idx="25">
                        <c:v>0.8125</c:v>
                      </c:pt>
                      <c:pt idx="26">
                        <c:v>0.83333333333333337</c:v>
                      </c:pt>
                      <c:pt idx="27">
                        <c:v>0.85416666666666663</c:v>
                      </c:pt>
                      <c:pt idx="28">
                        <c:v>0.875</c:v>
                      </c:pt>
                      <c:pt idx="29">
                        <c:v>0.91666666666666696</c:v>
                      </c:pt>
                      <c:pt idx="30">
                        <c:v>0.95833333333333304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'2'!$B$132:$AF$132</c15:sqref>
                        </c15:formulaRef>
                      </c:ext>
                    </c:extLst>
                    <c:numCache>
                      <c:formatCode>0.00</c:formatCode>
                      <c:ptCount val="31"/>
                      <c:pt idx="3">
                        <c:v>1985.11</c:v>
                      </c:pt>
                      <c:pt idx="4">
                        <c:v>1985.4</c:v>
                      </c:pt>
                      <c:pt idx="5">
                        <c:v>1985.64</c:v>
                      </c:pt>
                      <c:pt idx="7">
                        <c:v>1985.9</c:v>
                      </c:pt>
                      <c:pt idx="9">
                        <c:v>1986.12</c:v>
                      </c:pt>
                      <c:pt idx="11">
                        <c:v>1986</c:v>
                      </c:pt>
                      <c:pt idx="12">
                        <c:v>1985.25</c:v>
                      </c:pt>
                      <c:pt idx="13">
                        <c:v>1984.4</c:v>
                      </c:pt>
                      <c:pt idx="14">
                        <c:v>1983.71</c:v>
                      </c:pt>
                      <c:pt idx="15">
                        <c:v>1983.55</c:v>
                      </c:pt>
                      <c:pt idx="17">
                        <c:v>1983.85</c:v>
                      </c:pt>
                      <c:pt idx="18">
                        <c:v>1983.85</c:v>
                      </c:pt>
                      <c:pt idx="19">
                        <c:v>1984.02</c:v>
                      </c:pt>
                      <c:pt idx="20">
                        <c:v>1984.27</c:v>
                      </c:pt>
                      <c:pt idx="26">
                        <c:v>1982.5</c:v>
                      </c:pt>
                      <c:pt idx="29">
                        <c:v>1983.19</c:v>
                      </c:pt>
                    </c:numCache>
                  </c:numRef>
                </c: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1575-49E2-B5B8-38D111733906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KGA</c:v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'2'!$B$9:$AF$9</c15:sqref>
                        </c15:formulaRef>
                      </c:ext>
                    </c:extLst>
                    <c:numCache>
                      <c:formatCode>[hh]:mm</c:formatCode>
                      <c:ptCount val="31"/>
                      <c:pt idx="0">
                        <c:v>0</c:v>
                      </c:pt>
                      <c:pt idx="1">
                        <c:v>4.1666666666666664E-2</c:v>
                      </c:pt>
                      <c:pt idx="2">
                        <c:v>8.3333333333333301E-2</c:v>
                      </c:pt>
                      <c:pt idx="3">
                        <c:v>0.125</c:v>
                      </c:pt>
                      <c:pt idx="4">
                        <c:v>0.16666666666666699</c:v>
                      </c:pt>
                      <c:pt idx="5">
                        <c:v>0.20833333333333301</c:v>
                      </c:pt>
                      <c:pt idx="6">
                        <c:v>0.22916666666666666</c:v>
                      </c:pt>
                      <c:pt idx="7">
                        <c:v>0.25</c:v>
                      </c:pt>
                      <c:pt idx="8">
                        <c:v>0.27083333333333331</c:v>
                      </c:pt>
                      <c:pt idx="9">
                        <c:v>0.29166666666666669</c:v>
                      </c:pt>
                      <c:pt idx="10">
                        <c:v>0.3125</c:v>
                      </c:pt>
                      <c:pt idx="11">
                        <c:v>0.33333333333333331</c:v>
                      </c:pt>
                      <c:pt idx="12">
                        <c:v>0.375</c:v>
                      </c:pt>
                      <c:pt idx="13">
                        <c:v>0.41666666666666702</c:v>
                      </c:pt>
                      <c:pt idx="14">
                        <c:v>0.45833333333333298</c:v>
                      </c:pt>
                      <c:pt idx="15">
                        <c:v>0.5</c:v>
                      </c:pt>
                      <c:pt idx="16">
                        <c:v>0.54166666666666696</c:v>
                      </c:pt>
                      <c:pt idx="17">
                        <c:v>0.58333333333333304</c:v>
                      </c:pt>
                      <c:pt idx="18">
                        <c:v>0.625</c:v>
                      </c:pt>
                      <c:pt idx="19">
                        <c:v>0.66666666666666696</c:v>
                      </c:pt>
                      <c:pt idx="20">
                        <c:v>0.70833333333333304</c:v>
                      </c:pt>
                      <c:pt idx="21">
                        <c:v>0.72916666666666663</c:v>
                      </c:pt>
                      <c:pt idx="22">
                        <c:v>0.75</c:v>
                      </c:pt>
                      <c:pt idx="23">
                        <c:v>0.77083333333333337</c:v>
                      </c:pt>
                      <c:pt idx="24">
                        <c:v>0.79166666666666663</c:v>
                      </c:pt>
                      <c:pt idx="25">
                        <c:v>0.8125</c:v>
                      </c:pt>
                      <c:pt idx="26">
                        <c:v>0.83333333333333337</c:v>
                      </c:pt>
                      <c:pt idx="27">
                        <c:v>0.85416666666666663</c:v>
                      </c:pt>
                      <c:pt idx="28">
                        <c:v>0.875</c:v>
                      </c:pt>
                      <c:pt idx="29">
                        <c:v>0.91666666666666696</c:v>
                      </c:pt>
                      <c:pt idx="30">
                        <c:v>0.95833333333333304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'2'!$B$133:$AF$133</c15:sqref>
                        </c15:formulaRef>
                      </c:ext>
                    </c:extLst>
                    <c:numCache>
                      <c:formatCode>0.00</c:formatCode>
                      <c:ptCount val="31"/>
                      <c:pt idx="3">
                        <c:v>522.78</c:v>
                      </c:pt>
                      <c:pt idx="4">
                        <c:v>523.16</c:v>
                      </c:pt>
                      <c:pt idx="5">
                        <c:v>523.5</c:v>
                      </c:pt>
                      <c:pt idx="7">
                        <c:v>523.72</c:v>
                      </c:pt>
                      <c:pt idx="9">
                        <c:v>523.66999999999996</c:v>
                      </c:pt>
                      <c:pt idx="11">
                        <c:v>523.07000000000005</c:v>
                      </c:pt>
                      <c:pt idx="12">
                        <c:v>522.9</c:v>
                      </c:pt>
                      <c:pt idx="13">
                        <c:v>522.69000000000005</c:v>
                      </c:pt>
                      <c:pt idx="14">
                        <c:v>522.46</c:v>
                      </c:pt>
                      <c:pt idx="15">
                        <c:v>522.02</c:v>
                      </c:pt>
                      <c:pt idx="17">
                        <c:v>521.08000000000004</c:v>
                      </c:pt>
                      <c:pt idx="18">
                        <c:v>521.08000000000004</c:v>
                      </c:pt>
                      <c:pt idx="19">
                        <c:v>521.08000000000004</c:v>
                      </c:pt>
                      <c:pt idx="20">
                        <c:v>522.97</c:v>
                      </c:pt>
                      <c:pt idx="26">
                        <c:v>519.34</c:v>
                      </c:pt>
                      <c:pt idx="29">
                        <c:v>519.20000000000005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1575-49E2-B5B8-38D11173390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MRS</c:v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'2'!$B$9:$AF$9</c15:sqref>
                        </c15:formulaRef>
                      </c:ext>
                    </c:extLst>
                    <c:numCache>
                      <c:formatCode>[hh]:mm</c:formatCode>
                      <c:ptCount val="31"/>
                      <c:pt idx="0">
                        <c:v>0</c:v>
                      </c:pt>
                      <c:pt idx="1">
                        <c:v>4.1666666666666664E-2</c:v>
                      </c:pt>
                      <c:pt idx="2">
                        <c:v>8.3333333333333301E-2</c:v>
                      </c:pt>
                      <c:pt idx="3">
                        <c:v>0.125</c:v>
                      </c:pt>
                      <c:pt idx="4">
                        <c:v>0.16666666666666699</c:v>
                      </c:pt>
                      <c:pt idx="5">
                        <c:v>0.20833333333333301</c:v>
                      </c:pt>
                      <c:pt idx="6">
                        <c:v>0.22916666666666666</c:v>
                      </c:pt>
                      <c:pt idx="7">
                        <c:v>0.25</c:v>
                      </c:pt>
                      <c:pt idx="8">
                        <c:v>0.27083333333333331</c:v>
                      </c:pt>
                      <c:pt idx="9">
                        <c:v>0.29166666666666669</c:v>
                      </c:pt>
                      <c:pt idx="10">
                        <c:v>0.3125</c:v>
                      </c:pt>
                      <c:pt idx="11">
                        <c:v>0.33333333333333331</c:v>
                      </c:pt>
                      <c:pt idx="12">
                        <c:v>0.375</c:v>
                      </c:pt>
                      <c:pt idx="13">
                        <c:v>0.41666666666666702</c:v>
                      </c:pt>
                      <c:pt idx="14">
                        <c:v>0.45833333333333298</c:v>
                      </c:pt>
                      <c:pt idx="15">
                        <c:v>0.5</c:v>
                      </c:pt>
                      <c:pt idx="16">
                        <c:v>0.54166666666666696</c:v>
                      </c:pt>
                      <c:pt idx="17">
                        <c:v>0.58333333333333304</c:v>
                      </c:pt>
                      <c:pt idx="18">
                        <c:v>0.625</c:v>
                      </c:pt>
                      <c:pt idx="19">
                        <c:v>0.66666666666666696</c:v>
                      </c:pt>
                      <c:pt idx="20">
                        <c:v>0.70833333333333304</c:v>
                      </c:pt>
                      <c:pt idx="21">
                        <c:v>0.72916666666666663</c:v>
                      </c:pt>
                      <c:pt idx="22">
                        <c:v>0.75</c:v>
                      </c:pt>
                      <c:pt idx="23">
                        <c:v>0.77083333333333337</c:v>
                      </c:pt>
                      <c:pt idx="24">
                        <c:v>0.79166666666666663</c:v>
                      </c:pt>
                      <c:pt idx="25">
                        <c:v>0.8125</c:v>
                      </c:pt>
                      <c:pt idx="26">
                        <c:v>0.83333333333333337</c:v>
                      </c:pt>
                      <c:pt idx="27">
                        <c:v>0.85416666666666663</c:v>
                      </c:pt>
                      <c:pt idx="28">
                        <c:v>0.875</c:v>
                      </c:pt>
                      <c:pt idx="29">
                        <c:v>0.91666666666666696</c:v>
                      </c:pt>
                      <c:pt idx="30">
                        <c:v>0.95833333333333304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'2'!$B$135:$AF$135</c15:sqref>
                        </c15:formulaRef>
                      </c:ext>
                    </c:extLst>
                    <c:numCache>
                      <c:formatCode>0.00</c:formatCode>
                      <c:ptCount val="31"/>
                      <c:pt idx="0">
                        <c:v>335.18</c:v>
                      </c:pt>
                      <c:pt idx="3">
                        <c:v>336.67</c:v>
                      </c:pt>
                      <c:pt idx="4">
                        <c:v>336.96</c:v>
                      </c:pt>
                      <c:pt idx="5">
                        <c:v>337.18</c:v>
                      </c:pt>
                      <c:pt idx="7">
                        <c:v>337.37</c:v>
                      </c:pt>
                      <c:pt idx="9">
                        <c:v>337.18</c:v>
                      </c:pt>
                      <c:pt idx="11">
                        <c:v>336.76</c:v>
                      </c:pt>
                      <c:pt idx="12">
                        <c:v>336.21</c:v>
                      </c:pt>
                      <c:pt idx="13">
                        <c:v>335.75</c:v>
                      </c:pt>
                      <c:pt idx="14">
                        <c:v>335.36</c:v>
                      </c:pt>
                      <c:pt idx="15">
                        <c:v>334.72</c:v>
                      </c:pt>
                      <c:pt idx="17">
                        <c:v>334.86</c:v>
                      </c:pt>
                      <c:pt idx="18">
                        <c:v>334.86</c:v>
                      </c:pt>
                      <c:pt idx="19">
                        <c:v>334.86</c:v>
                      </c:pt>
                      <c:pt idx="20">
                        <c:v>334.86</c:v>
                      </c:pt>
                      <c:pt idx="26">
                        <c:v>335.82</c:v>
                      </c:pt>
                      <c:pt idx="29">
                        <c:v>335.6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575-49E2-B5B8-38D11173390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CHM</c:v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'2'!$B$9:$AF$9</c15:sqref>
                        </c15:formulaRef>
                      </c:ext>
                    </c:extLst>
                    <c:numCache>
                      <c:formatCode>[hh]:mm</c:formatCode>
                      <c:ptCount val="31"/>
                      <c:pt idx="0">
                        <c:v>0</c:v>
                      </c:pt>
                      <c:pt idx="1">
                        <c:v>4.1666666666666664E-2</c:v>
                      </c:pt>
                      <c:pt idx="2">
                        <c:v>8.3333333333333301E-2</c:v>
                      </c:pt>
                      <c:pt idx="3">
                        <c:v>0.125</c:v>
                      </c:pt>
                      <c:pt idx="4">
                        <c:v>0.16666666666666699</c:v>
                      </c:pt>
                      <c:pt idx="5">
                        <c:v>0.20833333333333301</c:v>
                      </c:pt>
                      <c:pt idx="6">
                        <c:v>0.22916666666666666</c:v>
                      </c:pt>
                      <c:pt idx="7">
                        <c:v>0.25</c:v>
                      </c:pt>
                      <c:pt idx="8">
                        <c:v>0.27083333333333331</c:v>
                      </c:pt>
                      <c:pt idx="9">
                        <c:v>0.29166666666666669</c:v>
                      </c:pt>
                      <c:pt idx="10">
                        <c:v>0.3125</c:v>
                      </c:pt>
                      <c:pt idx="11">
                        <c:v>0.33333333333333331</c:v>
                      </c:pt>
                      <c:pt idx="12">
                        <c:v>0.375</c:v>
                      </c:pt>
                      <c:pt idx="13">
                        <c:v>0.41666666666666702</c:v>
                      </c:pt>
                      <c:pt idx="14">
                        <c:v>0.45833333333333298</c:v>
                      </c:pt>
                      <c:pt idx="15">
                        <c:v>0.5</c:v>
                      </c:pt>
                      <c:pt idx="16">
                        <c:v>0.54166666666666696</c:v>
                      </c:pt>
                      <c:pt idx="17">
                        <c:v>0.58333333333333304</c:v>
                      </c:pt>
                      <c:pt idx="18">
                        <c:v>0.625</c:v>
                      </c:pt>
                      <c:pt idx="19">
                        <c:v>0.66666666666666696</c:v>
                      </c:pt>
                      <c:pt idx="20">
                        <c:v>0.70833333333333304</c:v>
                      </c:pt>
                      <c:pt idx="21">
                        <c:v>0.72916666666666663</c:v>
                      </c:pt>
                      <c:pt idx="22">
                        <c:v>0.75</c:v>
                      </c:pt>
                      <c:pt idx="23">
                        <c:v>0.77083333333333337</c:v>
                      </c:pt>
                      <c:pt idx="24">
                        <c:v>0.79166666666666663</c:v>
                      </c:pt>
                      <c:pt idx="25">
                        <c:v>0.8125</c:v>
                      </c:pt>
                      <c:pt idx="26">
                        <c:v>0.83333333333333337</c:v>
                      </c:pt>
                      <c:pt idx="27">
                        <c:v>0.85416666666666663</c:v>
                      </c:pt>
                      <c:pt idx="28">
                        <c:v>0.875</c:v>
                      </c:pt>
                      <c:pt idx="29">
                        <c:v>0.91666666666666696</c:v>
                      </c:pt>
                      <c:pt idx="30">
                        <c:v>0.95833333333333304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'2'!$B$136:$AF$136</c15:sqref>
                        </c15:formulaRef>
                      </c:ext>
                    </c:extLst>
                    <c:numCache>
                      <c:formatCode>0.00</c:formatCode>
                      <c:ptCount val="31"/>
                      <c:pt idx="5">
                        <c:v>887.1</c:v>
                      </c:pt>
                      <c:pt idx="7">
                        <c:v>887.3</c:v>
                      </c:pt>
                      <c:pt idx="11">
                        <c:v>886.5</c:v>
                      </c:pt>
                      <c:pt idx="12">
                        <c:v>885.3</c:v>
                      </c:pt>
                      <c:pt idx="13">
                        <c:v>884.1</c:v>
                      </c:pt>
                      <c:pt idx="14">
                        <c:v>883.6</c:v>
                      </c:pt>
                      <c:pt idx="15">
                        <c:v>883.6</c:v>
                      </c:pt>
                      <c:pt idx="17">
                        <c:v>884.2</c:v>
                      </c:pt>
                      <c:pt idx="18">
                        <c:v>884.2</c:v>
                      </c:pt>
                      <c:pt idx="19">
                        <c:v>884.2</c:v>
                      </c:pt>
                      <c:pt idx="20">
                        <c:v>884.2</c:v>
                      </c:pt>
                      <c:pt idx="26">
                        <c:v>882.7</c:v>
                      </c:pt>
                      <c:pt idx="29">
                        <c:v>882.6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575-49E2-B5B8-38D11173390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KL1</c:v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eparator> </c:separator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'2'!$B$9:$AF$9</c15:sqref>
                        </c15:formulaRef>
                      </c:ext>
                    </c:extLst>
                    <c:numCache>
                      <c:formatCode>[hh]:mm</c:formatCode>
                      <c:ptCount val="31"/>
                      <c:pt idx="0">
                        <c:v>0</c:v>
                      </c:pt>
                      <c:pt idx="1">
                        <c:v>4.1666666666666664E-2</c:v>
                      </c:pt>
                      <c:pt idx="2">
                        <c:v>8.3333333333333301E-2</c:v>
                      </c:pt>
                      <c:pt idx="3">
                        <c:v>0.125</c:v>
                      </c:pt>
                      <c:pt idx="4">
                        <c:v>0.16666666666666699</c:v>
                      </c:pt>
                      <c:pt idx="5">
                        <c:v>0.20833333333333301</c:v>
                      </c:pt>
                      <c:pt idx="6">
                        <c:v>0.22916666666666666</c:v>
                      </c:pt>
                      <c:pt idx="7">
                        <c:v>0.25</c:v>
                      </c:pt>
                      <c:pt idx="8">
                        <c:v>0.27083333333333331</c:v>
                      </c:pt>
                      <c:pt idx="9">
                        <c:v>0.29166666666666669</c:v>
                      </c:pt>
                      <c:pt idx="10">
                        <c:v>0.3125</c:v>
                      </c:pt>
                      <c:pt idx="11">
                        <c:v>0.33333333333333331</c:v>
                      </c:pt>
                      <c:pt idx="12">
                        <c:v>0.375</c:v>
                      </c:pt>
                      <c:pt idx="13">
                        <c:v>0.41666666666666702</c:v>
                      </c:pt>
                      <c:pt idx="14">
                        <c:v>0.45833333333333298</c:v>
                      </c:pt>
                      <c:pt idx="15">
                        <c:v>0.5</c:v>
                      </c:pt>
                      <c:pt idx="16">
                        <c:v>0.54166666666666696</c:v>
                      </c:pt>
                      <c:pt idx="17">
                        <c:v>0.58333333333333304</c:v>
                      </c:pt>
                      <c:pt idx="18">
                        <c:v>0.625</c:v>
                      </c:pt>
                      <c:pt idx="19">
                        <c:v>0.66666666666666696</c:v>
                      </c:pt>
                      <c:pt idx="20">
                        <c:v>0.70833333333333304</c:v>
                      </c:pt>
                      <c:pt idx="21">
                        <c:v>0.72916666666666663</c:v>
                      </c:pt>
                      <c:pt idx="22">
                        <c:v>0.75</c:v>
                      </c:pt>
                      <c:pt idx="23">
                        <c:v>0.77083333333333337</c:v>
                      </c:pt>
                      <c:pt idx="24">
                        <c:v>0.79166666666666663</c:v>
                      </c:pt>
                      <c:pt idx="25">
                        <c:v>0.8125</c:v>
                      </c:pt>
                      <c:pt idx="26">
                        <c:v>0.83333333333333337</c:v>
                      </c:pt>
                      <c:pt idx="27">
                        <c:v>0.85416666666666663</c:v>
                      </c:pt>
                      <c:pt idx="28">
                        <c:v>0.875</c:v>
                      </c:pt>
                      <c:pt idx="29">
                        <c:v>0.91666666666666696</c:v>
                      </c:pt>
                      <c:pt idx="30">
                        <c:v>0.95833333333333304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'2'!$B$137:$AF$137</c15:sqref>
                        </c15:formulaRef>
                      </c:ext>
                    </c:extLst>
                    <c:numCache>
                      <c:formatCode>0.00</c:formatCode>
                      <c:ptCount val="31"/>
                      <c:pt idx="6">
                        <c:v>1522.11</c:v>
                      </c:pt>
                      <c:pt idx="11">
                        <c:v>1522.11</c:v>
                      </c:pt>
                      <c:pt idx="12">
                        <c:v>1522.11</c:v>
                      </c:pt>
                      <c:pt idx="13">
                        <c:v>1522.11</c:v>
                      </c:pt>
                      <c:pt idx="14">
                        <c:v>1522.11</c:v>
                      </c:pt>
                      <c:pt idx="15">
                        <c:v>1522.11</c:v>
                      </c:pt>
                      <c:pt idx="17">
                        <c:v>1522.12</c:v>
                      </c:pt>
                      <c:pt idx="18">
                        <c:v>1522.12</c:v>
                      </c:pt>
                      <c:pt idx="19">
                        <c:v>1522.12</c:v>
                      </c:pt>
                      <c:pt idx="20">
                        <c:v>1522.12</c:v>
                      </c:pt>
                      <c:pt idx="26">
                        <c:v>1522.01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575-49E2-B5B8-38D111733906}"/>
                  </c:ext>
                </c:extLst>
              </c15:ser>
            </c15:filteredLineSeries>
          </c:ext>
        </c:extLst>
      </c:lineChart>
      <c:catAx>
        <c:axId val="1157628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hh]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132431"/>
        <c:crosses val="autoZero"/>
        <c:auto val="1"/>
        <c:lblAlgn val="ctr"/>
        <c:lblOffset val="100"/>
        <c:noMultiLvlLbl val="0"/>
      </c:catAx>
      <c:valAx>
        <c:axId val="1831132431"/>
        <c:scaling>
          <c:orientation val="minMax"/>
          <c:min val="62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628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2054510581295071E-2"/>
          <c:y val="0.12640084081859634"/>
          <c:w val="0.89480692951077934"/>
          <c:h val="0.7891825528639268"/>
        </c:manualLayout>
      </c:layout>
      <c:lineChart>
        <c:grouping val="standard"/>
        <c:varyColors val="0"/>
        <c:ser>
          <c:idx val="4"/>
          <c:order val="4"/>
          <c:tx>
            <c:v>MRS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'2'!$B$9:$AF$9</c:f>
              <c:numCache>
                <c:formatCode>[hh]:mm</c:formatCode>
                <c:ptCount val="31"/>
                <c:pt idx="0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0.22916666666666666</c:v>
                </c:pt>
                <c:pt idx="7">
                  <c:v>0.25</c:v>
                </c:pt>
                <c:pt idx="8">
                  <c:v>0.27083333333333331</c:v>
                </c:pt>
                <c:pt idx="9">
                  <c:v>0.29166666666666669</c:v>
                </c:pt>
                <c:pt idx="10">
                  <c:v>0.3125</c:v>
                </c:pt>
                <c:pt idx="11">
                  <c:v>0.33333333333333331</c:v>
                </c:pt>
                <c:pt idx="12">
                  <c:v>0.375</c:v>
                </c:pt>
                <c:pt idx="13">
                  <c:v>0.41666666666666702</c:v>
                </c:pt>
                <c:pt idx="14">
                  <c:v>0.45833333333333298</c:v>
                </c:pt>
                <c:pt idx="15">
                  <c:v>0.5</c:v>
                </c:pt>
                <c:pt idx="16">
                  <c:v>0.54166666666666696</c:v>
                </c:pt>
                <c:pt idx="17">
                  <c:v>0.58333333333333304</c:v>
                </c:pt>
                <c:pt idx="18">
                  <c:v>0.625</c:v>
                </c:pt>
                <c:pt idx="19">
                  <c:v>0.66666666666666696</c:v>
                </c:pt>
                <c:pt idx="20">
                  <c:v>0.70833333333333304</c:v>
                </c:pt>
                <c:pt idx="21">
                  <c:v>0.72916666666666663</c:v>
                </c:pt>
                <c:pt idx="22">
                  <c:v>0.75</c:v>
                </c:pt>
                <c:pt idx="23">
                  <c:v>0.77083333333333337</c:v>
                </c:pt>
                <c:pt idx="24">
                  <c:v>0.79166666666666663</c:v>
                </c:pt>
                <c:pt idx="25">
                  <c:v>0.8125</c:v>
                </c:pt>
                <c:pt idx="26">
                  <c:v>0.83333333333333337</c:v>
                </c:pt>
                <c:pt idx="27">
                  <c:v>0.85416666666666663</c:v>
                </c:pt>
                <c:pt idx="28">
                  <c:v>0.875</c:v>
                </c:pt>
                <c:pt idx="29">
                  <c:v>0.91666666666666696</c:v>
                </c:pt>
                <c:pt idx="30">
                  <c:v>0.95833333333333304</c:v>
                </c:pt>
              </c:numCache>
            </c:numRef>
          </c:cat>
          <c:val>
            <c:numRef>
              <c:f>'2'!$B$135:$AF$135</c:f>
              <c:numCache>
                <c:formatCode>0.00</c:formatCode>
                <c:ptCount val="31"/>
                <c:pt idx="0">
                  <c:v>335.18</c:v>
                </c:pt>
                <c:pt idx="3">
                  <c:v>336.67</c:v>
                </c:pt>
                <c:pt idx="4">
                  <c:v>336.96</c:v>
                </c:pt>
                <c:pt idx="5">
                  <c:v>337.18</c:v>
                </c:pt>
                <c:pt idx="7">
                  <c:v>337.37</c:v>
                </c:pt>
                <c:pt idx="9">
                  <c:v>337.18</c:v>
                </c:pt>
                <c:pt idx="11">
                  <c:v>336.76</c:v>
                </c:pt>
                <c:pt idx="12">
                  <c:v>336.21</c:v>
                </c:pt>
                <c:pt idx="13">
                  <c:v>335.75</c:v>
                </c:pt>
                <c:pt idx="14">
                  <c:v>335.36</c:v>
                </c:pt>
                <c:pt idx="15">
                  <c:v>334.72</c:v>
                </c:pt>
                <c:pt idx="17">
                  <c:v>334.86</c:v>
                </c:pt>
                <c:pt idx="18">
                  <c:v>334.86</c:v>
                </c:pt>
                <c:pt idx="19">
                  <c:v>334.86</c:v>
                </c:pt>
                <c:pt idx="20">
                  <c:v>334.86</c:v>
                </c:pt>
                <c:pt idx="26">
                  <c:v>335.82</c:v>
                </c:pt>
                <c:pt idx="29">
                  <c:v>335.6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6C-4CF0-8F86-13E176FDC18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57628303"/>
        <c:axId val="183113243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'2'!$A$10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'2'!$B$9:$AF$9</c15:sqref>
                        </c15:formulaRef>
                      </c:ext>
                    </c:extLst>
                    <c:numCache>
                      <c:formatCode>[hh]:mm</c:formatCode>
                      <c:ptCount val="31"/>
                      <c:pt idx="0">
                        <c:v>0</c:v>
                      </c:pt>
                      <c:pt idx="1">
                        <c:v>4.1666666666666664E-2</c:v>
                      </c:pt>
                      <c:pt idx="2">
                        <c:v>8.3333333333333301E-2</c:v>
                      </c:pt>
                      <c:pt idx="3">
                        <c:v>0.125</c:v>
                      </c:pt>
                      <c:pt idx="4">
                        <c:v>0.16666666666666699</c:v>
                      </c:pt>
                      <c:pt idx="5">
                        <c:v>0.20833333333333301</c:v>
                      </c:pt>
                      <c:pt idx="6">
                        <c:v>0.22916666666666666</c:v>
                      </c:pt>
                      <c:pt idx="7">
                        <c:v>0.25</c:v>
                      </c:pt>
                      <c:pt idx="8">
                        <c:v>0.27083333333333331</c:v>
                      </c:pt>
                      <c:pt idx="9">
                        <c:v>0.29166666666666669</c:v>
                      </c:pt>
                      <c:pt idx="10">
                        <c:v>0.3125</c:v>
                      </c:pt>
                      <c:pt idx="11">
                        <c:v>0.33333333333333331</c:v>
                      </c:pt>
                      <c:pt idx="12">
                        <c:v>0.375</c:v>
                      </c:pt>
                      <c:pt idx="13">
                        <c:v>0.41666666666666702</c:v>
                      </c:pt>
                      <c:pt idx="14">
                        <c:v>0.45833333333333298</c:v>
                      </c:pt>
                      <c:pt idx="15">
                        <c:v>0.5</c:v>
                      </c:pt>
                      <c:pt idx="16">
                        <c:v>0.54166666666666696</c:v>
                      </c:pt>
                      <c:pt idx="17">
                        <c:v>0.58333333333333304</c:v>
                      </c:pt>
                      <c:pt idx="18">
                        <c:v>0.625</c:v>
                      </c:pt>
                      <c:pt idx="19">
                        <c:v>0.66666666666666696</c:v>
                      </c:pt>
                      <c:pt idx="20">
                        <c:v>0.70833333333333304</c:v>
                      </c:pt>
                      <c:pt idx="21">
                        <c:v>0.72916666666666663</c:v>
                      </c:pt>
                      <c:pt idx="22">
                        <c:v>0.75</c:v>
                      </c:pt>
                      <c:pt idx="23">
                        <c:v>0.77083333333333337</c:v>
                      </c:pt>
                      <c:pt idx="24">
                        <c:v>0.79166666666666663</c:v>
                      </c:pt>
                      <c:pt idx="25">
                        <c:v>0.8125</c:v>
                      </c:pt>
                      <c:pt idx="26">
                        <c:v>0.83333333333333337</c:v>
                      </c:pt>
                      <c:pt idx="27">
                        <c:v>0.85416666666666663</c:v>
                      </c:pt>
                      <c:pt idx="28">
                        <c:v>0.875</c:v>
                      </c:pt>
                      <c:pt idx="29">
                        <c:v>0.91666666666666696</c:v>
                      </c:pt>
                      <c:pt idx="30">
                        <c:v>0.95833333333333304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'2'!$B$10:$AF$10</c15:sqref>
                        </c15:formulaRef>
                      </c:ext>
                    </c:extLst>
                    <c:numCache>
                      <c:formatCode>[hh]:mm</c:formatCode>
                      <c:ptCount val="31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716C-4CF0-8F86-13E176FDC181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v>UTK</c:v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'2'!$B$9:$AF$9</c15:sqref>
                        </c15:formulaRef>
                      </c:ext>
                    </c:extLst>
                    <c:numCache>
                      <c:formatCode>[hh]:mm</c:formatCode>
                      <c:ptCount val="31"/>
                      <c:pt idx="0">
                        <c:v>0</c:v>
                      </c:pt>
                      <c:pt idx="1">
                        <c:v>4.1666666666666664E-2</c:v>
                      </c:pt>
                      <c:pt idx="2">
                        <c:v>8.3333333333333301E-2</c:v>
                      </c:pt>
                      <c:pt idx="3">
                        <c:v>0.125</c:v>
                      </c:pt>
                      <c:pt idx="4">
                        <c:v>0.16666666666666699</c:v>
                      </c:pt>
                      <c:pt idx="5">
                        <c:v>0.20833333333333301</c:v>
                      </c:pt>
                      <c:pt idx="6">
                        <c:v>0.22916666666666666</c:v>
                      </c:pt>
                      <c:pt idx="7">
                        <c:v>0.25</c:v>
                      </c:pt>
                      <c:pt idx="8">
                        <c:v>0.27083333333333331</c:v>
                      </c:pt>
                      <c:pt idx="9">
                        <c:v>0.29166666666666669</c:v>
                      </c:pt>
                      <c:pt idx="10">
                        <c:v>0.3125</c:v>
                      </c:pt>
                      <c:pt idx="11">
                        <c:v>0.33333333333333331</c:v>
                      </c:pt>
                      <c:pt idx="12">
                        <c:v>0.375</c:v>
                      </c:pt>
                      <c:pt idx="13">
                        <c:v>0.41666666666666702</c:v>
                      </c:pt>
                      <c:pt idx="14">
                        <c:v>0.45833333333333298</c:v>
                      </c:pt>
                      <c:pt idx="15">
                        <c:v>0.5</c:v>
                      </c:pt>
                      <c:pt idx="16">
                        <c:v>0.54166666666666696</c:v>
                      </c:pt>
                      <c:pt idx="17">
                        <c:v>0.58333333333333304</c:v>
                      </c:pt>
                      <c:pt idx="18">
                        <c:v>0.625</c:v>
                      </c:pt>
                      <c:pt idx="19">
                        <c:v>0.66666666666666696</c:v>
                      </c:pt>
                      <c:pt idx="20">
                        <c:v>0.70833333333333304</c:v>
                      </c:pt>
                      <c:pt idx="21">
                        <c:v>0.72916666666666663</c:v>
                      </c:pt>
                      <c:pt idx="22">
                        <c:v>0.75</c:v>
                      </c:pt>
                      <c:pt idx="23">
                        <c:v>0.77083333333333337</c:v>
                      </c:pt>
                      <c:pt idx="24">
                        <c:v>0.79166666666666663</c:v>
                      </c:pt>
                      <c:pt idx="25">
                        <c:v>0.8125</c:v>
                      </c:pt>
                      <c:pt idx="26">
                        <c:v>0.83333333333333337</c:v>
                      </c:pt>
                      <c:pt idx="27">
                        <c:v>0.85416666666666663</c:v>
                      </c:pt>
                      <c:pt idx="28">
                        <c:v>0.875</c:v>
                      </c:pt>
                      <c:pt idx="29">
                        <c:v>0.91666666666666696</c:v>
                      </c:pt>
                      <c:pt idx="30">
                        <c:v>0.95833333333333304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'2'!$B$132:$AF$132</c15:sqref>
                        </c15:formulaRef>
                      </c:ext>
                    </c:extLst>
                    <c:numCache>
                      <c:formatCode>0.00</c:formatCode>
                      <c:ptCount val="31"/>
                      <c:pt idx="3">
                        <c:v>1985.11</c:v>
                      </c:pt>
                      <c:pt idx="4">
                        <c:v>1985.4</c:v>
                      </c:pt>
                      <c:pt idx="5">
                        <c:v>1985.64</c:v>
                      </c:pt>
                      <c:pt idx="7">
                        <c:v>1985.9</c:v>
                      </c:pt>
                      <c:pt idx="9">
                        <c:v>1986.12</c:v>
                      </c:pt>
                      <c:pt idx="11">
                        <c:v>1986</c:v>
                      </c:pt>
                      <c:pt idx="12">
                        <c:v>1985.25</c:v>
                      </c:pt>
                      <c:pt idx="13">
                        <c:v>1984.4</c:v>
                      </c:pt>
                      <c:pt idx="14">
                        <c:v>1983.71</c:v>
                      </c:pt>
                      <c:pt idx="15">
                        <c:v>1983.55</c:v>
                      </c:pt>
                      <c:pt idx="17">
                        <c:v>1983.85</c:v>
                      </c:pt>
                      <c:pt idx="18">
                        <c:v>1983.85</c:v>
                      </c:pt>
                      <c:pt idx="19">
                        <c:v>1984.02</c:v>
                      </c:pt>
                      <c:pt idx="20">
                        <c:v>1984.27</c:v>
                      </c:pt>
                      <c:pt idx="26">
                        <c:v>1982.5</c:v>
                      </c:pt>
                      <c:pt idx="29">
                        <c:v>1983.19</c:v>
                      </c:pt>
                    </c:numCache>
                  </c:numRef>
                </c: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716C-4CF0-8F86-13E176FDC18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KGA</c:v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'2'!$B$9:$AF$9</c15:sqref>
                        </c15:formulaRef>
                      </c:ext>
                    </c:extLst>
                    <c:numCache>
                      <c:formatCode>[hh]:mm</c:formatCode>
                      <c:ptCount val="31"/>
                      <c:pt idx="0">
                        <c:v>0</c:v>
                      </c:pt>
                      <c:pt idx="1">
                        <c:v>4.1666666666666664E-2</c:v>
                      </c:pt>
                      <c:pt idx="2">
                        <c:v>8.3333333333333301E-2</c:v>
                      </c:pt>
                      <c:pt idx="3">
                        <c:v>0.125</c:v>
                      </c:pt>
                      <c:pt idx="4">
                        <c:v>0.16666666666666699</c:v>
                      </c:pt>
                      <c:pt idx="5">
                        <c:v>0.20833333333333301</c:v>
                      </c:pt>
                      <c:pt idx="6">
                        <c:v>0.22916666666666666</c:v>
                      </c:pt>
                      <c:pt idx="7">
                        <c:v>0.25</c:v>
                      </c:pt>
                      <c:pt idx="8">
                        <c:v>0.27083333333333331</c:v>
                      </c:pt>
                      <c:pt idx="9">
                        <c:v>0.29166666666666669</c:v>
                      </c:pt>
                      <c:pt idx="10">
                        <c:v>0.3125</c:v>
                      </c:pt>
                      <c:pt idx="11">
                        <c:v>0.33333333333333331</c:v>
                      </c:pt>
                      <c:pt idx="12">
                        <c:v>0.375</c:v>
                      </c:pt>
                      <c:pt idx="13">
                        <c:v>0.41666666666666702</c:v>
                      </c:pt>
                      <c:pt idx="14">
                        <c:v>0.45833333333333298</c:v>
                      </c:pt>
                      <c:pt idx="15">
                        <c:v>0.5</c:v>
                      </c:pt>
                      <c:pt idx="16">
                        <c:v>0.54166666666666696</c:v>
                      </c:pt>
                      <c:pt idx="17">
                        <c:v>0.58333333333333304</c:v>
                      </c:pt>
                      <c:pt idx="18">
                        <c:v>0.625</c:v>
                      </c:pt>
                      <c:pt idx="19">
                        <c:v>0.66666666666666696</c:v>
                      </c:pt>
                      <c:pt idx="20">
                        <c:v>0.70833333333333304</c:v>
                      </c:pt>
                      <c:pt idx="21">
                        <c:v>0.72916666666666663</c:v>
                      </c:pt>
                      <c:pt idx="22">
                        <c:v>0.75</c:v>
                      </c:pt>
                      <c:pt idx="23">
                        <c:v>0.77083333333333337</c:v>
                      </c:pt>
                      <c:pt idx="24">
                        <c:v>0.79166666666666663</c:v>
                      </c:pt>
                      <c:pt idx="25">
                        <c:v>0.8125</c:v>
                      </c:pt>
                      <c:pt idx="26">
                        <c:v>0.83333333333333337</c:v>
                      </c:pt>
                      <c:pt idx="27">
                        <c:v>0.85416666666666663</c:v>
                      </c:pt>
                      <c:pt idx="28">
                        <c:v>0.875</c:v>
                      </c:pt>
                      <c:pt idx="29">
                        <c:v>0.91666666666666696</c:v>
                      </c:pt>
                      <c:pt idx="30">
                        <c:v>0.95833333333333304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'2'!$B$133:$AF$133</c15:sqref>
                        </c15:formulaRef>
                      </c:ext>
                    </c:extLst>
                    <c:numCache>
                      <c:formatCode>0.00</c:formatCode>
                      <c:ptCount val="31"/>
                      <c:pt idx="3">
                        <c:v>522.78</c:v>
                      </c:pt>
                      <c:pt idx="4">
                        <c:v>523.16</c:v>
                      </c:pt>
                      <c:pt idx="5">
                        <c:v>523.5</c:v>
                      </c:pt>
                      <c:pt idx="7">
                        <c:v>523.72</c:v>
                      </c:pt>
                      <c:pt idx="9">
                        <c:v>523.66999999999996</c:v>
                      </c:pt>
                      <c:pt idx="11">
                        <c:v>523.07000000000005</c:v>
                      </c:pt>
                      <c:pt idx="12">
                        <c:v>522.9</c:v>
                      </c:pt>
                      <c:pt idx="13">
                        <c:v>522.69000000000005</c:v>
                      </c:pt>
                      <c:pt idx="14">
                        <c:v>522.46</c:v>
                      </c:pt>
                      <c:pt idx="15">
                        <c:v>522.02</c:v>
                      </c:pt>
                      <c:pt idx="17">
                        <c:v>521.08000000000004</c:v>
                      </c:pt>
                      <c:pt idx="18">
                        <c:v>521.08000000000004</c:v>
                      </c:pt>
                      <c:pt idx="19">
                        <c:v>521.08000000000004</c:v>
                      </c:pt>
                      <c:pt idx="20">
                        <c:v>522.97</c:v>
                      </c:pt>
                      <c:pt idx="26">
                        <c:v>519.34</c:v>
                      </c:pt>
                      <c:pt idx="29">
                        <c:v>519.20000000000005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16C-4CF0-8F86-13E176FDC181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MMRS</c:v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'2'!$B$9:$AF$9</c15:sqref>
                        </c15:formulaRef>
                      </c:ext>
                    </c:extLst>
                    <c:numCache>
                      <c:formatCode>[hh]:mm</c:formatCode>
                      <c:ptCount val="31"/>
                      <c:pt idx="0">
                        <c:v>0</c:v>
                      </c:pt>
                      <c:pt idx="1">
                        <c:v>4.1666666666666664E-2</c:v>
                      </c:pt>
                      <c:pt idx="2">
                        <c:v>8.3333333333333301E-2</c:v>
                      </c:pt>
                      <c:pt idx="3">
                        <c:v>0.125</c:v>
                      </c:pt>
                      <c:pt idx="4">
                        <c:v>0.16666666666666699</c:v>
                      </c:pt>
                      <c:pt idx="5">
                        <c:v>0.20833333333333301</c:v>
                      </c:pt>
                      <c:pt idx="6">
                        <c:v>0.22916666666666666</c:v>
                      </c:pt>
                      <c:pt idx="7">
                        <c:v>0.25</c:v>
                      </c:pt>
                      <c:pt idx="8">
                        <c:v>0.27083333333333331</c:v>
                      </c:pt>
                      <c:pt idx="9">
                        <c:v>0.29166666666666669</c:v>
                      </c:pt>
                      <c:pt idx="10">
                        <c:v>0.3125</c:v>
                      </c:pt>
                      <c:pt idx="11">
                        <c:v>0.33333333333333331</c:v>
                      </c:pt>
                      <c:pt idx="12">
                        <c:v>0.375</c:v>
                      </c:pt>
                      <c:pt idx="13">
                        <c:v>0.41666666666666702</c:v>
                      </c:pt>
                      <c:pt idx="14">
                        <c:v>0.45833333333333298</c:v>
                      </c:pt>
                      <c:pt idx="15">
                        <c:v>0.5</c:v>
                      </c:pt>
                      <c:pt idx="16">
                        <c:v>0.54166666666666696</c:v>
                      </c:pt>
                      <c:pt idx="17">
                        <c:v>0.58333333333333304</c:v>
                      </c:pt>
                      <c:pt idx="18">
                        <c:v>0.625</c:v>
                      </c:pt>
                      <c:pt idx="19">
                        <c:v>0.66666666666666696</c:v>
                      </c:pt>
                      <c:pt idx="20">
                        <c:v>0.70833333333333304</c:v>
                      </c:pt>
                      <c:pt idx="21">
                        <c:v>0.72916666666666663</c:v>
                      </c:pt>
                      <c:pt idx="22">
                        <c:v>0.75</c:v>
                      </c:pt>
                      <c:pt idx="23">
                        <c:v>0.77083333333333337</c:v>
                      </c:pt>
                      <c:pt idx="24">
                        <c:v>0.79166666666666663</c:v>
                      </c:pt>
                      <c:pt idx="25">
                        <c:v>0.8125</c:v>
                      </c:pt>
                      <c:pt idx="26">
                        <c:v>0.83333333333333337</c:v>
                      </c:pt>
                      <c:pt idx="27">
                        <c:v>0.85416666666666663</c:v>
                      </c:pt>
                      <c:pt idx="28">
                        <c:v>0.875</c:v>
                      </c:pt>
                      <c:pt idx="29">
                        <c:v>0.91666666666666696</c:v>
                      </c:pt>
                      <c:pt idx="30">
                        <c:v>0.95833333333333304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'2'!$B$134:$AF$134</c15:sqref>
                        </c15:formulaRef>
                      </c:ext>
                    </c:extLst>
                    <c:numCache>
                      <c:formatCode>0.00</c:formatCode>
                      <c:ptCount val="31"/>
                      <c:pt idx="3">
                        <c:v>625.07000000000005</c:v>
                      </c:pt>
                      <c:pt idx="4">
                        <c:v>625.29</c:v>
                      </c:pt>
                      <c:pt idx="5">
                        <c:v>625.65</c:v>
                      </c:pt>
                      <c:pt idx="7">
                        <c:v>625.74</c:v>
                      </c:pt>
                      <c:pt idx="9">
                        <c:v>625.66</c:v>
                      </c:pt>
                      <c:pt idx="11">
                        <c:v>625.15</c:v>
                      </c:pt>
                      <c:pt idx="12">
                        <c:v>624.97</c:v>
                      </c:pt>
                      <c:pt idx="13">
                        <c:v>624.70000000000005</c:v>
                      </c:pt>
                      <c:pt idx="14">
                        <c:v>624.47</c:v>
                      </c:pt>
                      <c:pt idx="15">
                        <c:v>624.15</c:v>
                      </c:pt>
                      <c:pt idx="17">
                        <c:v>623.35</c:v>
                      </c:pt>
                      <c:pt idx="18">
                        <c:v>623.35</c:v>
                      </c:pt>
                      <c:pt idx="19">
                        <c:v>623.35</c:v>
                      </c:pt>
                      <c:pt idx="20">
                        <c:v>623.35</c:v>
                      </c:pt>
                      <c:pt idx="26">
                        <c:v>622.46</c:v>
                      </c:pt>
                      <c:pt idx="29">
                        <c:v>622.16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16C-4CF0-8F86-13E176FDC18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CHM</c:v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'2'!$B$9:$AF$9</c15:sqref>
                        </c15:formulaRef>
                      </c:ext>
                    </c:extLst>
                    <c:numCache>
                      <c:formatCode>[hh]:mm</c:formatCode>
                      <c:ptCount val="31"/>
                      <c:pt idx="0">
                        <c:v>0</c:v>
                      </c:pt>
                      <c:pt idx="1">
                        <c:v>4.1666666666666664E-2</c:v>
                      </c:pt>
                      <c:pt idx="2">
                        <c:v>8.3333333333333301E-2</c:v>
                      </c:pt>
                      <c:pt idx="3">
                        <c:v>0.125</c:v>
                      </c:pt>
                      <c:pt idx="4">
                        <c:v>0.16666666666666699</c:v>
                      </c:pt>
                      <c:pt idx="5">
                        <c:v>0.20833333333333301</c:v>
                      </c:pt>
                      <c:pt idx="6">
                        <c:v>0.22916666666666666</c:v>
                      </c:pt>
                      <c:pt idx="7">
                        <c:v>0.25</c:v>
                      </c:pt>
                      <c:pt idx="8">
                        <c:v>0.27083333333333331</c:v>
                      </c:pt>
                      <c:pt idx="9">
                        <c:v>0.29166666666666669</c:v>
                      </c:pt>
                      <c:pt idx="10">
                        <c:v>0.3125</c:v>
                      </c:pt>
                      <c:pt idx="11">
                        <c:v>0.33333333333333331</c:v>
                      </c:pt>
                      <c:pt idx="12">
                        <c:v>0.375</c:v>
                      </c:pt>
                      <c:pt idx="13">
                        <c:v>0.41666666666666702</c:v>
                      </c:pt>
                      <c:pt idx="14">
                        <c:v>0.45833333333333298</c:v>
                      </c:pt>
                      <c:pt idx="15">
                        <c:v>0.5</c:v>
                      </c:pt>
                      <c:pt idx="16">
                        <c:v>0.54166666666666696</c:v>
                      </c:pt>
                      <c:pt idx="17">
                        <c:v>0.58333333333333304</c:v>
                      </c:pt>
                      <c:pt idx="18">
                        <c:v>0.625</c:v>
                      </c:pt>
                      <c:pt idx="19">
                        <c:v>0.66666666666666696</c:v>
                      </c:pt>
                      <c:pt idx="20">
                        <c:v>0.70833333333333304</c:v>
                      </c:pt>
                      <c:pt idx="21">
                        <c:v>0.72916666666666663</c:v>
                      </c:pt>
                      <c:pt idx="22">
                        <c:v>0.75</c:v>
                      </c:pt>
                      <c:pt idx="23">
                        <c:v>0.77083333333333337</c:v>
                      </c:pt>
                      <c:pt idx="24">
                        <c:v>0.79166666666666663</c:v>
                      </c:pt>
                      <c:pt idx="25">
                        <c:v>0.8125</c:v>
                      </c:pt>
                      <c:pt idx="26">
                        <c:v>0.83333333333333337</c:v>
                      </c:pt>
                      <c:pt idx="27">
                        <c:v>0.85416666666666663</c:v>
                      </c:pt>
                      <c:pt idx="28">
                        <c:v>0.875</c:v>
                      </c:pt>
                      <c:pt idx="29">
                        <c:v>0.91666666666666696</c:v>
                      </c:pt>
                      <c:pt idx="30">
                        <c:v>0.95833333333333304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'2'!$B$136:$AF$136</c15:sqref>
                        </c15:formulaRef>
                      </c:ext>
                    </c:extLst>
                    <c:numCache>
                      <c:formatCode>0.00</c:formatCode>
                      <c:ptCount val="31"/>
                      <c:pt idx="5">
                        <c:v>887.1</c:v>
                      </c:pt>
                      <c:pt idx="7">
                        <c:v>887.3</c:v>
                      </c:pt>
                      <c:pt idx="11">
                        <c:v>886.5</c:v>
                      </c:pt>
                      <c:pt idx="12">
                        <c:v>885.3</c:v>
                      </c:pt>
                      <c:pt idx="13">
                        <c:v>884.1</c:v>
                      </c:pt>
                      <c:pt idx="14">
                        <c:v>883.6</c:v>
                      </c:pt>
                      <c:pt idx="15">
                        <c:v>883.6</c:v>
                      </c:pt>
                      <c:pt idx="17">
                        <c:v>884.2</c:v>
                      </c:pt>
                      <c:pt idx="18">
                        <c:v>884.2</c:v>
                      </c:pt>
                      <c:pt idx="19">
                        <c:v>884.2</c:v>
                      </c:pt>
                      <c:pt idx="20">
                        <c:v>884.2</c:v>
                      </c:pt>
                      <c:pt idx="26">
                        <c:v>882.7</c:v>
                      </c:pt>
                      <c:pt idx="29">
                        <c:v>882.6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16C-4CF0-8F86-13E176FDC18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KL1</c:v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eparator> </c:separator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'2'!$B$9:$AF$9</c15:sqref>
                        </c15:formulaRef>
                      </c:ext>
                    </c:extLst>
                    <c:numCache>
                      <c:formatCode>[hh]:mm</c:formatCode>
                      <c:ptCount val="31"/>
                      <c:pt idx="0">
                        <c:v>0</c:v>
                      </c:pt>
                      <c:pt idx="1">
                        <c:v>4.1666666666666664E-2</c:v>
                      </c:pt>
                      <c:pt idx="2">
                        <c:v>8.3333333333333301E-2</c:v>
                      </c:pt>
                      <c:pt idx="3">
                        <c:v>0.125</c:v>
                      </c:pt>
                      <c:pt idx="4">
                        <c:v>0.16666666666666699</c:v>
                      </c:pt>
                      <c:pt idx="5">
                        <c:v>0.20833333333333301</c:v>
                      </c:pt>
                      <c:pt idx="6">
                        <c:v>0.22916666666666666</c:v>
                      </c:pt>
                      <c:pt idx="7">
                        <c:v>0.25</c:v>
                      </c:pt>
                      <c:pt idx="8">
                        <c:v>0.27083333333333331</c:v>
                      </c:pt>
                      <c:pt idx="9">
                        <c:v>0.29166666666666669</c:v>
                      </c:pt>
                      <c:pt idx="10">
                        <c:v>0.3125</c:v>
                      </c:pt>
                      <c:pt idx="11">
                        <c:v>0.33333333333333331</c:v>
                      </c:pt>
                      <c:pt idx="12">
                        <c:v>0.375</c:v>
                      </c:pt>
                      <c:pt idx="13">
                        <c:v>0.41666666666666702</c:v>
                      </c:pt>
                      <c:pt idx="14">
                        <c:v>0.45833333333333298</c:v>
                      </c:pt>
                      <c:pt idx="15">
                        <c:v>0.5</c:v>
                      </c:pt>
                      <c:pt idx="16">
                        <c:v>0.54166666666666696</c:v>
                      </c:pt>
                      <c:pt idx="17">
                        <c:v>0.58333333333333304</c:v>
                      </c:pt>
                      <c:pt idx="18">
                        <c:v>0.625</c:v>
                      </c:pt>
                      <c:pt idx="19">
                        <c:v>0.66666666666666696</c:v>
                      </c:pt>
                      <c:pt idx="20">
                        <c:v>0.70833333333333304</c:v>
                      </c:pt>
                      <c:pt idx="21">
                        <c:v>0.72916666666666663</c:v>
                      </c:pt>
                      <c:pt idx="22">
                        <c:v>0.75</c:v>
                      </c:pt>
                      <c:pt idx="23">
                        <c:v>0.77083333333333337</c:v>
                      </c:pt>
                      <c:pt idx="24">
                        <c:v>0.79166666666666663</c:v>
                      </c:pt>
                      <c:pt idx="25">
                        <c:v>0.8125</c:v>
                      </c:pt>
                      <c:pt idx="26">
                        <c:v>0.83333333333333337</c:v>
                      </c:pt>
                      <c:pt idx="27">
                        <c:v>0.85416666666666663</c:v>
                      </c:pt>
                      <c:pt idx="28">
                        <c:v>0.875</c:v>
                      </c:pt>
                      <c:pt idx="29">
                        <c:v>0.91666666666666696</c:v>
                      </c:pt>
                      <c:pt idx="30">
                        <c:v>0.95833333333333304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'2'!$B$137:$AF$137</c15:sqref>
                        </c15:formulaRef>
                      </c:ext>
                    </c:extLst>
                    <c:numCache>
                      <c:formatCode>0.00</c:formatCode>
                      <c:ptCount val="31"/>
                      <c:pt idx="6">
                        <c:v>1522.11</c:v>
                      </c:pt>
                      <c:pt idx="11">
                        <c:v>1522.11</c:v>
                      </c:pt>
                      <c:pt idx="12">
                        <c:v>1522.11</c:v>
                      </c:pt>
                      <c:pt idx="13">
                        <c:v>1522.11</c:v>
                      </c:pt>
                      <c:pt idx="14">
                        <c:v>1522.11</c:v>
                      </c:pt>
                      <c:pt idx="15">
                        <c:v>1522.11</c:v>
                      </c:pt>
                      <c:pt idx="17">
                        <c:v>1522.12</c:v>
                      </c:pt>
                      <c:pt idx="18">
                        <c:v>1522.12</c:v>
                      </c:pt>
                      <c:pt idx="19">
                        <c:v>1522.12</c:v>
                      </c:pt>
                      <c:pt idx="20">
                        <c:v>1522.12</c:v>
                      </c:pt>
                      <c:pt idx="26">
                        <c:v>1522.01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16C-4CF0-8F86-13E176FDC181}"/>
                  </c:ext>
                </c:extLst>
              </c15:ser>
            </c15:filteredLineSeries>
          </c:ext>
        </c:extLst>
      </c:lineChart>
      <c:catAx>
        <c:axId val="1157628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hh]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132431"/>
        <c:crosses val="autoZero"/>
        <c:auto val="1"/>
        <c:lblAlgn val="ctr"/>
        <c:lblOffset val="100"/>
        <c:noMultiLvlLbl val="0"/>
      </c:catAx>
      <c:valAx>
        <c:axId val="1831132431"/>
        <c:scaling>
          <c:orientation val="minMax"/>
          <c:min val="33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628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4693336444120595E-2"/>
          <c:y val="0.12986952474850072"/>
          <c:w val="0.89480692951077934"/>
          <c:h val="0.7891825528639268"/>
        </c:manualLayout>
      </c:layout>
      <c:lineChart>
        <c:grouping val="standard"/>
        <c:varyColors val="0"/>
        <c:ser>
          <c:idx val="5"/>
          <c:order val="5"/>
          <c:tx>
            <c:v>CHM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'2'!$B$9:$AF$9</c:f>
              <c:numCache>
                <c:formatCode>[hh]:mm</c:formatCode>
                <c:ptCount val="31"/>
                <c:pt idx="0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0.22916666666666666</c:v>
                </c:pt>
                <c:pt idx="7">
                  <c:v>0.25</c:v>
                </c:pt>
                <c:pt idx="8">
                  <c:v>0.27083333333333331</c:v>
                </c:pt>
                <c:pt idx="9">
                  <c:v>0.29166666666666669</c:v>
                </c:pt>
                <c:pt idx="10">
                  <c:v>0.3125</c:v>
                </c:pt>
                <c:pt idx="11">
                  <c:v>0.33333333333333331</c:v>
                </c:pt>
                <c:pt idx="12">
                  <c:v>0.375</c:v>
                </c:pt>
                <c:pt idx="13">
                  <c:v>0.41666666666666702</c:v>
                </c:pt>
                <c:pt idx="14">
                  <c:v>0.45833333333333298</c:v>
                </c:pt>
                <c:pt idx="15">
                  <c:v>0.5</c:v>
                </c:pt>
                <c:pt idx="16">
                  <c:v>0.54166666666666696</c:v>
                </c:pt>
                <c:pt idx="17">
                  <c:v>0.58333333333333304</c:v>
                </c:pt>
                <c:pt idx="18">
                  <c:v>0.625</c:v>
                </c:pt>
                <c:pt idx="19">
                  <c:v>0.66666666666666696</c:v>
                </c:pt>
                <c:pt idx="20">
                  <c:v>0.70833333333333304</c:v>
                </c:pt>
                <c:pt idx="21">
                  <c:v>0.72916666666666663</c:v>
                </c:pt>
                <c:pt idx="22">
                  <c:v>0.75</c:v>
                </c:pt>
                <c:pt idx="23">
                  <c:v>0.77083333333333337</c:v>
                </c:pt>
                <c:pt idx="24">
                  <c:v>0.79166666666666663</c:v>
                </c:pt>
                <c:pt idx="25">
                  <c:v>0.8125</c:v>
                </c:pt>
                <c:pt idx="26">
                  <c:v>0.83333333333333337</c:v>
                </c:pt>
                <c:pt idx="27">
                  <c:v>0.85416666666666663</c:v>
                </c:pt>
                <c:pt idx="28">
                  <c:v>0.875</c:v>
                </c:pt>
                <c:pt idx="29">
                  <c:v>0.91666666666666696</c:v>
                </c:pt>
                <c:pt idx="30">
                  <c:v>0.95833333333333304</c:v>
                </c:pt>
              </c:numCache>
              <c:extLst xmlns:c15="http://schemas.microsoft.com/office/drawing/2012/chart"/>
            </c:numRef>
          </c:cat>
          <c:val>
            <c:numRef>
              <c:f>'2'!$B$136:$AF$136</c:f>
              <c:numCache>
                <c:formatCode>0.00</c:formatCode>
                <c:ptCount val="31"/>
                <c:pt idx="5">
                  <c:v>887.1</c:v>
                </c:pt>
                <c:pt idx="7">
                  <c:v>887.3</c:v>
                </c:pt>
                <c:pt idx="11">
                  <c:v>886.5</c:v>
                </c:pt>
                <c:pt idx="12">
                  <c:v>885.3</c:v>
                </c:pt>
                <c:pt idx="13">
                  <c:v>884.1</c:v>
                </c:pt>
                <c:pt idx="14">
                  <c:v>883.6</c:v>
                </c:pt>
                <c:pt idx="15">
                  <c:v>883.6</c:v>
                </c:pt>
                <c:pt idx="17">
                  <c:v>884.2</c:v>
                </c:pt>
                <c:pt idx="18">
                  <c:v>884.2</c:v>
                </c:pt>
                <c:pt idx="19">
                  <c:v>884.2</c:v>
                </c:pt>
                <c:pt idx="20">
                  <c:v>884.2</c:v>
                </c:pt>
                <c:pt idx="26">
                  <c:v>882.7</c:v>
                </c:pt>
                <c:pt idx="29">
                  <c:v>882.6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E929-45FE-80F8-3F108BD9F5D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57628303"/>
        <c:axId val="183113243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'2'!$A$10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'2'!$B$9:$AF$9</c15:sqref>
                        </c15:formulaRef>
                      </c:ext>
                    </c:extLst>
                    <c:numCache>
                      <c:formatCode>[hh]:mm</c:formatCode>
                      <c:ptCount val="31"/>
                      <c:pt idx="0">
                        <c:v>0</c:v>
                      </c:pt>
                      <c:pt idx="1">
                        <c:v>4.1666666666666664E-2</c:v>
                      </c:pt>
                      <c:pt idx="2">
                        <c:v>8.3333333333333301E-2</c:v>
                      </c:pt>
                      <c:pt idx="3">
                        <c:v>0.125</c:v>
                      </c:pt>
                      <c:pt idx="4">
                        <c:v>0.16666666666666699</c:v>
                      </c:pt>
                      <c:pt idx="5">
                        <c:v>0.20833333333333301</c:v>
                      </c:pt>
                      <c:pt idx="6">
                        <c:v>0.22916666666666666</c:v>
                      </c:pt>
                      <c:pt idx="7">
                        <c:v>0.25</c:v>
                      </c:pt>
                      <c:pt idx="8">
                        <c:v>0.27083333333333331</c:v>
                      </c:pt>
                      <c:pt idx="9">
                        <c:v>0.29166666666666669</c:v>
                      </c:pt>
                      <c:pt idx="10">
                        <c:v>0.3125</c:v>
                      </c:pt>
                      <c:pt idx="11">
                        <c:v>0.33333333333333331</c:v>
                      </c:pt>
                      <c:pt idx="12">
                        <c:v>0.375</c:v>
                      </c:pt>
                      <c:pt idx="13">
                        <c:v>0.41666666666666702</c:v>
                      </c:pt>
                      <c:pt idx="14">
                        <c:v>0.45833333333333298</c:v>
                      </c:pt>
                      <c:pt idx="15">
                        <c:v>0.5</c:v>
                      </c:pt>
                      <c:pt idx="16">
                        <c:v>0.54166666666666696</c:v>
                      </c:pt>
                      <c:pt idx="17">
                        <c:v>0.58333333333333304</c:v>
                      </c:pt>
                      <c:pt idx="18">
                        <c:v>0.625</c:v>
                      </c:pt>
                      <c:pt idx="19">
                        <c:v>0.66666666666666696</c:v>
                      </c:pt>
                      <c:pt idx="20">
                        <c:v>0.70833333333333304</c:v>
                      </c:pt>
                      <c:pt idx="21">
                        <c:v>0.72916666666666663</c:v>
                      </c:pt>
                      <c:pt idx="22">
                        <c:v>0.75</c:v>
                      </c:pt>
                      <c:pt idx="23">
                        <c:v>0.77083333333333337</c:v>
                      </c:pt>
                      <c:pt idx="24">
                        <c:v>0.79166666666666663</c:v>
                      </c:pt>
                      <c:pt idx="25">
                        <c:v>0.8125</c:v>
                      </c:pt>
                      <c:pt idx="26">
                        <c:v>0.83333333333333337</c:v>
                      </c:pt>
                      <c:pt idx="27">
                        <c:v>0.85416666666666663</c:v>
                      </c:pt>
                      <c:pt idx="28">
                        <c:v>0.875</c:v>
                      </c:pt>
                      <c:pt idx="29">
                        <c:v>0.91666666666666696</c:v>
                      </c:pt>
                      <c:pt idx="30">
                        <c:v>0.95833333333333304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'2'!$B$10:$AF$10</c15:sqref>
                        </c15:formulaRef>
                      </c:ext>
                    </c:extLst>
                    <c:numCache>
                      <c:formatCode>[hh]:mm</c:formatCode>
                      <c:ptCount val="31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E929-45FE-80F8-3F108BD9F5D8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v>UTK</c:v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'2'!$B$9:$AF$9</c15:sqref>
                        </c15:formulaRef>
                      </c:ext>
                    </c:extLst>
                    <c:numCache>
                      <c:formatCode>[hh]:mm</c:formatCode>
                      <c:ptCount val="31"/>
                      <c:pt idx="0">
                        <c:v>0</c:v>
                      </c:pt>
                      <c:pt idx="1">
                        <c:v>4.1666666666666664E-2</c:v>
                      </c:pt>
                      <c:pt idx="2">
                        <c:v>8.3333333333333301E-2</c:v>
                      </c:pt>
                      <c:pt idx="3">
                        <c:v>0.125</c:v>
                      </c:pt>
                      <c:pt idx="4">
                        <c:v>0.16666666666666699</c:v>
                      </c:pt>
                      <c:pt idx="5">
                        <c:v>0.20833333333333301</c:v>
                      </c:pt>
                      <c:pt idx="6">
                        <c:v>0.22916666666666666</c:v>
                      </c:pt>
                      <c:pt idx="7">
                        <c:v>0.25</c:v>
                      </c:pt>
                      <c:pt idx="8">
                        <c:v>0.27083333333333331</c:v>
                      </c:pt>
                      <c:pt idx="9">
                        <c:v>0.29166666666666669</c:v>
                      </c:pt>
                      <c:pt idx="10">
                        <c:v>0.3125</c:v>
                      </c:pt>
                      <c:pt idx="11">
                        <c:v>0.33333333333333331</c:v>
                      </c:pt>
                      <c:pt idx="12">
                        <c:v>0.375</c:v>
                      </c:pt>
                      <c:pt idx="13">
                        <c:v>0.41666666666666702</c:v>
                      </c:pt>
                      <c:pt idx="14">
                        <c:v>0.45833333333333298</c:v>
                      </c:pt>
                      <c:pt idx="15">
                        <c:v>0.5</c:v>
                      </c:pt>
                      <c:pt idx="16">
                        <c:v>0.54166666666666696</c:v>
                      </c:pt>
                      <c:pt idx="17">
                        <c:v>0.58333333333333304</c:v>
                      </c:pt>
                      <c:pt idx="18">
                        <c:v>0.625</c:v>
                      </c:pt>
                      <c:pt idx="19">
                        <c:v>0.66666666666666696</c:v>
                      </c:pt>
                      <c:pt idx="20">
                        <c:v>0.70833333333333304</c:v>
                      </c:pt>
                      <c:pt idx="21">
                        <c:v>0.72916666666666663</c:v>
                      </c:pt>
                      <c:pt idx="22">
                        <c:v>0.75</c:v>
                      </c:pt>
                      <c:pt idx="23">
                        <c:v>0.77083333333333337</c:v>
                      </c:pt>
                      <c:pt idx="24">
                        <c:v>0.79166666666666663</c:v>
                      </c:pt>
                      <c:pt idx="25">
                        <c:v>0.8125</c:v>
                      </c:pt>
                      <c:pt idx="26">
                        <c:v>0.83333333333333337</c:v>
                      </c:pt>
                      <c:pt idx="27">
                        <c:v>0.85416666666666663</c:v>
                      </c:pt>
                      <c:pt idx="28">
                        <c:v>0.875</c:v>
                      </c:pt>
                      <c:pt idx="29">
                        <c:v>0.91666666666666696</c:v>
                      </c:pt>
                      <c:pt idx="30">
                        <c:v>0.95833333333333304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'2'!$B$132:$AF$132</c15:sqref>
                        </c15:formulaRef>
                      </c:ext>
                    </c:extLst>
                    <c:numCache>
                      <c:formatCode>0.00</c:formatCode>
                      <c:ptCount val="31"/>
                      <c:pt idx="3">
                        <c:v>1985.11</c:v>
                      </c:pt>
                      <c:pt idx="4">
                        <c:v>1985.4</c:v>
                      </c:pt>
                      <c:pt idx="5">
                        <c:v>1985.64</c:v>
                      </c:pt>
                      <c:pt idx="7">
                        <c:v>1985.9</c:v>
                      </c:pt>
                      <c:pt idx="9">
                        <c:v>1986.12</c:v>
                      </c:pt>
                      <c:pt idx="11">
                        <c:v>1986</c:v>
                      </c:pt>
                      <c:pt idx="12">
                        <c:v>1985.25</c:v>
                      </c:pt>
                      <c:pt idx="13">
                        <c:v>1984.4</c:v>
                      </c:pt>
                      <c:pt idx="14">
                        <c:v>1983.71</c:v>
                      </c:pt>
                      <c:pt idx="15">
                        <c:v>1983.55</c:v>
                      </c:pt>
                      <c:pt idx="17">
                        <c:v>1983.85</c:v>
                      </c:pt>
                      <c:pt idx="18">
                        <c:v>1983.85</c:v>
                      </c:pt>
                      <c:pt idx="19">
                        <c:v>1984.02</c:v>
                      </c:pt>
                      <c:pt idx="20">
                        <c:v>1984.27</c:v>
                      </c:pt>
                      <c:pt idx="26">
                        <c:v>1982.5</c:v>
                      </c:pt>
                      <c:pt idx="29">
                        <c:v>1983.19</c:v>
                      </c:pt>
                    </c:numCache>
                  </c:numRef>
                </c: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E929-45FE-80F8-3F108BD9F5D8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KGA</c:v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'2'!$B$9:$AF$9</c15:sqref>
                        </c15:formulaRef>
                      </c:ext>
                    </c:extLst>
                    <c:numCache>
                      <c:formatCode>[hh]:mm</c:formatCode>
                      <c:ptCount val="31"/>
                      <c:pt idx="0">
                        <c:v>0</c:v>
                      </c:pt>
                      <c:pt idx="1">
                        <c:v>4.1666666666666664E-2</c:v>
                      </c:pt>
                      <c:pt idx="2">
                        <c:v>8.3333333333333301E-2</c:v>
                      </c:pt>
                      <c:pt idx="3">
                        <c:v>0.125</c:v>
                      </c:pt>
                      <c:pt idx="4">
                        <c:v>0.16666666666666699</c:v>
                      </c:pt>
                      <c:pt idx="5">
                        <c:v>0.20833333333333301</c:v>
                      </c:pt>
                      <c:pt idx="6">
                        <c:v>0.22916666666666666</c:v>
                      </c:pt>
                      <c:pt idx="7">
                        <c:v>0.25</c:v>
                      </c:pt>
                      <c:pt idx="8">
                        <c:v>0.27083333333333331</c:v>
                      </c:pt>
                      <c:pt idx="9">
                        <c:v>0.29166666666666669</c:v>
                      </c:pt>
                      <c:pt idx="10">
                        <c:v>0.3125</c:v>
                      </c:pt>
                      <c:pt idx="11">
                        <c:v>0.33333333333333331</c:v>
                      </c:pt>
                      <c:pt idx="12">
                        <c:v>0.375</c:v>
                      </c:pt>
                      <c:pt idx="13">
                        <c:v>0.41666666666666702</c:v>
                      </c:pt>
                      <c:pt idx="14">
                        <c:v>0.45833333333333298</c:v>
                      </c:pt>
                      <c:pt idx="15">
                        <c:v>0.5</c:v>
                      </c:pt>
                      <c:pt idx="16">
                        <c:v>0.54166666666666696</c:v>
                      </c:pt>
                      <c:pt idx="17">
                        <c:v>0.58333333333333304</c:v>
                      </c:pt>
                      <c:pt idx="18">
                        <c:v>0.625</c:v>
                      </c:pt>
                      <c:pt idx="19">
                        <c:v>0.66666666666666696</c:v>
                      </c:pt>
                      <c:pt idx="20">
                        <c:v>0.70833333333333304</c:v>
                      </c:pt>
                      <c:pt idx="21">
                        <c:v>0.72916666666666663</c:v>
                      </c:pt>
                      <c:pt idx="22">
                        <c:v>0.75</c:v>
                      </c:pt>
                      <c:pt idx="23">
                        <c:v>0.77083333333333337</c:v>
                      </c:pt>
                      <c:pt idx="24">
                        <c:v>0.79166666666666663</c:v>
                      </c:pt>
                      <c:pt idx="25">
                        <c:v>0.8125</c:v>
                      </c:pt>
                      <c:pt idx="26">
                        <c:v>0.83333333333333337</c:v>
                      </c:pt>
                      <c:pt idx="27">
                        <c:v>0.85416666666666663</c:v>
                      </c:pt>
                      <c:pt idx="28">
                        <c:v>0.875</c:v>
                      </c:pt>
                      <c:pt idx="29">
                        <c:v>0.91666666666666696</c:v>
                      </c:pt>
                      <c:pt idx="30">
                        <c:v>0.95833333333333304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'2'!$B$133:$AF$133</c15:sqref>
                        </c15:formulaRef>
                      </c:ext>
                    </c:extLst>
                    <c:numCache>
                      <c:formatCode>0.00</c:formatCode>
                      <c:ptCount val="31"/>
                      <c:pt idx="3">
                        <c:v>522.78</c:v>
                      </c:pt>
                      <c:pt idx="4">
                        <c:v>523.16</c:v>
                      </c:pt>
                      <c:pt idx="5">
                        <c:v>523.5</c:v>
                      </c:pt>
                      <c:pt idx="7">
                        <c:v>523.72</c:v>
                      </c:pt>
                      <c:pt idx="9">
                        <c:v>523.66999999999996</c:v>
                      </c:pt>
                      <c:pt idx="11">
                        <c:v>523.07000000000005</c:v>
                      </c:pt>
                      <c:pt idx="12">
                        <c:v>522.9</c:v>
                      </c:pt>
                      <c:pt idx="13">
                        <c:v>522.69000000000005</c:v>
                      </c:pt>
                      <c:pt idx="14">
                        <c:v>522.46</c:v>
                      </c:pt>
                      <c:pt idx="15">
                        <c:v>522.02</c:v>
                      </c:pt>
                      <c:pt idx="17">
                        <c:v>521.08000000000004</c:v>
                      </c:pt>
                      <c:pt idx="18">
                        <c:v>521.08000000000004</c:v>
                      </c:pt>
                      <c:pt idx="19">
                        <c:v>521.08000000000004</c:v>
                      </c:pt>
                      <c:pt idx="20">
                        <c:v>522.97</c:v>
                      </c:pt>
                      <c:pt idx="26">
                        <c:v>519.34</c:v>
                      </c:pt>
                      <c:pt idx="29">
                        <c:v>519.20000000000005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929-45FE-80F8-3F108BD9F5D8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MMRS</c:v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'2'!$B$9:$AF$9</c15:sqref>
                        </c15:formulaRef>
                      </c:ext>
                    </c:extLst>
                    <c:numCache>
                      <c:formatCode>[hh]:mm</c:formatCode>
                      <c:ptCount val="31"/>
                      <c:pt idx="0">
                        <c:v>0</c:v>
                      </c:pt>
                      <c:pt idx="1">
                        <c:v>4.1666666666666664E-2</c:v>
                      </c:pt>
                      <c:pt idx="2">
                        <c:v>8.3333333333333301E-2</c:v>
                      </c:pt>
                      <c:pt idx="3">
                        <c:v>0.125</c:v>
                      </c:pt>
                      <c:pt idx="4">
                        <c:v>0.16666666666666699</c:v>
                      </c:pt>
                      <c:pt idx="5">
                        <c:v>0.20833333333333301</c:v>
                      </c:pt>
                      <c:pt idx="6">
                        <c:v>0.22916666666666666</c:v>
                      </c:pt>
                      <c:pt idx="7">
                        <c:v>0.25</c:v>
                      </c:pt>
                      <c:pt idx="8">
                        <c:v>0.27083333333333331</c:v>
                      </c:pt>
                      <c:pt idx="9">
                        <c:v>0.29166666666666669</c:v>
                      </c:pt>
                      <c:pt idx="10">
                        <c:v>0.3125</c:v>
                      </c:pt>
                      <c:pt idx="11">
                        <c:v>0.33333333333333331</c:v>
                      </c:pt>
                      <c:pt idx="12">
                        <c:v>0.375</c:v>
                      </c:pt>
                      <c:pt idx="13">
                        <c:v>0.41666666666666702</c:v>
                      </c:pt>
                      <c:pt idx="14">
                        <c:v>0.45833333333333298</c:v>
                      </c:pt>
                      <c:pt idx="15">
                        <c:v>0.5</c:v>
                      </c:pt>
                      <c:pt idx="16">
                        <c:v>0.54166666666666696</c:v>
                      </c:pt>
                      <c:pt idx="17">
                        <c:v>0.58333333333333304</c:v>
                      </c:pt>
                      <c:pt idx="18">
                        <c:v>0.625</c:v>
                      </c:pt>
                      <c:pt idx="19">
                        <c:v>0.66666666666666696</c:v>
                      </c:pt>
                      <c:pt idx="20">
                        <c:v>0.70833333333333304</c:v>
                      </c:pt>
                      <c:pt idx="21">
                        <c:v>0.72916666666666663</c:v>
                      </c:pt>
                      <c:pt idx="22">
                        <c:v>0.75</c:v>
                      </c:pt>
                      <c:pt idx="23">
                        <c:v>0.77083333333333337</c:v>
                      </c:pt>
                      <c:pt idx="24">
                        <c:v>0.79166666666666663</c:v>
                      </c:pt>
                      <c:pt idx="25">
                        <c:v>0.8125</c:v>
                      </c:pt>
                      <c:pt idx="26">
                        <c:v>0.83333333333333337</c:v>
                      </c:pt>
                      <c:pt idx="27">
                        <c:v>0.85416666666666663</c:v>
                      </c:pt>
                      <c:pt idx="28">
                        <c:v>0.875</c:v>
                      </c:pt>
                      <c:pt idx="29">
                        <c:v>0.91666666666666696</c:v>
                      </c:pt>
                      <c:pt idx="30">
                        <c:v>0.95833333333333304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'2'!$B$134:$AF$134</c15:sqref>
                        </c15:formulaRef>
                      </c:ext>
                    </c:extLst>
                    <c:numCache>
                      <c:formatCode>0.00</c:formatCode>
                      <c:ptCount val="31"/>
                      <c:pt idx="3">
                        <c:v>625.07000000000005</c:v>
                      </c:pt>
                      <c:pt idx="4">
                        <c:v>625.29</c:v>
                      </c:pt>
                      <c:pt idx="5">
                        <c:v>625.65</c:v>
                      </c:pt>
                      <c:pt idx="7">
                        <c:v>625.74</c:v>
                      </c:pt>
                      <c:pt idx="9">
                        <c:v>625.66</c:v>
                      </c:pt>
                      <c:pt idx="11">
                        <c:v>625.15</c:v>
                      </c:pt>
                      <c:pt idx="12">
                        <c:v>624.97</c:v>
                      </c:pt>
                      <c:pt idx="13">
                        <c:v>624.70000000000005</c:v>
                      </c:pt>
                      <c:pt idx="14">
                        <c:v>624.47</c:v>
                      </c:pt>
                      <c:pt idx="15">
                        <c:v>624.15</c:v>
                      </c:pt>
                      <c:pt idx="17">
                        <c:v>623.35</c:v>
                      </c:pt>
                      <c:pt idx="18">
                        <c:v>623.35</c:v>
                      </c:pt>
                      <c:pt idx="19">
                        <c:v>623.35</c:v>
                      </c:pt>
                      <c:pt idx="20">
                        <c:v>623.35</c:v>
                      </c:pt>
                      <c:pt idx="26">
                        <c:v>622.46</c:v>
                      </c:pt>
                      <c:pt idx="29">
                        <c:v>622.16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929-45FE-80F8-3F108BD9F5D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MRS</c:v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'2'!$B$9:$AF$9</c15:sqref>
                        </c15:formulaRef>
                      </c:ext>
                    </c:extLst>
                    <c:numCache>
                      <c:formatCode>[hh]:mm</c:formatCode>
                      <c:ptCount val="31"/>
                      <c:pt idx="0">
                        <c:v>0</c:v>
                      </c:pt>
                      <c:pt idx="1">
                        <c:v>4.1666666666666664E-2</c:v>
                      </c:pt>
                      <c:pt idx="2">
                        <c:v>8.3333333333333301E-2</c:v>
                      </c:pt>
                      <c:pt idx="3">
                        <c:v>0.125</c:v>
                      </c:pt>
                      <c:pt idx="4">
                        <c:v>0.16666666666666699</c:v>
                      </c:pt>
                      <c:pt idx="5">
                        <c:v>0.20833333333333301</c:v>
                      </c:pt>
                      <c:pt idx="6">
                        <c:v>0.22916666666666666</c:v>
                      </c:pt>
                      <c:pt idx="7">
                        <c:v>0.25</c:v>
                      </c:pt>
                      <c:pt idx="8">
                        <c:v>0.27083333333333331</c:v>
                      </c:pt>
                      <c:pt idx="9">
                        <c:v>0.29166666666666669</c:v>
                      </c:pt>
                      <c:pt idx="10">
                        <c:v>0.3125</c:v>
                      </c:pt>
                      <c:pt idx="11">
                        <c:v>0.33333333333333331</c:v>
                      </c:pt>
                      <c:pt idx="12">
                        <c:v>0.375</c:v>
                      </c:pt>
                      <c:pt idx="13">
                        <c:v>0.41666666666666702</c:v>
                      </c:pt>
                      <c:pt idx="14">
                        <c:v>0.45833333333333298</c:v>
                      </c:pt>
                      <c:pt idx="15">
                        <c:v>0.5</c:v>
                      </c:pt>
                      <c:pt idx="16">
                        <c:v>0.54166666666666696</c:v>
                      </c:pt>
                      <c:pt idx="17">
                        <c:v>0.58333333333333304</c:v>
                      </c:pt>
                      <c:pt idx="18">
                        <c:v>0.625</c:v>
                      </c:pt>
                      <c:pt idx="19">
                        <c:v>0.66666666666666696</c:v>
                      </c:pt>
                      <c:pt idx="20">
                        <c:v>0.70833333333333304</c:v>
                      </c:pt>
                      <c:pt idx="21">
                        <c:v>0.72916666666666663</c:v>
                      </c:pt>
                      <c:pt idx="22">
                        <c:v>0.75</c:v>
                      </c:pt>
                      <c:pt idx="23">
                        <c:v>0.77083333333333337</c:v>
                      </c:pt>
                      <c:pt idx="24">
                        <c:v>0.79166666666666663</c:v>
                      </c:pt>
                      <c:pt idx="25">
                        <c:v>0.8125</c:v>
                      </c:pt>
                      <c:pt idx="26">
                        <c:v>0.83333333333333337</c:v>
                      </c:pt>
                      <c:pt idx="27">
                        <c:v>0.85416666666666663</c:v>
                      </c:pt>
                      <c:pt idx="28">
                        <c:v>0.875</c:v>
                      </c:pt>
                      <c:pt idx="29">
                        <c:v>0.91666666666666696</c:v>
                      </c:pt>
                      <c:pt idx="30">
                        <c:v>0.95833333333333304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'2'!$B$135:$AF$135</c15:sqref>
                        </c15:formulaRef>
                      </c:ext>
                    </c:extLst>
                    <c:numCache>
                      <c:formatCode>0.00</c:formatCode>
                      <c:ptCount val="31"/>
                      <c:pt idx="0">
                        <c:v>335.18</c:v>
                      </c:pt>
                      <c:pt idx="3">
                        <c:v>336.67</c:v>
                      </c:pt>
                      <c:pt idx="4">
                        <c:v>336.96</c:v>
                      </c:pt>
                      <c:pt idx="5">
                        <c:v>337.18</c:v>
                      </c:pt>
                      <c:pt idx="7">
                        <c:v>337.37</c:v>
                      </c:pt>
                      <c:pt idx="9">
                        <c:v>337.18</c:v>
                      </c:pt>
                      <c:pt idx="11">
                        <c:v>336.76</c:v>
                      </c:pt>
                      <c:pt idx="12">
                        <c:v>336.21</c:v>
                      </c:pt>
                      <c:pt idx="13">
                        <c:v>335.75</c:v>
                      </c:pt>
                      <c:pt idx="14">
                        <c:v>335.36</c:v>
                      </c:pt>
                      <c:pt idx="15">
                        <c:v>334.72</c:v>
                      </c:pt>
                      <c:pt idx="17">
                        <c:v>334.86</c:v>
                      </c:pt>
                      <c:pt idx="18">
                        <c:v>334.86</c:v>
                      </c:pt>
                      <c:pt idx="19">
                        <c:v>334.86</c:v>
                      </c:pt>
                      <c:pt idx="20">
                        <c:v>334.86</c:v>
                      </c:pt>
                      <c:pt idx="26">
                        <c:v>335.82</c:v>
                      </c:pt>
                      <c:pt idx="29">
                        <c:v>335.6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929-45FE-80F8-3F108BD9F5D8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KL1</c:v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eparator> </c:separator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'2'!$B$9:$AF$9</c15:sqref>
                        </c15:formulaRef>
                      </c:ext>
                    </c:extLst>
                    <c:numCache>
                      <c:formatCode>[hh]:mm</c:formatCode>
                      <c:ptCount val="31"/>
                      <c:pt idx="0">
                        <c:v>0</c:v>
                      </c:pt>
                      <c:pt idx="1">
                        <c:v>4.1666666666666664E-2</c:v>
                      </c:pt>
                      <c:pt idx="2">
                        <c:v>8.3333333333333301E-2</c:v>
                      </c:pt>
                      <c:pt idx="3">
                        <c:v>0.125</c:v>
                      </c:pt>
                      <c:pt idx="4">
                        <c:v>0.16666666666666699</c:v>
                      </c:pt>
                      <c:pt idx="5">
                        <c:v>0.20833333333333301</c:v>
                      </c:pt>
                      <c:pt idx="6">
                        <c:v>0.22916666666666666</c:v>
                      </c:pt>
                      <c:pt idx="7">
                        <c:v>0.25</c:v>
                      </c:pt>
                      <c:pt idx="8">
                        <c:v>0.27083333333333331</c:v>
                      </c:pt>
                      <c:pt idx="9">
                        <c:v>0.29166666666666669</c:v>
                      </c:pt>
                      <c:pt idx="10">
                        <c:v>0.3125</c:v>
                      </c:pt>
                      <c:pt idx="11">
                        <c:v>0.33333333333333331</c:v>
                      </c:pt>
                      <c:pt idx="12">
                        <c:v>0.375</c:v>
                      </c:pt>
                      <c:pt idx="13">
                        <c:v>0.41666666666666702</c:v>
                      </c:pt>
                      <c:pt idx="14">
                        <c:v>0.45833333333333298</c:v>
                      </c:pt>
                      <c:pt idx="15">
                        <c:v>0.5</c:v>
                      </c:pt>
                      <c:pt idx="16">
                        <c:v>0.54166666666666696</c:v>
                      </c:pt>
                      <c:pt idx="17">
                        <c:v>0.58333333333333304</c:v>
                      </c:pt>
                      <c:pt idx="18">
                        <c:v>0.625</c:v>
                      </c:pt>
                      <c:pt idx="19">
                        <c:v>0.66666666666666696</c:v>
                      </c:pt>
                      <c:pt idx="20">
                        <c:v>0.70833333333333304</c:v>
                      </c:pt>
                      <c:pt idx="21">
                        <c:v>0.72916666666666663</c:v>
                      </c:pt>
                      <c:pt idx="22">
                        <c:v>0.75</c:v>
                      </c:pt>
                      <c:pt idx="23">
                        <c:v>0.77083333333333337</c:v>
                      </c:pt>
                      <c:pt idx="24">
                        <c:v>0.79166666666666663</c:v>
                      </c:pt>
                      <c:pt idx="25">
                        <c:v>0.8125</c:v>
                      </c:pt>
                      <c:pt idx="26">
                        <c:v>0.83333333333333337</c:v>
                      </c:pt>
                      <c:pt idx="27">
                        <c:v>0.85416666666666663</c:v>
                      </c:pt>
                      <c:pt idx="28">
                        <c:v>0.875</c:v>
                      </c:pt>
                      <c:pt idx="29">
                        <c:v>0.91666666666666696</c:v>
                      </c:pt>
                      <c:pt idx="30">
                        <c:v>0.95833333333333304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'2'!$B$137:$AF$137</c15:sqref>
                        </c15:formulaRef>
                      </c:ext>
                    </c:extLst>
                    <c:numCache>
                      <c:formatCode>0.00</c:formatCode>
                      <c:ptCount val="31"/>
                      <c:pt idx="6">
                        <c:v>1522.11</c:v>
                      </c:pt>
                      <c:pt idx="11">
                        <c:v>1522.11</c:v>
                      </c:pt>
                      <c:pt idx="12">
                        <c:v>1522.11</c:v>
                      </c:pt>
                      <c:pt idx="13">
                        <c:v>1522.11</c:v>
                      </c:pt>
                      <c:pt idx="14">
                        <c:v>1522.11</c:v>
                      </c:pt>
                      <c:pt idx="15">
                        <c:v>1522.11</c:v>
                      </c:pt>
                      <c:pt idx="17">
                        <c:v>1522.12</c:v>
                      </c:pt>
                      <c:pt idx="18">
                        <c:v>1522.12</c:v>
                      </c:pt>
                      <c:pt idx="19">
                        <c:v>1522.12</c:v>
                      </c:pt>
                      <c:pt idx="20">
                        <c:v>1522.12</c:v>
                      </c:pt>
                      <c:pt idx="26">
                        <c:v>1522.01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929-45FE-80F8-3F108BD9F5D8}"/>
                  </c:ext>
                </c:extLst>
              </c15:ser>
            </c15:filteredLineSeries>
          </c:ext>
        </c:extLst>
      </c:lineChart>
      <c:catAx>
        <c:axId val="1157628303"/>
        <c:scaling>
          <c:orientation val="minMax"/>
        </c:scaling>
        <c:delete val="0"/>
        <c:axPos val="b"/>
        <c:numFmt formatCode="[hh]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132431"/>
        <c:crosses val="autoZero"/>
        <c:auto val="1"/>
        <c:lblAlgn val="ctr"/>
        <c:lblOffset val="100"/>
        <c:noMultiLvlLbl val="0"/>
      </c:catAx>
      <c:valAx>
        <c:axId val="1831132431"/>
        <c:scaling>
          <c:orientation val="minMax"/>
          <c:min val="88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628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574-4433-858D-5D476FB2A0B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574-4433-858D-5D476FB2A0B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574-4433-858D-5D476FB2A0B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574-4433-858D-5D476FB2A0B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574-4433-858D-5D476FB2A0B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574-4433-858D-5D476FB2A0B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A7C-415C-A19F-39DF92331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5D9-4D45-8035-023A154531B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5D9-4D45-8035-023A154531B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5D9-4D45-8035-023A154531B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5D9-4D45-8035-023A154531B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5D9-4D45-8035-023A154531B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5D9-4D45-8035-023A154531B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0E2-45D4-A7EB-59D94C0CEC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0B8-4F69-B6EA-6D236F7D894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0B8-4F69-B6EA-6D236F7D894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0B8-4F69-B6EA-6D236F7D894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0B8-4F69-B6EA-6D236F7D894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0B8-4F69-B6EA-6D236F7D894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0B8-4F69-B6EA-6D236F7D894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'5'!$S$261</c:f>
              <c:strCache>
                <c:ptCount val="1"/>
                <c:pt idx="0">
                  <c:v>T_Load</c:v>
                </c:pt>
              </c:strCache>
            </c:strRef>
          </c:tx>
          <c:marker>
            <c:symbol val="none"/>
          </c:marker>
          <c:cat>
            <c:numRef>
              <c:f>'5'!$T$260:$AX$260</c:f>
              <c:numCache>
                <c:formatCode>[hh]:mm</c:formatCode>
                <c:ptCount val="31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0.22916666666666666</c:v>
                </c:pt>
                <c:pt idx="7">
                  <c:v>0.25</c:v>
                </c:pt>
                <c:pt idx="8">
                  <c:v>0.27083333333333331</c:v>
                </c:pt>
                <c:pt idx="9">
                  <c:v>0.29166666666666669</c:v>
                </c:pt>
                <c:pt idx="10">
                  <c:v>0.3125</c:v>
                </c:pt>
                <c:pt idx="11">
                  <c:v>0.33333333333333331</c:v>
                </c:pt>
                <c:pt idx="12">
                  <c:v>0.375</c:v>
                </c:pt>
                <c:pt idx="13">
                  <c:v>0.41666666666666702</c:v>
                </c:pt>
                <c:pt idx="14">
                  <c:v>0.45833333333333298</c:v>
                </c:pt>
                <c:pt idx="15">
                  <c:v>0.5</c:v>
                </c:pt>
                <c:pt idx="16">
                  <c:v>0.54166666666666696</c:v>
                </c:pt>
                <c:pt idx="17">
                  <c:v>0.58333333333333304</c:v>
                </c:pt>
                <c:pt idx="18">
                  <c:v>0.625</c:v>
                </c:pt>
                <c:pt idx="19">
                  <c:v>0.66666666666666696</c:v>
                </c:pt>
                <c:pt idx="20">
                  <c:v>0.70833333333333304</c:v>
                </c:pt>
                <c:pt idx="21">
                  <c:v>0.72916666666666663</c:v>
                </c:pt>
                <c:pt idx="22">
                  <c:v>0.75</c:v>
                </c:pt>
                <c:pt idx="23">
                  <c:v>0.77083333333333337</c:v>
                </c:pt>
                <c:pt idx="24">
                  <c:v>0.79166666666666663</c:v>
                </c:pt>
                <c:pt idx="25">
                  <c:v>0.8125</c:v>
                </c:pt>
                <c:pt idx="26">
                  <c:v>0.83333333333333337</c:v>
                </c:pt>
                <c:pt idx="27">
                  <c:v>0.85416666666666663</c:v>
                </c:pt>
                <c:pt idx="28">
                  <c:v>0.875</c:v>
                </c:pt>
                <c:pt idx="29">
                  <c:v>0.91666666666666696</c:v>
                </c:pt>
                <c:pt idx="30">
                  <c:v>0.95833333333333304</c:v>
                </c:pt>
              </c:numCache>
            </c:numRef>
          </c:cat>
          <c:val>
            <c:numRef>
              <c:f>'5'!$T$261:$AX$261</c:f>
              <c:numCache>
                <c:formatCode>0</c:formatCode>
                <c:ptCount val="31"/>
                <c:pt idx="0">
                  <c:v>1174.7400000000002</c:v>
                </c:pt>
                <c:pt idx="1">
                  <c:v>1133.1399999999999</c:v>
                </c:pt>
                <c:pt idx="2">
                  <c:v>1111.3400000000001</c:v>
                </c:pt>
                <c:pt idx="3">
                  <c:v>1108.54</c:v>
                </c:pt>
                <c:pt idx="4">
                  <c:v>1133.3400000000001</c:v>
                </c:pt>
                <c:pt idx="5">
                  <c:v>1186.54</c:v>
                </c:pt>
                <c:pt idx="6">
                  <c:v>1239.54</c:v>
                </c:pt>
                <c:pt idx="7">
                  <c:v>1318.8400000000001</c:v>
                </c:pt>
                <c:pt idx="8">
                  <c:v>1445.8400000000001</c:v>
                </c:pt>
                <c:pt idx="9">
                  <c:v>1204.44</c:v>
                </c:pt>
                <c:pt idx="10">
                  <c:v>1598.24</c:v>
                </c:pt>
                <c:pt idx="11">
                  <c:v>1772.0400000000002</c:v>
                </c:pt>
                <c:pt idx="12">
                  <c:v>1733.7400000000002</c:v>
                </c:pt>
                <c:pt idx="13">
                  <c:v>1643.8400000000001</c:v>
                </c:pt>
                <c:pt idx="14">
                  <c:v>1555.8400000000001</c:v>
                </c:pt>
                <c:pt idx="15">
                  <c:v>1482.8400000000001</c:v>
                </c:pt>
                <c:pt idx="16">
                  <c:v>1464.7400000000002</c:v>
                </c:pt>
                <c:pt idx="17">
                  <c:v>1484.8400000000001</c:v>
                </c:pt>
                <c:pt idx="18">
                  <c:v>1428.54</c:v>
                </c:pt>
                <c:pt idx="19">
                  <c:v>1414.94</c:v>
                </c:pt>
                <c:pt idx="20">
                  <c:v>1502.94</c:v>
                </c:pt>
                <c:pt idx="21">
                  <c:v>1637.54</c:v>
                </c:pt>
                <c:pt idx="22">
                  <c:v>1725.2</c:v>
                </c:pt>
                <c:pt idx="23">
                  <c:v>1818.84</c:v>
                </c:pt>
                <c:pt idx="24">
                  <c:v>1770.14</c:v>
                </c:pt>
                <c:pt idx="25">
                  <c:v>1754.44</c:v>
                </c:pt>
                <c:pt idx="26">
                  <c:v>1673.14</c:v>
                </c:pt>
                <c:pt idx="27">
                  <c:v>1667.44</c:v>
                </c:pt>
                <c:pt idx="28">
                  <c:v>1606.44</c:v>
                </c:pt>
                <c:pt idx="29">
                  <c:v>1317.04</c:v>
                </c:pt>
                <c:pt idx="30">
                  <c:v>1217.3400000000001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A0C-4249-AFD4-064479CBD1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h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7A1-425C-9EC1-6326B3688BE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7A1-425C-9EC1-6326B3688BE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7A1-425C-9EC1-6326B3688BE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7A1-425C-9EC1-6326B3688BE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7A1-425C-9EC1-6326B3688BE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7A1-425C-9EC1-6326B3688BE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66-435C-8AB3-B21E05F9B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306-4FCE-97B7-2E90A449966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306-4FCE-97B7-2E90A449966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306-4FCE-97B7-2E90A449966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306-4FCE-97B7-2E90A449966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306-4FCE-97B7-2E90A449966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306-4FCE-97B7-2E90A449966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BE5-4487-A886-7675AF25A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E7B-42E6-949F-BF387D3F002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E7B-42E6-949F-BF387D3F002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E7B-42E6-949F-BF387D3F002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E7B-42E6-949F-BF387D3F002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E7B-42E6-949F-BF387D3F002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E7B-42E6-949F-BF387D3F002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A04-4F1E-98CA-D03079FBA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03F-4B20-BF53-4071D3B36D8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03F-4B20-BF53-4071D3B36D8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03F-4B20-BF53-4071D3B36D8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03F-4B20-BF53-4071D3B36D8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03F-4B20-BF53-4071D3B36D8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03F-4B20-BF53-4071D3B36D8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290-4041-AC71-5D0BE6DE7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8D4-40BC-B711-86FD94F328D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8D4-40BC-B711-86FD94F328D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8D4-40BC-B711-86FD94F328D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8D4-40BC-B711-86FD94F328D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8D4-40BC-B711-86FD94F328D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8D4-40BC-B711-86FD94F328D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E82-4D6B-A5DF-44EAC4D44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CB6-4463-BEDC-3C4A45797B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CB6-4463-BEDC-3C4A45797BC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CB6-4463-BEDC-3C4A45797BC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CB6-4463-BEDC-3C4A45797BC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CB6-4463-BEDC-3C4A45797BC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CB6-4463-BEDC-3C4A45797BC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581-4DA4-98E9-0B3E21267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11A-4B52-B1D3-F878C5EDC99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11A-4B52-B1D3-F878C5EDC99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11A-4B52-B1D3-F878C5EDC99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11A-4B52-B1D3-F878C5EDC99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11A-4B52-B1D3-F878C5EDC99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11A-4B52-B1D3-F878C5EDC99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36B-4002-8EC8-38FF25D8E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32B-4816-861D-C54A5388548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32B-4816-861D-C54A5388548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32B-4816-861D-C54A5388548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32B-4816-861D-C54A5388548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32B-4816-861D-C54A5388548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32B-4816-861D-C54A5388548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E07-4C89-92C5-D5F961CD5A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BDA-40B6-9DDE-93BB637AA05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BDA-40B6-9DDE-93BB637AA05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BDA-40B6-9DDE-93BB637AA05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BDA-40B6-9DDE-93BB637AA05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BDA-40B6-9DDE-93BB637AA05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BDA-40B6-9DDE-93BB637AA05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F8F-40F9-BA2C-767568990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4CC-47D3-BD0B-1A2E44EE8E7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4CC-47D3-BD0B-1A2E44EE8E7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4CC-47D3-BD0B-1A2E44EE8E7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4CC-47D3-BD0B-1A2E44EE8E7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4CC-47D3-BD0B-1A2E44EE8E7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4CC-47D3-BD0B-1A2E44EE8E7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70B-4A92-BD87-640C28DB0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F5B-4029-B9D4-150256C4C4D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F5B-4029-B9D4-150256C4C4D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F5B-4029-B9D4-150256C4C4D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F5B-4029-B9D4-150256C4C4D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F5B-4029-B9D4-150256C4C4D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F5B-4029-B9D4-150256C4C4D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552-4D9C-A125-232C39254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451-4197-9CA1-AE980AFB3CF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451-4197-9CA1-AE980AFB3CF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451-4197-9CA1-AE980AFB3CF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451-4197-9CA1-AE980AFB3CF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451-4197-9CA1-AE980AFB3CF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451-4197-9CA1-AE980AFB3CF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2A3-4331-A015-CA6DA2ADE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F4B-4534-B838-2060093C5AC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F4B-4534-B838-2060093C5AC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F4B-4534-B838-2060093C5AC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F4B-4534-B838-2060093C5AC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F4B-4534-B838-2060093C5AC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F4B-4534-B838-2060093C5AC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F3C-4C63-8B56-67A529F38A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27D-4FE7-9C26-863B953984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27D-4FE7-9C26-863B953984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27D-4FE7-9C26-863B953984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27D-4FE7-9C26-863B953984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27D-4FE7-9C26-863B953984C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27D-4FE7-9C26-863B953984C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04D-479E-993F-D9BD58E92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604-4EF7-B2AB-09F33373FC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604-4EF7-B2AB-09F33373FC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604-4EF7-B2AB-09F33373FC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604-4EF7-B2AB-09F33373FC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604-4EF7-B2AB-09F33373FCB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604-4EF7-B2AB-09F33373FCB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2BA-4243-B2BF-6A4C03E8BC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FB7-4D74-9F0D-9948131AE88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FB7-4D74-9F0D-9948131AE88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FB7-4D74-9F0D-9948131AE88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FB7-4D74-9F0D-9948131AE88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FB7-4D74-9F0D-9948131AE88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FB7-4D74-9F0D-9948131AE88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0C8-4120-A694-352E2665D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91B-42BF-9760-87755612715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91B-42BF-9760-87755612715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91B-42BF-9760-87755612715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91B-42BF-9760-87755612715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91B-42BF-9760-87755612715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91B-42BF-9760-87755612715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744-4ABD-B987-0D2779084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0EE-481F-98EA-B01DF9CE16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0EE-481F-98EA-B01DF9CE16A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0EE-481F-98EA-B01DF9CE16A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0EE-481F-98EA-B01DF9CE16A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0EE-481F-98EA-B01DF9CE16A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0EE-481F-98EA-B01DF9CE16A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564-4B67-AB74-ED2D1EE5D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00F-4DCD-8E57-8DCBF40BF55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00F-4DCD-8E57-8DCBF40BF55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00F-4DCD-8E57-8DCBF40BF55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00F-4DCD-8E57-8DCBF40BF55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00F-4DCD-8E57-8DCBF40BF55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00F-4DCD-8E57-8DCBF40BF55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B1D-48A7-814A-0780CC640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2C6-41DE-96CB-C9800DB2070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2C6-41DE-96CB-C9800DB2070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2C6-41DE-96CB-C9800DB2070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2C6-41DE-96CB-C9800DB2070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2C6-41DE-96CB-C9800DB2070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2C6-41DE-96CB-C9800DB2070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EA6-48FB-8493-E1E092EC4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8C9-40B8-8CB3-28B870A97B3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8C9-40B8-8CB3-28B870A97B3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8C9-40B8-8CB3-28B870A97B3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8C9-40B8-8CB3-28B870A97B3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8C9-40B8-8CB3-28B870A97B3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8C9-40B8-8CB3-28B870A97B3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AD6-422D-BC1C-A574514D3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422-4664-8B39-D77B72DD1A1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422-4664-8B39-D77B72DD1A1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422-4664-8B39-D77B72DD1A1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422-4664-8B39-D77B72DD1A1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422-4664-8B39-D77B72DD1A1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422-4664-8B39-D77B72DD1A1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784-4481-97A7-4DD85B368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C1E-46C9-8F0F-4528B2DAB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C1E-46C9-8F0F-4528B2DAB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C1E-46C9-8F0F-4528B2DAB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C1E-46C9-8F0F-4528B2DAB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C1E-46C9-8F0F-4528B2DABD0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C1E-46C9-8F0F-4528B2DABD0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FC9-4C95-B8A1-1C76373C3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A03-4D57-AF21-E028A36CDE0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A03-4D57-AF21-E028A36CDE0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A03-4D57-AF21-E028A36CDE0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A03-4D57-AF21-E028A36CDE0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A03-4D57-AF21-E028A36CDE0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A03-4D57-AF21-E028A36CDE0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9AC-48BB-81D0-77782F719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6E7-4369-9776-74F17FF812B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6E7-4369-9776-74F17FF812B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6E7-4369-9776-74F17FF812B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6E7-4369-9776-74F17FF812B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6E7-4369-9776-74F17FF812B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6E7-4369-9776-74F17FF812B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240-43F8-83B9-3CFA21DDA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50A-4375-BCA0-C92DEB16720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50A-4375-BCA0-C92DEB16720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50A-4375-BCA0-C92DEB16720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50A-4375-BCA0-C92DEB16720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50A-4375-BCA0-C92DEB167206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50A-4375-BCA0-C92DEB16720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C0-43E0-9E13-D757FB253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1.xml"/><Relationship Id="rId1" Type="http://schemas.openxmlformats.org/officeDocument/2006/relationships/chart" Target="../charts/chart30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3.xml"/><Relationship Id="rId1" Type="http://schemas.openxmlformats.org/officeDocument/2006/relationships/chart" Target="../charts/chart32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5.xml"/><Relationship Id="rId1" Type="http://schemas.openxmlformats.org/officeDocument/2006/relationships/chart" Target="../charts/chart34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7.xml"/><Relationship Id="rId1" Type="http://schemas.openxmlformats.org/officeDocument/2006/relationships/chart" Target="../charts/chart36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9.xml"/><Relationship Id="rId1" Type="http://schemas.openxmlformats.org/officeDocument/2006/relationships/chart" Target="../charts/chart38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1.xml"/><Relationship Id="rId1" Type="http://schemas.openxmlformats.org/officeDocument/2006/relationships/chart" Target="../charts/chart40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3.xml"/><Relationship Id="rId1" Type="http://schemas.openxmlformats.org/officeDocument/2006/relationships/chart" Target="../charts/chart42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5.xml"/><Relationship Id="rId1" Type="http://schemas.openxmlformats.org/officeDocument/2006/relationships/chart" Target="../charts/chart44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7.xml"/><Relationship Id="rId1" Type="http://schemas.openxmlformats.org/officeDocument/2006/relationships/chart" Target="../charts/chart46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9.xml"/><Relationship Id="rId1" Type="http://schemas.openxmlformats.org/officeDocument/2006/relationships/chart" Target="../charts/chart48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1.xml"/><Relationship Id="rId1" Type="http://schemas.openxmlformats.org/officeDocument/2006/relationships/chart" Target="../charts/chart50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3.xml"/><Relationship Id="rId1" Type="http://schemas.openxmlformats.org/officeDocument/2006/relationships/chart" Target="../charts/chart52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5.xml"/><Relationship Id="rId1" Type="http://schemas.openxmlformats.org/officeDocument/2006/relationships/chart" Target="../charts/chart54.xm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7.xml"/><Relationship Id="rId1" Type="http://schemas.openxmlformats.org/officeDocument/2006/relationships/chart" Target="../charts/chart56.xm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9.xml"/><Relationship Id="rId1" Type="http://schemas.openxmlformats.org/officeDocument/2006/relationships/chart" Target="../charts/chart58.xml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1.xml"/><Relationship Id="rId1" Type="http://schemas.openxmlformats.org/officeDocument/2006/relationships/chart" Target="../charts/chart60.xml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3.xml"/><Relationship Id="rId1" Type="http://schemas.openxmlformats.org/officeDocument/2006/relationships/chart" Target="../charts/chart62.xml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5.xml"/><Relationship Id="rId1" Type="http://schemas.openxmlformats.org/officeDocument/2006/relationships/chart" Target="../charts/chart64.xml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7.xml"/><Relationship Id="rId1" Type="http://schemas.openxmlformats.org/officeDocument/2006/relationships/chart" Target="../charts/chart66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A8BB33-4031-4C5C-BE92-5BDF98A17A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261</xdr:row>
      <xdr:rowOff>133356</xdr:rowOff>
    </xdr:from>
    <xdr:to>
      <xdr:col>32</xdr:col>
      <xdr:colOff>9524</xdr:colOff>
      <xdr:row>279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7109F4-92A2-4EA5-83B3-55D57ECAE4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1B086C-F7E9-4DE6-8A4E-578F0E5AF4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261</xdr:row>
      <xdr:rowOff>133356</xdr:rowOff>
    </xdr:from>
    <xdr:to>
      <xdr:col>32</xdr:col>
      <xdr:colOff>9524</xdr:colOff>
      <xdr:row>279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A6CD8D-5EA7-4F1C-B679-C9897FE8B8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35944</xdr:colOff>
      <xdr:row>288</xdr:row>
      <xdr:rowOff>129036</xdr:rowOff>
    </xdr:from>
    <xdr:to>
      <xdr:col>32</xdr:col>
      <xdr:colOff>80872</xdr:colOff>
      <xdr:row>307</xdr:row>
      <xdr:rowOff>170730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3E3C2EA-484E-866D-FD8E-AED9BD31F2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31750</xdr:colOff>
      <xdr:row>307</xdr:row>
      <xdr:rowOff>179916</xdr:rowOff>
    </xdr:from>
    <xdr:to>
      <xdr:col>32</xdr:col>
      <xdr:colOff>76678</xdr:colOff>
      <xdr:row>327</xdr:row>
      <xdr:rowOff>31110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8303ED6-D5EF-42D7-968B-8547EFE7EF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2338917</xdr:colOff>
      <xdr:row>327</xdr:row>
      <xdr:rowOff>10584</xdr:rowOff>
    </xdr:from>
    <xdr:to>
      <xdr:col>32</xdr:col>
      <xdr:colOff>34345</xdr:colOff>
      <xdr:row>346</xdr:row>
      <xdr:rowOff>52278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2C2985-58EB-4666-8FDF-05E7CC2D48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346</xdr:row>
      <xdr:rowOff>52917</xdr:rowOff>
    </xdr:from>
    <xdr:to>
      <xdr:col>32</xdr:col>
      <xdr:colOff>44928</xdr:colOff>
      <xdr:row>365</xdr:row>
      <xdr:rowOff>94611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BFB1639-FD14-4EAC-975B-CE5EF3F6CE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372</xdr:row>
      <xdr:rowOff>0</xdr:rowOff>
    </xdr:from>
    <xdr:to>
      <xdr:col>32</xdr:col>
      <xdr:colOff>44928</xdr:colOff>
      <xdr:row>391</xdr:row>
      <xdr:rowOff>41694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42AE6B5-30D2-494B-9566-BBBC5144D9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2B8BE2-D387-4257-BC15-38D6233BF8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261</xdr:row>
      <xdr:rowOff>133356</xdr:rowOff>
    </xdr:from>
    <xdr:to>
      <xdr:col>32</xdr:col>
      <xdr:colOff>9524</xdr:colOff>
      <xdr:row>279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838D0C-1A82-4101-B165-A147F10BC4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DDC4CB-C317-4AA2-BDD3-3E7C4AE43C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261</xdr:row>
      <xdr:rowOff>133356</xdr:rowOff>
    </xdr:from>
    <xdr:to>
      <xdr:col>32</xdr:col>
      <xdr:colOff>9524</xdr:colOff>
      <xdr:row>279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646241-97EE-433F-B7EE-BCD7A8FE72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7A9FAF-DAC5-4B2D-BBF0-7EB76FAAA8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261</xdr:row>
      <xdr:rowOff>133356</xdr:rowOff>
    </xdr:from>
    <xdr:to>
      <xdr:col>32</xdr:col>
      <xdr:colOff>9524</xdr:colOff>
      <xdr:row>279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4C588D-10C5-4538-B486-0E3115997A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60F8BD-11A6-4371-81F5-48CD5C205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261</xdr:row>
      <xdr:rowOff>133356</xdr:rowOff>
    </xdr:from>
    <xdr:to>
      <xdr:col>32</xdr:col>
      <xdr:colOff>9524</xdr:colOff>
      <xdr:row>279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1486A1-19FD-4BE1-BDFD-D44E8A3F8C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F13B96-445A-4206-BD02-CAA4ACABA3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261</xdr:row>
      <xdr:rowOff>133356</xdr:rowOff>
    </xdr:from>
    <xdr:to>
      <xdr:col>32</xdr:col>
      <xdr:colOff>9524</xdr:colOff>
      <xdr:row>279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AE3682-B120-4AF1-9948-E1D7B0C8C2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CA4286-44D9-4678-B09D-FC410C4DFA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261</xdr:row>
      <xdr:rowOff>133356</xdr:rowOff>
    </xdr:from>
    <xdr:to>
      <xdr:col>32</xdr:col>
      <xdr:colOff>9524</xdr:colOff>
      <xdr:row>279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1B62E2-63D6-4901-8812-FF4B291B68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55F24C-0392-4045-B296-3564938017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261</xdr:row>
      <xdr:rowOff>133356</xdr:rowOff>
    </xdr:from>
    <xdr:to>
      <xdr:col>32</xdr:col>
      <xdr:colOff>9524</xdr:colOff>
      <xdr:row>279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40B72A-C478-4517-9623-CCFA87FE84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886C13-7C52-4E52-8611-57F04874B5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261</xdr:row>
      <xdr:rowOff>133356</xdr:rowOff>
    </xdr:from>
    <xdr:to>
      <xdr:col>32</xdr:col>
      <xdr:colOff>9524</xdr:colOff>
      <xdr:row>279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4D863F-3D3C-4633-AA81-2ED5F08A10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AAB50A-F6DC-4FC1-AB2B-E26FC4E458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261</xdr:row>
      <xdr:rowOff>133356</xdr:rowOff>
    </xdr:from>
    <xdr:to>
      <xdr:col>32</xdr:col>
      <xdr:colOff>9524</xdr:colOff>
      <xdr:row>279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E90F1D-D100-45AC-9FA4-7EC57D05AC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6A1833-613B-4869-BAF8-157E50A6AF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261</xdr:row>
      <xdr:rowOff>133356</xdr:rowOff>
    </xdr:from>
    <xdr:to>
      <xdr:col>32</xdr:col>
      <xdr:colOff>9524</xdr:colOff>
      <xdr:row>279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D32A39-6243-4173-8756-66D197F0FE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689063-0F15-4AC0-8777-5D1A54A64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261</xdr:row>
      <xdr:rowOff>133356</xdr:rowOff>
    </xdr:from>
    <xdr:to>
      <xdr:col>32</xdr:col>
      <xdr:colOff>9524</xdr:colOff>
      <xdr:row>279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A1D81C-B795-46C5-BCAB-7D016EDEBB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C8F51C-22B8-45BA-A105-688FEF3AAE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261</xdr:row>
      <xdr:rowOff>133356</xdr:rowOff>
    </xdr:from>
    <xdr:to>
      <xdr:col>32</xdr:col>
      <xdr:colOff>9524</xdr:colOff>
      <xdr:row>279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7EDE2A-4487-4EEF-ADF5-E207859E80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C3D650-AB2B-4938-9AC6-25C5468FC9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261</xdr:row>
      <xdr:rowOff>133356</xdr:rowOff>
    </xdr:from>
    <xdr:to>
      <xdr:col>32</xdr:col>
      <xdr:colOff>9524</xdr:colOff>
      <xdr:row>279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D31397-4A82-403D-9E6D-DBBFA64B3E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2F0F4C-8CEB-4FCE-98EE-42768E8086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261</xdr:row>
      <xdr:rowOff>133356</xdr:rowOff>
    </xdr:from>
    <xdr:to>
      <xdr:col>32</xdr:col>
      <xdr:colOff>9524</xdr:colOff>
      <xdr:row>279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D687F7-B6B2-4EA4-B280-7BE88E1A02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38F514-0836-4971-B2CF-CFEB5A8CA4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261</xdr:row>
      <xdr:rowOff>133356</xdr:rowOff>
    </xdr:from>
    <xdr:to>
      <xdr:col>32</xdr:col>
      <xdr:colOff>9524</xdr:colOff>
      <xdr:row>279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0771B3-0369-475B-85CA-4535C2B11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C74111-3B0A-4FD0-BA79-203169705B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261</xdr:row>
      <xdr:rowOff>133356</xdr:rowOff>
    </xdr:from>
    <xdr:to>
      <xdr:col>32</xdr:col>
      <xdr:colOff>9524</xdr:colOff>
      <xdr:row>279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431D0C-18E6-40C2-AC99-8832D622E3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6CBC4D-4B09-40F2-BEBD-9CBDC3908F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261</xdr:row>
      <xdr:rowOff>133356</xdr:rowOff>
    </xdr:from>
    <xdr:to>
      <xdr:col>32</xdr:col>
      <xdr:colOff>9524</xdr:colOff>
      <xdr:row>279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D0798C-B795-442C-BE33-D77D7F90D7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22CBC4-C9DC-4333-9FA6-A13FC20439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261</xdr:row>
      <xdr:rowOff>133356</xdr:rowOff>
    </xdr:from>
    <xdr:to>
      <xdr:col>32</xdr:col>
      <xdr:colOff>9524</xdr:colOff>
      <xdr:row>279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6CA6FC-19FF-47E4-856B-A7E5310D93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F8EEF8-0EC7-4078-A99A-E2BF2B24BD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261</xdr:row>
      <xdr:rowOff>133356</xdr:rowOff>
    </xdr:from>
    <xdr:to>
      <xdr:col>32</xdr:col>
      <xdr:colOff>9524</xdr:colOff>
      <xdr:row>279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6E5BD7-A428-42F8-B80F-ADB0803272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06FE55-091D-45E1-BCB1-1F68468E1F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261</xdr:row>
      <xdr:rowOff>133356</xdr:rowOff>
    </xdr:from>
    <xdr:to>
      <xdr:col>32</xdr:col>
      <xdr:colOff>9524</xdr:colOff>
      <xdr:row>279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A314F7-C269-40B7-8D24-F95E61AC92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77A79C-F087-4923-919D-09E9F7B522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261</xdr:row>
      <xdr:rowOff>133356</xdr:rowOff>
    </xdr:from>
    <xdr:to>
      <xdr:col>32</xdr:col>
      <xdr:colOff>9524</xdr:colOff>
      <xdr:row>279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D7CA49-5DD0-419B-BA6C-2DE2BCAF73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934284-C6C6-4466-9CA6-B250A1F2BE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261</xdr:row>
      <xdr:rowOff>133356</xdr:rowOff>
    </xdr:from>
    <xdr:to>
      <xdr:col>32</xdr:col>
      <xdr:colOff>9524</xdr:colOff>
      <xdr:row>279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BC775C-B39E-4A72-AB15-65DF2EDC11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0C8CDD-361A-41CC-981F-DB20D12DFD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261</xdr:row>
      <xdr:rowOff>133356</xdr:rowOff>
    </xdr:from>
    <xdr:to>
      <xdr:col>32</xdr:col>
      <xdr:colOff>9524</xdr:colOff>
      <xdr:row>279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AB8DF3-B947-4D90-8745-773468713F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8B2CBD-C42A-4923-86EB-A5167D04D0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261</xdr:row>
      <xdr:rowOff>133356</xdr:rowOff>
    </xdr:from>
    <xdr:to>
      <xdr:col>32</xdr:col>
      <xdr:colOff>9524</xdr:colOff>
      <xdr:row>279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2BC3F6-940A-4280-A1A3-DA4499BCF5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8BFD48-04B4-470C-BAD0-80FA075E65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261</xdr:row>
      <xdr:rowOff>133356</xdr:rowOff>
    </xdr:from>
    <xdr:to>
      <xdr:col>32</xdr:col>
      <xdr:colOff>9524</xdr:colOff>
      <xdr:row>279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DE046A-FEEF-4C8A-A757-76706449A6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F52E64-D300-409F-99AB-4434DA53C1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261</xdr:row>
      <xdr:rowOff>133356</xdr:rowOff>
    </xdr:from>
    <xdr:to>
      <xdr:col>32</xdr:col>
      <xdr:colOff>9524</xdr:colOff>
      <xdr:row>279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A40E7C-0EC3-4657-B4EF-97A6A07B77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13A2BA-E1B7-4D6E-9B28-2A1B0D2B72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261</xdr:row>
      <xdr:rowOff>133356</xdr:rowOff>
    </xdr:from>
    <xdr:to>
      <xdr:col>32</xdr:col>
      <xdr:colOff>9524</xdr:colOff>
      <xdr:row>279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B9AA61-5AC0-40B8-8A0B-94CB1C7411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22306A-43A5-46AC-83FC-4F087A75F5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261</xdr:row>
      <xdr:rowOff>133356</xdr:rowOff>
    </xdr:from>
    <xdr:to>
      <xdr:col>32</xdr:col>
      <xdr:colOff>9524</xdr:colOff>
      <xdr:row>279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23560F-25F2-425A-9EFE-4198A1D7EF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F416C7-1651-404D-9F0F-8CD26A0251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261</xdr:row>
      <xdr:rowOff>133356</xdr:rowOff>
    </xdr:from>
    <xdr:to>
      <xdr:col>32</xdr:col>
      <xdr:colOff>9524</xdr:colOff>
      <xdr:row>279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2D1200-164A-4B2D-97F6-D155D45F61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466725</xdr:colOff>
      <xdr:row>65</xdr:row>
      <xdr:rowOff>114300</xdr:rowOff>
    </xdr:from>
    <xdr:to>
      <xdr:col>15</xdr:col>
      <xdr:colOff>504825</xdr:colOff>
      <xdr:row>106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1A171C-DFE2-FA8E-5D0B-FB538A5C3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0" y="12687300"/>
          <a:ext cx="9239250" cy="771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\0%20Data_Collection%2075\Daily_Log_Sheets\Log%20Sheet%202079\Daily-Logsheet-2079-09-Poush.xlsx" TargetMode="External"/><Relationship Id="rId1" Type="http://schemas.openxmlformats.org/officeDocument/2006/relationships/externalLinkPath" Target="/DATA/0%20Data_Collection%2075/Daily_Log_Sheets/Log%20Sheet%202079/Daily-Logsheet-2079-09-Pous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magh1"/>
      <sheetName val="sample"/>
      <sheetName val="Feedback"/>
    </sheetNames>
    <sheetDataSet>
      <sheetData sheetId="0"/>
      <sheetData sheetId="1"/>
      <sheetData sheetId="2"/>
      <sheetData sheetId="3">
        <row r="240">
          <cell r="A240" t="str">
            <v>IPP</v>
          </cell>
          <cell r="B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</row>
        <row r="241">
          <cell r="A241" t="str">
            <v>NEA(RoR+PRoR)</v>
          </cell>
          <cell r="B241">
            <v>0</v>
          </cell>
          <cell r="U241">
            <v>4.1666666666666664E-2</v>
          </cell>
          <cell r="V241">
            <v>8.3333333333333301E-2</v>
          </cell>
          <cell r="W241">
            <v>0.125</v>
          </cell>
          <cell r="X241">
            <v>0.16666666666666699</v>
          </cell>
          <cell r="Y241">
            <v>0.20833333333333301</v>
          </cell>
          <cell r="Z241">
            <v>0.22916666666666666</v>
          </cell>
          <cell r="AA241">
            <v>0.25</v>
          </cell>
          <cell r="AB241">
            <v>0.27083333333333331</v>
          </cell>
          <cell r="AC241">
            <v>0.29166666666666669</v>
          </cell>
          <cell r="AD241">
            <v>0.3125</v>
          </cell>
          <cell r="AE241">
            <v>0.33333333333333331</v>
          </cell>
          <cell r="AF241">
            <v>0.375</v>
          </cell>
          <cell r="AG241">
            <v>0.41666666666666702</v>
          </cell>
          <cell r="AH241">
            <v>0.45833333333333298</v>
          </cell>
          <cell r="AI241">
            <v>0.5</v>
          </cell>
          <cell r="AJ241">
            <v>0.54166666666666696</v>
          </cell>
          <cell r="AK241">
            <v>0.58333333333333304</v>
          </cell>
          <cell r="AL241">
            <v>0.625</v>
          </cell>
          <cell r="AM241">
            <v>0.66666666666666696</v>
          </cell>
          <cell r="AN241">
            <v>0.70833333333333304</v>
          </cell>
          <cell r="AO241">
            <v>0.72916666666666663</v>
          </cell>
          <cell r="AP241">
            <v>0.75</v>
          </cell>
          <cell r="AQ241">
            <v>0.77083333333333337</v>
          </cell>
          <cell r="AR241">
            <v>0.79166666666666663</v>
          </cell>
          <cell r="AS241">
            <v>0.8125</v>
          </cell>
          <cell r="AT241">
            <v>0.83333333333333337</v>
          </cell>
          <cell r="AU241">
            <v>0.85416666666666663</v>
          </cell>
          <cell r="AV241">
            <v>0.875</v>
          </cell>
          <cell r="AW241">
            <v>0.91666666666666696</v>
          </cell>
          <cell r="AX241">
            <v>0.95833333333333304</v>
          </cell>
        </row>
        <row r="242">
          <cell r="A242" t="str">
            <v>KL1+KL2+KL3</v>
          </cell>
          <cell r="B242">
            <v>0</v>
          </cell>
          <cell r="S242" t="str">
            <v>T_Load</v>
          </cell>
        </row>
        <row r="243">
          <cell r="A243" t="str">
            <v>Import</v>
          </cell>
          <cell r="B243">
            <v>0</v>
          </cell>
        </row>
        <row r="244">
          <cell r="A244" t="str">
            <v>Export</v>
          </cell>
          <cell r="B244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drawing" Target="../drawings/drawing31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F8C73-4D1F-4368-98C8-3DFE25774304}">
  <sheetPr codeName="Sheet1"/>
  <dimension ref="A1:CJ293"/>
  <sheetViews>
    <sheetView zoomScale="106" workbookViewId="0">
      <pane xSplit="1" ySplit="10" topLeftCell="B11" activePane="bottomRight" state="frozen"/>
      <selection activeCell="P118" sqref="P118"/>
      <selection pane="topRight" activeCell="P118" sqref="P118"/>
      <selection pane="bottomLeft" activeCell="P118" sqref="P118"/>
      <selection pane="bottomRight" activeCell="B11" sqref="B11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hidden="1" customHeight="1" thickBot="1" x14ac:dyDescent="0.3">
      <c r="A1" s="275" t="s">
        <v>0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  <c r="AD1" s="275"/>
      <c r="AE1" s="275"/>
      <c r="AF1" s="275"/>
      <c r="AG1" s="276" t="s">
        <v>1</v>
      </c>
      <c r="AH1" s="276"/>
      <c r="AI1" s="276"/>
      <c r="AL1" s="2"/>
    </row>
    <row r="2" spans="1:88" ht="20.25" hidden="1" x14ac:dyDescent="0.25">
      <c r="A2" s="3"/>
      <c r="B2" s="277" t="s">
        <v>2</v>
      </c>
      <c r="C2" s="4"/>
      <c r="D2" s="279" t="s">
        <v>3</v>
      </c>
      <c r="E2" s="4"/>
      <c r="F2" s="279" t="s">
        <v>4</v>
      </c>
      <c r="G2" s="4"/>
      <c r="H2" s="279" t="s">
        <v>5</v>
      </c>
      <c r="I2" s="5"/>
      <c r="J2" s="281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38.25" customHeight="1" thickBot="1" x14ac:dyDescent="0.3">
      <c r="A3" s="15"/>
      <c r="B3" s="278"/>
      <c r="C3" s="16"/>
      <c r="D3" s="280"/>
      <c r="E3" s="16"/>
      <c r="F3" s="280"/>
      <c r="G3" s="16"/>
      <c r="H3" s="280"/>
      <c r="I3" s="17"/>
      <c r="J3" s="281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45" customHeight="1" x14ac:dyDescent="0.25">
      <c r="A4" s="25" t="s">
        <v>11</v>
      </c>
      <c r="B4" s="270" t="str">
        <f ca="1">"2080/"&amp;"09/"&amp;INT(MID(CELL("filename",D6),FIND("]",CELL("filename",D6))+1,200))</f>
        <v>2080/09/1</v>
      </c>
      <c r="C4" s="270"/>
      <c r="D4" s="270"/>
      <c r="E4" s="271" t="str">
        <f ca="1">"2080/"&amp;"09/"&amp;INT(MID(CELL("filename",G6),FIND("]",CELL("filename",G6))+1,200))</f>
        <v>2080/09/1</v>
      </c>
      <c r="F4" s="271"/>
      <c r="G4" s="271"/>
      <c r="H4" s="271" t="str">
        <f ca="1">TEXT(E4,"dddd")</f>
        <v>Sunday</v>
      </c>
      <c r="I4" s="271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C92</f>
        <v>345</v>
      </c>
      <c r="C5" s="30">
        <f t="shared" si="0"/>
        <v>359.20000000000005</v>
      </c>
      <c r="D5" s="30">
        <f t="shared" si="0"/>
        <v>343</v>
      </c>
      <c r="E5" s="30">
        <f t="shared" si="0"/>
        <v>347.5</v>
      </c>
      <c r="F5" s="30">
        <f t="shared" si="0"/>
        <v>347.90000000000003</v>
      </c>
      <c r="G5" s="30">
        <f t="shared" si="0"/>
        <v>374.79999999999995</v>
      </c>
      <c r="H5" s="30">
        <f t="shared" si="0"/>
        <v>374.79999999999995</v>
      </c>
      <c r="I5" s="30">
        <f t="shared" si="0"/>
        <v>443</v>
      </c>
      <c r="J5" s="30">
        <f t="shared" si="0"/>
        <v>421.4</v>
      </c>
      <c r="K5" s="30">
        <f t="shared" si="0"/>
        <v>379.2</v>
      </c>
      <c r="L5" s="30">
        <f t="shared" si="0"/>
        <v>183.8</v>
      </c>
      <c r="M5" s="30">
        <f t="shared" si="0"/>
        <v>225.5</v>
      </c>
      <c r="N5" s="30">
        <f t="shared" si="0"/>
        <v>210.9</v>
      </c>
      <c r="O5" s="30">
        <f t="shared" si="0"/>
        <v>309.5</v>
      </c>
      <c r="P5" s="30">
        <f t="shared" si="0"/>
        <v>432.5</v>
      </c>
      <c r="Q5" s="30">
        <f t="shared" si="0"/>
        <v>422</v>
      </c>
      <c r="R5" s="30">
        <f t="shared" si="0"/>
        <v>417.1</v>
      </c>
      <c r="S5" s="30">
        <f t="shared" si="0"/>
        <v>411.5</v>
      </c>
      <c r="T5" s="30">
        <f t="shared" si="0"/>
        <v>404.6</v>
      </c>
      <c r="U5" s="30">
        <f t="shared" si="0"/>
        <v>375</v>
      </c>
      <c r="V5" s="30">
        <f t="shared" si="0"/>
        <v>202</v>
      </c>
      <c r="W5" s="30">
        <f t="shared" si="0"/>
        <v>209</v>
      </c>
      <c r="X5" s="30">
        <f t="shared" si="0"/>
        <v>222.6</v>
      </c>
      <c r="Y5" s="30">
        <f t="shared" si="0"/>
        <v>191.1</v>
      </c>
      <c r="Z5" s="30">
        <f t="shared" si="0"/>
        <v>169</v>
      </c>
      <c r="AA5" s="30">
        <f t="shared" si="0"/>
        <v>288</v>
      </c>
      <c r="AB5" s="30">
        <f t="shared" si="0"/>
        <v>329</v>
      </c>
      <c r="AC5" s="30">
        <f t="shared" si="0"/>
        <v>410.2</v>
      </c>
      <c r="AD5" s="30">
        <f t="shared" si="0"/>
        <v>354.9</v>
      </c>
      <c r="AE5" s="30">
        <f t="shared" si="0"/>
        <v>304.60000000000002</v>
      </c>
      <c r="AF5" s="30">
        <f>B92</f>
        <v>318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1676MW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Load=1053</v>
      </c>
      <c r="B7" s="35">
        <f>B100</f>
        <v>1122.6399999999999</v>
      </c>
      <c r="C7" s="35">
        <f t="shared" ref="C7:AF7" si="1">C100</f>
        <v>1071.6399999999999</v>
      </c>
      <c r="D7" s="35">
        <f t="shared" si="1"/>
        <v>1084.8400000000001</v>
      </c>
      <c r="E7" s="35">
        <f t="shared" si="1"/>
        <v>1067.6399999999999</v>
      </c>
      <c r="F7" s="35">
        <f t="shared" si="1"/>
        <v>1071.1399999999999</v>
      </c>
      <c r="G7" s="35">
        <f t="shared" si="1"/>
        <v>1181.3400000000001</v>
      </c>
      <c r="H7" s="35">
        <f t="shared" si="1"/>
        <v>1271.6400000000001</v>
      </c>
      <c r="I7" s="35">
        <f t="shared" si="1"/>
        <v>1345.94</v>
      </c>
      <c r="J7" s="35">
        <f t="shared" si="1"/>
        <v>1452.04</v>
      </c>
      <c r="K7" s="35">
        <f t="shared" si="1"/>
        <v>1423.74</v>
      </c>
      <c r="L7" s="35">
        <f t="shared" si="1"/>
        <v>1660.5400000000002</v>
      </c>
      <c r="M7" s="35">
        <f t="shared" si="1"/>
        <v>1563.6100000000001</v>
      </c>
      <c r="N7" s="35">
        <f t="shared" si="1"/>
        <v>1495.71</v>
      </c>
      <c r="O7" s="35">
        <f t="shared" si="1"/>
        <v>1371.74</v>
      </c>
      <c r="P7" s="35">
        <f t="shared" si="1"/>
        <v>1341.64</v>
      </c>
      <c r="Q7" s="35">
        <f t="shared" si="1"/>
        <v>1241.1400000000001</v>
      </c>
      <c r="R7" s="35">
        <f t="shared" si="1"/>
        <v>1231.44</v>
      </c>
      <c r="S7" s="35">
        <f t="shared" si="1"/>
        <v>1171.8400000000001</v>
      </c>
      <c r="T7" s="35">
        <f t="shared" si="1"/>
        <v>1147.1399999999999</v>
      </c>
      <c r="U7" s="35">
        <f t="shared" si="1"/>
        <v>1137.6399999999999</v>
      </c>
      <c r="V7" s="35">
        <f t="shared" si="1"/>
        <v>1108.8400000000001</v>
      </c>
      <c r="W7" s="35">
        <f t="shared" si="1"/>
        <v>1280.3400000000001</v>
      </c>
      <c r="X7" s="35">
        <f t="shared" si="1"/>
        <v>1488.14</v>
      </c>
      <c r="Y7" s="35">
        <f t="shared" si="1"/>
        <v>1594.64</v>
      </c>
      <c r="Z7" s="35">
        <f t="shared" si="1"/>
        <v>1576.94</v>
      </c>
      <c r="AA7" s="35">
        <f t="shared" si="1"/>
        <v>1580.14</v>
      </c>
      <c r="AB7" s="35">
        <f t="shared" si="1"/>
        <v>1541.6399999999999</v>
      </c>
      <c r="AC7" s="35">
        <f t="shared" si="1"/>
        <v>1542.54</v>
      </c>
      <c r="AD7" s="35">
        <f t="shared" si="1"/>
        <v>1385.24</v>
      </c>
      <c r="AE7" s="35">
        <f t="shared" si="1"/>
        <v>1176.8399999999999</v>
      </c>
      <c r="AF7" s="35">
        <f t="shared" si="1"/>
        <v>1053.44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72" t="s">
        <v>14</v>
      </c>
      <c r="C8" s="273"/>
      <c r="D8" s="273"/>
      <c r="E8" s="273"/>
      <c r="F8" s="273"/>
      <c r="G8" s="273"/>
      <c r="H8" s="273"/>
      <c r="I8" s="273"/>
      <c r="J8" s="273"/>
      <c r="K8" s="273"/>
      <c r="L8" s="274"/>
      <c r="M8" s="265" t="s">
        <v>15</v>
      </c>
      <c r="N8" s="266"/>
      <c r="O8" s="266"/>
      <c r="P8" s="266"/>
      <c r="Q8" s="266"/>
      <c r="R8" s="267"/>
      <c r="S8" s="265" t="s">
        <v>16</v>
      </c>
      <c r="T8" s="266"/>
      <c r="U8" s="266"/>
      <c r="V8" s="266"/>
      <c r="W8" s="266"/>
      <c r="X8" s="266"/>
      <c r="Y8" s="266"/>
      <c r="Z8" s="266"/>
      <c r="AA8" s="267"/>
      <c r="AB8" s="265" t="s">
        <v>17</v>
      </c>
      <c r="AC8" s="266"/>
      <c r="AD8" s="266"/>
      <c r="AE8" s="266"/>
      <c r="AF8" s="267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68" t="s">
        <v>18</v>
      </c>
      <c r="B9" s="264">
        <v>0</v>
      </c>
      <c r="C9" s="264">
        <v>4.1666666666666664E-2</v>
      </c>
      <c r="D9" s="264">
        <v>8.3333333333333301E-2</v>
      </c>
      <c r="E9" s="264">
        <v>0.125</v>
      </c>
      <c r="F9" s="264">
        <v>0.16666666666666699</v>
      </c>
      <c r="G9" s="264">
        <v>0.20833333333333301</v>
      </c>
      <c r="H9" s="264">
        <v>0.22916666666666666</v>
      </c>
      <c r="I9" s="264">
        <v>0.25</v>
      </c>
      <c r="J9" s="264">
        <v>0.27083333333333331</v>
      </c>
      <c r="K9" s="264">
        <v>0.29166666666666669</v>
      </c>
      <c r="L9" s="264">
        <v>0.3125</v>
      </c>
      <c r="M9" s="262">
        <v>0.33333333333333331</v>
      </c>
      <c r="N9" s="262">
        <v>0.375</v>
      </c>
      <c r="O9" s="262">
        <v>0.41666666666666702</v>
      </c>
      <c r="P9" s="262">
        <v>0.45833333333333298</v>
      </c>
      <c r="Q9" s="262">
        <v>0.5</v>
      </c>
      <c r="R9" s="262">
        <v>0.54166666666666696</v>
      </c>
      <c r="S9" s="258">
        <v>0.58333333333333304</v>
      </c>
      <c r="T9" s="258">
        <v>0.625</v>
      </c>
      <c r="U9" s="258">
        <v>0.66666666666666696</v>
      </c>
      <c r="V9" s="258">
        <v>0.70833333333333304</v>
      </c>
      <c r="W9" s="258">
        <v>0.72916666666666663</v>
      </c>
      <c r="X9" s="258">
        <v>0.75</v>
      </c>
      <c r="Y9" s="258">
        <v>0.77083333333333337</v>
      </c>
      <c r="Z9" s="258">
        <v>0.79166666666666663</v>
      </c>
      <c r="AA9" s="258">
        <v>0.8125</v>
      </c>
      <c r="AB9" s="258">
        <v>0.83333333333333337</v>
      </c>
      <c r="AC9" s="258">
        <v>0.85416666666666663</v>
      </c>
      <c r="AD9" s="258">
        <v>0.875</v>
      </c>
      <c r="AE9" s="258">
        <v>0.91666666666666696</v>
      </c>
      <c r="AF9" s="258">
        <v>0.95833333333333304</v>
      </c>
      <c r="AG9" s="260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69"/>
      <c r="B10" s="259"/>
      <c r="C10" s="259"/>
      <c r="D10" s="259"/>
      <c r="E10" s="259"/>
      <c r="F10" s="259"/>
      <c r="G10" s="259"/>
      <c r="H10" s="259"/>
      <c r="I10" s="259"/>
      <c r="J10" s="259"/>
      <c r="K10" s="259"/>
      <c r="L10" s="259"/>
      <c r="M10" s="263"/>
      <c r="N10" s="263"/>
      <c r="O10" s="263"/>
      <c r="P10" s="263"/>
      <c r="Q10" s="263"/>
      <c r="R10" s="263"/>
      <c r="S10" s="259"/>
      <c r="T10" s="259"/>
      <c r="U10" s="259"/>
      <c r="V10" s="259"/>
      <c r="W10" s="259"/>
      <c r="X10" s="259"/>
      <c r="Y10" s="259"/>
      <c r="Z10" s="259"/>
      <c r="AA10" s="259"/>
      <c r="AB10" s="259"/>
      <c r="AC10" s="259"/>
      <c r="AD10" s="259"/>
      <c r="AE10" s="259"/>
      <c r="AF10" s="259"/>
      <c r="AG10" s="261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32.5</v>
      </c>
      <c r="C11" s="45">
        <v>32.5</v>
      </c>
      <c r="D11" s="45">
        <v>32.5</v>
      </c>
      <c r="E11" s="45">
        <v>32.5</v>
      </c>
      <c r="F11" s="45">
        <v>32.5</v>
      </c>
      <c r="G11" s="45">
        <v>32.5</v>
      </c>
      <c r="H11" s="45">
        <v>32.5</v>
      </c>
      <c r="I11" s="45">
        <v>32.5</v>
      </c>
      <c r="J11" s="45">
        <v>32.5</v>
      </c>
      <c r="K11" s="45">
        <v>32.5</v>
      </c>
      <c r="L11" s="45">
        <v>32.5</v>
      </c>
      <c r="M11" s="45">
        <v>32.5</v>
      </c>
      <c r="N11" s="45">
        <v>32.5</v>
      </c>
      <c r="O11" s="45">
        <v>32.5</v>
      </c>
      <c r="P11" s="45">
        <v>32.5</v>
      </c>
      <c r="Q11" s="45">
        <v>32.5</v>
      </c>
      <c r="R11" s="45">
        <v>32.5</v>
      </c>
      <c r="S11" s="45">
        <v>32.5</v>
      </c>
      <c r="T11" s="45">
        <v>33</v>
      </c>
      <c r="U11" s="45">
        <v>33</v>
      </c>
      <c r="V11" s="45">
        <v>33</v>
      </c>
      <c r="W11" s="45">
        <v>33</v>
      </c>
      <c r="X11" s="45">
        <v>32.9</v>
      </c>
      <c r="Y11" s="45">
        <v>32.9</v>
      </c>
      <c r="Z11" s="45">
        <v>32.9</v>
      </c>
      <c r="AA11" s="45">
        <v>32.9</v>
      </c>
      <c r="AB11" s="45">
        <v>32.5</v>
      </c>
      <c r="AC11" s="45">
        <v>32.4</v>
      </c>
      <c r="AD11" s="45">
        <v>32.5</v>
      </c>
      <c r="AE11" s="45">
        <v>32.1</v>
      </c>
      <c r="AF11" s="45">
        <v>32.5</v>
      </c>
      <c r="AG11" s="46">
        <v>86</v>
      </c>
      <c r="AH11" s="47">
        <f t="shared" ref="AH11:AH84" si="2">MAX(B11:AF11)</f>
        <v>33</v>
      </c>
      <c r="AI11" s="48">
        <f t="shared" ref="AI11:AI84" si="3">MIN(B11:AF11)</f>
        <v>32.1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262</v>
      </c>
      <c r="B12" s="45">
        <v>11.5</v>
      </c>
      <c r="C12" s="45">
        <v>11.5</v>
      </c>
      <c r="D12" s="45">
        <v>11.5</v>
      </c>
      <c r="E12" s="45">
        <v>11.5</v>
      </c>
      <c r="F12" s="45">
        <v>11.5</v>
      </c>
      <c r="G12" s="45">
        <v>11.5</v>
      </c>
      <c r="H12" s="45">
        <v>11.5</v>
      </c>
      <c r="I12" s="45">
        <v>11.5</v>
      </c>
      <c r="J12" s="45">
        <v>11.5</v>
      </c>
      <c r="K12" s="45">
        <v>11.5</v>
      </c>
      <c r="L12" s="45">
        <v>11.5</v>
      </c>
      <c r="M12" s="45">
        <v>11.5</v>
      </c>
      <c r="N12" s="45">
        <v>11.5</v>
      </c>
      <c r="O12" s="45">
        <v>11.5</v>
      </c>
      <c r="P12" s="45">
        <v>11.5</v>
      </c>
      <c r="Q12" s="45">
        <v>11.5</v>
      </c>
      <c r="R12" s="45">
        <v>11.5</v>
      </c>
      <c r="S12" s="45">
        <v>11.5</v>
      </c>
      <c r="T12" s="45">
        <v>11.5</v>
      </c>
      <c r="U12" s="45">
        <v>11.5</v>
      </c>
      <c r="V12" s="45">
        <v>11.5</v>
      </c>
      <c r="W12" s="45">
        <v>11.5</v>
      </c>
      <c r="X12" s="45">
        <v>11.5</v>
      </c>
      <c r="Y12" s="45">
        <v>11.5</v>
      </c>
      <c r="Z12" s="45">
        <v>11.5</v>
      </c>
      <c r="AA12" s="45">
        <v>11.5</v>
      </c>
      <c r="AB12" s="45">
        <v>11.5</v>
      </c>
      <c r="AC12" s="45">
        <v>11.5</v>
      </c>
      <c r="AD12" s="45">
        <v>11.5</v>
      </c>
      <c r="AE12" s="45">
        <v>11.5</v>
      </c>
      <c r="AF12" s="45">
        <v>11.5</v>
      </c>
      <c r="AG12" s="49">
        <v>54</v>
      </c>
      <c r="AH12" s="47">
        <f t="shared" si="2"/>
        <v>11.5</v>
      </c>
      <c r="AI12" s="48">
        <f t="shared" si="3"/>
        <v>11.5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15.5</v>
      </c>
      <c r="C13" s="45">
        <v>15.5</v>
      </c>
      <c r="D13" s="45">
        <v>15.5</v>
      </c>
      <c r="E13" s="45">
        <v>15.5</v>
      </c>
      <c r="F13" s="45">
        <v>15.5</v>
      </c>
      <c r="G13" s="45">
        <v>15.5</v>
      </c>
      <c r="H13" s="45">
        <v>15.5</v>
      </c>
      <c r="I13" s="45">
        <v>15.5</v>
      </c>
      <c r="J13" s="45">
        <v>15.5</v>
      </c>
      <c r="K13" s="45">
        <v>15.5</v>
      </c>
      <c r="L13" s="45">
        <v>15.5</v>
      </c>
      <c r="M13" s="45">
        <v>15.5</v>
      </c>
      <c r="N13" s="45">
        <v>15.5</v>
      </c>
      <c r="O13" s="45">
        <v>15.5</v>
      </c>
      <c r="P13" s="45">
        <v>15.5</v>
      </c>
      <c r="Q13" s="45">
        <v>15.5</v>
      </c>
      <c r="R13" s="45">
        <v>15.5</v>
      </c>
      <c r="S13" s="45">
        <v>15.5</v>
      </c>
      <c r="T13" s="45">
        <v>15.5</v>
      </c>
      <c r="U13" s="45">
        <v>15.5</v>
      </c>
      <c r="V13" s="45">
        <v>15.5</v>
      </c>
      <c r="W13" s="45">
        <v>15.5</v>
      </c>
      <c r="X13" s="45">
        <v>15.5</v>
      </c>
      <c r="Y13" s="45">
        <v>15.5</v>
      </c>
      <c r="Z13" s="45">
        <v>15.5</v>
      </c>
      <c r="AA13" s="45">
        <v>15.5</v>
      </c>
      <c r="AB13" s="45">
        <v>15.5</v>
      </c>
      <c r="AC13" s="45">
        <v>15.5</v>
      </c>
      <c r="AD13" s="45">
        <v>15.5</v>
      </c>
      <c r="AE13" s="45">
        <v>15.5</v>
      </c>
      <c r="AF13" s="45">
        <v>15.5</v>
      </c>
      <c r="AG13" s="49">
        <v>54</v>
      </c>
      <c r="AH13" s="47">
        <f t="shared" si="2"/>
        <v>15.5</v>
      </c>
      <c r="AI13" s="48">
        <f t="shared" si="3"/>
        <v>15.5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16.100000000000001</v>
      </c>
      <c r="C14" s="45">
        <v>16.100000000000001</v>
      </c>
      <c r="D14" s="45">
        <v>16.100000000000001</v>
      </c>
      <c r="E14" s="45">
        <v>16.100000000000001</v>
      </c>
      <c r="F14" s="45">
        <v>16.100000000000001</v>
      </c>
      <c r="G14" s="45">
        <v>16.100000000000001</v>
      </c>
      <c r="H14" s="45">
        <v>16.100000000000001</v>
      </c>
      <c r="I14" s="45">
        <v>16.100000000000001</v>
      </c>
      <c r="J14" s="45">
        <v>16.100000000000001</v>
      </c>
      <c r="K14" s="45">
        <v>16.100000000000001</v>
      </c>
      <c r="L14" s="45">
        <v>16.100000000000001</v>
      </c>
      <c r="M14" s="45">
        <v>16.100000000000001</v>
      </c>
      <c r="N14" s="45">
        <v>16.100000000000001</v>
      </c>
      <c r="O14" s="45">
        <v>16.100000000000001</v>
      </c>
      <c r="P14" s="45">
        <v>16.100000000000001</v>
      </c>
      <c r="Q14" s="45">
        <v>16.100000000000001</v>
      </c>
      <c r="R14" s="45">
        <v>16.100000000000001</v>
      </c>
      <c r="S14" s="45">
        <v>16.100000000000001</v>
      </c>
      <c r="T14" s="45">
        <v>16.100000000000001</v>
      </c>
      <c r="U14" s="45">
        <v>16.100000000000001</v>
      </c>
      <c r="V14" s="45">
        <v>16.100000000000001</v>
      </c>
      <c r="W14" s="45">
        <v>16.100000000000001</v>
      </c>
      <c r="X14" s="45">
        <v>16.100000000000001</v>
      </c>
      <c r="Y14" s="45">
        <v>16.100000000000001</v>
      </c>
      <c r="Z14" s="45">
        <v>16.100000000000001</v>
      </c>
      <c r="AA14" s="45">
        <v>16.100000000000001</v>
      </c>
      <c r="AB14" s="45">
        <v>16.100000000000001</v>
      </c>
      <c r="AC14" s="45">
        <v>16.100000000000001</v>
      </c>
      <c r="AD14" s="45">
        <v>16.100000000000001</v>
      </c>
      <c r="AE14" s="45">
        <v>18.600000000000001</v>
      </c>
      <c r="AF14" s="45">
        <v>18.600000000000001</v>
      </c>
      <c r="AG14" s="46">
        <v>52.4</v>
      </c>
      <c r="AH14" s="47">
        <f t="shared" si="2"/>
        <v>18.600000000000001</v>
      </c>
      <c r="AI14" s="48">
        <f t="shared" si="3"/>
        <v>16.100000000000001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36.9</v>
      </c>
      <c r="C15" s="45">
        <v>36.9</v>
      </c>
      <c r="D15" s="45">
        <v>36.9</v>
      </c>
      <c r="E15" s="45">
        <v>36.9</v>
      </c>
      <c r="F15" s="45">
        <v>36.9</v>
      </c>
      <c r="G15" s="45">
        <v>36.9</v>
      </c>
      <c r="H15" s="45">
        <v>36.9</v>
      </c>
      <c r="I15" s="45">
        <v>36.9</v>
      </c>
      <c r="J15" s="45">
        <v>36.9</v>
      </c>
      <c r="K15" s="45">
        <v>36.9</v>
      </c>
      <c r="L15" s="45">
        <v>36.9</v>
      </c>
      <c r="M15" s="45">
        <v>36.9</v>
      </c>
      <c r="N15" s="45">
        <v>36.9</v>
      </c>
      <c r="O15" s="45">
        <v>36.9</v>
      </c>
      <c r="P15" s="45">
        <v>36.9</v>
      </c>
      <c r="Q15" s="45">
        <v>36.9</v>
      </c>
      <c r="R15" s="45">
        <v>36.9</v>
      </c>
      <c r="S15" s="45">
        <v>36.9</v>
      </c>
      <c r="T15" s="45">
        <v>36.9</v>
      </c>
      <c r="U15" s="45">
        <v>36.9</v>
      </c>
      <c r="V15" s="45">
        <v>36.9</v>
      </c>
      <c r="W15" s="45">
        <v>36.9</v>
      </c>
      <c r="X15" s="45">
        <v>36.9</v>
      </c>
      <c r="Y15" s="45">
        <v>36.9</v>
      </c>
      <c r="Z15" s="45">
        <v>36.9</v>
      </c>
      <c r="AA15" s="45">
        <v>36.9</v>
      </c>
      <c r="AB15" s="45">
        <v>36.9</v>
      </c>
      <c r="AC15" s="45">
        <v>36.9</v>
      </c>
      <c r="AD15" s="45">
        <v>36.9</v>
      </c>
      <c r="AE15" s="45">
        <v>36.200000000000003</v>
      </c>
      <c r="AF15" s="45">
        <v>36.200000000000003</v>
      </c>
      <c r="AG15" s="49">
        <v>50</v>
      </c>
      <c r="AH15" s="47">
        <f t="shared" si="2"/>
        <v>36.9</v>
      </c>
      <c r="AI15" s="48">
        <f t="shared" si="3"/>
        <v>36.200000000000003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17.8</v>
      </c>
      <c r="C16" s="45">
        <v>17.8</v>
      </c>
      <c r="D16" s="45">
        <v>17.8</v>
      </c>
      <c r="E16" s="45">
        <v>17.8</v>
      </c>
      <c r="F16" s="45">
        <v>17.8</v>
      </c>
      <c r="G16" s="45">
        <v>17.8</v>
      </c>
      <c r="H16" s="45">
        <v>17.8</v>
      </c>
      <c r="I16" s="45">
        <v>17.8</v>
      </c>
      <c r="J16" s="45">
        <v>17.8</v>
      </c>
      <c r="K16" s="45">
        <v>17.8</v>
      </c>
      <c r="L16" s="45">
        <v>17.8</v>
      </c>
      <c r="M16" s="45">
        <v>17.8</v>
      </c>
      <c r="N16" s="45">
        <v>17.8</v>
      </c>
      <c r="O16" s="45">
        <v>17.8</v>
      </c>
      <c r="P16" s="45">
        <v>17.8</v>
      </c>
      <c r="Q16" s="45">
        <v>17.8</v>
      </c>
      <c r="R16" s="45">
        <v>17.8</v>
      </c>
      <c r="S16" s="45">
        <v>20.6</v>
      </c>
      <c r="T16" s="45">
        <v>20.6</v>
      </c>
      <c r="U16" s="45">
        <v>20.6</v>
      </c>
      <c r="V16" s="45">
        <v>20.6</v>
      </c>
      <c r="W16" s="45">
        <v>20.6</v>
      </c>
      <c r="X16" s="45">
        <v>20.6</v>
      </c>
      <c r="Y16" s="45">
        <v>20.6</v>
      </c>
      <c r="Z16" s="45">
        <v>20.6</v>
      </c>
      <c r="AA16" s="45">
        <v>20.6</v>
      </c>
      <c r="AB16" s="45">
        <v>20.6</v>
      </c>
      <c r="AC16" s="45">
        <v>20.6</v>
      </c>
      <c r="AD16" s="45">
        <v>20.6</v>
      </c>
      <c r="AE16" s="45">
        <v>20.3</v>
      </c>
      <c r="AF16" s="45">
        <v>20.3</v>
      </c>
      <c r="AG16" s="49">
        <v>45</v>
      </c>
      <c r="AH16" s="47">
        <f t="shared" si="2"/>
        <v>20.6</v>
      </c>
      <c r="AI16" s="48">
        <f t="shared" si="3"/>
        <v>17.8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16.5</v>
      </c>
      <c r="C17" s="45">
        <v>16.5</v>
      </c>
      <c r="D17" s="45">
        <v>16.5</v>
      </c>
      <c r="E17" s="45">
        <v>16.5</v>
      </c>
      <c r="F17" s="45">
        <v>16.5</v>
      </c>
      <c r="G17" s="45">
        <v>16.5</v>
      </c>
      <c r="H17" s="45">
        <v>16.5</v>
      </c>
      <c r="I17" s="45">
        <v>16.5</v>
      </c>
      <c r="J17" s="45">
        <v>16.5</v>
      </c>
      <c r="K17" s="45">
        <v>16.5</v>
      </c>
      <c r="L17" s="45">
        <v>16.5</v>
      </c>
      <c r="M17" s="45">
        <v>16.5</v>
      </c>
      <c r="N17" s="45">
        <v>16.5</v>
      </c>
      <c r="O17" s="45">
        <v>16.5</v>
      </c>
      <c r="P17" s="45">
        <v>16.5</v>
      </c>
      <c r="Q17" s="45">
        <v>16.5</v>
      </c>
      <c r="R17" s="45">
        <v>16.5</v>
      </c>
      <c r="S17" s="45">
        <v>16.5</v>
      </c>
      <c r="T17" s="45">
        <v>16.5</v>
      </c>
      <c r="U17" s="45">
        <v>16.5</v>
      </c>
      <c r="V17" s="45">
        <v>16.5</v>
      </c>
      <c r="W17" s="45">
        <v>16.5</v>
      </c>
      <c r="X17" s="45">
        <v>16.5</v>
      </c>
      <c r="Y17" s="45">
        <v>16.5</v>
      </c>
      <c r="Z17" s="45">
        <v>16.5</v>
      </c>
      <c r="AA17" s="45">
        <v>16.5</v>
      </c>
      <c r="AB17" s="45">
        <v>16.5</v>
      </c>
      <c r="AC17" s="45">
        <v>16.5</v>
      </c>
      <c r="AD17" s="45">
        <v>16.5</v>
      </c>
      <c r="AE17" s="45">
        <v>16.5</v>
      </c>
      <c r="AF17" s="45">
        <v>16.5</v>
      </c>
      <c r="AG17" s="49">
        <v>44</v>
      </c>
      <c r="AH17" s="47">
        <f>MAX(B17:AG17)</f>
        <v>44</v>
      </c>
      <c r="AI17" s="48">
        <f>MIN(B17:AG17)</f>
        <v>16.5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9</v>
      </c>
      <c r="C18" s="45">
        <v>9</v>
      </c>
      <c r="D18" s="45">
        <v>9</v>
      </c>
      <c r="E18" s="45">
        <v>9</v>
      </c>
      <c r="F18" s="45">
        <v>9</v>
      </c>
      <c r="G18" s="45">
        <v>9</v>
      </c>
      <c r="H18" s="45">
        <v>9</v>
      </c>
      <c r="I18" s="45">
        <v>9</v>
      </c>
      <c r="J18" s="45">
        <v>9</v>
      </c>
      <c r="K18" s="45">
        <v>9</v>
      </c>
      <c r="L18" s="45">
        <v>9</v>
      </c>
      <c r="M18" s="45">
        <v>9</v>
      </c>
      <c r="N18" s="45">
        <v>9</v>
      </c>
      <c r="O18" s="45">
        <v>9</v>
      </c>
      <c r="P18" s="45">
        <v>9</v>
      </c>
      <c r="Q18" s="45">
        <v>9</v>
      </c>
      <c r="R18" s="45">
        <v>9</v>
      </c>
      <c r="S18" s="45">
        <v>9</v>
      </c>
      <c r="T18" s="45">
        <v>9</v>
      </c>
      <c r="U18" s="45">
        <v>9</v>
      </c>
      <c r="V18" s="45">
        <v>9</v>
      </c>
      <c r="W18" s="45">
        <v>9</v>
      </c>
      <c r="X18" s="45">
        <v>10</v>
      </c>
      <c r="Y18" s="45">
        <v>10</v>
      </c>
      <c r="Z18" s="45">
        <v>10</v>
      </c>
      <c r="AA18" s="45">
        <v>10</v>
      </c>
      <c r="AB18" s="45">
        <v>10</v>
      </c>
      <c r="AC18" s="45">
        <v>10</v>
      </c>
      <c r="AD18" s="45">
        <v>10</v>
      </c>
      <c r="AE18" s="45">
        <v>9.5</v>
      </c>
      <c r="AF18" s="45">
        <v>9.5</v>
      </c>
      <c r="AG18" s="49">
        <v>42</v>
      </c>
      <c r="AH18" s="47">
        <f t="shared" si="2"/>
        <v>10</v>
      </c>
      <c r="AI18" s="48">
        <f t="shared" si="3"/>
        <v>9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263</v>
      </c>
      <c r="B19" s="45">
        <v>15.4</v>
      </c>
      <c r="C19" s="45">
        <v>15.4</v>
      </c>
      <c r="D19" s="45">
        <v>15.4</v>
      </c>
      <c r="E19" s="45">
        <v>15.4</v>
      </c>
      <c r="F19" s="45">
        <v>15.4</v>
      </c>
      <c r="G19" s="45">
        <v>15.4</v>
      </c>
      <c r="H19" s="45">
        <v>15.4</v>
      </c>
      <c r="I19" s="45">
        <v>15.4</v>
      </c>
      <c r="J19" s="45">
        <v>15.4</v>
      </c>
      <c r="K19" s="45">
        <v>15.4</v>
      </c>
      <c r="L19" s="45">
        <v>15.4</v>
      </c>
      <c r="M19" s="45">
        <v>15.4</v>
      </c>
      <c r="N19" s="45">
        <v>15.4</v>
      </c>
      <c r="O19" s="45">
        <v>15.4</v>
      </c>
      <c r="P19" s="45">
        <v>15.4</v>
      </c>
      <c r="Q19" s="45">
        <v>15.4</v>
      </c>
      <c r="R19" s="45">
        <v>15.4</v>
      </c>
      <c r="S19" s="45">
        <v>15.4</v>
      </c>
      <c r="T19" s="45">
        <v>15.4</v>
      </c>
      <c r="U19" s="45">
        <v>15.4</v>
      </c>
      <c r="V19" s="45">
        <v>15.4</v>
      </c>
      <c r="W19" s="45">
        <v>15.4</v>
      </c>
      <c r="X19" s="45">
        <v>15.4</v>
      </c>
      <c r="Y19" s="45">
        <v>15.4</v>
      </c>
      <c r="Z19" s="45">
        <v>15.4</v>
      </c>
      <c r="AA19" s="45">
        <v>15.4</v>
      </c>
      <c r="AB19" s="45">
        <v>15.4</v>
      </c>
      <c r="AC19" s="45">
        <v>15.4</v>
      </c>
      <c r="AD19" s="45">
        <v>15.4</v>
      </c>
      <c r="AE19" s="45">
        <v>15.4</v>
      </c>
      <c r="AF19" s="45">
        <v>15.4</v>
      </c>
      <c r="AG19" s="49">
        <v>38.46</v>
      </c>
      <c r="AH19" s="47">
        <f t="shared" si="2"/>
        <v>15.4</v>
      </c>
      <c r="AI19" s="48">
        <f t="shared" si="3"/>
        <v>15.4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10.199999999999999</v>
      </c>
      <c r="C20" s="45">
        <v>10.199999999999999</v>
      </c>
      <c r="D20" s="45">
        <v>10.199999999999999</v>
      </c>
      <c r="E20" s="45">
        <v>10.199999999999999</v>
      </c>
      <c r="F20" s="45">
        <v>10.199999999999999</v>
      </c>
      <c r="G20" s="45">
        <v>10.199999999999999</v>
      </c>
      <c r="H20" s="45">
        <v>10.199999999999999</v>
      </c>
      <c r="I20" s="45">
        <v>10.199999999999999</v>
      </c>
      <c r="J20" s="45">
        <v>10.199999999999999</v>
      </c>
      <c r="K20" s="45">
        <v>10.199999999999999</v>
      </c>
      <c r="L20" s="45">
        <v>10.199999999999999</v>
      </c>
      <c r="M20" s="45">
        <v>10.199999999999999</v>
      </c>
      <c r="N20" s="45">
        <v>10.199999999999999</v>
      </c>
      <c r="O20" s="45">
        <v>10.199999999999999</v>
      </c>
      <c r="P20" s="45">
        <v>10.199999999999999</v>
      </c>
      <c r="Q20" s="45">
        <v>10.199999999999999</v>
      </c>
      <c r="R20" s="45">
        <v>10.199999999999999</v>
      </c>
      <c r="S20" s="45">
        <v>10.199999999999999</v>
      </c>
      <c r="T20" s="45">
        <v>10.199999999999999</v>
      </c>
      <c r="U20" s="45">
        <v>10.199999999999999</v>
      </c>
      <c r="V20" s="45">
        <v>10.199999999999999</v>
      </c>
      <c r="W20" s="45">
        <v>10.199999999999999</v>
      </c>
      <c r="X20" s="45">
        <v>10.199999999999999</v>
      </c>
      <c r="Y20" s="45">
        <v>10.199999999999999</v>
      </c>
      <c r="Z20" s="45">
        <v>10.199999999999999</v>
      </c>
      <c r="AA20" s="45">
        <v>10.199999999999999</v>
      </c>
      <c r="AB20" s="45">
        <v>10.199999999999999</v>
      </c>
      <c r="AC20" s="45">
        <v>10.199999999999999</v>
      </c>
      <c r="AD20" s="45">
        <v>10.199999999999999</v>
      </c>
      <c r="AE20" s="45">
        <v>10.199999999999999</v>
      </c>
      <c r="AF20" s="45">
        <v>10.199999999999999</v>
      </c>
      <c r="AG20" s="49">
        <v>38.46</v>
      </c>
      <c r="AH20" s="47">
        <f t="shared" si="2"/>
        <v>10.199999999999999</v>
      </c>
      <c r="AI20" s="48">
        <f t="shared" si="3"/>
        <v>10.199999999999999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13.6</v>
      </c>
      <c r="C21" s="45">
        <v>13.6</v>
      </c>
      <c r="D21" s="45">
        <v>13.6</v>
      </c>
      <c r="E21" s="45">
        <v>13.6</v>
      </c>
      <c r="F21" s="45">
        <v>13.6</v>
      </c>
      <c r="G21" s="45">
        <v>13.6</v>
      </c>
      <c r="H21" s="45">
        <v>13.6</v>
      </c>
      <c r="I21" s="45">
        <v>13.6</v>
      </c>
      <c r="J21" s="45">
        <v>13.6</v>
      </c>
      <c r="K21" s="45">
        <v>13.6</v>
      </c>
      <c r="L21" s="45">
        <v>13.6</v>
      </c>
      <c r="M21" s="45">
        <v>13.6</v>
      </c>
      <c r="N21" s="45">
        <v>13.6</v>
      </c>
      <c r="O21" s="45">
        <v>13.6</v>
      </c>
      <c r="P21" s="45">
        <v>13.6</v>
      </c>
      <c r="Q21" s="45">
        <v>13.6</v>
      </c>
      <c r="R21" s="45">
        <v>13.6</v>
      </c>
      <c r="S21" s="45">
        <v>13.6</v>
      </c>
      <c r="T21" s="45">
        <v>13.6</v>
      </c>
      <c r="U21" s="45">
        <v>13.6</v>
      </c>
      <c r="V21" s="45">
        <v>13.6</v>
      </c>
      <c r="W21" s="45">
        <v>13.6</v>
      </c>
      <c r="X21" s="45">
        <v>13.6</v>
      </c>
      <c r="Y21" s="45">
        <v>13.6</v>
      </c>
      <c r="Z21" s="45">
        <v>13.6</v>
      </c>
      <c r="AA21" s="45">
        <v>13.6</v>
      </c>
      <c r="AB21" s="45">
        <v>13.6</v>
      </c>
      <c r="AC21" s="45">
        <v>13.6</v>
      </c>
      <c r="AD21" s="45">
        <v>13.6</v>
      </c>
      <c r="AE21" s="45">
        <v>13.6</v>
      </c>
      <c r="AF21" s="45">
        <v>13.6</v>
      </c>
      <c r="AG21" s="49">
        <v>36</v>
      </c>
      <c r="AH21" s="47">
        <f t="shared" si="2"/>
        <v>13.6</v>
      </c>
      <c r="AI21" s="48">
        <f t="shared" si="3"/>
        <v>13.6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9.9</v>
      </c>
      <c r="C22" s="45">
        <v>9.9</v>
      </c>
      <c r="D22" s="45">
        <v>9.9</v>
      </c>
      <c r="E22" s="45">
        <v>9.9</v>
      </c>
      <c r="F22" s="45">
        <v>9.9</v>
      </c>
      <c r="G22" s="45">
        <v>9.9</v>
      </c>
      <c r="H22" s="45">
        <v>9.9</v>
      </c>
      <c r="I22" s="45">
        <v>9.9</v>
      </c>
      <c r="J22" s="45">
        <v>9.9</v>
      </c>
      <c r="K22" s="45">
        <v>9.9</v>
      </c>
      <c r="L22" s="45">
        <v>9.9</v>
      </c>
      <c r="M22" s="45">
        <v>9.9</v>
      </c>
      <c r="N22" s="45">
        <v>9.9</v>
      </c>
      <c r="O22" s="45">
        <v>9.9</v>
      </c>
      <c r="P22" s="45">
        <v>9.9</v>
      </c>
      <c r="Q22" s="45">
        <v>9.9</v>
      </c>
      <c r="R22" s="45">
        <v>9.9</v>
      </c>
      <c r="S22" s="45">
        <v>9.9</v>
      </c>
      <c r="T22" s="45">
        <v>9.9</v>
      </c>
      <c r="U22" s="45">
        <v>9.9</v>
      </c>
      <c r="V22" s="45">
        <v>9.9</v>
      </c>
      <c r="W22" s="45">
        <v>9.9</v>
      </c>
      <c r="X22" s="45">
        <v>9.9</v>
      </c>
      <c r="Y22" s="45">
        <v>9.9</v>
      </c>
      <c r="Z22" s="45">
        <v>9.9</v>
      </c>
      <c r="AA22" s="45">
        <v>9.9</v>
      </c>
      <c r="AB22" s="45">
        <v>9.9</v>
      </c>
      <c r="AC22" s="45">
        <v>9.9</v>
      </c>
      <c r="AD22" s="45">
        <v>9.9</v>
      </c>
      <c r="AE22" s="45">
        <v>9.9</v>
      </c>
      <c r="AF22" s="45">
        <v>9.9</v>
      </c>
      <c r="AG22" s="52">
        <v>30</v>
      </c>
      <c r="AH22" s="47">
        <f t="shared" si="2"/>
        <v>9.9</v>
      </c>
      <c r="AI22" s="48">
        <f t="shared" si="3"/>
        <v>9.9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9</v>
      </c>
      <c r="C23" s="45">
        <v>9</v>
      </c>
      <c r="D23" s="45">
        <v>9</v>
      </c>
      <c r="E23" s="45">
        <v>9</v>
      </c>
      <c r="F23" s="45">
        <v>9</v>
      </c>
      <c r="G23" s="45">
        <v>9</v>
      </c>
      <c r="H23" s="45">
        <v>9</v>
      </c>
      <c r="I23" s="45">
        <v>9</v>
      </c>
      <c r="J23" s="45">
        <v>9</v>
      </c>
      <c r="K23" s="45">
        <v>9</v>
      </c>
      <c r="L23" s="45">
        <v>9</v>
      </c>
      <c r="M23" s="45">
        <v>9</v>
      </c>
      <c r="N23" s="45">
        <v>9</v>
      </c>
      <c r="O23" s="45">
        <v>9</v>
      </c>
      <c r="P23" s="45">
        <v>9</v>
      </c>
      <c r="Q23" s="45">
        <v>9</v>
      </c>
      <c r="R23" s="45">
        <v>9</v>
      </c>
      <c r="S23" s="45">
        <v>9</v>
      </c>
      <c r="T23" s="45">
        <v>9</v>
      </c>
      <c r="U23" s="45">
        <v>9</v>
      </c>
      <c r="V23" s="45">
        <v>9</v>
      </c>
      <c r="W23" s="45">
        <v>9</v>
      </c>
      <c r="X23" s="45">
        <v>9</v>
      </c>
      <c r="Y23" s="45">
        <v>9</v>
      </c>
      <c r="Z23" s="45">
        <v>9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9</v>
      </c>
      <c r="AG23" s="49">
        <v>24.2</v>
      </c>
      <c r="AH23" s="47">
        <f t="shared" si="2"/>
        <v>9</v>
      </c>
      <c r="AI23" s="48">
        <f t="shared" si="3"/>
        <v>9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11.6</v>
      </c>
      <c r="C24" s="45">
        <v>11.6</v>
      </c>
      <c r="D24" s="45">
        <v>11.6</v>
      </c>
      <c r="E24" s="45">
        <v>11.6</v>
      </c>
      <c r="F24" s="45">
        <v>11.6</v>
      </c>
      <c r="G24" s="45">
        <v>11.6</v>
      </c>
      <c r="H24" s="45">
        <v>11.6</v>
      </c>
      <c r="I24" s="45">
        <v>11.6</v>
      </c>
      <c r="J24" s="45">
        <v>11.6</v>
      </c>
      <c r="K24" s="45">
        <v>11.6</v>
      </c>
      <c r="L24" s="45">
        <v>11.6</v>
      </c>
      <c r="M24" s="45">
        <v>11.6</v>
      </c>
      <c r="N24" s="45">
        <v>11.6</v>
      </c>
      <c r="O24" s="45">
        <v>11.6</v>
      </c>
      <c r="P24" s="45">
        <v>11.6</v>
      </c>
      <c r="Q24" s="45">
        <v>11.6</v>
      </c>
      <c r="R24" s="45">
        <v>11.6</v>
      </c>
      <c r="S24" s="45">
        <v>11.6</v>
      </c>
      <c r="T24" s="45">
        <v>11.6</v>
      </c>
      <c r="U24" s="45">
        <v>11.6</v>
      </c>
      <c r="V24" s="45">
        <v>11.6</v>
      </c>
      <c r="W24" s="45">
        <v>11.6</v>
      </c>
      <c r="X24" s="45">
        <v>11.6</v>
      </c>
      <c r="Y24" s="45">
        <v>11.6</v>
      </c>
      <c r="Z24" s="45">
        <v>11.6</v>
      </c>
      <c r="AA24" s="45">
        <v>11.6</v>
      </c>
      <c r="AB24" s="45">
        <v>11.6</v>
      </c>
      <c r="AC24" s="45">
        <v>11.6</v>
      </c>
      <c r="AD24" s="45">
        <v>11.6</v>
      </c>
      <c r="AE24" s="45">
        <v>10.9</v>
      </c>
      <c r="AF24" s="45">
        <v>10.9</v>
      </c>
      <c r="AG24" s="49">
        <v>28</v>
      </c>
      <c r="AH24" s="47">
        <f t="shared" si="2"/>
        <v>11.6</v>
      </c>
      <c r="AI24" s="48">
        <f t="shared" si="3"/>
        <v>10.9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8.8000000000000007</v>
      </c>
      <c r="C25" s="45">
        <v>8.8000000000000007</v>
      </c>
      <c r="D25" s="45">
        <v>8.8000000000000007</v>
      </c>
      <c r="E25" s="45">
        <v>8.8000000000000007</v>
      </c>
      <c r="F25" s="45">
        <v>8.8000000000000007</v>
      </c>
      <c r="G25" s="45">
        <v>8.8000000000000007</v>
      </c>
      <c r="H25" s="45">
        <v>8.8000000000000007</v>
      </c>
      <c r="I25" s="45">
        <v>8.8000000000000007</v>
      </c>
      <c r="J25" s="45">
        <v>8.8000000000000007</v>
      </c>
      <c r="K25" s="45">
        <v>8.8000000000000007</v>
      </c>
      <c r="L25" s="45">
        <v>8.8000000000000007</v>
      </c>
      <c r="M25" s="45">
        <v>8.8000000000000007</v>
      </c>
      <c r="N25" s="45">
        <v>8.8000000000000007</v>
      </c>
      <c r="O25" s="45">
        <v>8.8000000000000007</v>
      </c>
      <c r="P25" s="45">
        <v>8.8000000000000007</v>
      </c>
      <c r="Q25" s="45">
        <v>8.8000000000000007</v>
      </c>
      <c r="R25" s="45">
        <v>8.8000000000000007</v>
      </c>
      <c r="S25" s="45">
        <v>8.8000000000000007</v>
      </c>
      <c r="T25" s="45">
        <v>8.8000000000000007</v>
      </c>
      <c r="U25" s="45">
        <v>8.8000000000000007</v>
      </c>
      <c r="V25" s="45">
        <v>8.8000000000000007</v>
      </c>
      <c r="W25" s="45">
        <v>8.8000000000000007</v>
      </c>
      <c r="X25" s="45">
        <v>8.5</v>
      </c>
      <c r="Y25" s="45">
        <v>8.5</v>
      </c>
      <c r="Z25" s="45">
        <v>8.5</v>
      </c>
      <c r="AA25" s="45">
        <v>8.5</v>
      </c>
      <c r="AB25" s="45">
        <v>8.5</v>
      </c>
      <c r="AC25" s="45">
        <v>8.5</v>
      </c>
      <c r="AD25" s="45">
        <v>8.5</v>
      </c>
      <c r="AE25" s="45">
        <v>8.8000000000000007</v>
      </c>
      <c r="AF25" s="45">
        <v>8.8000000000000007</v>
      </c>
      <c r="AG25" s="52">
        <v>30</v>
      </c>
      <c r="AH25" s="47">
        <f t="shared" si="2"/>
        <v>8.8000000000000007</v>
      </c>
      <c r="AI25" s="48">
        <f t="shared" si="3"/>
        <v>8.5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10.5</v>
      </c>
      <c r="C26" s="45">
        <v>10.5</v>
      </c>
      <c r="D26" s="45">
        <v>10.5</v>
      </c>
      <c r="E26" s="45">
        <v>10.5</v>
      </c>
      <c r="F26" s="45">
        <v>10.5</v>
      </c>
      <c r="G26" s="45">
        <v>10.5</v>
      </c>
      <c r="H26" s="45">
        <v>10.5</v>
      </c>
      <c r="I26" s="45">
        <v>10.5</v>
      </c>
      <c r="J26" s="45">
        <v>10.5</v>
      </c>
      <c r="K26" s="45">
        <v>10.5</v>
      </c>
      <c r="L26" s="45">
        <v>10.5</v>
      </c>
      <c r="M26" s="45">
        <v>10.5</v>
      </c>
      <c r="N26" s="45">
        <v>10.5</v>
      </c>
      <c r="O26" s="45">
        <v>10.5</v>
      </c>
      <c r="P26" s="45">
        <v>10.5</v>
      </c>
      <c r="Q26" s="45">
        <v>10.5</v>
      </c>
      <c r="R26" s="45">
        <v>10.5</v>
      </c>
      <c r="S26" s="45">
        <v>10.5</v>
      </c>
      <c r="T26" s="45">
        <v>10.5</v>
      </c>
      <c r="U26" s="45">
        <v>10.5</v>
      </c>
      <c r="V26" s="45">
        <v>10.5</v>
      </c>
      <c r="W26" s="45">
        <v>10.5</v>
      </c>
      <c r="X26" s="45">
        <v>10.8</v>
      </c>
      <c r="Y26" s="45">
        <v>10.8</v>
      </c>
      <c r="Z26" s="45">
        <v>10.8</v>
      </c>
      <c r="AA26" s="45">
        <v>10.8</v>
      </c>
      <c r="AB26" s="45">
        <v>10.8</v>
      </c>
      <c r="AC26" s="45">
        <v>10.8</v>
      </c>
      <c r="AD26" s="45">
        <v>10.8</v>
      </c>
      <c r="AE26" s="45">
        <v>10.199999999999999</v>
      </c>
      <c r="AF26" s="45">
        <v>10.199999999999999</v>
      </c>
      <c r="AG26" s="49">
        <v>25</v>
      </c>
      <c r="AH26" s="47">
        <f t="shared" si="2"/>
        <v>10.8</v>
      </c>
      <c r="AI26" s="48">
        <f t="shared" si="3"/>
        <v>10.199999999999999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0</v>
      </c>
      <c r="C27" s="45">
        <v>0</v>
      </c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9">
        <v>25</v>
      </c>
      <c r="AH27" s="47">
        <f t="shared" si="2"/>
        <v>0</v>
      </c>
      <c r="AI27" s="48">
        <f t="shared" si="3"/>
        <v>0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7.5</v>
      </c>
      <c r="C28" s="45">
        <v>7.5</v>
      </c>
      <c r="D28" s="45">
        <v>7.5</v>
      </c>
      <c r="E28" s="45">
        <v>7.5</v>
      </c>
      <c r="F28" s="45">
        <v>7.5</v>
      </c>
      <c r="G28" s="45">
        <v>7.5</v>
      </c>
      <c r="H28" s="45">
        <v>7.5</v>
      </c>
      <c r="I28" s="45">
        <v>7.5</v>
      </c>
      <c r="J28" s="45">
        <v>7.5</v>
      </c>
      <c r="K28" s="45">
        <v>7.5</v>
      </c>
      <c r="L28" s="45">
        <v>7.5</v>
      </c>
      <c r="M28" s="45">
        <v>7.5</v>
      </c>
      <c r="N28" s="45">
        <v>7.5</v>
      </c>
      <c r="O28" s="45">
        <v>7.5</v>
      </c>
      <c r="P28" s="45">
        <v>7.5</v>
      </c>
      <c r="Q28" s="45">
        <v>7.5</v>
      </c>
      <c r="R28" s="45">
        <v>7.5</v>
      </c>
      <c r="S28" s="45">
        <v>7.5</v>
      </c>
      <c r="T28" s="45">
        <v>7.5</v>
      </c>
      <c r="U28" s="45">
        <v>7.5</v>
      </c>
      <c r="V28" s="45">
        <v>7.5</v>
      </c>
      <c r="W28" s="45">
        <v>7.5</v>
      </c>
      <c r="X28" s="45">
        <v>7.5</v>
      </c>
      <c r="Y28" s="45">
        <v>7.5</v>
      </c>
      <c r="Z28" s="45">
        <v>7.5</v>
      </c>
      <c r="AA28" s="45">
        <v>7.5</v>
      </c>
      <c r="AB28" s="45">
        <v>7.5</v>
      </c>
      <c r="AC28" s="45">
        <v>7.5</v>
      </c>
      <c r="AD28" s="45">
        <v>7.5</v>
      </c>
      <c r="AE28" s="45">
        <v>7.5</v>
      </c>
      <c r="AF28" s="45">
        <v>7.5</v>
      </c>
      <c r="AG28" s="49">
        <v>25</v>
      </c>
      <c r="AH28" s="47">
        <f t="shared" si="2"/>
        <v>7.5</v>
      </c>
      <c r="AI28" s="48">
        <f t="shared" si="3"/>
        <v>7.5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9.5</v>
      </c>
      <c r="C29" s="45">
        <v>9.5</v>
      </c>
      <c r="D29" s="45">
        <v>9.5</v>
      </c>
      <c r="E29" s="45">
        <v>9.5</v>
      </c>
      <c r="F29" s="45">
        <v>9.5</v>
      </c>
      <c r="G29" s="45">
        <v>9.5</v>
      </c>
      <c r="H29" s="45">
        <v>9.5</v>
      </c>
      <c r="I29" s="45">
        <v>9.5</v>
      </c>
      <c r="J29" s="45">
        <v>9.5</v>
      </c>
      <c r="K29" s="45">
        <v>9.5</v>
      </c>
      <c r="L29" s="45">
        <v>9.5</v>
      </c>
      <c r="M29" s="45">
        <v>9.5</v>
      </c>
      <c r="N29" s="45">
        <v>9.5</v>
      </c>
      <c r="O29" s="45">
        <v>9.5</v>
      </c>
      <c r="P29" s="45">
        <v>9.5</v>
      </c>
      <c r="Q29" s="45">
        <v>9.5</v>
      </c>
      <c r="R29" s="45">
        <v>9.5</v>
      </c>
      <c r="S29" s="45">
        <v>9.5</v>
      </c>
      <c r="T29" s="45">
        <v>9.5</v>
      </c>
      <c r="U29" s="45">
        <v>9.5</v>
      </c>
      <c r="V29" s="45">
        <v>9.5</v>
      </c>
      <c r="W29" s="45">
        <v>9.5</v>
      </c>
      <c r="X29" s="45">
        <v>10.4</v>
      </c>
      <c r="Y29" s="45">
        <v>10.4</v>
      </c>
      <c r="Z29" s="45">
        <v>10.4</v>
      </c>
      <c r="AA29" s="45">
        <v>10.4</v>
      </c>
      <c r="AB29" s="45">
        <v>10.4</v>
      </c>
      <c r="AC29" s="45">
        <v>10.4</v>
      </c>
      <c r="AD29" s="45">
        <v>10.4</v>
      </c>
      <c r="AE29" s="45">
        <v>10.3</v>
      </c>
      <c r="AF29" s="45">
        <v>10.3</v>
      </c>
      <c r="AG29" s="49">
        <v>25</v>
      </c>
      <c r="AH29" s="47">
        <f t="shared" si="2"/>
        <v>10.4</v>
      </c>
      <c r="AI29" s="48">
        <f t="shared" si="3"/>
        <v>9.5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9.1999999999999993</v>
      </c>
      <c r="C30" s="45">
        <v>9.1999999999999993</v>
      </c>
      <c r="D30" s="45">
        <v>9.1999999999999993</v>
      </c>
      <c r="E30" s="45">
        <v>9.1999999999999993</v>
      </c>
      <c r="F30" s="45">
        <v>9.1999999999999993</v>
      </c>
      <c r="G30" s="45">
        <v>9.1999999999999993</v>
      </c>
      <c r="H30" s="45">
        <v>9.1999999999999993</v>
      </c>
      <c r="I30" s="45">
        <v>9.1999999999999993</v>
      </c>
      <c r="J30" s="45">
        <v>9.1999999999999993</v>
      </c>
      <c r="K30" s="45">
        <v>9.1999999999999993</v>
      </c>
      <c r="L30" s="45">
        <v>9.1999999999999993</v>
      </c>
      <c r="M30" s="45">
        <v>9.1999999999999993</v>
      </c>
      <c r="N30" s="45">
        <v>9.1999999999999993</v>
      </c>
      <c r="O30" s="45">
        <v>9.1999999999999993</v>
      </c>
      <c r="P30" s="45">
        <v>9.1999999999999993</v>
      </c>
      <c r="Q30" s="45">
        <v>9.1999999999999993</v>
      </c>
      <c r="R30" s="45">
        <v>9.1999999999999993</v>
      </c>
      <c r="S30" s="45">
        <v>9.1999999999999993</v>
      </c>
      <c r="T30" s="45">
        <v>9.1999999999999993</v>
      </c>
      <c r="U30" s="45">
        <v>9.1999999999999993</v>
      </c>
      <c r="V30" s="45">
        <v>9.1999999999999993</v>
      </c>
      <c r="W30" s="45">
        <v>9.1999999999999993</v>
      </c>
      <c r="X30" s="45">
        <v>9.3000000000000007</v>
      </c>
      <c r="Y30" s="45">
        <v>9.3000000000000007</v>
      </c>
      <c r="Z30" s="45">
        <v>9.3000000000000007</v>
      </c>
      <c r="AA30" s="45">
        <v>9.3000000000000007</v>
      </c>
      <c r="AB30" s="45">
        <v>9.3000000000000007</v>
      </c>
      <c r="AC30" s="45">
        <v>9.3000000000000007</v>
      </c>
      <c r="AD30" s="45">
        <v>9.3000000000000007</v>
      </c>
      <c r="AE30" s="45">
        <v>10</v>
      </c>
      <c r="AF30" s="45">
        <v>10</v>
      </c>
      <c r="AG30" s="49">
        <v>23.5</v>
      </c>
      <c r="AH30" s="47">
        <f t="shared" si="2"/>
        <v>10</v>
      </c>
      <c r="AI30" s="48">
        <f t="shared" si="3"/>
        <v>9.1999999999999993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4.5</v>
      </c>
      <c r="C31" s="45">
        <v>4.5</v>
      </c>
      <c r="D31" s="45">
        <v>4.5</v>
      </c>
      <c r="E31" s="45">
        <v>4.5</v>
      </c>
      <c r="F31" s="45">
        <v>4.5</v>
      </c>
      <c r="G31" s="45">
        <v>4.5</v>
      </c>
      <c r="H31" s="45">
        <v>4.5</v>
      </c>
      <c r="I31" s="45">
        <v>4.5</v>
      </c>
      <c r="J31" s="45">
        <v>4.5</v>
      </c>
      <c r="K31" s="45">
        <v>4.5</v>
      </c>
      <c r="L31" s="45">
        <v>4.5</v>
      </c>
      <c r="M31" s="45">
        <v>4.5</v>
      </c>
      <c r="N31" s="45">
        <v>4.5</v>
      </c>
      <c r="O31" s="45">
        <v>4.5</v>
      </c>
      <c r="P31" s="45">
        <v>4.5</v>
      </c>
      <c r="Q31" s="45">
        <v>4.5</v>
      </c>
      <c r="R31" s="45">
        <v>4.5</v>
      </c>
      <c r="S31" s="45">
        <v>4.5</v>
      </c>
      <c r="T31" s="45">
        <v>4.5</v>
      </c>
      <c r="U31" s="45">
        <v>4.5</v>
      </c>
      <c r="V31" s="45">
        <v>4.5</v>
      </c>
      <c r="W31" s="45">
        <v>4.5</v>
      </c>
      <c r="X31" s="45">
        <v>4.5</v>
      </c>
      <c r="Y31" s="45">
        <v>4.5</v>
      </c>
      <c r="Z31" s="45">
        <v>4.5</v>
      </c>
      <c r="AA31" s="45">
        <v>4.5</v>
      </c>
      <c r="AB31" s="45">
        <v>4.5</v>
      </c>
      <c r="AC31" s="45">
        <v>4.5</v>
      </c>
      <c r="AD31" s="45">
        <v>4.5</v>
      </c>
      <c r="AE31" s="45">
        <v>4.5</v>
      </c>
      <c r="AF31" s="45">
        <v>4.5</v>
      </c>
      <c r="AG31" s="49">
        <v>22.2</v>
      </c>
      <c r="AH31" s="47">
        <f t="shared" si="2"/>
        <v>4.5</v>
      </c>
      <c r="AI31" s="48">
        <f t="shared" si="3"/>
        <v>4.5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>
        <v>5.5</v>
      </c>
      <c r="N32" s="45">
        <v>5.5</v>
      </c>
      <c r="O32" s="45">
        <v>5.5</v>
      </c>
      <c r="P32" s="45">
        <v>5.5</v>
      </c>
      <c r="Q32" s="45">
        <v>5.5</v>
      </c>
      <c r="R32" s="45">
        <v>5.5</v>
      </c>
      <c r="S32" s="45">
        <v>5.5</v>
      </c>
      <c r="T32" s="45">
        <v>5.5</v>
      </c>
      <c r="U32" s="45">
        <v>5.5</v>
      </c>
      <c r="V32" s="45">
        <v>5.5</v>
      </c>
      <c r="W32" s="45">
        <v>5.5</v>
      </c>
      <c r="X32" s="45">
        <v>5.5</v>
      </c>
      <c r="Y32" s="45">
        <v>5.5</v>
      </c>
      <c r="Z32" s="45">
        <v>5.5</v>
      </c>
      <c r="AA32" s="45">
        <v>5.5</v>
      </c>
      <c r="AB32" s="45">
        <v>5.5</v>
      </c>
      <c r="AC32" s="45">
        <v>5.5</v>
      </c>
      <c r="AD32" s="45">
        <v>5.5</v>
      </c>
      <c r="AE32" s="45">
        <v>5.5</v>
      </c>
      <c r="AF32" s="45">
        <v>5.5</v>
      </c>
      <c r="AG32" s="49">
        <v>22.1</v>
      </c>
      <c r="AH32" s="47">
        <f t="shared" si="2"/>
        <v>5.5</v>
      </c>
      <c r="AI32" s="48">
        <f t="shared" si="3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22</v>
      </c>
      <c r="AH33" s="47">
        <f t="shared" si="2"/>
        <v>6</v>
      </c>
      <c r="AI33" s="48">
        <f t="shared" si="3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9.9</v>
      </c>
      <c r="C34" s="45">
        <v>9.9</v>
      </c>
      <c r="D34" s="45">
        <v>9.9</v>
      </c>
      <c r="E34" s="45">
        <v>9.9</v>
      </c>
      <c r="F34" s="45">
        <v>9.9</v>
      </c>
      <c r="G34" s="45">
        <v>9.9</v>
      </c>
      <c r="H34" s="45">
        <v>9.9</v>
      </c>
      <c r="I34" s="45">
        <v>9.9</v>
      </c>
      <c r="J34" s="45">
        <v>9.9</v>
      </c>
      <c r="K34" s="45">
        <v>9.9</v>
      </c>
      <c r="L34" s="45">
        <v>9.9</v>
      </c>
      <c r="M34" s="45">
        <v>9.9</v>
      </c>
      <c r="N34" s="45">
        <v>9.9</v>
      </c>
      <c r="O34" s="45">
        <v>9.9</v>
      </c>
      <c r="P34" s="45">
        <v>9.9</v>
      </c>
      <c r="Q34" s="45">
        <v>9.9</v>
      </c>
      <c r="R34" s="45">
        <v>9.9</v>
      </c>
      <c r="S34" s="45">
        <v>9.9</v>
      </c>
      <c r="T34" s="45">
        <v>9.9</v>
      </c>
      <c r="U34" s="45">
        <v>9.9</v>
      </c>
      <c r="V34" s="45">
        <v>9.9</v>
      </c>
      <c r="W34" s="45">
        <v>9.9</v>
      </c>
      <c r="X34" s="45">
        <v>9.9</v>
      </c>
      <c r="Y34" s="45">
        <v>9.9</v>
      </c>
      <c r="Z34" s="45">
        <v>9.9</v>
      </c>
      <c r="AA34" s="45">
        <v>9.9</v>
      </c>
      <c r="AB34" s="45">
        <v>9.9</v>
      </c>
      <c r="AC34" s="45">
        <v>9.9</v>
      </c>
      <c r="AD34" s="45">
        <v>9.9</v>
      </c>
      <c r="AE34" s="45">
        <v>11.7</v>
      </c>
      <c r="AF34" s="45">
        <v>11.7</v>
      </c>
      <c r="AG34" s="49">
        <v>22</v>
      </c>
      <c r="AH34" s="47">
        <f t="shared" si="2"/>
        <v>11.7</v>
      </c>
      <c r="AI34" s="48">
        <f t="shared" si="3"/>
        <v>9.9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6.5</v>
      </c>
      <c r="C35" s="45">
        <v>6.5</v>
      </c>
      <c r="D35" s="45">
        <v>6.5</v>
      </c>
      <c r="E35" s="45">
        <v>6.5</v>
      </c>
      <c r="F35" s="45">
        <v>6.5</v>
      </c>
      <c r="G35" s="45">
        <v>6.5</v>
      </c>
      <c r="H35" s="45">
        <v>6.5</v>
      </c>
      <c r="I35" s="45">
        <v>6.5</v>
      </c>
      <c r="J35" s="45">
        <v>6.5</v>
      </c>
      <c r="K35" s="45">
        <v>6.5</v>
      </c>
      <c r="L35" s="45">
        <v>6.5</v>
      </c>
      <c r="M35" s="45">
        <v>6.5</v>
      </c>
      <c r="N35" s="45">
        <v>6.5</v>
      </c>
      <c r="O35" s="45">
        <v>6.5</v>
      </c>
      <c r="P35" s="45">
        <v>6.5</v>
      </c>
      <c r="Q35" s="45">
        <v>6.5</v>
      </c>
      <c r="R35" s="45">
        <v>6.5</v>
      </c>
      <c r="S35" s="45">
        <v>6.5</v>
      </c>
      <c r="T35" s="45">
        <v>6.5</v>
      </c>
      <c r="U35" s="45">
        <v>6.5</v>
      </c>
      <c r="V35" s="45">
        <v>6.5</v>
      </c>
      <c r="W35" s="45">
        <v>6.5</v>
      </c>
      <c r="X35" s="45">
        <v>6.5</v>
      </c>
      <c r="Y35" s="45">
        <v>6.5</v>
      </c>
      <c r="Z35" s="45">
        <v>6.5</v>
      </c>
      <c r="AA35" s="45">
        <v>6.5</v>
      </c>
      <c r="AB35" s="45">
        <v>6.5</v>
      </c>
      <c r="AC35" s="45">
        <v>6.5</v>
      </c>
      <c r="AD35" s="45">
        <v>6.5</v>
      </c>
      <c r="AE35" s="45">
        <v>6.5</v>
      </c>
      <c r="AF35" s="45">
        <v>6.5</v>
      </c>
      <c r="AG35" s="49">
        <v>20</v>
      </c>
      <c r="AH35" s="47">
        <f t="shared" si="2"/>
        <v>6.5</v>
      </c>
      <c r="AI35" s="48">
        <f t="shared" si="3"/>
        <v>6.5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264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2"/>
        <v>4</v>
      </c>
      <c r="AI36" s="48">
        <f t="shared" si="3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5.5</v>
      </c>
      <c r="C37" s="45">
        <v>5.5</v>
      </c>
      <c r="D37" s="45">
        <v>5.5</v>
      </c>
      <c r="E37" s="45">
        <v>5.5</v>
      </c>
      <c r="F37" s="45">
        <v>5.5</v>
      </c>
      <c r="G37" s="45">
        <v>5.5</v>
      </c>
      <c r="H37" s="45">
        <v>5.5</v>
      </c>
      <c r="I37" s="45">
        <v>5.5</v>
      </c>
      <c r="J37" s="45">
        <v>5.5</v>
      </c>
      <c r="K37" s="45">
        <v>5.5</v>
      </c>
      <c r="L37" s="45">
        <v>5.5</v>
      </c>
      <c r="M37" s="45">
        <v>5.5</v>
      </c>
      <c r="N37" s="45">
        <v>5.5</v>
      </c>
      <c r="O37" s="45">
        <v>5.5</v>
      </c>
      <c r="P37" s="45">
        <v>5.5</v>
      </c>
      <c r="Q37" s="45">
        <v>5.5</v>
      </c>
      <c r="R37" s="45">
        <v>5.5</v>
      </c>
      <c r="S37" s="45">
        <v>5.5</v>
      </c>
      <c r="T37" s="45">
        <v>5.5</v>
      </c>
      <c r="U37" s="45">
        <v>5.5</v>
      </c>
      <c r="V37" s="45">
        <v>5.5</v>
      </c>
      <c r="W37" s="45">
        <v>5.5</v>
      </c>
      <c r="X37" s="45">
        <v>5.5</v>
      </c>
      <c r="Y37" s="45">
        <v>5.5</v>
      </c>
      <c r="Z37" s="45">
        <v>5.5</v>
      </c>
      <c r="AA37" s="45">
        <v>5.5</v>
      </c>
      <c r="AB37" s="45">
        <v>5.5</v>
      </c>
      <c r="AC37" s="45">
        <v>5.5</v>
      </c>
      <c r="AD37" s="45">
        <v>5.5</v>
      </c>
      <c r="AE37" s="45">
        <v>5.5</v>
      </c>
      <c r="AF37" s="45">
        <v>5.5</v>
      </c>
      <c r="AG37" s="49">
        <v>18</v>
      </c>
      <c r="AH37" s="47">
        <f t="shared" si="2"/>
        <v>5.5</v>
      </c>
      <c r="AI37" s="48">
        <f t="shared" si="3"/>
        <v>5.5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>
        <v>7.2</v>
      </c>
      <c r="N38" s="45">
        <v>7.2</v>
      </c>
      <c r="O38" s="45">
        <v>7.2</v>
      </c>
      <c r="P38" s="45">
        <v>7.2</v>
      </c>
      <c r="Q38" s="45">
        <v>7.2</v>
      </c>
      <c r="R38" s="45">
        <v>7.2</v>
      </c>
      <c r="S38" s="45">
        <v>7.2</v>
      </c>
      <c r="T38" s="45">
        <v>7.2</v>
      </c>
      <c r="U38" s="45">
        <v>7.2</v>
      </c>
      <c r="V38" s="45">
        <v>7.2</v>
      </c>
      <c r="W38" s="45">
        <v>7.2</v>
      </c>
      <c r="X38" s="45">
        <v>7.2</v>
      </c>
      <c r="Y38" s="45">
        <v>7.2</v>
      </c>
      <c r="Z38" s="45">
        <v>7.2</v>
      </c>
      <c r="AA38" s="45">
        <v>7.2</v>
      </c>
      <c r="AB38" s="45">
        <v>7.2</v>
      </c>
      <c r="AC38" s="45">
        <v>7.2</v>
      </c>
      <c r="AD38" s="45">
        <v>7.2</v>
      </c>
      <c r="AE38" s="45">
        <v>7.2</v>
      </c>
      <c r="AF38" s="45">
        <v>7.2</v>
      </c>
      <c r="AG38" s="49">
        <v>14.9</v>
      </c>
      <c r="AH38" s="47">
        <f t="shared" si="2"/>
        <v>7.2</v>
      </c>
      <c r="AI38" s="48">
        <f t="shared" si="3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265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2"/>
        <v>5</v>
      </c>
      <c r="AI40" s="48">
        <f t="shared" si="3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266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>
        <v>4</v>
      </c>
      <c r="N41" s="45">
        <v>4</v>
      </c>
      <c r="O41" s="45">
        <v>4</v>
      </c>
      <c r="P41" s="45">
        <v>4</v>
      </c>
      <c r="Q41" s="45">
        <v>4</v>
      </c>
      <c r="R41" s="45">
        <v>4</v>
      </c>
      <c r="S41" s="45">
        <v>4</v>
      </c>
      <c r="T41" s="45">
        <v>4</v>
      </c>
      <c r="U41" s="45">
        <v>4</v>
      </c>
      <c r="V41" s="45">
        <v>4</v>
      </c>
      <c r="W41" s="45">
        <v>4</v>
      </c>
      <c r="X41" s="45">
        <v>4</v>
      </c>
      <c r="Y41" s="45">
        <v>4</v>
      </c>
      <c r="Z41" s="45">
        <v>4</v>
      </c>
      <c r="AA41" s="45">
        <v>4</v>
      </c>
      <c r="AB41" s="45">
        <v>4</v>
      </c>
      <c r="AC41" s="45">
        <v>4</v>
      </c>
      <c r="AD41" s="45">
        <v>4</v>
      </c>
      <c r="AE41" s="45">
        <v>4</v>
      </c>
      <c r="AF41" s="45">
        <v>4</v>
      </c>
      <c r="AG41" s="49">
        <v>14.9</v>
      </c>
      <c r="AH41" s="47">
        <f t="shared" si="2"/>
        <v>4</v>
      </c>
      <c r="AI41" s="48">
        <f t="shared" si="3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2"/>
        <v>1.8</v>
      </c>
      <c r="AI42" s="48">
        <f t="shared" si="3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2"/>
        <v>3.8</v>
      </c>
      <c r="AI43" s="48">
        <f t="shared" si="3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4</v>
      </c>
      <c r="C44" s="45">
        <v>4</v>
      </c>
      <c r="D44" s="45">
        <v>4</v>
      </c>
      <c r="E44" s="45">
        <v>4</v>
      </c>
      <c r="F44" s="45">
        <v>4</v>
      </c>
      <c r="G44" s="45">
        <v>4</v>
      </c>
      <c r="H44" s="45">
        <v>4</v>
      </c>
      <c r="I44" s="45">
        <v>4</v>
      </c>
      <c r="J44" s="45">
        <v>4</v>
      </c>
      <c r="K44" s="45">
        <v>4</v>
      </c>
      <c r="L44" s="45">
        <v>4</v>
      </c>
      <c r="M44" s="45">
        <v>4</v>
      </c>
      <c r="N44" s="45">
        <v>4</v>
      </c>
      <c r="O44" s="45">
        <v>4</v>
      </c>
      <c r="P44" s="45">
        <v>4</v>
      </c>
      <c r="Q44" s="45">
        <v>4</v>
      </c>
      <c r="R44" s="45">
        <v>4</v>
      </c>
      <c r="S44" s="45">
        <v>4</v>
      </c>
      <c r="T44" s="45">
        <v>4</v>
      </c>
      <c r="U44" s="45">
        <v>4</v>
      </c>
      <c r="V44" s="45">
        <v>4</v>
      </c>
      <c r="W44" s="45">
        <v>4</v>
      </c>
      <c r="X44" s="45">
        <v>4</v>
      </c>
      <c r="Y44" s="45">
        <v>4</v>
      </c>
      <c r="Z44" s="45">
        <v>4</v>
      </c>
      <c r="AA44" s="45">
        <v>4</v>
      </c>
      <c r="AB44" s="45">
        <v>4</v>
      </c>
      <c r="AC44" s="45">
        <v>4</v>
      </c>
      <c r="AD44" s="45">
        <v>4</v>
      </c>
      <c r="AE44" s="45">
        <v>4</v>
      </c>
      <c r="AF44" s="45">
        <v>4</v>
      </c>
      <c r="AG44" s="49">
        <v>12</v>
      </c>
      <c r="AH44" s="47">
        <f t="shared" si="2"/>
        <v>4</v>
      </c>
      <c r="AI44" s="48">
        <f t="shared" si="3"/>
        <v>4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49">
        <v>12</v>
      </c>
      <c r="AH45" s="47">
        <f t="shared" si="2"/>
        <v>9</v>
      </c>
      <c r="AI45" s="48">
        <f t="shared" si="3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2"/>
        <v>3</v>
      </c>
      <c r="AI46" s="48">
        <f t="shared" si="3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2"/>
        <v>3.5</v>
      </c>
      <c r="AI47" s="48">
        <f t="shared" si="3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>
        <v>5</v>
      </c>
      <c r="N48" s="45">
        <v>5</v>
      </c>
      <c r="O48" s="45">
        <v>5</v>
      </c>
      <c r="P48" s="45">
        <v>5</v>
      </c>
      <c r="Q48" s="45">
        <v>5</v>
      </c>
      <c r="R48" s="45">
        <v>5</v>
      </c>
      <c r="S48" s="45">
        <v>5</v>
      </c>
      <c r="T48" s="45">
        <v>5</v>
      </c>
      <c r="U48" s="45">
        <v>5</v>
      </c>
      <c r="V48" s="45">
        <v>5</v>
      </c>
      <c r="W48" s="45">
        <v>5</v>
      </c>
      <c r="X48" s="45">
        <v>5</v>
      </c>
      <c r="Y48" s="45">
        <v>5</v>
      </c>
      <c r="Z48" s="45">
        <v>5</v>
      </c>
      <c r="AA48" s="45">
        <v>5</v>
      </c>
      <c r="AB48" s="45">
        <v>5</v>
      </c>
      <c r="AC48" s="45">
        <v>5</v>
      </c>
      <c r="AD48" s="45">
        <v>5</v>
      </c>
      <c r="AE48" s="45">
        <v>5</v>
      </c>
      <c r="AF48" s="45">
        <v>5</v>
      </c>
      <c r="AG48" s="52">
        <v>11.88</v>
      </c>
      <c r="AH48" s="47">
        <f t="shared" si="2"/>
        <v>5</v>
      </c>
      <c r="AI48" s="48">
        <f t="shared" si="3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>
        <v>3</v>
      </c>
      <c r="N49" s="45">
        <v>3</v>
      </c>
      <c r="O49" s="45">
        <v>3</v>
      </c>
      <c r="P49" s="45">
        <v>3</v>
      </c>
      <c r="Q49" s="45">
        <v>3</v>
      </c>
      <c r="R49" s="45">
        <v>3</v>
      </c>
      <c r="S49" s="45">
        <v>3</v>
      </c>
      <c r="T49" s="45">
        <v>3</v>
      </c>
      <c r="U49" s="45">
        <v>3</v>
      </c>
      <c r="V49" s="45">
        <v>3</v>
      </c>
      <c r="W49" s="45">
        <v>3</v>
      </c>
      <c r="X49" s="45">
        <v>3</v>
      </c>
      <c r="Y49" s="45">
        <v>3</v>
      </c>
      <c r="Z49" s="45">
        <v>3</v>
      </c>
      <c r="AA49" s="45">
        <v>3</v>
      </c>
      <c r="AB49" s="45">
        <v>3</v>
      </c>
      <c r="AC49" s="45">
        <v>3</v>
      </c>
      <c r="AD49" s="45">
        <v>3</v>
      </c>
      <c r="AE49" s="45">
        <v>3</v>
      </c>
      <c r="AF49" s="45">
        <v>3</v>
      </c>
      <c r="AG49" s="55">
        <v>11</v>
      </c>
      <c r="AH49" s="47">
        <f t="shared" si="2"/>
        <v>3</v>
      </c>
      <c r="AI49" s="48">
        <f t="shared" si="3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267</v>
      </c>
      <c r="B50" s="45">
        <v>3.3</v>
      </c>
      <c r="C50" s="45">
        <v>3.3</v>
      </c>
      <c r="D50" s="45">
        <v>3.3</v>
      </c>
      <c r="E50" s="45">
        <v>3.3</v>
      </c>
      <c r="F50" s="45">
        <v>3.3</v>
      </c>
      <c r="G50" s="45">
        <v>3.3</v>
      </c>
      <c r="H50" s="45">
        <v>3.3</v>
      </c>
      <c r="I50" s="45">
        <v>3.3</v>
      </c>
      <c r="J50" s="45">
        <v>3.3</v>
      </c>
      <c r="K50" s="45">
        <v>3.3</v>
      </c>
      <c r="L50" s="45">
        <v>3.3</v>
      </c>
      <c r="M50" s="45">
        <v>3.3</v>
      </c>
      <c r="N50" s="45">
        <v>3.3</v>
      </c>
      <c r="O50" s="45">
        <v>3.3</v>
      </c>
      <c r="P50" s="45">
        <v>3.3</v>
      </c>
      <c r="Q50" s="45">
        <v>3.3</v>
      </c>
      <c r="R50" s="45">
        <v>3.3</v>
      </c>
      <c r="S50" s="45">
        <v>3.3</v>
      </c>
      <c r="T50" s="45">
        <v>3.3</v>
      </c>
      <c r="U50" s="45">
        <v>3.3</v>
      </c>
      <c r="V50" s="45">
        <v>3.3</v>
      </c>
      <c r="W50" s="45">
        <v>3.3</v>
      </c>
      <c r="X50" s="45">
        <v>3.3</v>
      </c>
      <c r="Y50" s="45">
        <v>3.3</v>
      </c>
      <c r="Z50" s="45">
        <v>3.3</v>
      </c>
      <c r="AA50" s="45">
        <v>3.3</v>
      </c>
      <c r="AB50" s="45">
        <v>3.3</v>
      </c>
      <c r="AC50" s="45">
        <v>3.3</v>
      </c>
      <c r="AD50" s="45">
        <v>3.3</v>
      </c>
      <c r="AE50" s="45">
        <v>3.3</v>
      </c>
      <c r="AF50" s="45">
        <v>3.3</v>
      </c>
      <c r="AG50" s="55">
        <v>11</v>
      </c>
      <c r="AH50" s="47">
        <f t="shared" si="2"/>
        <v>3.3</v>
      </c>
      <c r="AI50" s="48">
        <f t="shared" si="3"/>
        <v>3.3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268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"/>
        <v>3</v>
      </c>
      <c r="AI51" s="48">
        <f t="shared" si="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2"/>
        <v>4</v>
      </c>
      <c r="AI52" s="48">
        <f t="shared" si="3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"/>
        <v>4.5</v>
      </c>
      <c r="AI53" s="48">
        <f t="shared" si="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269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"/>
        <v>0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175</v>
      </c>
      <c r="C56" s="57">
        <v>175</v>
      </c>
      <c r="D56" s="57">
        <v>175</v>
      </c>
      <c r="E56" s="57">
        <v>175</v>
      </c>
      <c r="F56" s="57">
        <v>175</v>
      </c>
      <c r="G56" s="57">
        <v>175</v>
      </c>
      <c r="H56" s="57">
        <v>175</v>
      </c>
      <c r="I56" s="57">
        <v>175</v>
      </c>
      <c r="J56" s="57">
        <v>175</v>
      </c>
      <c r="K56" s="57">
        <v>175</v>
      </c>
      <c r="L56" s="57">
        <v>175</v>
      </c>
      <c r="M56" s="57">
        <v>175</v>
      </c>
      <c r="N56" s="57">
        <v>175</v>
      </c>
      <c r="O56" s="57">
        <v>175</v>
      </c>
      <c r="P56" s="57">
        <v>175</v>
      </c>
      <c r="Q56" s="57">
        <v>175</v>
      </c>
      <c r="R56" s="57">
        <v>175</v>
      </c>
      <c r="S56" s="57">
        <v>175</v>
      </c>
      <c r="T56" s="57">
        <v>175</v>
      </c>
      <c r="U56" s="57">
        <v>175</v>
      </c>
      <c r="V56" s="57">
        <v>175</v>
      </c>
      <c r="W56" s="57">
        <v>175</v>
      </c>
      <c r="X56" s="57">
        <v>175</v>
      </c>
      <c r="Y56" s="57">
        <v>175</v>
      </c>
      <c r="Z56" s="57">
        <v>175</v>
      </c>
      <c r="AA56" s="57">
        <v>175</v>
      </c>
      <c r="AB56" s="57">
        <v>175</v>
      </c>
      <c r="AC56" s="57">
        <v>175</v>
      </c>
      <c r="AD56" s="57">
        <v>175</v>
      </c>
      <c r="AE56" s="57">
        <v>175</v>
      </c>
      <c r="AF56" s="57">
        <v>175</v>
      </c>
      <c r="AG56" s="55">
        <v>85</v>
      </c>
      <c r="AH56" s="47">
        <f t="shared" si="2"/>
        <v>175</v>
      </c>
      <c r="AI56" s="48">
        <f t="shared" si="3"/>
        <v>175</v>
      </c>
      <c r="AK56" s="50"/>
    </row>
    <row r="57" spans="1:88" ht="15.75" thickBot="1" x14ac:dyDescent="0.3">
      <c r="A57" s="58" t="s">
        <v>57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1"/>
      <c r="Q57" s="51"/>
      <c r="R57" s="51"/>
      <c r="S57" s="51"/>
      <c r="T57" s="51"/>
      <c r="U57" s="51"/>
      <c r="V57" s="51"/>
      <c r="W57" s="51"/>
      <c r="X57" s="57"/>
      <c r="Y57" s="57"/>
      <c r="Z57" s="57"/>
      <c r="AA57" s="57"/>
      <c r="AB57" s="57"/>
      <c r="AC57" s="57"/>
      <c r="AD57" s="57"/>
      <c r="AE57" s="57"/>
      <c r="AF57" s="57"/>
      <c r="AG57" s="55">
        <v>240</v>
      </c>
      <c r="AH57" s="47">
        <f t="shared" si="2"/>
        <v>0</v>
      </c>
      <c r="AI57" s="48">
        <f t="shared" si="3"/>
        <v>0</v>
      </c>
      <c r="AK57" s="50"/>
    </row>
    <row r="58" spans="1:88" ht="15.75" thickBot="1" x14ac:dyDescent="0.3">
      <c r="A58" s="59" t="s">
        <v>58</v>
      </c>
      <c r="B58" s="60">
        <f>SUM(B11:B56)</f>
        <v>552</v>
      </c>
      <c r="C58" s="60">
        <f t="shared" ref="C58" si="4">SUM(C11:C56)</f>
        <v>552</v>
      </c>
      <c r="D58" s="60">
        <f t="shared" ref="D58:E58" si="5">SUM(D11:D56)</f>
        <v>552</v>
      </c>
      <c r="E58" s="60">
        <f t="shared" si="5"/>
        <v>552</v>
      </c>
      <c r="F58" s="60">
        <f t="shared" ref="F58:G58" si="6">SUM(F11:F56)</f>
        <v>552</v>
      </c>
      <c r="G58" s="60">
        <f t="shared" si="6"/>
        <v>552</v>
      </c>
      <c r="H58" s="60">
        <f t="shared" ref="H58:I58" si="7">SUM(H11:H56)</f>
        <v>552</v>
      </c>
      <c r="I58" s="60">
        <f t="shared" si="7"/>
        <v>552</v>
      </c>
      <c r="J58" s="60">
        <f t="shared" ref="J58:K58" si="8">SUM(J11:J56)</f>
        <v>552</v>
      </c>
      <c r="K58" s="60">
        <f t="shared" si="8"/>
        <v>552</v>
      </c>
      <c r="L58" s="60">
        <f t="shared" ref="L58" si="9">SUM(L11:L56)</f>
        <v>552</v>
      </c>
      <c r="M58" s="60">
        <f t="shared" ref="M58:AD58" si="10">SUM(M11:M56)</f>
        <v>552</v>
      </c>
      <c r="N58" s="60">
        <f t="shared" ref="N58" si="11">SUM(N11:N56)</f>
        <v>552</v>
      </c>
      <c r="O58" s="60">
        <f t="shared" si="10"/>
        <v>552</v>
      </c>
      <c r="P58" s="60">
        <f t="shared" si="10"/>
        <v>552</v>
      </c>
      <c r="Q58" s="60">
        <f t="shared" si="10"/>
        <v>552</v>
      </c>
      <c r="R58" s="60">
        <f t="shared" si="10"/>
        <v>552</v>
      </c>
      <c r="S58" s="60">
        <f t="shared" si="10"/>
        <v>554.79999999999995</v>
      </c>
      <c r="T58" s="60">
        <f t="shared" si="10"/>
        <v>555.29999999999995</v>
      </c>
      <c r="U58" s="60">
        <f t="shared" si="10"/>
        <v>555.29999999999995</v>
      </c>
      <c r="V58" s="60">
        <f t="shared" si="10"/>
        <v>555.29999999999995</v>
      </c>
      <c r="W58" s="60">
        <f t="shared" si="10"/>
        <v>555.29999999999995</v>
      </c>
      <c r="X58" s="60">
        <f t="shared" si="10"/>
        <v>557.20000000000005</v>
      </c>
      <c r="Y58" s="60">
        <f t="shared" si="10"/>
        <v>557.20000000000005</v>
      </c>
      <c r="Z58" s="60">
        <f t="shared" si="10"/>
        <v>557.20000000000005</v>
      </c>
      <c r="AA58" s="60">
        <f t="shared" si="10"/>
        <v>557.20000000000005</v>
      </c>
      <c r="AB58" s="60">
        <f t="shared" si="10"/>
        <v>556.79999999999995</v>
      </c>
      <c r="AC58" s="60">
        <f t="shared" si="10"/>
        <v>556.70000000000005</v>
      </c>
      <c r="AD58" s="60">
        <f t="shared" si="10"/>
        <v>556.79999999999995</v>
      </c>
      <c r="AE58" s="60">
        <f t="shared" ref="AE58:AF58" si="12">SUM(AE11:AE56)</f>
        <v>558.79999999999995</v>
      </c>
      <c r="AF58" s="60">
        <f t="shared" si="12"/>
        <v>559.20000000000005</v>
      </c>
      <c r="AG58" s="61">
        <f>SUM(AG14:AG56)</f>
        <v>1042.4000000000001</v>
      </c>
      <c r="AH58" s="47">
        <f t="shared" si="2"/>
        <v>559.20000000000005</v>
      </c>
      <c r="AI58" s="48">
        <f t="shared" si="3"/>
        <v>552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12</v>
      </c>
      <c r="I59" s="45">
        <v>50</v>
      </c>
      <c r="J59" s="45">
        <v>35</v>
      </c>
      <c r="K59" s="45">
        <v>35</v>
      </c>
      <c r="L59" s="45">
        <v>235</v>
      </c>
      <c r="M59" s="45">
        <v>315</v>
      </c>
      <c r="N59" s="45">
        <v>300</v>
      </c>
      <c r="O59" s="63">
        <v>270</v>
      </c>
      <c r="P59" s="63">
        <v>210</v>
      </c>
      <c r="Q59" s="63">
        <v>0</v>
      </c>
      <c r="R59" s="63">
        <v>0</v>
      </c>
      <c r="S59" s="63">
        <v>0</v>
      </c>
      <c r="T59" s="63">
        <v>0</v>
      </c>
      <c r="U59" s="45">
        <v>0</v>
      </c>
      <c r="V59" s="45">
        <v>0</v>
      </c>
      <c r="W59" s="45">
        <v>190</v>
      </c>
      <c r="X59" s="45">
        <v>304</v>
      </c>
      <c r="Y59" s="45">
        <v>380</v>
      </c>
      <c r="Z59" s="45">
        <v>400</v>
      </c>
      <c r="AA59" s="45">
        <v>400</v>
      </c>
      <c r="AB59" s="45">
        <v>260</v>
      </c>
      <c r="AC59" s="45">
        <v>220</v>
      </c>
      <c r="AD59" s="45">
        <v>30</v>
      </c>
      <c r="AE59" s="45">
        <v>0</v>
      </c>
      <c r="AF59" s="45">
        <v>0</v>
      </c>
      <c r="AG59" s="52">
        <v>456</v>
      </c>
      <c r="AH59" s="47">
        <f t="shared" si="2"/>
        <v>400</v>
      </c>
      <c r="AI59" s="48">
        <f t="shared" si="3"/>
        <v>0</v>
      </c>
      <c r="AK59" s="50"/>
    </row>
    <row r="60" spans="1:88" x14ac:dyDescent="0.25">
      <c r="A60" s="64" t="s">
        <v>60</v>
      </c>
      <c r="B60" s="65">
        <v>34</v>
      </c>
      <c r="C60" s="65">
        <v>34</v>
      </c>
      <c r="D60" s="65">
        <v>34</v>
      </c>
      <c r="E60" s="65">
        <v>34</v>
      </c>
      <c r="F60" s="65">
        <v>34</v>
      </c>
      <c r="G60" s="65">
        <v>34</v>
      </c>
      <c r="H60" s="65">
        <v>34</v>
      </c>
      <c r="I60" s="65">
        <v>34</v>
      </c>
      <c r="J60" s="65">
        <v>34</v>
      </c>
      <c r="K60" s="65">
        <v>34</v>
      </c>
      <c r="L60" s="65">
        <v>34</v>
      </c>
      <c r="M60" s="65">
        <v>34</v>
      </c>
      <c r="N60" s="65">
        <v>34</v>
      </c>
      <c r="O60" s="65">
        <v>34</v>
      </c>
      <c r="P60" s="65">
        <v>34</v>
      </c>
      <c r="Q60" s="65">
        <v>34</v>
      </c>
      <c r="R60" s="65">
        <v>34</v>
      </c>
      <c r="S60" s="65">
        <v>34</v>
      </c>
      <c r="T60" s="65">
        <v>34</v>
      </c>
      <c r="U60" s="65">
        <v>34</v>
      </c>
      <c r="V60" s="65">
        <v>34</v>
      </c>
      <c r="W60" s="65">
        <v>34</v>
      </c>
      <c r="X60" s="65">
        <v>34</v>
      </c>
      <c r="Y60" s="65">
        <v>34</v>
      </c>
      <c r="Z60" s="65">
        <v>34</v>
      </c>
      <c r="AA60" s="65">
        <v>34</v>
      </c>
      <c r="AB60" s="65">
        <v>34</v>
      </c>
      <c r="AC60" s="65">
        <v>34</v>
      </c>
      <c r="AD60" s="65">
        <v>34</v>
      </c>
      <c r="AE60" s="65">
        <v>34</v>
      </c>
      <c r="AF60" s="65">
        <v>34</v>
      </c>
      <c r="AG60" s="55">
        <v>60</v>
      </c>
      <c r="AH60" s="47">
        <f t="shared" si="2"/>
        <v>34</v>
      </c>
      <c r="AI60" s="48">
        <f t="shared" si="3"/>
        <v>34</v>
      </c>
      <c r="AK60" s="50"/>
    </row>
    <row r="61" spans="1:88" ht="15.75" thickBot="1" x14ac:dyDescent="0.3">
      <c r="A61" s="66" t="s">
        <v>61</v>
      </c>
      <c r="B61" s="67">
        <v>18.100000000000001</v>
      </c>
      <c r="C61" s="67">
        <v>18.100000000000001</v>
      </c>
      <c r="D61" s="67">
        <v>18.100000000000001</v>
      </c>
      <c r="E61" s="67">
        <v>18.100000000000001</v>
      </c>
      <c r="F61" s="67">
        <v>18.100000000000001</v>
      </c>
      <c r="G61" s="67">
        <v>18.100000000000001</v>
      </c>
      <c r="H61" s="67">
        <v>18.100000000000001</v>
      </c>
      <c r="I61" s="67">
        <v>18.100000000000001</v>
      </c>
      <c r="J61" s="67">
        <v>18.100000000000001</v>
      </c>
      <c r="K61" s="67">
        <v>18.100000000000001</v>
      </c>
      <c r="L61" s="67">
        <v>18.100000000000001</v>
      </c>
      <c r="M61" s="67">
        <v>18.100000000000001</v>
      </c>
      <c r="N61" s="67">
        <v>13.2</v>
      </c>
      <c r="O61" s="67">
        <v>13.2</v>
      </c>
      <c r="P61" s="67">
        <v>13.2</v>
      </c>
      <c r="Q61" s="67">
        <v>13.2</v>
      </c>
      <c r="R61" s="67">
        <v>13.1</v>
      </c>
      <c r="S61" s="67">
        <v>13.1</v>
      </c>
      <c r="T61" s="67">
        <v>13.1</v>
      </c>
      <c r="U61" s="67">
        <v>13.2</v>
      </c>
      <c r="V61" s="67">
        <v>13.2</v>
      </c>
      <c r="W61" s="67">
        <v>16.100000000000001</v>
      </c>
      <c r="X61" s="67">
        <v>16.100000000000001</v>
      </c>
      <c r="Y61" s="67">
        <v>16.2</v>
      </c>
      <c r="Z61" s="67">
        <v>16.2</v>
      </c>
      <c r="AA61" s="67">
        <v>16.100000000000001</v>
      </c>
      <c r="AB61" s="67">
        <v>16.2</v>
      </c>
      <c r="AC61" s="67">
        <v>16.100000000000001</v>
      </c>
      <c r="AD61" s="67">
        <v>16.100000000000001</v>
      </c>
      <c r="AE61" s="67">
        <v>12.6</v>
      </c>
      <c r="AF61" s="67">
        <v>13.1</v>
      </c>
      <c r="AG61" s="68">
        <v>22.1</v>
      </c>
      <c r="AH61" s="47">
        <f t="shared" si="2"/>
        <v>18.100000000000001</v>
      </c>
      <c r="AI61" s="48">
        <f t="shared" si="3"/>
        <v>12.6</v>
      </c>
      <c r="AK61" s="50"/>
    </row>
    <row r="62" spans="1:88" ht="15.75" thickBot="1" x14ac:dyDescent="0.3">
      <c r="A62" s="69" t="s">
        <v>62</v>
      </c>
      <c r="B62" s="60">
        <f t="shared" ref="B62:C62" si="13">SUM(B59:B61)</f>
        <v>52.1</v>
      </c>
      <c r="C62" s="60">
        <f t="shared" si="13"/>
        <v>52.1</v>
      </c>
      <c r="D62" s="60">
        <f t="shared" ref="D62:E62" si="14">SUM(D59:D61)</f>
        <v>52.1</v>
      </c>
      <c r="E62" s="60">
        <f t="shared" si="14"/>
        <v>52.1</v>
      </c>
      <c r="F62" s="60">
        <f t="shared" ref="F62:G62" si="15">SUM(F59:F61)</f>
        <v>52.1</v>
      </c>
      <c r="G62" s="60">
        <f t="shared" si="15"/>
        <v>52.1</v>
      </c>
      <c r="H62" s="60">
        <f t="shared" ref="H62:I62" si="16">SUM(H59:H61)</f>
        <v>64.099999999999994</v>
      </c>
      <c r="I62" s="60">
        <f t="shared" si="16"/>
        <v>102.1</v>
      </c>
      <c r="J62" s="60">
        <f t="shared" ref="J62:K62" si="17">SUM(J59:J61)</f>
        <v>87.1</v>
      </c>
      <c r="K62" s="60">
        <f t="shared" si="17"/>
        <v>87.1</v>
      </c>
      <c r="L62" s="60">
        <f t="shared" ref="L62" si="18">SUM(L59:L61)</f>
        <v>287.10000000000002</v>
      </c>
      <c r="M62" s="60">
        <f t="shared" ref="M62:AG62" si="19">SUM(M59:M61)</f>
        <v>367.1</v>
      </c>
      <c r="N62" s="60">
        <f t="shared" ref="N62" si="20">SUM(N59:N61)</f>
        <v>347.2</v>
      </c>
      <c r="O62" s="60">
        <f t="shared" si="19"/>
        <v>317.2</v>
      </c>
      <c r="P62" s="60">
        <f t="shared" si="19"/>
        <v>257.2</v>
      </c>
      <c r="Q62" s="60">
        <f t="shared" si="19"/>
        <v>47.2</v>
      </c>
      <c r="R62" s="60">
        <f t="shared" si="19"/>
        <v>47.1</v>
      </c>
      <c r="S62" s="60">
        <f t="shared" si="19"/>
        <v>47.1</v>
      </c>
      <c r="T62" s="60">
        <f t="shared" si="19"/>
        <v>47.1</v>
      </c>
      <c r="U62" s="60">
        <f t="shared" si="19"/>
        <v>47.2</v>
      </c>
      <c r="V62" s="60">
        <f t="shared" si="19"/>
        <v>47.2</v>
      </c>
      <c r="W62" s="60">
        <f t="shared" si="19"/>
        <v>240.1</v>
      </c>
      <c r="X62" s="60">
        <f t="shared" si="19"/>
        <v>354.1</v>
      </c>
      <c r="Y62" s="60">
        <f t="shared" si="19"/>
        <v>430.2</v>
      </c>
      <c r="Z62" s="60">
        <f t="shared" si="19"/>
        <v>450.2</v>
      </c>
      <c r="AA62" s="60">
        <f t="shared" si="19"/>
        <v>450.1</v>
      </c>
      <c r="AB62" s="60">
        <f t="shared" si="19"/>
        <v>310.2</v>
      </c>
      <c r="AC62" s="60">
        <f t="shared" si="19"/>
        <v>270.10000000000002</v>
      </c>
      <c r="AD62" s="60">
        <f t="shared" si="19"/>
        <v>80.099999999999994</v>
      </c>
      <c r="AE62" s="60">
        <f t="shared" ref="AE62:AF62" si="21">SUM(AE59:AE61)</f>
        <v>46.6</v>
      </c>
      <c r="AF62" s="60">
        <f t="shared" si="21"/>
        <v>47.1</v>
      </c>
      <c r="AG62" s="61">
        <f t="shared" si="19"/>
        <v>538.1</v>
      </c>
      <c r="AH62" s="47">
        <f t="shared" si="2"/>
        <v>450.2</v>
      </c>
      <c r="AI62" s="48">
        <f t="shared" si="3"/>
        <v>46.6</v>
      </c>
      <c r="AK62" s="50"/>
    </row>
    <row r="63" spans="1:88" x14ac:dyDescent="0.25">
      <c r="A63" s="44" t="s">
        <v>63</v>
      </c>
      <c r="B63" s="45">
        <v>30</v>
      </c>
      <c r="C63" s="45">
        <v>0</v>
      </c>
      <c r="D63" s="45">
        <v>0</v>
      </c>
      <c r="E63" s="45">
        <v>0</v>
      </c>
      <c r="F63" s="45">
        <v>0</v>
      </c>
      <c r="G63" s="45">
        <v>47.5</v>
      </c>
      <c r="H63" s="45">
        <v>61.2</v>
      </c>
      <c r="I63" s="45">
        <v>98.5</v>
      </c>
      <c r="J63" s="45">
        <v>144.30000000000001</v>
      </c>
      <c r="K63" s="45">
        <v>144.30000000000001</v>
      </c>
      <c r="L63" s="45">
        <v>144.30000000000001</v>
      </c>
      <c r="M63" s="45">
        <v>81.7</v>
      </c>
      <c r="N63" s="45">
        <v>0</v>
      </c>
      <c r="O63" s="45">
        <v>61</v>
      </c>
      <c r="P63" s="45">
        <v>79.8</v>
      </c>
      <c r="Q63" s="45">
        <v>61.3</v>
      </c>
      <c r="R63" s="45">
        <v>61</v>
      </c>
      <c r="S63" s="45">
        <v>30.2</v>
      </c>
      <c r="T63" s="45">
        <v>30.2</v>
      </c>
      <c r="U63" s="45">
        <v>30.4</v>
      </c>
      <c r="V63" s="45">
        <v>30.7</v>
      </c>
      <c r="W63" s="45">
        <v>105.4</v>
      </c>
      <c r="X63" s="45">
        <v>129.9</v>
      </c>
      <c r="Y63" s="45">
        <v>133</v>
      </c>
      <c r="Z63" s="45">
        <v>125.1</v>
      </c>
      <c r="AA63" s="45">
        <v>142.6</v>
      </c>
      <c r="AB63" s="45">
        <v>143</v>
      </c>
      <c r="AC63" s="45">
        <v>142.19999999999999</v>
      </c>
      <c r="AD63" s="45">
        <v>107.7</v>
      </c>
      <c r="AE63" s="45">
        <v>30.6</v>
      </c>
      <c r="AF63" s="45">
        <v>0</v>
      </c>
      <c r="AG63" s="52">
        <v>144</v>
      </c>
      <c r="AH63" s="47">
        <f t="shared" si="2"/>
        <v>144.30000000000001</v>
      </c>
      <c r="AI63" s="48">
        <f t="shared" si="3"/>
        <v>0</v>
      </c>
      <c r="AK63" s="50"/>
    </row>
    <row r="64" spans="1:88" x14ac:dyDescent="0.25">
      <c r="A64" s="54" t="s">
        <v>64</v>
      </c>
      <c r="B64" s="65">
        <v>35</v>
      </c>
      <c r="C64" s="65">
        <v>0</v>
      </c>
      <c r="D64" s="65">
        <v>0</v>
      </c>
      <c r="E64" s="65">
        <v>0</v>
      </c>
      <c r="F64" s="65">
        <v>0</v>
      </c>
      <c r="G64" s="65">
        <v>35.299999999999997</v>
      </c>
      <c r="H64" s="65">
        <v>60</v>
      </c>
      <c r="I64" s="65">
        <v>60</v>
      </c>
      <c r="J64" s="65">
        <v>65.400000000000006</v>
      </c>
      <c r="K64" s="65">
        <v>59.7</v>
      </c>
      <c r="L64" s="65">
        <v>59.7</v>
      </c>
      <c r="M64" s="65">
        <v>69</v>
      </c>
      <c r="N64" s="65">
        <v>69</v>
      </c>
      <c r="O64" s="65">
        <v>21.8</v>
      </c>
      <c r="P64" s="65">
        <v>23</v>
      </c>
      <c r="Q64" s="65">
        <v>21.3</v>
      </c>
      <c r="R64" s="65">
        <v>24</v>
      </c>
      <c r="S64" s="65">
        <v>0</v>
      </c>
      <c r="T64" s="65">
        <v>0</v>
      </c>
      <c r="U64" s="45">
        <v>0</v>
      </c>
      <c r="V64" s="45">
        <v>0</v>
      </c>
      <c r="W64" s="45">
        <v>58.5</v>
      </c>
      <c r="X64" s="45">
        <v>57</v>
      </c>
      <c r="Y64" s="45">
        <v>69.3</v>
      </c>
      <c r="Z64" s="45">
        <v>68.8</v>
      </c>
      <c r="AA64" s="45">
        <v>69.2</v>
      </c>
      <c r="AB64" s="45">
        <v>59.2</v>
      </c>
      <c r="AC64" s="45">
        <v>60</v>
      </c>
      <c r="AD64" s="65">
        <v>51</v>
      </c>
      <c r="AE64" s="65">
        <v>28.7</v>
      </c>
      <c r="AF64" s="65">
        <v>0</v>
      </c>
      <c r="AG64" s="55">
        <v>70</v>
      </c>
      <c r="AH64" s="47">
        <f t="shared" si="2"/>
        <v>69.3</v>
      </c>
      <c r="AI64" s="48">
        <f t="shared" si="3"/>
        <v>0</v>
      </c>
      <c r="AK64" s="50"/>
    </row>
    <row r="65" spans="1:41" x14ac:dyDescent="0.25">
      <c r="A65" s="54" t="s">
        <v>65</v>
      </c>
      <c r="B65" s="65">
        <v>45</v>
      </c>
      <c r="C65" s="65">
        <v>33</v>
      </c>
      <c r="D65" s="65">
        <v>33</v>
      </c>
      <c r="E65" s="65">
        <v>33</v>
      </c>
      <c r="F65" s="65">
        <v>33</v>
      </c>
      <c r="G65" s="65">
        <v>46</v>
      </c>
      <c r="H65" s="65">
        <v>46</v>
      </c>
      <c r="I65" s="65">
        <v>46</v>
      </c>
      <c r="J65" s="65">
        <v>48.7</v>
      </c>
      <c r="K65" s="65">
        <v>48.7</v>
      </c>
      <c r="L65" s="65">
        <v>48.7</v>
      </c>
      <c r="M65" s="65">
        <v>65.47</v>
      </c>
      <c r="N65" s="65">
        <v>65.47</v>
      </c>
      <c r="O65" s="65">
        <v>0</v>
      </c>
      <c r="P65" s="65">
        <v>0</v>
      </c>
      <c r="Q65" s="65">
        <v>16</v>
      </c>
      <c r="R65" s="65">
        <v>16.100000000000001</v>
      </c>
      <c r="S65" s="65">
        <v>16.100000000000001</v>
      </c>
      <c r="T65" s="65">
        <v>0</v>
      </c>
      <c r="U65" s="45">
        <v>0</v>
      </c>
      <c r="V65" s="45">
        <v>0</v>
      </c>
      <c r="W65" s="45">
        <v>15.6</v>
      </c>
      <c r="X65" s="45">
        <v>58.2</v>
      </c>
      <c r="Y65" s="45">
        <v>59.6</v>
      </c>
      <c r="Z65" s="45">
        <v>60.5</v>
      </c>
      <c r="AA65" s="45">
        <v>67.8</v>
      </c>
      <c r="AB65" s="45">
        <v>60.2</v>
      </c>
      <c r="AC65" s="45">
        <v>60.5</v>
      </c>
      <c r="AD65" s="65">
        <v>60.4</v>
      </c>
      <c r="AE65" s="65">
        <v>51.1</v>
      </c>
      <c r="AF65" s="65">
        <v>46.8</v>
      </c>
      <c r="AG65" s="55">
        <v>69</v>
      </c>
      <c r="AH65" s="47">
        <f t="shared" si="2"/>
        <v>67.8</v>
      </c>
      <c r="AI65" s="48">
        <f t="shared" si="3"/>
        <v>0</v>
      </c>
      <c r="AK65" s="50"/>
    </row>
    <row r="66" spans="1:41" x14ac:dyDescent="0.25">
      <c r="A66" s="54" t="s">
        <v>66</v>
      </c>
      <c r="B66" s="65">
        <v>49.4</v>
      </c>
      <c r="C66" s="65">
        <v>49.4</v>
      </c>
      <c r="D66" s="65">
        <v>49.4</v>
      </c>
      <c r="E66" s="65">
        <v>49.4</v>
      </c>
      <c r="F66" s="65">
        <v>49.4</v>
      </c>
      <c r="G66" s="65">
        <v>49.4</v>
      </c>
      <c r="H66" s="65">
        <v>49.4</v>
      </c>
      <c r="I66" s="65">
        <v>49.4</v>
      </c>
      <c r="J66" s="65">
        <v>49.4</v>
      </c>
      <c r="K66" s="65">
        <v>49.4</v>
      </c>
      <c r="L66" s="65">
        <v>49.4</v>
      </c>
      <c r="M66" s="65">
        <v>50.2</v>
      </c>
      <c r="N66" s="65">
        <v>50.2</v>
      </c>
      <c r="O66" s="65">
        <v>47.9</v>
      </c>
      <c r="P66" s="65">
        <v>48.9</v>
      </c>
      <c r="Q66" s="65">
        <v>48.9</v>
      </c>
      <c r="R66" s="65">
        <v>48.9</v>
      </c>
      <c r="S66" s="65">
        <v>48.9</v>
      </c>
      <c r="T66" s="65">
        <v>48.9</v>
      </c>
      <c r="U66" s="65">
        <v>48.9</v>
      </c>
      <c r="V66" s="45">
        <v>44.3</v>
      </c>
      <c r="W66" s="45">
        <v>47.6</v>
      </c>
      <c r="X66" s="45">
        <v>48.9</v>
      </c>
      <c r="Y66" s="45">
        <v>48.9</v>
      </c>
      <c r="Z66" s="45">
        <v>50.2</v>
      </c>
      <c r="AA66" s="45">
        <v>50.4</v>
      </c>
      <c r="AB66" s="45">
        <v>50.4</v>
      </c>
      <c r="AC66" s="45">
        <v>50.2</v>
      </c>
      <c r="AD66" s="65">
        <v>50.2</v>
      </c>
      <c r="AE66" s="65">
        <v>50.4</v>
      </c>
      <c r="AF66" s="65">
        <v>51</v>
      </c>
      <c r="AG66" s="55">
        <v>60</v>
      </c>
      <c r="AH66" s="47">
        <f t="shared" si="2"/>
        <v>51</v>
      </c>
      <c r="AI66" s="48">
        <f t="shared" si="3"/>
        <v>44.3</v>
      </c>
      <c r="AK66" s="50"/>
    </row>
    <row r="67" spans="1:41" x14ac:dyDescent="0.25">
      <c r="A67" s="54" t="s">
        <v>67</v>
      </c>
      <c r="B67" s="65">
        <v>0</v>
      </c>
      <c r="C67" s="65">
        <v>0</v>
      </c>
      <c r="D67" s="65">
        <v>0</v>
      </c>
      <c r="E67" s="65">
        <v>0</v>
      </c>
      <c r="F67" s="65">
        <v>0</v>
      </c>
      <c r="G67" s="65">
        <v>15</v>
      </c>
      <c r="H67" s="65">
        <v>29</v>
      </c>
      <c r="I67" s="65">
        <v>29</v>
      </c>
      <c r="J67" s="65">
        <v>29</v>
      </c>
      <c r="K67" s="65">
        <v>29</v>
      </c>
      <c r="L67" s="65">
        <v>29</v>
      </c>
      <c r="M67" s="65">
        <v>29</v>
      </c>
      <c r="N67" s="65">
        <v>15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45">
        <v>10</v>
      </c>
      <c r="W67" s="45">
        <v>10</v>
      </c>
      <c r="X67" s="45">
        <v>28</v>
      </c>
      <c r="Y67" s="45">
        <v>28</v>
      </c>
      <c r="Z67" s="45">
        <v>28</v>
      </c>
      <c r="AA67" s="45">
        <v>28</v>
      </c>
      <c r="AB67" s="45">
        <v>28</v>
      </c>
      <c r="AC67" s="45">
        <v>28</v>
      </c>
      <c r="AD67" s="65">
        <v>23</v>
      </c>
      <c r="AE67" s="65">
        <v>10</v>
      </c>
      <c r="AF67" s="65">
        <v>0</v>
      </c>
      <c r="AG67" s="55">
        <v>30</v>
      </c>
      <c r="AH67" s="47">
        <f t="shared" si="2"/>
        <v>29</v>
      </c>
      <c r="AI67" s="48">
        <f t="shared" si="3"/>
        <v>0</v>
      </c>
      <c r="AK67" s="50"/>
    </row>
    <row r="68" spans="1:41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</v>
      </c>
      <c r="M68" s="65">
        <v>2</v>
      </c>
      <c r="N68" s="65">
        <v>8</v>
      </c>
      <c r="O68" s="65">
        <v>10</v>
      </c>
      <c r="P68" s="65">
        <v>15.1</v>
      </c>
      <c r="Q68" s="65">
        <v>15.8</v>
      </c>
      <c r="R68" s="65">
        <v>14.2</v>
      </c>
      <c r="S68" s="65">
        <v>11.5</v>
      </c>
      <c r="T68" s="65">
        <v>8</v>
      </c>
      <c r="U68" s="65">
        <v>5.0999999999999996</v>
      </c>
      <c r="V68" s="45">
        <v>0.5</v>
      </c>
      <c r="W68" s="45">
        <v>0</v>
      </c>
      <c r="X68" s="45">
        <v>0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55">
        <v>25</v>
      </c>
      <c r="AH68" s="47">
        <f t="shared" si="2"/>
        <v>15.8</v>
      </c>
      <c r="AI68" s="48">
        <f t="shared" si="3"/>
        <v>0</v>
      </c>
      <c r="AK68" s="50"/>
    </row>
    <row r="69" spans="1:41" x14ac:dyDescent="0.25">
      <c r="A69" s="54" t="s">
        <v>69</v>
      </c>
      <c r="B69" s="65">
        <v>15</v>
      </c>
      <c r="C69" s="65">
        <v>15</v>
      </c>
      <c r="D69" s="65">
        <v>15</v>
      </c>
      <c r="E69" s="65">
        <v>15</v>
      </c>
      <c r="F69" s="65">
        <v>15</v>
      </c>
      <c r="G69" s="65">
        <v>15</v>
      </c>
      <c r="H69" s="65">
        <v>15</v>
      </c>
      <c r="I69" s="65">
        <v>15</v>
      </c>
      <c r="J69" s="65">
        <v>15</v>
      </c>
      <c r="K69" s="65">
        <v>15</v>
      </c>
      <c r="L69" s="65">
        <v>15</v>
      </c>
      <c r="M69" s="65">
        <v>15</v>
      </c>
      <c r="N69" s="65">
        <v>15</v>
      </c>
      <c r="O69" s="65">
        <v>15</v>
      </c>
      <c r="P69" s="65">
        <v>15</v>
      </c>
      <c r="Q69" s="65">
        <v>15</v>
      </c>
      <c r="R69" s="65">
        <v>15</v>
      </c>
      <c r="S69" s="65">
        <v>15</v>
      </c>
      <c r="T69" s="65">
        <v>15</v>
      </c>
      <c r="U69" s="65">
        <v>15</v>
      </c>
      <c r="V69" s="65">
        <v>15</v>
      </c>
      <c r="W69" s="65">
        <v>15</v>
      </c>
      <c r="X69" s="65">
        <v>15</v>
      </c>
      <c r="Y69" s="65">
        <v>15</v>
      </c>
      <c r="Z69" s="65">
        <v>15</v>
      </c>
      <c r="AA69" s="65">
        <v>15</v>
      </c>
      <c r="AB69" s="65">
        <v>15</v>
      </c>
      <c r="AC69" s="65">
        <v>15</v>
      </c>
      <c r="AD69" s="65">
        <v>15</v>
      </c>
      <c r="AE69" s="65">
        <v>15</v>
      </c>
      <c r="AF69" s="65">
        <v>15</v>
      </c>
      <c r="AG69" s="55">
        <v>24</v>
      </c>
      <c r="AH69" s="47">
        <f t="shared" si="2"/>
        <v>15</v>
      </c>
      <c r="AI69" s="48">
        <f t="shared" si="3"/>
        <v>15</v>
      </c>
      <c r="AK69" s="50"/>
    </row>
    <row r="70" spans="1:41" x14ac:dyDescent="0.25">
      <c r="A70" s="54" t="s">
        <v>70</v>
      </c>
      <c r="B70" s="65">
        <v>4.5</v>
      </c>
      <c r="C70" s="65">
        <v>4.5</v>
      </c>
      <c r="D70" s="65">
        <v>4.5</v>
      </c>
      <c r="E70" s="65">
        <v>4.5</v>
      </c>
      <c r="F70" s="65">
        <v>4.5</v>
      </c>
      <c r="G70" s="65">
        <v>4.5</v>
      </c>
      <c r="H70" s="65">
        <v>4.5</v>
      </c>
      <c r="I70" s="65">
        <v>4.5</v>
      </c>
      <c r="J70" s="65">
        <v>4.5</v>
      </c>
      <c r="K70" s="65">
        <v>4.5</v>
      </c>
      <c r="L70" s="65">
        <v>4.5</v>
      </c>
      <c r="M70" s="65">
        <v>4.5</v>
      </c>
      <c r="N70" s="65">
        <v>4.5</v>
      </c>
      <c r="O70" s="65">
        <v>4.5</v>
      </c>
      <c r="P70" s="65">
        <v>4.5</v>
      </c>
      <c r="Q70" s="65">
        <v>4.5</v>
      </c>
      <c r="R70" s="65">
        <v>4.5</v>
      </c>
      <c r="S70" s="65">
        <v>4.5</v>
      </c>
      <c r="T70" s="65">
        <v>4.5</v>
      </c>
      <c r="U70" s="65">
        <v>4.5</v>
      </c>
      <c r="V70" s="65">
        <v>4.5</v>
      </c>
      <c r="W70" s="65">
        <v>4.5</v>
      </c>
      <c r="X70" s="65">
        <v>4.5</v>
      </c>
      <c r="Y70" s="65">
        <v>4.5</v>
      </c>
      <c r="Z70" s="65">
        <v>4.5</v>
      </c>
      <c r="AA70" s="65">
        <v>4.5</v>
      </c>
      <c r="AB70" s="65">
        <v>4.5</v>
      </c>
      <c r="AC70" s="65">
        <v>4.5</v>
      </c>
      <c r="AD70" s="65">
        <v>4.5</v>
      </c>
      <c r="AE70" s="65">
        <v>4.5</v>
      </c>
      <c r="AF70" s="65">
        <v>4.5</v>
      </c>
      <c r="AG70" s="55">
        <v>15</v>
      </c>
      <c r="AH70" s="47">
        <f t="shared" si="2"/>
        <v>4.5</v>
      </c>
      <c r="AI70" s="48">
        <f t="shared" si="3"/>
        <v>4.5</v>
      </c>
      <c r="AK70" s="50"/>
      <c r="AL70" s="70"/>
      <c r="AO70" s="70"/>
    </row>
    <row r="71" spans="1:41" s="70" customFormat="1" x14ac:dyDescent="0.25">
      <c r="A71" s="54" t="s">
        <v>71</v>
      </c>
      <c r="B71" s="65">
        <v>10</v>
      </c>
      <c r="C71" s="65">
        <v>10</v>
      </c>
      <c r="D71" s="65">
        <v>10</v>
      </c>
      <c r="E71" s="65">
        <v>10</v>
      </c>
      <c r="F71" s="65">
        <v>10</v>
      </c>
      <c r="G71" s="65">
        <v>10</v>
      </c>
      <c r="H71" s="65">
        <v>10</v>
      </c>
      <c r="I71" s="65">
        <v>10</v>
      </c>
      <c r="J71" s="65">
        <v>10</v>
      </c>
      <c r="K71" s="65">
        <v>10</v>
      </c>
      <c r="L71" s="65">
        <v>10</v>
      </c>
      <c r="M71" s="65">
        <v>10</v>
      </c>
      <c r="N71" s="65">
        <v>10</v>
      </c>
      <c r="O71" s="65">
        <v>10</v>
      </c>
      <c r="P71" s="65">
        <v>10</v>
      </c>
      <c r="Q71" s="65">
        <v>10</v>
      </c>
      <c r="R71" s="65">
        <v>10</v>
      </c>
      <c r="S71" s="65">
        <v>10</v>
      </c>
      <c r="T71" s="65">
        <v>10</v>
      </c>
      <c r="U71" s="65">
        <v>10</v>
      </c>
      <c r="V71" s="65">
        <v>10</v>
      </c>
      <c r="W71" s="65">
        <v>10</v>
      </c>
      <c r="X71" s="65">
        <v>10</v>
      </c>
      <c r="Y71" s="65">
        <v>10</v>
      </c>
      <c r="Z71" s="65">
        <v>10</v>
      </c>
      <c r="AA71" s="65">
        <v>10</v>
      </c>
      <c r="AB71" s="65">
        <v>10</v>
      </c>
      <c r="AC71" s="65">
        <v>10</v>
      </c>
      <c r="AD71" s="65">
        <v>10</v>
      </c>
      <c r="AE71" s="65">
        <v>10</v>
      </c>
      <c r="AF71" s="65">
        <v>10</v>
      </c>
      <c r="AG71" s="55">
        <v>14.1</v>
      </c>
      <c r="AH71" s="47">
        <f t="shared" si="2"/>
        <v>10</v>
      </c>
      <c r="AI71" s="48">
        <f t="shared" si="3"/>
        <v>10</v>
      </c>
      <c r="AJ71" s="1"/>
      <c r="AK71" s="50"/>
      <c r="AL71" s="1"/>
      <c r="AM71" s="1"/>
      <c r="AN71" s="1"/>
      <c r="AO71" s="1"/>
    </row>
    <row r="72" spans="1:41" x14ac:dyDescent="0.25">
      <c r="A72" s="71" t="s">
        <v>72</v>
      </c>
      <c r="B72" s="65">
        <v>5.0999999999999996</v>
      </c>
      <c r="C72" s="65">
        <v>5.0999999999999996</v>
      </c>
      <c r="D72" s="65">
        <v>5.0999999999999996</v>
      </c>
      <c r="E72" s="65">
        <v>5.0999999999999996</v>
      </c>
      <c r="F72" s="65">
        <v>5.0999999999999996</v>
      </c>
      <c r="G72" s="65">
        <v>5.0999999999999996</v>
      </c>
      <c r="H72" s="65">
        <v>5.0999999999999996</v>
      </c>
      <c r="I72" s="65">
        <v>5.0999999999999996</v>
      </c>
      <c r="J72" s="65">
        <v>5.0999999999999996</v>
      </c>
      <c r="K72" s="65">
        <v>5.0999999999999996</v>
      </c>
      <c r="L72" s="65">
        <v>5.0999999999999996</v>
      </c>
      <c r="M72" s="65">
        <v>5.0999999999999996</v>
      </c>
      <c r="N72" s="65">
        <v>5.0999999999999996</v>
      </c>
      <c r="O72" s="65">
        <v>5.0999999999999996</v>
      </c>
      <c r="P72" s="65">
        <v>5.0999999999999996</v>
      </c>
      <c r="Q72" s="65">
        <v>5.0999999999999996</v>
      </c>
      <c r="R72" s="65">
        <v>5.0999999999999996</v>
      </c>
      <c r="S72" s="65">
        <v>5.0999999999999996</v>
      </c>
      <c r="T72" s="65">
        <v>5.0999999999999996</v>
      </c>
      <c r="U72" s="65">
        <v>5.0999999999999996</v>
      </c>
      <c r="V72" s="65">
        <v>4.8</v>
      </c>
      <c r="W72" s="65">
        <v>4.8</v>
      </c>
      <c r="X72" s="65">
        <v>4.8</v>
      </c>
      <c r="Y72" s="65">
        <v>4.8</v>
      </c>
      <c r="Z72" s="65">
        <v>4.8</v>
      </c>
      <c r="AA72" s="65">
        <v>4.8</v>
      </c>
      <c r="AB72" s="65">
        <v>4.8</v>
      </c>
      <c r="AC72" s="65">
        <v>4.8</v>
      </c>
      <c r="AD72" s="65">
        <v>4.8</v>
      </c>
      <c r="AE72" s="65">
        <v>4.7</v>
      </c>
      <c r="AF72" s="65">
        <v>4.7</v>
      </c>
      <c r="AG72" s="55">
        <v>14</v>
      </c>
      <c r="AH72" s="47">
        <f t="shared" si="2"/>
        <v>5.0999999999999996</v>
      </c>
      <c r="AI72" s="48">
        <f t="shared" si="3"/>
        <v>4.7</v>
      </c>
      <c r="AK72" s="50"/>
    </row>
    <row r="73" spans="1:41" x14ac:dyDescent="0.25">
      <c r="A73" s="54" t="s">
        <v>73</v>
      </c>
      <c r="B73" s="65">
        <v>5</v>
      </c>
      <c r="C73" s="65">
        <v>5</v>
      </c>
      <c r="D73" s="65">
        <v>5</v>
      </c>
      <c r="E73" s="65">
        <v>5</v>
      </c>
      <c r="F73" s="65">
        <v>5</v>
      </c>
      <c r="G73" s="65">
        <v>5</v>
      </c>
      <c r="H73" s="65">
        <v>5</v>
      </c>
      <c r="I73" s="65">
        <v>5</v>
      </c>
      <c r="J73" s="65">
        <v>5</v>
      </c>
      <c r="K73" s="65">
        <v>5</v>
      </c>
      <c r="L73" s="65">
        <v>5</v>
      </c>
      <c r="M73" s="65">
        <v>5</v>
      </c>
      <c r="N73" s="65">
        <v>5</v>
      </c>
      <c r="O73" s="65">
        <v>5</v>
      </c>
      <c r="P73" s="65">
        <v>5</v>
      </c>
      <c r="Q73" s="65">
        <v>5</v>
      </c>
      <c r="R73" s="65">
        <v>5</v>
      </c>
      <c r="S73" s="65">
        <v>5</v>
      </c>
      <c r="T73" s="65">
        <v>5</v>
      </c>
      <c r="U73" s="65">
        <v>5</v>
      </c>
      <c r="V73" s="65">
        <v>5</v>
      </c>
      <c r="W73" s="65">
        <v>5</v>
      </c>
      <c r="X73" s="65">
        <v>5</v>
      </c>
      <c r="Y73" s="65">
        <v>5</v>
      </c>
      <c r="Z73" s="65">
        <v>5</v>
      </c>
      <c r="AA73" s="65">
        <v>5</v>
      </c>
      <c r="AB73" s="65">
        <v>5</v>
      </c>
      <c r="AC73" s="65">
        <v>5</v>
      </c>
      <c r="AD73" s="65">
        <v>5</v>
      </c>
      <c r="AE73" s="65">
        <v>5</v>
      </c>
      <c r="AF73" s="65">
        <v>5</v>
      </c>
      <c r="AG73" s="55">
        <v>10.050000000000001</v>
      </c>
      <c r="AH73" s="47">
        <f t="shared" si="2"/>
        <v>5</v>
      </c>
      <c r="AI73" s="48">
        <f t="shared" si="3"/>
        <v>5</v>
      </c>
      <c r="AK73" s="50"/>
    </row>
    <row r="74" spans="1:41" x14ac:dyDescent="0.25">
      <c r="A74" s="54" t="s">
        <v>74</v>
      </c>
      <c r="B74" s="65">
        <v>3</v>
      </c>
      <c r="C74" s="65">
        <v>3</v>
      </c>
      <c r="D74" s="65">
        <v>3</v>
      </c>
      <c r="E74" s="65">
        <v>3</v>
      </c>
      <c r="F74" s="65">
        <v>3</v>
      </c>
      <c r="G74" s="65">
        <v>3</v>
      </c>
      <c r="H74" s="65">
        <v>3</v>
      </c>
      <c r="I74" s="65">
        <v>3</v>
      </c>
      <c r="J74" s="65">
        <v>3</v>
      </c>
      <c r="K74" s="65">
        <v>3</v>
      </c>
      <c r="L74" s="65">
        <v>3</v>
      </c>
      <c r="M74" s="65">
        <v>3</v>
      </c>
      <c r="N74" s="65">
        <v>3</v>
      </c>
      <c r="O74" s="65">
        <v>3</v>
      </c>
      <c r="P74" s="65">
        <v>3</v>
      </c>
      <c r="Q74" s="65">
        <v>3</v>
      </c>
      <c r="R74" s="65">
        <v>3</v>
      </c>
      <c r="S74" s="65">
        <v>3</v>
      </c>
      <c r="T74" s="65">
        <v>3</v>
      </c>
      <c r="U74" s="65">
        <v>3</v>
      </c>
      <c r="V74" s="65">
        <v>3</v>
      </c>
      <c r="W74" s="65">
        <v>3</v>
      </c>
      <c r="X74" s="65">
        <v>3</v>
      </c>
      <c r="Y74" s="65">
        <v>3</v>
      </c>
      <c r="Z74" s="65">
        <v>3</v>
      </c>
      <c r="AA74" s="65">
        <v>3</v>
      </c>
      <c r="AB74" s="65">
        <v>3</v>
      </c>
      <c r="AC74" s="65">
        <v>3</v>
      </c>
      <c r="AD74" s="65">
        <v>3</v>
      </c>
      <c r="AE74" s="65">
        <v>3</v>
      </c>
      <c r="AF74" s="65">
        <v>3</v>
      </c>
      <c r="AG74" s="55">
        <v>6.2</v>
      </c>
      <c r="AH74" s="47">
        <f t="shared" si="2"/>
        <v>3</v>
      </c>
      <c r="AI74" s="48">
        <f t="shared" si="3"/>
        <v>3</v>
      </c>
      <c r="AK74" s="50"/>
    </row>
    <row r="75" spans="1:41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3.54</v>
      </c>
      <c r="Z75" s="72">
        <v>3.54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2"/>
        <v>3.54</v>
      </c>
      <c r="AI75" s="48">
        <f t="shared" si="3"/>
        <v>3.54</v>
      </c>
      <c r="AK75" s="50"/>
    </row>
    <row r="76" spans="1:41" ht="15.75" thickBot="1" x14ac:dyDescent="0.3">
      <c r="A76" s="74" t="s">
        <v>76</v>
      </c>
      <c r="B76" s="60">
        <f t="shared" ref="B76:C76" si="22">SUM(B63:B75)</f>
        <v>205.54</v>
      </c>
      <c r="C76" s="60">
        <f t="shared" si="22"/>
        <v>128.54</v>
      </c>
      <c r="D76" s="60">
        <f t="shared" ref="D76:E76" si="23">SUM(D63:D75)</f>
        <v>128.54</v>
      </c>
      <c r="E76" s="60">
        <f t="shared" si="23"/>
        <v>128.54</v>
      </c>
      <c r="F76" s="60">
        <f t="shared" ref="F76:G76" si="24">SUM(F63:F75)</f>
        <v>128.54</v>
      </c>
      <c r="G76" s="60">
        <f t="shared" si="24"/>
        <v>239.34</v>
      </c>
      <c r="H76" s="60">
        <f t="shared" ref="H76:I76" si="25">SUM(H63:H75)</f>
        <v>291.74000000000007</v>
      </c>
      <c r="I76" s="60">
        <f t="shared" si="25"/>
        <v>329.04</v>
      </c>
      <c r="J76" s="60">
        <f t="shared" ref="J76:K76" si="26">SUM(J63:J75)</f>
        <v>382.94000000000005</v>
      </c>
      <c r="K76" s="60">
        <f t="shared" si="26"/>
        <v>377.24</v>
      </c>
      <c r="L76" s="60">
        <f t="shared" ref="L76" si="27">SUM(L63:L75)</f>
        <v>377.24</v>
      </c>
      <c r="M76" s="60">
        <f t="shared" ref="M76:AG76" si="28">SUM(M63:M75)</f>
        <v>343.51000000000005</v>
      </c>
      <c r="N76" s="60">
        <f t="shared" ref="N76" si="29">SUM(N63:N75)</f>
        <v>253.81</v>
      </c>
      <c r="O76" s="60">
        <f t="shared" si="28"/>
        <v>186.83999999999997</v>
      </c>
      <c r="P76" s="60">
        <f t="shared" si="28"/>
        <v>212.93999999999997</v>
      </c>
      <c r="Q76" s="60">
        <f t="shared" si="28"/>
        <v>209.44</v>
      </c>
      <c r="R76" s="60">
        <f t="shared" si="28"/>
        <v>210.33999999999997</v>
      </c>
      <c r="S76" s="60">
        <f t="shared" si="28"/>
        <v>152.83999999999997</v>
      </c>
      <c r="T76" s="60">
        <f t="shared" si="28"/>
        <v>133.23999999999998</v>
      </c>
      <c r="U76" s="60">
        <f t="shared" si="28"/>
        <v>130.54</v>
      </c>
      <c r="V76" s="60">
        <f t="shared" si="28"/>
        <v>131.34</v>
      </c>
      <c r="W76" s="60">
        <f t="shared" si="28"/>
        <v>282.94000000000005</v>
      </c>
      <c r="X76" s="60">
        <f t="shared" si="28"/>
        <v>367.84000000000003</v>
      </c>
      <c r="Y76" s="60">
        <f t="shared" si="28"/>
        <v>384.64000000000004</v>
      </c>
      <c r="Z76" s="60">
        <f t="shared" si="28"/>
        <v>378.44</v>
      </c>
      <c r="AA76" s="60">
        <f t="shared" si="28"/>
        <v>403.84000000000003</v>
      </c>
      <c r="AB76" s="60">
        <f t="shared" si="28"/>
        <v>386.64</v>
      </c>
      <c r="AC76" s="60">
        <f t="shared" si="28"/>
        <v>386.74</v>
      </c>
      <c r="AD76" s="60">
        <f t="shared" si="28"/>
        <v>338.14000000000004</v>
      </c>
      <c r="AE76" s="60">
        <f t="shared" si="28"/>
        <v>216.54</v>
      </c>
      <c r="AF76" s="60">
        <f t="shared" ref="AF76" si="30">SUM(AF63:AF75)</f>
        <v>143.54</v>
      </c>
      <c r="AG76" s="61">
        <f t="shared" si="28"/>
        <v>489.91</v>
      </c>
      <c r="AH76" s="47">
        <f t="shared" si="2"/>
        <v>403.84000000000003</v>
      </c>
      <c r="AI76" s="48">
        <f t="shared" si="3"/>
        <v>128.54</v>
      </c>
      <c r="AK76" s="50"/>
    </row>
    <row r="77" spans="1:41" x14ac:dyDescent="0.25">
      <c r="A77" s="44" t="s">
        <v>77</v>
      </c>
      <c r="B77" s="45">
        <v>0</v>
      </c>
      <c r="C77" s="45">
        <v>0</v>
      </c>
      <c r="D77" s="4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28.8</v>
      </c>
      <c r="N77" s="45">
        <v>28.8</v>
      </c>
      <c r="O77" s="45">
        <v>14</v>
      </c>
      <c r="P77" s="45">
        <v>10</v>
      </c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>
        <v>0</v>
      </c>
      <c r="AB77" s="45"/>
      <c r="AC77" s="45"/>
      <c r="AD77" s="45"/>
      <c r="AE77" s="45">
        <v>0</v>
      </c>
      <c r="AF77" s="45">
        <v>0</v>
      </c>
      <c r="AG77" s="52">
        <v>60</v>
      </c>
      <c r="AH77" s="47">
        <f t="shared" si="2"/>
        <v>28.8</v>
      </c>
      <c r="AI77" s="48">
        <f t="shared" si="3"/>
        <v>0</v>
      </c>
      <c r="AK77" s="50"/>
    </row>
    <row r="78" spans="1:41" x14ac:dyDescent="0.25">
      <c r="A78" s="54" t="s">
        <v>78</v>
      </c>
      <c r="B78" s="65">
        <v>0</v>
      </c>
      <c r="C78" s="65">
        <v>0</v>
      </c>
      <c r="D78" s="65">
        <v>0</v>
      </c>
      <c r="E78" s="65">
        <v>0</v>
      </c>
      <c r="F78" s="65">
        <v>0</v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6.2</v>
      </c>
      <c r="N78" s="65">
        <v>6.2</v>
      </c>
      <c r="O78" s="65">
        <v>7.9</v>
      </c>
      <c r="P78" s="65">
        <v>0</v>
      </c>
      <c r="Q78" s="65">
        <v>0</v>
      </c>
      <c r="R78" s="65">
        <v>0</v>
      </c>
      <c r="S78" s="65">
        <v>0</v>
      </c>
      <c r="T78" s="65">
        <v>0</v>
      </c>
      <c r="U78" s="65">
        <v>0</v>
      </c>
      <c r="V78" s="65">
        <v>0</v>
      </c>
      <c r="W78" s="65">
        <v>0</v>
      </c>
      <c r="X78" s="65">
        <v>0</v>
      </c>
      <c r="Y78" s="65">
        <v>0</v>
      </c>
      <c r="Z78" s="65">
        <v>0</v>
      </c>
      <c r="AA78" s="65">
        <v>0</v>
      </c>
      <c r="AB78" s="65"/>
      <c r="AC78" s="65"/>
      <c r="AD78" s="65"/>
      <c r="AE78" s="65">
        <v>0</v>
      </c>
      <c r="AF78" s="65">
        <v>0</v>
      </c>
      <c r="AG78" s="55">
        <v>32</v>
      </c>
      <c r="AH78" s="47">
        <f t="shared" si="2"/>
        <v>7.9</v>
      </c>
      <c r="AI78" s="48">
        <f t="shared" si="3"/>
        <v>0</v>
      </c>
      <c r="AK78" s="50"/>
    </row>
    <row r="79" spans="1:41" ht="15.75" thickBot="1" x14ac:dyDescent="0.3">
      <c r="A79" s="71" t="s">
        <v>79</v>
      </c>
      <c r="B79" s="67">
        <v>0</v>
      </c>
      <c r="C79" s="67">
        <v>0</v>
      </c>
      <c r="D79" s="67">
        <v>0</v>
      </c>
      <c r="E79" s="67">
        <v>0</v>
      </c>
      <c r="F79" s="67">
        <v>0</v>
      </c>
      <c r="G79" s="67">
        <v>0</v>
      </c>
      <c r="H79" s="67">
        <v>0</v>
      </c>
      <c r="I79" s="67">
        <v>0</v>
      </c>
      <c r="J79" s="67">
        <v>0</v>
      </c>
      <c r="K79" s="67">
        <v>0</v>
      </c>
      <c r="L79" s="67">
        <v>0</v>
      </c>
      <c r="M79" s="67">
        <v>2.2000000000000002</v>
      </c>
      <c r="N79" s="67">
        <v>2.2000000000000002</v>
      </c>
      <c r="O79" s="67">
        <v>2.9</v>
      </c>
      <c r="P79" s="67">
        <v>0</v>
      </c>
      <c r="Q79" s="67">
        <v>0</v>
      </c>
      <c r="R79" s="67">
        <v>0</v>
      </c>
      <c r="S79" s="67">
        <v>0</v>
      </c>
      <c r="T79" s="67">
        <v>0</v>
      </c>
      <c r="U79" s="67">
        <v>0</v>
      </c>
      <c r="V79" s="67">
        <v>0</v>
      </c>
      <c r="W79" s="67">
        <v>0</v>
      </c>
      <c r="X79" s="67">
        <v>0</v>
      </c>
      <c r="Y79" s="67">
        <v>0</v>
      </c>
      <c r="Z79" s="67">
        <v>0</v>
      </c>
      <c r="AA79" s="67">
        <v>0</v>
      </c>
      <c r="AB79" s="67"/>
      <c r="AC79" s="67"/>
      <c r="AD79" s="67"/>
      <c r="AE79" s="67">
        <v>0</v>
      </c>
      <c r="AF79" s="67">
        <v>0</v>
      </c>
      <c r="AG79" s="68">
        <v>14</v>
      </c>
      <c r="AH79" s="47">
        <f t="shared" si="2"/>
        <v>2.9</v>
      </c>
      <c r="AI79" s="48">
        <f t="shared" si="3"/>
        <v>0</v>
      </c>
      <c r="AK79" s="50"/>
    </row>
    <row r="80" spans="1:41" ht="15.75" thickBot="1" x14ac:dyDescent="0.3">
      <c r="A80" s="74" t="s">
        <v>80</v>
      </c>
      <c r="B80" s="60">
        <f t="shared" ref="B80:C80" si="31">B77+B78+B79</f>
        <v>0</v>
      </c>
      <c r="C80" s="60">
        <f t="shared" si="31"/>
        <v>0</v>
      </c>
      <c r="D80" s="60">
        <f t="shared" ref="D80:E80" si="32">D77+D78+D79</f>
        <v>0</v>
      </c>
      <c r="E80" s="60">
        <f t="shared" si="32"/>
        <v>0</v>
      </c>
      <c r="F80" s="60">
        <f t="shared" ref="F80:G80" si="33">F77+F78+F79</f>
        <v>0</v>
      </c>
      <c r="G80" s="60">
        <f t="shared" si="33"/>
        <v>0</v>
      </c>
      <c r="H80" s="60">
        <f t="shared" ref="H80:I80" si="34">H77+H78+H79</f>
        <v>0</v>
      </c>
      <c r="I80" s="60">
        <f t="shared" si="34"/>
        <v>0</v>
      </c>
      <c r="J80" s="60">
        <f t="shared" ref="J80:K80" si="35">J77+J78+J79</f>
        <v>0</v>
      </c>
      <c r="K80" s="60">
        <f t="shared" si="35"/>
        <v>0</v>
      </c>
      <c r="L80" s="60">
        <f t="shared" ref="L80" si="36">L77+L78+L79</f>
        <v>0</v>
      </c>
      <c r="M80" s="60">
        <f t="shared" ref="M80:AE80" si="37">M77+M78+M79</f>
        <v>37.200000000000003</v>
      </c>
      <c r="N80" s="60">
        <f t="shared" ref="N80" si="38">N77+N78+N79</f>
        <v>37.200000000000003</v>
      </c>
      <c r="O80" s="60">
        <f t="shared" si="37"/>
        <v>24.799999999999997</v>
      </c>
      <c r="P80" s="60">
        <f t="shared" si="37"/>
        <v>10</v>
      </c>
      <c r="Q80" s="60">
        <f t="shared" si="37"/>
        <v>0</v>
      </c>
      <c r="R80" s="60">
        <f t="shared" si="37"/>
        <v>0</v>
      </c>
      <c r="S80" s="60">
        <f t="shared" si="37"/>
        <v>0</v>
      </c>
      <c r="T80" s="60">
        <f t="shared" si="37"/>
        <v>0</v>
      </c>
      <c r="U80" s="60">
        <f t="shared" si="37"/>
        <v>0</v>
      </c>
      <c r="V80" s="60">
        <f t="shared" si="37"/>
        <v>0</v>
      </c>
      <c r="W80" s="60">
        <f t="shared" si="37"/>
        <v>0</v>
      </c>
      <c r="X80" s="60">
        <f t="shared" si="37"/>
        <v>0</v>
      </c>
      <c r="Y80" s="60">
        <f t="shared" si="37"/>
        <v>0</v>
      </c>
      <c r="Z80" s="60">
        <f t="shared" si="37"/>
        <v>0</v>
      </c>
      <c r="AA80" s="60">
        <f t="shared" si="37"/>
        <v>0</v>
      </c>
      <c r="AB80" s="60">
        <f t="shared" si="37"/>
        <v>0</v>
      </c>
      <c r="AC80" s="60">
        <f t="shared" si="37"/>
        <v>0</v>
      </c>
      <c r="AD80" s="60">
        <f t="shared" si="37"/>
        <v>0</v>
      </c>
      <c r="AE80" s="60">
        <f t="shared" si="37"/>
        <v>0</v>
      </c>
      <c r="AF80" s="60">
        <f t="shared" ref="AF80" si="39">AF77+AF78+AF79</f>
        <v>0</v>
      </c>
      <c r="AG80" s="61">
        <f>SUM(AG77:AG79)</f>
        <v>106</v>
      </c>
      <c r="AH80" s="47">
        <f t="shared" si="2"/>
        <v>37.200000000000003</v>
      </c>
      <c r="AI80" s="48">
        <f t="shared" si="3"/>
        <v>0</v>
      </c>
      <c r="AK80" s="50"/>
    </row>
    <row r="81" spans="1:40" x14ac:dyDescent="0.25">
      <c r="A81" s="44" t="s">
        <v>81</v>
      </c>
      <c r="B81" s="45">
        <v>48</v>
      </c>
      <c r="C81" s="45">
        <v>55</v>
      </c>
      <c r="D81" s="45">
        <v>63.1</v>
      </c>
      <c r="E81" s="45">
        <v>58.9</v>
      </c>
      <c r="F81" s="45">
        <v>60</v>
      </c>
      <c r="G81" s="45">
        <v>59.1</v>
      </c>
      <c r="H81" s="45">
        <v>49.9</v>
      </c>
      <c r="I81" s="45">
        <v>49.9</v>
      </c>
      <c r="J81" s="45">
        <v>61.4</v>
      </c>
      <c r="K81" s="45">
        <v>48.9</v>
      </c>
      <c r="L81" s="45">
        <v>50.3</v>
      </c>
      <c r="M81" s="45">
        <v>35.799999999999997</v>
      </c>
      <c r="N81" s="45">
        <v>56.5</v>
      </c>
      <c r="O81" s="45">
        <v>49</v>
      </c>
      <c r="P81" s="45">
        <v>54.5</v>
      </c>
      <c r="Q81" s="45">
        <v>51</v>
      </c>
      <c r="R81" s="45">
        <v>52</v>
      </c>
      <c r="S81" s="45">
        <v>48.1</v>
      </c>
      <c r="T81" s="45">
        <v>54.5</v>
      </c>
      <c r="U81" s="45">
        <v>61.3</v>
      </c>
      <c r="V81" s="45">
        <v>40</v>
      </c>
      <c r="W81" s="45">
        <v>45</v>
      </c>
      <c r="X81" s="45">
        <v>41</v>
      </c>
      <c r="Y81" s="45">
        <v>66</v>
      </c>
      <c r="Z81" s="45">
        <v>68</v>
      </c>
      <c r="AA81" s="45">
        <v>59</v>
      </c>
      <c r="AB81" s="45">
        <v>58</v>
      </c>
      <c r="AC81" s="45">
        <v>54</v>
      </c>
      <c r="AD81" s="45">
        <v>56.2</v>
      </c>
      <c r="AE81" s="45">
        <v>53.4</v>
      </c>
      <c r="AF81" s="45">
        <v>50.6</v>
      </c>
      <c r="AG81" s="52"/>
      <c r="AH81" s="47">
        <f t="shared" si="2"/>
        <v>68</v>
      </c>
      <c r="AI81" s="48">
        <f t="shared" si="3"/>
        <v>35.799999999999997</v>
      </c>
      <c r="AK81" s="50"/>
    </row>
    <row r="82" spans="1:40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>
        <v>0</v>
      </c>
      <c r="T82" s="65">
        <v>0</v>
      </c>
      <c r="U82" s="65">
        <v>0</v>
      </c>
      <c r="V82" s="65">
        <v>0</v>
      </c>
      <c r="W82" s="65">
        <v>0</v>
      </c>
      <c r="X82" s="65">
        <v>0</v>
      </c>
      <c r="Y82" s="65">
        <v>0</v>
      </c>
      <c r="Z82" s="65">
        <v>0</v>
      </c>
      <c r="AA82" s="65">
        <v>0</v>
      </c>
      <c r="AB82" s="65"/>
      <c r="AC82" s="65"/>
      <c r="AD82" s="65"/>
      <c r="AE82" s="65"/>
      <c r="AF82" s="65"/>
      <c r="AG82" s="55"/>
      <c r="AH82" s="47">
        <f t="shared" si="2"/>
        <v>0</v>
      </c>
      <c r="AI82" s="48">
        <f t="shared" si="3"/>
        <v>0</v>
      </c>
      <c r="AK82" s="50"/>
    </row>
    <row r="83" spans="1:40" x14ac:dyDescent="0.25">
      <c r="A83" s="54" t="s">
        <v>83</v>
      </c>
      <c r="B83" s="65">
        <v>270</v>
      </c>
      <c r="C83" s="65">
        <v>290</v>
      </c>
      <c r="D83" s="65">
        <v>296.10000000000002</v>
      </c>
      <c r="E83" s="65">
        <v>284.10000000000002</v>
      </c>
      <c r="F83" s="65">
        <v>287.5</v>
      </c>
      <c r="G83" s="65">
        <v>288.8</v>
      </c>
      <c r="H83" s="65">
        <v>324.89999999999998</v>
      </c>
      <c r="I83" s="65">
        <v>324.89999999999998</v>
      </c>
      <c r="J83" s="65">
        <v>381.6</v>
      </c>
      <c r="K83" s="65">
        <v>372.5</v>
      </c>
      <c r="L83" s="65">
        <v>328.9</v>
      </c>
      <c r="M83" s="65">
        <v>148</v>
      </c>
      <c r="N83" s="65">
        <v>169</v>
      </c>
      <c r="O83" s="65">
        <v>161.9</v>
      </c>
      <c r="P83" s="65">
        <v>255</v>
      </c>
      <c r="Q83" s="65">
        <v>381.5</v>
      </c>
      <c r="R83" s="65">
        <v>370</v>
      </c>
      <c r="S83" s="65">
        <v>369</v>
      </c>
      <c r="T83" s="65">
        <v>357</v>
      </c>
      <c r="U83" s="65">
        <v>343.3</v>
      </c>
      <c r="V83" s="65">
        <v>335</v>
      </c>
      <c r="W83" s="65">
        <v>157</v>
      </c>
      <c r="X83" s="65">
        <v>168</v>
      </c>
      <c r="Y83" s="65">
        <v>156.6</v>
      </c>
      <c r="Z83" s="65">
        <v>123.1</v>
      </c>
      <c r="AA83" s="65">
        <v>110</v>
      </c>
      <c r="AB83" s="65">
        <v>230</v>
      </c>
      <c r="AC83" s="65">
        <v>275</v>
      </c>
      <c r="AD83" s="65">
        <v>354</v>
      </c>
      <c r="AE83" s="65">
        <v>301.5</v>
      </c>
      <c r="AF83" s="65">
        <v>254</v>
      </c>
      <c r="AG83" s="75"/>
      <c r="AH83" s="47">
        <f t="shared" si="2"/>
        <v>381.6</v>
      </c>
      <c r="AI83" s="48">
        <f t="shared" si="3"/>
        <v>110</v>
      </c>
      <c r="AK83" s="50"/>
    </row>
    <row r="84" spans="1:40" x14ac:dyDescent="0.25">
      <c r="A84" s="54" t="s">
        <v>84</v>
      </c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76"/>
      <c r="N84" s="76"/>
      <c r="O84" s="76"/>
      <c r="P84" s="76"/>
      <c r="Q84" s="76"/>
      <c r="R84" s="76"/>
      <c r="S84" s="76">
        <v>0</v>
      </c>
      <c r="T84" s="76">
        <v>0</v>
      </c>
      <c r="U84" s="76">
        <v>0</v>
      </c>
      <c r="V84" s="76">
        <v>0</v>
      </c>
      <c r="W84" s="76">
        <v>0</v>
      </c>
      <c r="X84" s="76">
        <v>0</v>
      </c>
      <c r="Y84" s="76">
        <v>0</v>
      </c>
      <c r="Z84" s="76">
        <v>0</v>
      </c>
      <c r="AA84" s="76">
        <v>0</v>
      </c>
      <c r="AB84" s="76"/>
      <c r="AC84" s="76"/>
      <c r="AD84" s="65"/>
      <c r="AE84" s="76"/>
      <c r="AF84" s="76"/>
      <c r="AG84" s="75"/>
      <c r="AH84" s="47">
        <f t="shared" si="2"/>
        <v>0</v>
      </c>
      <c r="AI84" s="48">
        <f t="shared" si="3"/>
        <v>0</v>
      </c>
      <c r="AK84" s="50"/>
    </row>
    <row r="85" spans="1:40" x14ac:dyDescent="0.25">
      <c r="A85" s="54" t="s">
        <v>85</v>
      </c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>
        <v>0</v>
      </c>
      <c r="T85" s="45">
        <v>0</v>
      </c>
      <c r="U85" s="45">
        <v>0</v>
      </c>
      <c r="V85" s="45">
        <v>0</v>
      </c>
      <c r="W85" s="45">
        <v>0</v>
      </c>
      <c r="X85" s="45">
        <v>0</v>
      </c>
      <c r="Y85" s="45">
        <v>0</v>
      </c>
      <c r="Z85" s="45">
        <v>0</v>
      </c>
      <c r="AA85" s="45">
        <v>0</v>
      </c>
      <c r="AB85" s="45"/>
      <c r="AC85" s="45"/>
      <c r="AD85" s="45"/>
      <c r="AE85" s="45"/>
      <c r="AF85" s="45"/>
      <c r="AG85" s="75"/>
      <c r="AH85" s="47">
        <f t="shared" ref="AH85:AH130" si="40">MAX(B85:AF85)</f>
        <v>0</v>
      </c>
      <c r="AI85" s="48">
        <f t="shared" ref="AI85:AI130" si="41">MIN(B85:AF85)</f>
        <v>0</v>
      </c>
      <c r="AK85" s="50"/>
    </row>
    <row r="86" spans="1:40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/>
      <c r="AC86" s="77"/>
      <c r="AD86" s="77"/>
      <c r="AE86" s="77"/>
      <c r="AF86" s="77"/>
      <c r="AG86" s="75"/>
      <c r="AH86" s="47">
        <f t="shared" si="40"/>
        <v>0</v>
      </c>
      <c r="AI86" s="48">
        <f t="shared" si="41"/>
        <v>0</v>
      </c>
      <c r="AK86" s="50"/>
    </row>
    <row r="87" spans="1:40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>
        <v>0</v>
      </c>
      <c r="T87" s="77">
        <v>0</v>
      </c>
      <c r="U87" s="77">
        <v>0</v>
      </c>
      <c r="V87" s="77">
        <v>0</v>
      </c>
      <c r="W87" s="77">
        <v>0</v>
      </c>
      <c r="X87" s="77">
        <v>0</v>
      </c>
      <c r="Y87" s="77">
        <v>0</v>
      </c>
      <c r="Z87" s="77">
        <v>0</v>
      </c>
      <c r="AA87" s="77">
        <v>0</v>
      </c>
      <c r="AB87" s="77"/>
      <c r="AC87" s="77"/>
      <c r="AD87" s="77"/>
      <c r="AE87" s="77"/>
      <c r="AF87" s="77"/>
      <c r="AG87" s="75"/>
      <c r="AH87" s="47">
        <f t="shared" si="40"/>
        <v>0</v>
      </c>
      <c r="AI87" s="48">
        <f t="shared" si="41"/>
        <v>0</v>
      </c>
      <c r="AK87" s="50"/>
      <c r="AL87" s="78" t="s">
        <v>88</v>
      </c>
      <c r="AM87" s="78"/>
    </row>
    <row r="88" spans="1:40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>
        <v>0</v>
      </c>
      <c r="T88" s="77">
        <v>0</v>
      </c>
      <c r="U88" s="77">
        <v>0</v>
      </c>
      <c r="V88" s="77">
        <v>0</v>
      </c>
      <c r="W88" s="77">
        <v>0</v>
      </c>
      <c r="X88" s="77">
        <v>0</v>
      </c>
      <c r="Y88" s="77">
        <v>0</v>
      </c>
      <c r="Z88" s="77">
        <v>0</v>
      </c>
      <c r="AA88" s="77">
        <v>0</v>
      </c>
      <c r="AB88" s="77"/>
      <c r="AC88" s="77"/>
      <c r="AD88" s="77"/>
      <c r="AE88" s="77"/>
      <c r="AF88" s="77"/>
      <c r="AG88" s="75"/>
      <c r="AH88" s="47">
        <f t="shared" si="40"/>
        <v>0</v>
      </c>
      <c r="AI88" s="48">
        <f t="shared" si="41"/>
        <v>0</v>
      </c>
      <c r="AK88" s="79"/>
      <c r="AL88" s="80"/>
      <c r="AM88" s="80"/>
      <c r="AN88" s="81"/>
    </row>
    <row r="89" spans="1:40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>
        <v>0</v>
      </c>
      <c r="T89" s="77">
        <v>0</v>
      </c>
      <c r="U89" s="77">
        <v>0</v>
      </c>
      <c r="V89" s="77">
        <v>0</v>
      </c>
      <c r="W89" s="77">
        <v>0</v>
      </c>
      <c r="X89" s="77">
        <v>0</v>
      </c>
      <c r="Y89" s="77">
        <v>0</v>
      </c>
      <c r="Z89" s="77">
        <v>0</v>
      </c>
      <c r="AA89" s="77">
        <v>0</v>
      </c>
      <c r="AB89" s="77"/>
      <c r="AC89" s="77"/>
      <c r="AD89" s="77"/>
      <c r="AE89" s="77"/>
      <c r="AF89" s="77"/>
      <c r="AG89" s="75"/>
      <c r="AH89" s="47">
        <f t="shared" si="40"/>
        <v>0</v>
      </c>
      <c r="AI89" s="48">
        <f t="shared" si="41"/>
        <v>0</v>
      </c>
      <c r="AK89" s="82" t="s">
        <v>91</v>
      </c>
      <c r="AL89" s="65"/>
      <c r="AM89" s="76"/>
      <c r="AN89" s="83"/>
    </row>
    <row r="90" spans="1:40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>
        <v>0</v>
      </c>
      <c r="T90" s="77">
        <v>0</v>
      </c>
      <c r="U90" s="77">
        <v>0</v>
      </c>
      <c r="V90" s="77">
        <v>0</v>
      </c>
      <c r="W90" s="77">
        <v>0</v>
      </c>
      <c r="X90" s="77">
        <v>0</v>
      </c>
      <c r="Y90" s="77">
        <v>0</v>
      </c>
      <c r="Z90" s="77">
        <v>0</v>
      </c>
      <c r="AA90" s="77">
        <v>0</v>
      </c>
      <c r="AB90" s="77"/>
      <c r="AC90" s="77"/>
      <c r="AD90" s="77"/>
      <c r="AE90" s="77"/>
      <c r="AF90" s="77"/>
      <c r="AG90" s="85"/>
      <c r="AH90" s="47">
        <f t="shared" si="40"/>
        <v>0</v>
      </c>
      <c r="AI90" s="48">
        <f t="shared" si="41"/>
        <v>0</v>
      </c>
      <c r="AK90" s="82" t="s">
        <v>93</v>
      </c>
      <c r="AL90" s="76"/>
      <c r="AM90" s="76"/>
      <c r="AN90" s="83"/>
    </row>
    <row r="91" spans="1:40" ht="15.75" thickBot="1" x14ac:dyDescent="0.3">
      <c r="A91" s="84" t="s">
        <v>94</v>
      </c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>
        <v>0</v>
      </c>
      <c r="T91" s="77">
        <v>0</v>
      </c>
      <c r="U91" s="77">
        <v>0</v>
      </c>
      <c r="V91" s="77">
        <v>0</v>
      </c>
      <c r="W91" s="77">
        <v>0</v>
      </c>
      <c r="X91" s="77">
        <v>0</v>
      </c>
      <c r="Y91" s="77">
        <v>0</v>
      </c>
      <c r="Z91" s="77">
        <v>0</v>
      </c>
      <c r="AA91" s="77">
        <v>0</v>
      </c>
      <c r="AB91" s="77"/>
      <c r="AC91" s="77"/>
      <c r="AD91" s="77"/>
      <c r="AE91" s="77"/>
      <c r="AF91" s="77"/>
      <c r="AG91" s="85"/>
      <c r="AH91" s="47">
        <f t="shared" si="40"/>
        <v>0</v>
      </c>
      <c r="AI91" s="48">
        <f t="shared" si="41"/>
        <v>0</v>
      </c>
      <c r="AK91" s="86"/>
      <c r="AL91" s="45"/>
      <c r="AM91" s="45"/>
      <c r="AN91" s="87"/>
    </row>
    <row r="92" spans="1:40" ht="15.75" thickBot="1" x14ac:dyDescent="0.3">
      <c r="A92" s="74" t="s">
        <v>95</v>
      </c>
      <c r="B92" s="60">
        <f t="shared" ref="B92:C92" si="42">SUMIF(B81:B91,"&gt;0")</f>
        <v>318</v>
      </c>
      <c r="C92" s="60">
        <f t="shared" si="42"/>
        <v>345</v>
      </c>
      <c r="D92" s="60">
        <f t="shared" ref="D92:E92" si="43">SUMIF(D81:D91,"&gt;0")</f>
        <v>359.20000000000005</v>
      </c>
      <c r="E92" s="60">
        <f t="shared" si="43"/>
        <v>343</v>
      </c>
      <c r="F92" s="60">
        <f t="shared" ref="F92:G92" si="44">SUMIF(F81:F91,"&gt;0")</f>
        <v>347.5</v>
      </c>
      <c r="G92" s="60">
        <f t="shared" si="44"/>
        <v>347.90000000000003</v>
      </c>
      <c r="H92" s="60">
        <f t="shared" ref="H92:I92" si="45">SUMIF(H81:H91,"&gt;0")</f>
        <v>374.79999999999995</v>
      </c>
      <c r="I92" s="60">
        <f t="shared" si="45"/>
        <v>374.79999999999995</v>
      </c>
      <c r="J92" s="60">
        <f t="shared" ref="J92:K92" si="46">SUMIF(J81:J91,"&gt;0")</f>
        <v>443</v>
      </c>
      <c r="K92" s="60">
        <f t="shared" si="46"/>
        <v>421.4</v>
      </c>
      <c r="L92" s="60">
        <f t="shared" ref="L92" si="47">SUMIF(L81:L91,"&gt;0")</f>
        <v>379.2</v>
      </c>
      <c r="M92" s="60">
        <f t="shared" ref="M92:AE92" si="48">SUMIF(M81:M91,"&gt;0")</f>
        <v>183.8</v>
      </c>
      <c r="N92" s="60">
        <f t="shared" si="48"/>
        <v>225.5</v>
      </c>
      <c r="O92" s="60">
        <f t="shared" si="48"/>
        <v>210.9</v>
      </c>
      <c r="P92" s="60">
        <f t="shared" si="48"/>
        <v>309.5</v>
      </c>
      <c r="Q92" s="60">
        <f t="shared" si="48"/>
        <v>432.5</v>
      </c>
      <c r="R92" s="60">
        <f t="shared" si="48"/>
        <v>422</v>
      </c>
      <c r="S92" s="60">
        <f t="shared" si="48"/>
        <v>417.1</v>
      </c>
      <c r="T92" s="60">
        <f t="shared" si="48"/>
        <v>411.5</v>
      </c>
      <c r="U92" s="60">
        <f t="shared" si="48"/>
        <v>404.6</v>
      </c>
      <c r="V92" s="60">
        <f t="shared" si="48"/>
        <v>375</v>
      </c>
      <c r="W92" s="60">
        <f t="shared" si="48"/>
        <v>202</v>
      </c>
      <c r="X92" s="60">
        <f t="shared" si="48"/>
        <v>209</v>
      </c>
      <c r="Y92" s="60">
        <f t="shared" si="48"/>
        <v>222.6</v>
      </c>
      <c r="Z92" s="60">
        <f t="shared" si="48"/>
        <v>191.1</v>
      </c>
      <c r="AA92" s="60">
        <f t="shared" si="48"/>
        <v>169</v>
      </c>
      <c r="AB92" s="60">
        <f t="shared" si="48"/>
        <v>288</v>
      </c>
      <c r="AC92" s="60">
        <f t="shared" si="48"/>
        <v>329</v>
      </c>
      <c r="AD92" s="60">
        <f t="shared" si="48"/>
        <v>410.2</v>
      </c>
      <c r="AE92" s="60">
        <f t="shared" si="48"/>
        <v>354.9</v>
      </c>
      <c r="AF92" s="60">
        <f t="shared" ref="AF92" si="49">SUMIF(AF81:AF91,"&gt;0")</f>
        <v>304.60000000000002</v>
      </c>
      <c r="AG92" s="88">
        <f>SUM(AG81:AG91)</f>
        <v>0</v>
      </c>
      <c r="AH92" s="47">
        <f t="shared" si="40"/>
        <v>443</v>
      </c>
      <c r="AI92" s="48">
        <f t="shared" si="41"/>
        <v>169</v>
      </c>
      <c r="AK92" s="86"/>
      <c r="AL92" s="77"/>
      <c r="AM92" s="89"/>
      <c r="AN92" s="255"/>
    </row>
    <row r="93" spans="1:40" x14ac:dyDescent="0.25">
      <c r="A93" s="44" t="s">
        <v>96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40"/>
        <v>0</v>
      </c>
      <c r="AI93" s="48">
        <f t="shared" si="41"/>
        <v>0</v>
      </c>
      <c r="AK93" s="86"/>
      <c r="AL93" s="77"/>
      <c r="AM93" s="77"/>
      <c r="AN93" s="256"/>
    </row>
    <row r="94" spans="1:40" ht="15.75" thickBot="1" x14ac:dyDescent="0.3">
      <c r="A94" s="54" t="s">
        <v>97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40"/>
        <v>0</v>
      </c>
      <c r="AI94" s="48">
        <f t="shared" si="41"/>
        <v>0</v>
      </c>
      <c r="AK94" s="91"/>
      <c r="AL94" s="92"/>
      <c r="AM94" s="92"/>
      <c r="AN94" s="93"/>
    </row>
    <row r="95" spans="1:40" ht="15.75" thickBot="1" x14ac:dyDescent="0.3">
      <c r="A95" s="84" t="s">
        <v>98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40"/>
        <v>0</v>
      </c>
      <c r="AI95" s="48">
        <f t="shared" si="41"/>
        <v>0</v>
      </c>
    </row>
    <row r="96" spans="1:40" ht="15.75" thickBot="1" x14ac:dyDescent="0.3">
      <c r="A96" s="74" t="s">
        <v>99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>
        <v>0</v>
      </c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40"/>
        <v>0</v>
      </c>
      <c r="AI96" s="48">
        <f t="shared" si="41"/>
        <v>0</v>
      </c>
    </row>
    <row r="97" spans="1:37" ht="15.75" thickBot="1" x14ac:dyDescent="0.3">
      <c r="A97" s="74" t="s">
        <v>100</v>
      </c>
      <c r="B97" s="95">
        <f t="shared" ref="B97:C97" si="50">B58+B62+B80+B76+B92+B96</f>
        <v>1127.6399999999999</v>
      </c>
      <c r="C97" s="95">
        <f t="shared" si="50"/>
        <v>1077.6399999999999</v>
      </c>
      <c r="D97" s="95">
        <f t="shared" ref="D97:E97" si="51">D58+D62+D80+D76+D92+D96</f>
        <v>1091.8400000000001</v>
      </c>
      <c r="E97" s="95">
        <f t="shared" si="51"/>
        <v>1075.6399999999999</v>
      </c>
      <c r="F97" s="95">
        <f t="shared" ref="F97:G97" si="52">F58+F62+F80+F76+F92+F96</f>
        <v>1080.1399999999999</v>
      </c>
      <c r="G97" s="95">
        <f t="shared" si="52"/>
        <v>1191.3400000000001</v>
      </c>
      <c r="H97" s="95">
        <f t="shared" ref="H97:I97" si="53">H58+H62+H80+H76+H92+H96</f>
        <v>1282.6400000000001</v>
      </c>
      <c r="I97" s="95">
        <f t="shared" si="53"/>
        <v>1357.94</v>
      </c>
      <c r="J97" s="95">
        <f t="shared" ref="J97:K97" si="54">J58+J62+J80+J76+J92+J96</f>
        <v>1465.04</v>
      </c>
      <c r="K97" s="95">
        <f t="shared" si="54"/>
        <v>1437.74</v>
      </c>
      <c r="L97" s="95">
        <f t="shared" ref="L97" si="55">L58+L62+L80+L76+L92+L96</f>
        <v>1595.5400000000002</v>
      </c>
      <c r="M97" s="95">
        <f t="shared" ref="M97:AG97" si="56">M58+M62+M80+M76+M92+M96</f>
        <v>1483.6100000000001</v>
      </c>
      <c r="N97" s="95">
        <f t="shared" si="56"/>
        <v>1415.71</v>
      </c>
      <c r="O97" s="95">
        <f t="shared" si="56"/>
        <v>1291.74</v>
      </c>
      <c r="P97" s="95">
        <f t="shared" si="56"/>
        <v>1341.64</v>
      </c>
      <c r="Q97" s="95">
        <f t="shared" si="56"/>
        <v>1241.1400000000001</v>
      </c>
      <c r="R97" s="95">
        <f t="shared" si="56"/>
        <v>1231.44</v>
      </c>
      <c r="S97" s="95">
        <f t="shared" si="56"/>
        <v>1171.8400000000001</v>
      </c>
      <c r="T97" s="95">
        <f t="shared" si="56"/>
        <v>1147.1399999999999</v>
      </c>
      <c r="U97" s="95">
        <f t="shared" si="56"/>
        <v>1137.6399999999999</v>
      </c>
      <c r="V97" s="95">
        <f t="shared" si="56"/>
        <v>1108.8400000000001</v>
      </c>
      <c r="W97" s="95">
        <f t="shared" si="56"/>
        <v>1280.3400000000001</v>
      </c>
      <c r="X97" s="95">
        <f t="shared" si="56"/>
        <v>1488.14</v>
      </c>
      <c r="Y97" s="95">
        <f t="shared" si="56"/>
        <v>1594.64</v>
      </c>
      <c r="Z97" s="95">
        <f t="shared" si="56"/>
        <v>1576.94</v>
      </c>
      <c r="AA97" s="95">
        <f t="shared" si="56"/>
        <v>1580.14</v>
      </c>
      <c r="AB97" s="95">
        <f t="shared" si="56"/>
        <v>1541.6399999999999</v>
      </c>
      <c r="AC97" s="95">
        <f t="shared" si="56"/>
        <v>1542.54</v>
      </c>
      <c r="AD97" s="95">
        <f t="shared" si="56"/>
        <v>1385.24</v>
      </c>
      <c r="AE97" s="95">
        <f t="shared" si="56"/>
        <v>1176.8399999999999</v>
      </c>
      <c r="AF97" s="95">
        <f t="shared" ref="AF97" si="57">AF58+AF62+AF80+AF76+AF92+AF96</f>
        <v>1054.44</v>
      </c>
      <c r="AG97" s="61">
        <f t="shared" si="56"/>
        <v>2231.81</v>
      </c>
      <c r="AH97" s="47">
        <f t="shared" si="40"/>
        <v>1595.5400000000002</v>
      </c>
      <c r="AI97" s="48">
        <f t="shared" si="41"/>
        <v>1054.44</v>
      </c>
    </row>
    <row r="98" spans="1:37" ht="15.75" thickBot="1" x14ac:dyDescent="0.3">
      <c r="A98" s="96" t="s">
        <v>101</v>
      </c>
      <c r="B98" s="97">
        <v>0</v>
      </c>
      <c r="C98" s="97">
        <v>0</v>
      </c>
      <c r="D98" s="97">
        <v>0</v>
      </c>
      <c r="E98" s="97">
        <v>0</v>
      </c>
      <c r="F98" s="97">
        <v>0</v>
      </c>
      <c r="G98" s="97">
        <v>0</v>
      </c>
      <c r="H98" s="97">
        <v>0</v>
      </c>
      <c r="I98" s="97">
        <v>0</v>
      </c>
      <c r="J98" s="97">
        <v>0</v>
      </c>
      <c r="K98" s="97">
        <v>0</v>
      </c>
      <c r="L98" s="97">
        <v>80</v>
      </c>
      <c r="M98" s="97">
        <v>80</v>
      </c>
      <c r="N98" s="97">
        <v>80</v>
      </c>
      <c r="O98" s="97">
        <v>80</v>
      </c>
      <c r="P98" s="97">
        <v>0</v>
      </c>
      <c r="Q98" s="97"/>
      <c r="R98" s="97"/>
      <c r="S98" s="97"/>
      <c r="T98" s="97"/>
      <c r="U98" s="97"/>
      <c r="V98" s="97"/>
      <c r="W98" s="97"/>
      <c r="X98" s="97"/>
      <c r="Y98" s="97"/>
      <c r="Z98" s="97"/>
      <c r="AA98" s="97"/>
      <c r="AB98" s="97"/>
      <c r="AC98" s="97"/>
      <c r="AD98" s="97"/>
      <c r="AE98" s="97"/>
      <c r="AF98" s="97"/>
      <c r="AG98" s="88"/>
      <c r="AH98" s="47">
        <f t="shared" si="40"/>
        <v>80</v>
      </c>
      <c r="AI98" s="48">
        <f t="shared" si="41"/>
        <v>0</v>
      </c>
    </row>
    <row r="99" spans="1:37" ht="15.75" thickBot="1" x14ac:dyDescent="0.3">
      <c r="A99" s="74" t="s">
        <v>102</v>
      </c>
      <c r="B99" s="95">
        <f t="shared" ref="B99:C99" si="58">B97+B98</f>
        <v>1127.6399999999999</v>
      </c>
      <c r="C99" s="95">
        <f t="shared" si="58"/>
        <v>1077.6399999999999</v>
      </c>
      <c r="D99" s="95">
        <f t="shared" ref="D99:E99" si="59">D97+D98</f>
        <v>1091.8400000000001</v>
      </c>
      <c r="E99" s="95">
        <f t="shared" si="59"/>
        <v>1075.6399999999999</v>
      </c>
      <c r="F99" s="95">
        <f t="shared" ref="F99:G99" si="60">F97+F98</f>
        <v>1080.1399999999999</v>
      </c>
      <c r="G99" s="95">
        <f t="shared" si="60"/>
        <v>1191.3400000000001</v>
      </c>
      <c r="H99" s="95">
        <f t="shared" ref="H99:I99" si="61">H97+H98</f>
        <v>1282.6400000000001</v>
      </c>
      <c r="I99" s="95">
        <f t="shared" si="61"/>
        <v>1357.94</v>
      </c>
      <c r="J99" s="95">
        <f t="shared" ref="J99:K99" si="62">J97+J98</f>
        <v>1465.04</v>
      </c>
      <c r="K99" s="95">
        <f t="shared" si="62"/>
        <v>1437.74</v>
      </c>
      <c r="L99" s="95">
        <f t="shared" ref="L99" si="63">L97+L98</f>
        <v>1675.5400000000002</v>
      </c>
      <c r="M99" s="95">
        <f t="shared" ref="M99:AE99" si="64">M97+M98</f>
        <v>1563.6100000000001</v>
      </c>
      <c r="N99" s="95">
        <f t="shared" si="64"/>
        <v>1495.71</v>
      </c>
      <c r="O99" s="95">
        <f t="shared" si="64"/>
        <v>1371.74</v>
      </c>
      <c r="P99" s="95">
        <f t="shared" si="64"/>
        <v>1341.64</v>
      </c>
      <c r="Q99" s="95">
        <f t="shared" si="64"/>
        <v>1241.1400000000001</v>
      </c>
      <c r="R99" s="95">
        <f t="shared" si="64"/>
        <v>1231.44</v>
      </c>
      <c r="S99" s="95">
        <f t="shared" si="64"/>
        <v>1171.8400000000001</v>
      </c>
      <c r="T99" s="95">
        <f t="shared" si="64"/>
        <v>1147.1399999999999</v>
      </c>
      <c r="U99" s="95">
        <f t="shared" si="64"/>
        <v>1137.6399999999999</v>
      </c>
      <c r="V99" s="95">
        <f t="shared" si="64"/>
        <v>1108.8400000000001</v>
      </c>
      <c r="W99" s="95">
        <f t="shared" si="64"/>
        <v>1280.3400000000001</v>
      </c>
      <c r="X99" s="95">
        <f t="shared" si="64"/>
        <v>1488.14</v>
      </c>
      <c r="Y99" s="95">
        <f t="shared" si="64"/>
        <v>1594.64</v>
      </c>
      <c r="Z99" s="95">
        <f t="shared" si="64"/>
        <v>1576.94</v>
      </c>
      <c r="AA99" s="95">
        <f t="shared" si="64"/>
        <v>1580.14</v>
      </c>
      <c r="AB99" s="95">
        <f t="shared" si="64"/>
        <v>1541.6399999999999</v>
      </c>
      <c r="AC99" s="95">
        <f t="shared" si="64"/>
        <v>1542.54</v>
      </c>
      <c r="AD99" s="95">
        <f t="shared" si="64"/>
        <v>1385.24</v>
      </c>
      <c r="AE99" s="95">
        <f t="shared" si="64"/>
        <v>1176.8399999999999</v>
      </c>
      <c r="AF99" s="95">
        <f t="shared" ref="AF99" si="65">AF97+AF98</f>
        <v>1054.44</v>
      </c>
      <c r="AG99" s="88">
        <f>AG96+AG92+AG80+AG76+AG58+AG98</f>
        <v>1693.71</v>
      </c>
      <c r="AH99" s="47">
        <f t="shared" si="40"/>
        <v>1675.5400000000002</v>
      </c>
      <c r="AI99" s="48">
        <f t="shared" si="41"/>
        <v>1054.44</v>
      </c>
    </row>
    <row r="100" spans="1:37" ht="15.75" thickBot="1" x14ac:dyDescent="0.3">
      <c r="A100" s="74" t="s">
        <v>103</v>
      </c>
      <c r="B100" s="95">
        <f t="shared" ref="B100:C100" si="66">B99-(B107)</f>
        <v>1122.6399999999999</v>
      </c>
      <c r="C100" s="95">
        <f t="shared" si="66"/>
        <v>1071.6399999999999</v>
      </c>
      <c r="D100" s="95">
        <f t="shared" ref="D100:E100" si="67">D99-(D107)</f>
        <v>1084.8400000000001</v>
      </c>
      <c r="E100" s="95">
        <f t="shared" si="67"/>
        <v>1067.6399999999999</v>
      </c>
      <c r="F100" s="95">
        <f t="shared" ref="F100:G100" si="68">F99-(F107)</f>
        <v>1071.1399999999999</v>
      </c>
      <c r="G100" s="95">
        <f t="shared" si="68"/>
        <v>1181.3400000000001</v>
      </c>
      <c r="H100" s="95">
        <f t="shared" ref="H100:I100" si="69">H99-(H107)</f>
        <v>1271.6400000000001</v>
      </c>
      <c r="I100" s="95">
        <f t="shared" si="69"/>
        <v>1345.94</v>
      </c>
      <c r="J100" s="95">
        <f t="shared" ref="J100:K100" si="70">J99-(J107)</f>
        <v>1452.04</v>
      </c>
      <c r="K100" s="95">
        <f t="shared" si="70"/>
        <v>1423.74</v>
      </c>
      <c r="L100" s="95">
        <f t="shared" ref="L100" si="71">L99-(L107)</f>
        <v>1660.5400000000002</v>
      </c>
      <c r="M100" s="95">
        <f t="shared" ref="M100" si="72">M99-(M107)</f>
        <v>1563.6100000000001</v>
      </c>
      <c r="N100" s="95">
        <f>N99-(N107)</f>
        <v>1495.71</v>
      </c>
      <c r="O100" s="95">
        <f t="shared" ref="O100:AE100" si="73">O99-(O107)</f>
        <v>1371.74</v>
      </c>
      <c r="P100" s="95">
        <f t="shared" si="73"/>
        <v>1341.64</v>
      </c>
      <c r="Q100" s="95">
        <f t="shared" si="73"/>
        <v>1241.1400000000001</v>
      </c>
      <c r="R100" s="95">
        <f t="shared" si="73"/>
        <v>1231.44</v>
      </c>
      <c r="S100" s="95">
        <f t="shared" si="73"/>
        <v>1171.8400000000001</v>
      </c>
      <c r="T100" s="95">
        <f t="shared" si="73"/>
        <v>1147.1399999999999</v>
      </c>
      <c r="U100" s="95">
        <f t="shared" si="73"/>
        <v>1137.6399999999999</v>
      </c>
      <c r="V100" s="95">
        <f t="shared" si="73"/>
        <v>1108.8400000000001</v>
      </c>
      <c r="W100" s="95">
        <f t="shared" si="73"/>
        <v>1280.3400000000001</v>
      </c>
      <c r="X100" s="95">
        <f t="shared" si="73"/>
        <v>1488.14</v>
      </c>
      <c r="Y100" s="95">
        <f t="shared" si="73"/>
        <v>1594.64</v>
      </c>
      <c r="Z100" s="95">
        <f t="shared" si="73"/>
        <v>1576.94</v>
      </c>
      <c r="AA100" s="95">
        <f t="shared" si="73"/>
        <v>1580.14</v>
      </c>
      <c r="AB100" s="95">
        <f t="shared" si="73"/>
        <v>1541.6399999999999</v>
      </c>
      <c r="AC100" s="95">
        <f t="shared" si="73"/>
        <v>1542.54</v>
      </c>
      <c r="AD100" s="95">
        <f t="shared" si="73"/>
        <v>1385.24</v>
      </c>
      <c r="AE100" s="95">
        <f t="shared" si="73"/>
        <v>1176.8399999999999</v>
      </c>
      <c r="AF100" s="95">
        <f t="shared" ref="AF100" si="74">AF99-(AF107)</f>
        <v>1053.44</v>
      </c>
      <c r="AG100" s="88"/>
      <c r="AH100" s="47">
        <f t="shared" si="40"/>
        <v>1660.5400000000002</v>
      </c>
      <c r="AI100" s="48">
        <f t="shared" si="41"/>
        <v>1053.44</v>
      </c>
    </row>
    <row r="101" spans="1:37" x14ac:dyDescent="0.25">
      <c r="A101" s="44" t="s">
        <v>84</v>
      </c>
      <c r="B101" s="76">
        <f t="shared" ref="B101:C101" si="75">IF(B84&lt;0,B84*-1,0)</f>
        <v>0</v>
      </c>
      <c r="C101" s="76">
        <f t="shared" si="75"/>
        <v>0</v>
      </c>
      <c r="D101" s="76">
        <f t="shared" ref="D101:E101" si="76">IF(D84&lt;0,D84*-1,0)</f>
        <v>0</v>
      </c>
      <c r="E101" s="76">
        <f t="shared" si="76"/>
        <v>0</v>
      </c>
      <c r="F101" s="76">
        <f t="shared" ref="F101:G101" si="77">IF(F84&lt;0,F84*-1,0)</f>
        <v>0</v>
      </c>
      <c r="G101" s="76">
        <f t="shared" si="77"/>
        <v>0</v>
      </c>
      <c r="H101" s="76">
        <f t="shared" ref="H101:I101" si="78">IF(H84&lt;0,H84*-1,0)</f>
        <v>0</v>
      </c>
      <c r="I101" s="76">
        <f t="shared" si="78"/>
        <v>0</v>
      </c>
      <c r="J101" s="76">
        <f t="shared" ref="J101:K101" si="79">IF(J84&lt;0,J84*-1,0)</f>
        <v>0</v>
      </c>
      <c r="K101" s="76">
        <f t="shared" si="79"/>
        <v>0</v>
      </c>
      <c r="L101" s="76">
        <f t="shared" ref="L101" si="80">IF(L84&lt;0,L84*-1,0)</f>
        <v>0</v>
      </c>
      <c r="M101" s="76">
        <f t="shared" ref="M101:AE101" si="81">IF(M84&lt;0,M84*-1,0)</f>
        <v>0</v>
      </c>
      <c r="N101" s="76">
        <f t="shared" si="81"/>
        <v>0</v>
      </c>
      <c r="O101" s="76">
        <f t="shared" si="81"/>
        <v>0</v>
      </c>
      <c r="P101" s="76">
        <f t="shared" si="81"/>
        <v>0</v>
      </c>
      <c r="Q101" s="76">
        <f t="shared" si="81"/>
        <v>0</v>
      </c>
      <c r="R101" s="76">
        <f t="shared" si="81"/>
        <v>0</v>
      </c>
      <c r="S101" s="76">
        <f t="shared" si="81"/>
        <v>0</v>
      </c>
      <c r="T101" s="76">
        <f t="shared" si="81"/>
        <v>0</v>
      </c>
      <c r="U101" s="76">
        <f t="shared" si="81"/>
        <v>0</v>
      </c>
      <c r="V101" s="76">
        <f t="shared" si="81"/>
        <v>0</v>
      </c>
      <c r="W101" s="76">
        <f t="shared" si="81"/>
        <v>0</v>
      </c>
      <c r="X101" s="76">
        <f t="shared" si="81"/>
        <v>0</v>
      </c>
      <c r="Y101" s="76">
        <f t="shared" si="81"/>
        <v>0</v>
      </c>
      <c r="Z101" s="76">
        <f t="shared" si="81"/>
        <v>0</v>
      </c>
      <c r="AA101" s="76">
        <f t="shared" si="81"/>
        <v>0</v>
      </c>
      <c r="AB101" s="76">
        <f t="shared" si="81"/>
        <v>0</v>
      </c>
      <c r="AC101" s="76">
        <f t="shared" si="81"/>
        <v>0</v>
      </c>
      <c r="AD101" s="76">
        <f t="shared" si="81"/>
        <v>0</v>
      </c>
      <c r="AE101" s="76">
        <f t="shared" si="81"/>
        <v>0</v>
      </c>
      <c r="AF101" s="76">
        <f t="shared" ref="AF101" si="82">IF(AF84&lt;0,AF84*-1,0)</f>
        <v>0</v>
      </c>
      <c r="AG101" s="52"/>
      <c r="AH101" s="47">
        <f t="shared" si="40"/>
        <v>0</v>
      </c>
      <c r="AI101" s="48">
        <f t="shared" si="41"/>
        <v>0</v>
      </c>
    </row>
    <row r="102" spans="1:37" x14ac:dyDescent="0.25">
      <c r="A102" s="54" t="s">
        <v>82</v>
      </c>
      <c r="B102" s="76">
        <f t="shared" ref="B102:C102" si="83">IF(B82&lt;0,B82*-1,0)</f>
        <v>0</v>
      </c>
      <c r="C102" s="76">
        <f t="shared" si="83"/>
        <v>0</v>
      </c>
      <c r="D102" s="76">
        <f t="shared" ref="D102:E102" si="84">IF(D82&lt;0,D82*-1,0)</f>
        <v>0</v>
      </c>
      <c r="E102" s="76">
        <f t="shared" si="84"/>
        <v>0</v>
      </c>
      <c r="F102" s="76">
        <f t="shared" ref="F102:G102" si="85">IF(F82&lt;0,F82*-1,0)</f>
        <v>0</v>
      </c>
      <c r="G102" s="76">
        <f t="shared" si="85"/>
        <v>0</v>
      </c>
      <c r="H102" s="76">
        <f t="shared" ref="H102:I102" si="86">IF(H82&lt;0,H82*-1,0)</f>
        <v>0</v>
      </c>
      <c r="I102" s="76">
        <f t="shared" si="86"/>
        <v>0</v>
      </c>
      <c r="J102" s="76">
        <f t="shared" ref="J102:K102" si="87">IF(J82&lt;0,J82*-1,0)</f>
        <v>0</v>
      </c>
      <c r="K102" s="76">
        <f t="shared" si="87"/>
        <v>0</v>
      </c>
      <c r="L102" s="76">
        <f t="shared" ref="L102" si="88">IF(L82&lt;0,L82*-1,0)</f>
        <v>0</v>
      </c>
      <c r="M102" s="76">
        <f t="shared" ref="M102:AE102" si="89">IF(M82&lt;0,M82*-1,0)</f>
        <v>0</v>
      </c>
      <c r="N102" s="76">
        <f t="shared" si="89"/>
        <v>0</v>
      </c>
      <c r="O102" s="76">
        <f t="shared" si="89"/>
        <v>0</v>
      </c>
      <c r="P102" s="76">
        <f t="shared" si="89"/>
        <v>0</v>
      </c>
      <c r="Q102" s="76">
        <f t="shared" si="89"/>
        <v>0</v>
      </c>
      <c r="R102" s="76">
        <f t="shared" si="89"/>
        <v>0</v>
      </c>
      <c r="S102" s="76">
        <f t="shared" si="89"/>
        <v>0</v>
      </c>
      <c r="T102" s="76">
        <f t="shared" si="89"/>
        <v>0</v>
      </c>
      <c r="U102" s="76">
        <f t="shared" si="89"/>
        <v>0</v>
      </c>
      <c r="V102" s="76">
        <f t="shared" si="89"/>
        <v>0</v>
      </c>
      <c r="W102" s="76">
        <f t="shared" si="89"/>
        <v>0</v>
      </c>
      <c r="X102" s="76">
        <f t="shared" si="89"/>
        <v>0</v>
      </c>
      <c r="Y102" s="76">
        <f t="shared" si="89"/>
        <v>0</v>
      </c>
      <c r="Z102" s="76">
        <f t="shared" si="89"/>
        <v>0</v>
      </c>
      <c r="AA102" s="76">
        <f t="shared" si="89"/>
        <v>0</v>
      </c>
      <c r="AB102" s="76">
        <f t="shared" si="89"/>
        <v>0</v>
      </c>
      <c r="AC102" s="76">
        <f t="shared" si="89"/>
        <v>0</v>
      </c>
      <c r="AD102" s="76">
        <f t="shared" si="89"/>
        <v>0</v>
      </c>
      <c r="AE102" s="76">
        <f t="shared" si="89"/>
        <v>0</v>
      </c>
      <c r="AF102" s="76">
        <f t="shared" ref="AF102" si="90">IF(AF82&lt;0,AF82*-1,0)</f>
        <v>0</v>
      </c>
      <c r="AG102" s="55"/>
      <c r="AH102" s="47">
        <f t="shared" si="40"/>
        <v>0</v>
      </c>
      <c r="AI102" s="48">
        <f t="shared" si="41"/>
        <v>0</v>
      </c>
    </row>
    <row r="103" spans="1:37" x14ac:dyDescent="0.25">
      <c r="A103" s="84" t="s">
        <v>104</v>
      </c>
      <c r="B103" s="76">
        <f t="shared" ref="B103:C103" si="91">IF(B85&lt;0,B85*-1,0)</f>
        <v>0</v>
      </c>
      <c r="C103" s="76">
        <f t="shared" si="91"/>
        <v>0</v>
      </c>
      <c r="D103" s="76">
        <f t="shared" ref="D103:E103" si="92">IF(D85&lt;0,D85*-1,0)</f>
        <v>0</v>
      </c>
      <c r="E103" s="76">
        <f t="shared" si="92"/>
        <v>0</v>
      </c>
      <c r="F103" s="76">
        <f t="shared" ref="F103:G103" si="93">IF(F85&lt;0,F85*-1,0)</f>
        <v>0</v>
      </c>
      <c r="G103" s="76">
        <f t="shared" si="93"/>
        <v>0</v>
      </c>
      <c r="H103" s="76">
        <f t="shared" ref="H103:I103" si="94">IF(H85&lt;0,H85*-1,0)</f>
        <v>0</v>
      </c>
      <c r="I103" s="76">
        <f t="shared" si="94"/>
        <v>0</v>
      </c>
      <c r="J103" s="76">
        <f t="shared" ref="J103:K103" si="95">IF(J85&lt;0,J85*-1,0)</f>
        <v>0</v>
      </c>
      <c r="K103" s="76">
        <f t="shared" si="95"/>
        <v>0</v>
      </c>
      <c r="L103" s="76">
        <f t="shared" ref="L103" si="96">IF(L85&lt;0,L85*-1,0)</f>
        <v>0</v>
      </c>
      <c r="M103" s="76">
        <f t="shared" ref="M103:AE103" si="97">IF(M85&lt;0,M85*-1,0)</f>
        <v>0</v>
      </c>
      <c r="N103" s="76">
        <f t="shared" si="97"/>
        <v>0</v>
      </c>
      <c r="O103" s="76">
        <f t="shared" si="97"/>
        <v>0</v>
      </c>
      <c r="P103" s="76">
        <f t="shared" si="97"/>
        <v>0</v>
      </c>
      <c r="Q103" s="76">
        <f t="shared" si="97"/>
        <v>0</v>
      </c>
      <c r="R103" s="76">
        <f t="shared" si="97"/>
        <v>0</v>
      </c>
      <c r="S103" s="76">
        <f t="shared" si="97"/>
        <v>0</v>
      </c>
      <c r="T103" s="76">
        <f t="shared" si="97"/>
        <v>0</v>
      </c>
      <c r="U103" s="76">
        <f t="shared" si="97"/>
        <v>0</v>
      </c>
      <c r="V103" s="76">
        <f t="shared" si="97"/>
        <v>0</v>
      </c>
      <c r="W103" s="76">
        <f t="shared" si="97"/>
        <v>0</v>
      </c>
      <c r="X103" s="76">
        <f t="shared" si="97"/>
        <v>0</v>
      </c>
      <c r="Y103" s="76">
        <f t="shared" si="97"/>
        <v>0</v>
      </c>
      <c r="Z103" s="76">
        <f t="shared" si="97"/>
        <v>0</v>
      </c>
      <c r="AA103" s="76">
        <f t="shared" si="97"/>
        <v>0</v>
      </c>
      <c r="AB103" s="76">
        <f t="shared" si="97"/>
        <v>0</v>
      </c>
      <c r="AC103" s="76">
        <f t="shared" si="97"/>
        <v>0</v>
      </c>
      <c r="AD103" s="76">
        <f t="shared" si="97"/>
        <v>0</v>
      </c>
      <c r="AE103" s="76">
        <f t="shared" si="97"/>
        <v>0</v>
      </c>
      <c r="AF103" s="76">
        <f t="shared" ref="AF103" si="98">IF(AF85&lt;0,AF85*-1,0)</f>
        <v>0</v>
      </c>
      <c r="AG103" s="98"/>
      <c r="AH103" s="47">
        <f t="shared" si="40"/>
        <v>0</v>
      </c>
      <c r="AI103" s="48">
        <f t="shared" si="41"/>
        <v>0</v>
      </c>
    </row>
    <row r="104" spans="1:37" x14ac:dyDescent="0.25">
      <c r="A104" s="84" t="s">
        <v>105</v>
      </c>
      <c r="B104" s="76">
        <f t="shared" ref="B104:C104" si="99">IF(B83&lt;0,B83*-1,0)</f>
        <v>0</v>
      </c>
      <c r="C104" s="76">
        <f t="shared" si="99"/>
        <v>0</v>
      </c>
      <c r="D104" s="76">
        <f t="shared" ref="D104:E104" si="100">IF(D83&lt;0,D83*-1,0)</f>
        <v>0</v>
      </c>
      <c r="E104" s="76">
        <f t="shared" si="100"/>
        <v>0</v>
      </c>
      <c r="F104" s="76">
        <f t="shared" ref="F104:G104" si="101">IF(F83&lt;0,F83*-1,0)</f>
        <v>0</v>
      </c>
      <c r="G104" s="76">
        <f t="shared" si="101"/>
        <v>0</v>
      </c>
      <c r="H104" s="76">
        <f t="shared" ref="H104:I104" si="102">IF(H83&lt;0,H83*-1,0)</f>
        <v>0</v>
      </c>
      <c r="I104" s="76">
        <f t="shared" si="102"/>
        <v>0</v>
      </c>
      <c r="J104" s="76">
        <f t="shared" ref="J104:K104" si="103">IF(J83&lt;0,J83*-1,0)</f>
        <v>0</v>
      </c>
      <c r="K104" s="76">
        <f t="shared" si="103"/>
        <v>0</v>
      </c>
      <c r="L104" s="76">
        <f t="shared" ref="L104" si="104">IF(L83&lt;0,L83*-1,0)</f>
        <v>0</v>
      </c>
      <c r="M104" s="76">
        <f t="shared" ref="M104:AE104" si="105">IF(M83&lt;0,M83*-1,0)</f>
        <v>0</v>
      </c>
      <c r="N104" s="76">
        <f t="shared" si="105"/>
        <v>0</v>
      </c>
      <c r="O104" s="76">
        <f t="shared" si="105"/>
        <v>0</v>
      </c>
      <c r="P104" s="76">
        <f t="shared" si="105"/>
        <v>0</v>
      </c>
      <c r="Q104" s="76">
        <f t="shared" si="105"/>
        <v>0</v>
      </c>
      <c r="R104" s="76">
        <f t="shared" si="105"/>
        <v>0</v>
      </c>
      <c r="S104" s="76">
        <f t="shared" si="105"/>
        <v>0</v>
      </c>
      <c r="T104" s="76">
        <f t="shared" si="105"/>
        <v>0</v>
      </c>
      <c r="U104" s="76">
        <f t="shared" si="105"/>
        <v>0</v>
      </c>
      <c r="V104" s="76">
        <f t="shared" si="105"/>
        <v>0</v>
      </c>
      <c r="W104" s="76">
        <f t="shared" si="105"/>
        <v>0</v>
      </c>
      <c r="X104" s="76">
        <f t="shared" si="105"/>
        <v>0</v>
      </c>
      <c r="Y104" s="76">
        <f t="shared" si="105"/>
        <v>0</v>
      </c>
      <c r="Z104" s="76">
        <f t="shared" si="105"/>
        <v>0</v>
      </c>
      <c r="AA104" s="76">
        <f t="shared" si="105"/>
        <v>0</v>
      </c>
      <c r="AB104" s="76">
        <f t="shared" si="105"/>
        <v>0</v>
      </c>
      <c r="AC104" s="76">
        <f t="shared" si="105"/>
        <v>0</v>
      </c>
      <c r="AD104" s="76">
        <f t="shared" si="105"/>
        <v>0</v>
      </c>
      <c r="AE104" s="76">
        <f t="shared" si="105"/>
        <v>0</v>
      </c>
      <c r="AF104" s="76">
        <f t="shared" ref="AF104" si="106">IF(AF83&lt;0,AF83*-1,0)</f>
        <v>0</v>
      </c>
      <c r="AG104" s="98"/>
      <c r="AH104" s="47">
        <f t="shared" si="40"/>
        <v>0</v>
      </c>
      <c r="AI104" s="48">
        <f t="shared" si="41"/>
        <v>0</v>
      </c>
    </row>
    <row r="105" spans="1:37" x14ac:dyDescent="0.25">
      <c r="A105" s="84" t="s">
        <v>81</v>
      </c>
      <c r="B105" s="76">
        <f t="shared" ref="B105:C105" si="107">IF(B81&lt;0,B81*-1,0)</f>
        <v>0</v>
      </c>
      <c r="C105" s="76">
        <f t="shared" si="107"/>
        <v>0</v>
      </c>
      <c r="D105" s="76">
        <f t="shared" ref="D105:E105" si="108">IF(D81&lt;0,D81*-1,0)</f>
        <v>0</v>
      </c>
      <c r="E105" s="76">
        <f t="shared" si="108"/>
        <v>0</v>
      </c>
      <c r="F105" s="76">
        <f t="shared" ref="F105:G105" si="109">IF(F81&lt;0,F81*-1,0)</f>
        <v>0</v>
      </c>
      <c r="G105" s="76">
        <f t="shared" si="109"/>
        <v>0</v>
      </c>
      <c r="H105" s="76">
        <f t="shared" ref="H105:I105" si="110">IF(H81&lt;0,H81*-1,0)</f>
        <v>0</v>
      </c>
      <c r="I105" s="76">
        <f t="shared" si="110"/>
        <v>0</v>
      </c>
      <c r="J105" s="76">
        <f t="shared" ref="J105:K105" si="111">IF(J81&lt;0,J81*-1,0)</f>
        <v>0</v>
      </c>
      <c r="K105" s="76">
        <f t="shared" si="111"/>
        <v>0</v>
      </c>
      <c r="L105" s="76">
        <f t="shared" ref="L105" si="112">IF(L81&lt;0,L81*-1,0)</f>
        <v>0</v>
      </c>
      <c r="M105" s="76">
        <f t="shared" ref="M105:AE105" si="113">IF(M81&lt;0,M81*-1,0)</f>
        <v>0</v>
      </c>
      <c r="N105" s="76">
        <f t="shared" si="113"/>
        <v>0</v>
      </c>
      <c r="O105" s="76">
        <f t="shared" si="113"/>
        <v>0</v>
      </c>
      <c r="P105" s="76">
        <f t="shared" si="113"/>
        <v>0</v>
      </c>
      <c r="Q105" s="76">
        <f t="shared" si="113"/>
        <v>0</v>
      </c>
      <c r="R105" s="76">
        <f t="shared" si="113"/>
        <v>0</v>
      </c>
      <c r="S105" s="76">
        <f t="shared" si="113"/>
        <v>0</v>
      </c>
      <c r="T105" s="76">
        <f t="shared" si="113"/>
        <v>0</v>
      </c>
      <c r="U105" s="76">
        <f t="shared" si="113"/>
        <v>0</v>
      </c>
      <c r="V105" s="76">
        <f t="shared" si="113"/>
        <v>0</v>
      </c>
      <c r="W105" s="76">
        <f t="shared" si="113"/>
        <v>0</v>
      </c>
      <c r="X105" s="76">
        <f t="shared" si="113"/>
        <v>0</v>
      </c>
      <c r="Y105" s="76">
        <f t="shared" si="113"/>
        <v>0</v>
      </c>
      <c r="Z105" s="76">
        <f t="shared" si="113"/>
        <v>0</v>
      </c>
      <c r="AA105" s="76">
        <f t="shared" si="113"/>
        <v>0</v>
      </c>
      <c r="AB105" s="76">
        <f t="shared" si="113"/>
        <v>0</v>
      </c>
      <c r="AC105" s="76">
        <f t="shared" si="113"/>
        <v>0</v>
      </c>
      <c r="AD105" s="76">
        <f t="shared" si="113"/>
        <v>0</v>
      </c>
      <c r="AE105" s="76">
        <f t="shared" si="113"/>
        <v>0</v>
      </c>
      <c r="AF105" s="76">
        <f t="shared" ref="AF105" si="114">IF(AF81&lt;0,AF81*-1,0)</f>
        <v>0</v>
      </c>
      <c r="AG105" s="98"/>
      <c r="AH105" s="47">
        <f t="shared" si="40"/>
        <v>0</v>
      </c>
      <c r="AI105" s="48">
        <f t="shared" si="41"/>
        <v>0</v>
      </c>
    </row>
    <row r="106" spans="1:37" ht="15.75" thickBot="1" x14ac:dyDescent="0.3">
      <c r="A106" s="84" t="s">
        <v>106</v>
      </c>
      <c r="B106" s="94">
        <v>5</v>
      </c>
      <c r="C106" s="94">
        <v>6</v>
      </c>
      <c r="D106" s="94">
        <v>7</v>
      </c>
      <c r="E106" s="94">
        <v>8</v>
      </c>
      <c r="F106" s="94">
        <v>9</v>
      </c>
      <c r="G106" s="94">
        <v>10</v>
      </c>
      <c r="H106" s="94">
        <v>11</v>
      </c>
      <c r="I106" s="94">
        <v>12</v>
      </c>
      <c r="J106" s="94">
        <v>13</v>
      </c>
      <c r="K106" s="94">
        <v>14</v>
      </c>
      <c r="L106" s="94">
        <v>15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0</v>
      </c>
      <c r="AB106" s="94">
        <v>0</v>
      </c>
      <c r="AC106" s="94">
        <v>0</v>
      </c>
      <c r="AD106" s="94">
        <v>0</v>
      </c>
      <c r="AE106" s="94">
        <v>0</v>
      </c>
      <c r="AF106" s="94">
        <v>1</v>
      </c>
      <c r="AG106" s="85"/>
      <c r="AH106" s="47">
        <f t="shared" si="40"/>
        <v>15</v>
      </c>
      <c r="AI106" s="48">
        <f t="shared" si="41"/>
        <v>0</v>
      </c>
    </row>
    <row r="107" spans="1:37" ht="15.75" thickBot="1" x14ac:dyDescent="0.3">
      <c r="A107" s="99" t="s">
        <v>107</v>
      </c>
      <c r="B107" s="60">
        <f t="shared" ref="B107:C107" si="115">SUM(B101:B106)</f>
        <v>5</v>
      </c>
      <c r="C107" s="60">
        <f t="shared" si="115"/>
        <v>6</v>
      </c>
      <c r="D107" s="60">
        <f t="shared" ref="D107:E107" si="116">SUM(D101:D106)</f>
        <v>7</v>
      </c>
      <c r="E107" s="60">
        <f t="shared" si="116"/>
        <v>8</v>
      </c>
      <c r="F107" s="60">
        <f t="shared" ref="F107:G107" si="117">SUM(F101:F106)</f>
        <v>9</v>
      </c>
      <c r="G107" s="60">
        <f t="shared" si="117"/>
        <v>10</v>
      </c>
      <c r="H107" s="60">
        <f t="shared" ref="H107:I107" si="118">SUM(H101:H106)</f>
        <v>11</v>
      </c>
      <c r="I107" s="60">
        <f t="shared" si="118"/>
        <v>12</v>
      </c>
      <c r="J107" s="60">
        <f t="shared" ref="J107:K107" si="119">SUM(J101:J106)</f>
        <v>13</v>
      </c>
      <c r="K107" s="60">
        <f t="shared" si="119"/>
        <v>14</v>
      </c>
      <c r="L107" s="60">
        <f t="shared" ref="L107" si="120">SUM(L101:L106)</f>
        <v>15</v>
      </c>
      <c r="M107" s="60">
        <f t="shared" ref="M107:AE107" si="121">SUM(M101:M106)</f>
        <v>0</v>
      </c>
      <c r="N107" s="60">
        <f t="shared" si="121"/>
        <v>0</v>
      </c>
      <c r="O107" s="60">
        <f t="shared" si="121"/>
        <v>0</v>
      </c>
      <c r="P107" s="60">
        <f t="shared" si="121"/>
        <v>0</v>
      </c>
      <c r="Q107" s="60">
        <f t="shared" si="121"/>
        <v>0</v>
      </c>
      <c r="R107" s="60">
        <f t="shared" si="121"/>
        <v>0</v>
      </c>
      <c r="S107" s="60">
        <f t="shared" si="121"/>
        <v>0</v>
      </c>
      <c r="T107" s="60">
        <f t="shared" si="121"/>
        <v>0</v>
      </c>
      <c r="U107" s="60">
        <f t="shared" si="121"/>
        <v>0</v>
      </c>
      <c r="V107" s="60">
        <f t="shared" si="121"/>
        <v>0</v>
      </c>
      <c r="W107" s="60">
        <f t="shared" si="121"/>
        <v>0</v>
      </c>
      <c r="X107" s="60">
        <f t="shared" si="121"/>
        <v>0</v>
      </c>
      <c r="Y107" s="60">
        <f t="shared" si="121"/>
        <v>0</v>
      </c>
      <c r="Z107" s="60">
        <f t="shared" si="121"/>
        <v>0</v>
      </c>
      <c r="AA107" s="60">
        <f t="shared" si="121"/>
        <v>0</v>
      </c>
      <c r="AB107" s="60">
        <f t="shared" si="121"/>
        <v>0</v>
      </c>
      <c r="AC107" s="60">
        <f t="shared" si="121"/>
        <v>0</v>
      </c>
      <c r="AD107" s="60">
        <f t="shared" si="121"/>
        <v>0</v>
      </c>
      <c r="AE107" s="60">
        <f t="shared" si="121"/>
        <v>0</v>
      </c>
      <c r="AF107" s="60">
        <f t="shared" ref="AF107" si="122">SUM(AF101:AF106)</f>
        <v>1</v>
      </c>
      <c r="AG107" s="88"/>
      <c r="AH107" s="47">
        <f t="shared" si="40"/>
        <v>15</v>
      </c>
      <c r="AI107" s="48">
        <f t="shared" si="41"/>
        <v>0</v>
      </c>
      <c r="AK107" s="50"/>
    </row>
    <row r="108" spans="1:37" ht="15.75" thickBot="1" x14ac:dyDescent="0.3">
      <c r="A108" s="74" t="s">
        <v>108</v>
      </c>
      <c r="B108" s="60">
        <f t="shared" ref="B108:C108" si="123">B92-B107</f>
        <v>313</v>
      </c>
      <c r="C108" s="60">
        <f t="shared" si="123"/>
        <v>339</v>
      </c>
      <c r="D108" s="60">
        <f t="shared" ref="D108:E108" si="124">D92-D107</f>
        <v>352.20000000000005</v>
      </c>
      <c r="E108" s="60">
        <f t="shared" si="124"/>
        <v>335</v>
      </c>
      <c r="F108" s="60">
        <f t="shared" ref="F108:G108" si="125">F92-F107</f>
        <v>338.5</v>
      </c>
      <c r="G108" s="60">
        <f t="shared" si="125"/>
        <v>337.90000000000003</v>
      </c>
      <c r="H108" s="60">
        <f t="shared" ref="H108:I108" si="126">H92-H107</f>
        <v>363.79999999999995</v>
      </c>
      <c r="I108" s="60">
        <f t="shared" si="126"/>
        <v>362.79999999999995</v>
      </c>
      <c r="J108" s="60">
        <f t="shared" ref="J108:K108" si="127">J92-J107</f>
        <v>430</v>
      </c>
      <c r="K108" s="60">
        <f t="shared" si="127"/>
        <v>407.4</v>
      </c>
      <c r="L108" s="60">
        <f t="shared" ref="L108" si="128">L92-L107</f>
        <v>364.2</v>
      </c>
      <c r="M108" s="60">
        <f t="shared" ref="M108:AE108" si="129">M92-M107</f>
        <v>183.8</v>
      </c>
      <c r="N108" s="60">
        <f t="shared" si="129"/>
        <v>225.5</v>
      </c>
      <c r="O108" s="60">
        <f t="shared" si="129"/>
        <v>210.9</v>
      </c>
      <c r="P108" s="60">
        <f t="shared" si="129"/>
        <v>309.5</v>
      </c>
      <c r="Q108" s="60">
        <f t="shared" si="129"/>
        <v>432.5</v>
      </c>
      <c r="R108" s="60">
        <f t="shared" si="129"/>
        <v>422</v>
      </c>
      <c r="S108" s="60">
        <f t="shared" si="129"/>
        <v>417.1</v>
      </c>
      <c r="T108" s="60">
        <f t="shared" si="129"/>
        <v>411.5</v>
      </c>
      <c r="U108" s="60">
        <f t="shared" si="129"/>
        <v>404.6</v>
      </c>
      <c r="V108" s="60">
        <f t="shared" si="129"/>
        <v>375</v>
      </c>
      <c r="W108" s="60">
        <f t="shared" si="129"/>
        <v>202</v>
      </c>
      <c r="X108" s="60">
        <f t="shared" si="129"/>
        <v>209</v>
      </c>
      <c r="Y108" s="60">
        <f t="shared" si="129"/>
        <v>222.6</v>
      </c>
      <c r="Z108" s="60">
        <f t="shared" si="129"/>
        <v>191.1</v>
      </c>
      <c r="AA108" s="60">
        <f t="shared" si="129"/>
        <v>169</v>
      </c>
      <c r="AB108" s="60">
        <f t="shared" si="129"/>
        <v>288</v>
      </c>
      <c r="AC108" s="60">
        <f t="shared" si="129"/>
        <v>329</v>
      </c>
      <c r="AD108" s="60">
        <f t="shared" si="129"/>
        <v>410.2</v>
      </c>
      <c r="AE108" s="60">
        <f t="shared" si="129"/>
        <v>354.9</v>
      </c>
      <c r="AF108" s="60">
        <f t="shared" ref="AF108" si="130">AF92-AF107</f>
        <v>303.60000000000002</v>
      </c>
      <c r="AG108" s="88"/>
      <c r="AH108" s="47">
        <f t="shared" si="40"/>
        <v>432.5</v>
      </c>
      <c r="AI108" s="48">
        <f t="shared" si="41"/>
        <v>169</v>
      </c>
    </row>
    <row r="109" spans="1:37" x14ac:dyDescent="0.25">
      <c r="A109" s="100" t="s">
        <v>109</v>
      </c>
      <c r="B109" s="101">
        <v>50.05</v>
      </c>
      <c r="C109" s="101">
        <v>49.97</v>
      </c>
      <c r="D109" s="101">
        <v>50</v>
      </c>
      <c r="E109" s="101">
        <v>49.99</v>
      </c>
      <c r="F109" s="101">
        <v>50.02</v>
      </c>
      <c r="G109" s="101">
        <v>49.9</v>
      </c>
      <c r="H109" s="101">
        <v>49.99</v>
      </c>
      <c r="I109" s="101">
        <v>50.1</v>
      </c>
      <c r="J109" s="101">
        <v>50.1</v>
      </c>
      <c r="K109" s="101">
        <v>50.03</v>
      </c>
      <c r="L109" s="101">
        <v>49.9</v>
      </c>
      <c r="M109" s="101">
        <v>49.984000000000002</v>
      </c>
      <c r="N109" s="101">
        <v>50.085000000000001</v>
      </c>
      <c r="O109" s="101">
        <v>50.106000000000002</v>
      </c>
      <c r="P109" s="101">
        <v>50.06</v>
      </c>
      <c r="Q109" s="101">
        <v>50.1</v>
      </c>
      <c r="R109" s="101">
        <v>49.968699999999998</v>
      </c>
      <c r="S109" s="101">
        <v>50.055</v>
      </c>
      <c r="T109" s="101">
        <v>49.96</v>
      </c>
      <c r="U109" s="101">
        <v>49.966000000000001</v>
      </c>
      <c r="V109" s="101">
        <v>50.037999999999997</v>
      </c>
      <c r="W109" s="101">
        <v>49.942999999999998</v>
      </c>
      <c r="X109" s="101">
        <v>50.121000000000002</v>
      </c>
      <c r="Y109" s="101">
        <v>50.002000000000002</v>
      </c>
      <c r="Z109" s="101">
        <v>49.973999999999997</v>
      </c>
      <c r="AA109" s="101">
        <v>50.06</v>
      </c>
      <c r="AB109" s="101">
        <v>50.033999999999999</v>
      </c>
      <c r="AC109" s="101">
        <v>49.997</v>
      </c>
      <c r="AD109" s="101">
        <v>49.868000000000002</v>
      </c>
      <c r="AE109" s="101">
        <v>50.04</v>
      </c>
      <c r="AF109" s="101">
        <v>50</v>
      </c>
      <c r="AG109" s="102"/>
      <c r="AH109" s="47">
        <f t="shared" si="40"/>
        <v>50.121000000000002</v>
      </c>
      <c r="AI109" s="48">
        <f t="shared" si="41"/>
        <v>49.868000000000002</v>
      </c>
    </row>
    <row r="110" spans="1:37" x14ac:dyDescent="0.25">
      <c r="A110" s="103" t="s">
        <v>110</v>
      </c>
      <c r="B110" s="65">
        <v>128</v>
      </c>
      <c r="C110" s="65">
        <v>129</v>
      </c>
      <c r="D110" s="65">
        <v>129</v>
      </c>
      <c r="E110" s="65">
        <v>129.4</v>
      </c>
      <c r="F110" s="65">
        <v>130</v>
      </c>
      <c r="G110" s="65">
        <v>126.7</v>
      </c>
      <c r="H110" s="65">
        <v>126.7</v>
      </c>
      <c r="I110" s="65">
        <v>126.7</v>
      </c>
      <c r="J110" s="65">
        <v>126.7</v>
      </c>
      <c r="K110" s="65">
        <v>127</v>
      </c>
      <c r="L110" s="65">
        <v>126.1</v>
      </c>
      <c r="M110" s="65">
        <v>126.9</v>
      </c>
      <c r="N110" s="65">
        <v>127.4</v>
      </c>
      <c r="O110" s="65">
        <v>127.2</v>
      </c>
      <c r="P110" s="65">
        <v>124.6</v>
      </c>
      <c r="Q110" s="65">
        <v>125.9</v>
      </c>
      <c r="R110" s="65">
        <v>127.5</v>
      </c>
      <c r="S110" s="65">
        <v>127.3</v>
      </c>
      <c r="T110" s="65">
        <v>126.7</v>
      </c>
      <c r="U110" s="65">
        <v>127.2</v>
      </c>
      <c r="V110" s="65">
        <v>128.4</v>
      </c>
      <c r="W110" s="65">
        <v>128</v>
      </c>
      <c r="X110" s="65">
        <v>125.2</v>
      </c>
      <c r="Y110" s="65">
        <v>124.2</v>
      </c>
      <c r="Z110" s="65">
        <v>125.4</v>
      </c>
      <c r="AA110" s="65">
        <v>124.9</v>
      </c>
      <c r="AB110" s="65">
        <v>126.6</v>
      </c>
      <c r="AC110" s="65">
        <v>126.9</v>
      </c>
      <c r="AD110" s="65">
        <v>128.4</v>
      </c>
      <c r="AE110" s="65">
        <v>129.4</v>
      </c>
      <c r="AF110" s="65">
        <v>130.1</v>
      </c>
      <c r="AG110" s="104"/>
      <c r="AH110" s="47">
        <f t="shared" si="40"/>
        <v>130.1</v>
      </c>
      <c r="AI110" s="48">
        <f t="shared" si="41"/>
        <v>124.2</v>
      </c>
    </row>
    <row r="111" spans="1:37" x14ac:dyDescent="0.25">
      <c r="A111" s="103" t="s">
        <v>111</v>
      </c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104"/>
      <c r="AH111" s="47">
        <f t="shared" si="40"/>
        <v>0</v>
      </c>
      <c r="AI111" s="48">
        <f t="shared" si="41"/>
        <v>0</v>
      </c>
    </row>
    <row r="112" spans="1:37" x14ac:dyDescent="0.25">
      <c r="A112" s="103" t="s">
        <v>112</v>
      </c>
      <c r="B112" s="65">
        <v>133</v>
      </c>
      <c r="C112" s="65">
        <v>130</v>
      </c>
      <c r="D112" s="65">
        <v>130</v>
      </c>
      <c r="E112" s="65">
        <v>132.5</v>
      </c>
      <c r="F112" s="65">
        <v>132.80000000000001</v>
      </c>
      <c r="G112" s="65">
        <v>130.19999999999999</v>
      </c>
      <c r="H112" s="65">
        <v>130.19999999999999</v>
      </c>
      <c r="I112" s="65">
        <v>130.19999999999999</v>
      </c>
      <c r="J112" s="65">
        <v>130.19999999999999</v>
      </c>
      <c r="K112" s="65">
        <v>130.4</v>
      </c>
      <c r="L112" s="65">
        <v>129.80000000000001</v>
      </c>
      <c r="M112" s="65">
        <v>129.80000000000001</v>
      </c>
      <c r="N112" s="65">
        <v>130</v>
      </c>
      <c r="O112" s="65">
        <v>131.4</v>
      </c>
      <c r="P112" s="65">
        <v>127.5</v>
      </c>
      <c r="Q112" s="65">
        <v>131.6</v>
      </c>
      <c r="R112" s="65">
        <v>130.9</v>
      </c>
      <c r="S112" s="65">
        <v>130.19999999999999</v>
      </c>
      <c r="T112" s="65">
        <v>132.80000000000001</v>
      </c>
      <c r="U112" s="65">
        <v>132.9</v>
      </c>
      <c r="V112" s="65">
        <v>132</v>
      </c>
      <c r="W112" s="65">
        <v>128.5</v>
      </c>
      <c r="X112" s="65">
        <v>129.4</v>
      </c>
      <c r="Y112" s="65">
        <v>128.80000000000001</v>
      </c>
      <c r="Z112" s="65">
        <v>130.69999999999999</v>
      </c>
      <c r="AA112" s="65">
        <v>128.5</v>
      </c>
      <c r="AB112" s="65">
        <v>129.9</v>
      </c>
      <c r="AC112" s="65">
        <v>128.30000000000001</v>
      </c>
      <c r="AD112" s="65">
        <v>132.6</v>
      </c>
      <c r="AE112" s="65">
        <v>131.30000000000001</v>
      </c>
      <c r="AF112" s="65">
        <v>130</v>
      </c>
      <c r="AG112" s="104"/>
      <c r="AH112" s="47">
        <f t="shared" si="40"/>
        <v>133</v>
      </c>
      <c r="AI112" s="48">
        <f t="shared" si="41"/>
        <v>127.5</v>
      </c>
    </row>
    <row r="113" spans="1:35" x14ac:dyDescent="0.25">
      <c r="A113" s="105" t="s">
        <v>113</v>
      </c>
      <c r="B113" s="65">
        <v>134.5</v>
      </c>
      <c r="C113" s="65">
        <v>132</v>
      </c>
      <c r="D113" s="65">
        <v>132</v>
      </c>
      <c r="E113" s="65">
        <v>134.1</v>
      </c>
      <c r="F113" s="65">
        <v>134.5</v>
      </c>
      <c r="G113" s="65">
        <v>132</v>
      </c>
      <c r="H113" s="65">
        <v>132</v>
      </c>
      <c r="I113" s="65">
        <v>132</v>
      </c>
      <c r="J113" s="65">
        <v>132</v>
      </c>
      <c r="K113" s="65">
        <v>131.19999999999999</v>
      </c>
      <c r="L113" s="65">
        <v>131.4</v>
      </c>
      <c r="M113" s="65">
        <v>131.6</v>
      </c>
      <c r="N113" s="65">
        <v>132.69999999999999</v>
      </c>
      <c r="O113" s="65">
        <v>134.4</v>
      </c>
      <c r="P113" s="65">
        <v>131</v>
      </c>
      <c r="Q113" s="65">
        <v>134</v>
      </c>
      <c r="R113" s="65">
        <v>133.19999999999999</v>
      </c>
      <c r="S113" s="65">
        <v>131.1</v>
      </c>
      <c r="T113" s="65">
        <v>132.9</v>
      </c>
      <c r="U113" s="65">
        <v>133.4</v>
      </c>
      <c r="V113" s="65">
        <v>131.9</v>
      </c>
      <c r="W113" s="65">
        <v>127.9</v>
      </c>
      <c r="X113" s="65">
        <v>128</v>
      </c>
      <c r="Y113" s="65">
        <v>131</v>
      </c>
      <c r="Z113" s="65">
        <v>132.9</v>
      </c>
      <c r="AA113" s="65">
        <v>131.30000000000001</v>
      </c>
      <c r="AB113" s="65">
        <v>132.9</v>
      </c>
      <c r="AC113" s="65">
        <v>132.1</v>
      </c>
      <c r="AD113" s="65">
        <v>135.9</v>
      </c>
      <c r="AE113" s="65">
        <v>132.1</v>
      </c>
      <c r="AF113" s="65">
        <v>131.6</v>
      </c>
      <c r="AG113" s="104"/>
      <c r="AH113" s="47">
        <f t="shared" si="40"/>
        <v>135.9</v>
      </c>
      <c r="AI113" s="48">
        <f t="shared" si="41"/>
        <v>127.9</v>
      </c>
    </row>
    <row r="114" spans="1:35" x14ac:dyDescent="0.25">
      <c r="A114" s="105" t="s">
        <v>114</v>
      </c>
      <c r="B114" s="106">
        <v>133</v>
      </c>
      <c r="C114" s="106">
        <v>133</v>
      </c>
      <c r="D114" s="106">
        <v>133</v>
      </c>
      <c r="E114" s="106">
        <v>134.5</v>
      </c>
      <c r="F114" s="106">
        <v>133.9</v>
      </c>
      <c r="G114" s="106">
        <v>131.4</v>
      </c>
      <c r="H114" s="106">
        <v>131.4</v>
      </c>
      <c r="I114" s="106">
        <v>131.4</v>
      </c>
      <c r="J114" s="106">
        <v>131.4</v>
      </c>
      <c r="K114" s="106">
        <v>135</v>
      </c>
      <c r="L114" s="106">
        <v>133.5</v>
      </c>
      <c r="M114" s="106">
        <v>133.6</v>
      </c>
      <c r="N114" s="106">
        <v>133.4</v>
      </c>
      <c r="O114" s="106">
        <v>135.69999999999999</v>
      </c>
      <c r="P114" s="106">
        <v>131</v>
      </c>
      <c r="Q114" s="106">
        <v>133.69999999999999</v>
      </c>
      <c r="R114" s="106">
        <v>134.9</v>
      </c>
      <c r="S114" s="106">
        <v>136.6</v>
      </c>
      <c r="T114" s="106">
        <v>134.4</v>
      </c>
      <c r="U114" s="106">
        <v>132.69999999999999</v>
      </c>
      <c r="V114" s="106">
        <v>135.69999999999999</v>
      </c>
      <c r="W114" s="106">
        <v>132.9</v>
      </c>
      <c r="X114" s="106">
        <v>131.69999999999999</v>
      </c>
      <c r="Y114" s="106">
        <v>133</v>
      </c>
      <c r="Z114" s="106">
        <v>133.30000000000001</v>
      </c>
      <c r="AA114" s="106">
        <v>134.1</v>
      </c>
      <c r="AB114" s="106">
        <v>135</v>
      </c>
      <c r="AC114" s="106">
        <v>135.1</v>
      </c>
      <c r="AD114" s="106">
        <v>136.1</v>
      </c>
      <c r="AE114" s="106">
        <v>134.30000000000001</v>
      </c>
      <c r="AF114" s="106">
        <v>134.4</v>
      </c>
      <c r="AG114" s="107"/>
      <c r="AH114" s="47">
        <f t="shared" si="40"/>
        <v>136.6</v>
      </c>
      <c r="AI114" s="48">
        <f t="shared" si="41"/>
        <v>131</v>
      </c>
    </row>
    <row r="115" spans="1:35" x14ac:dyDescent="0.25">
      <c r="A115" s="103" t="s">
        <v>115</v>
      </c>
      <c r="B115" s="65">
        <v>132</v>
      </c>
      <c r="C115" s="65">
        <v>130</v>
      </c>
      <c r="D115" s="65">
        <v>130</v>
      </c>
      <c r="E115" s="65">
        <v>127.2</v>
      </c>
      <c r="F115" s="65">
        <v>126.9</v>
      </c>
      <c r="G115" s="65">
        <v>123.4</v>
      </c>
      <c r="H115" s="65">
        <v>123.4</v>
      </c>
      <c r="I115" s="65">
        <v>123.4</v>
      </c>
      <c r="J115" s="65">
        <v>123.4</v>
      </c>
      <c r="K115" s="65">
        <v>131.80000000000001</v>
      </c>
      <c r="L115" s="65">
        <v>130.97999999999999</v>
      </c>
      <c r="M115" s="65">
        <v>134.30000000000001</v>
      </c>
      <c r="N115" s="65">
        <v>132.6</v>
      </c>
      <c r="O115" s="65">
        <v>134.30000000000001</v>
      </c>
      <c r="P115" s="65">
        <v>131.69999999999999</v>
      </c>
      <c r="Q115" s="65">
        <v>135</v>
      </c>
      <c r="R115" s="65">
        <v>137</v>
      </c>
      <c r="S115" s="65">
        <v>131.69999999999999</v>
      </c>
      <c r="T115" s="65">
        <v>131.5</v>
      </c>
      <c r="U115" s="65">
        <v>128.5</v>
      </c>
      <c r="V115" s="65">
        <v>135.80000000000001</v>
      </c>
      <c r="W115" s="65">
        <v>132.80000000000001</v>
      </c>
      <c r="X115" s="65">
        <v>130.69999999999999</v>
      </c>
      <c r="Y115" s="65">
        <v>132.30000000000001</v>
      </c>
      <c r="Z115" s="65">
        <v>131.4</v>
      </c>
      <c r="AA115" s="65">
        <v>129.19999999999999</v>
      </c>
      <c r="AB115" s="65">
        <v>129.9</v>
      </c>
      <c r="AC115" s="65">
        <v>131.19999999999999</v>
      </c>
      <c r="AD115" s="65">
        <v>129.1</v>
      </c>
      <c r="AE115" s="65">
        <v>130.30000000000001</v>
      </c>
      <c r="AF115" s="65">
        <v>132</v>
      </c>
      <c r="AG115" s="104"/>
      <c r="AH115" s="47">
        <f t="shared" si="40"/>
        <v>137</v>
      </c>
      <c r="AI115" s="48">
        <f t="shared" si="41"/>
        <v>123.4</v>
      </c>
    </row>
    <row r="116" spans="1:35" ht="15.75" thickBot="1" x14ac:dyDescent="0.3">
      <c r="A116" s="103" t="s">
        <v>116</v>
      </c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108"/>
      <c r="AH116" s="47">
        <f t="shared" si="40"/>
        <v>0</v>
      </c>
      <c r="AI116" s="48">
        <f t="shared" si="41"/>
        <v>0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 t="s">
        <v>117</v>
      </c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40"/>
        <v>0</v>
      </c>
      <c r="AI117" s="48">
        <f t="shared" si="41"/>
        <v>0</v>
      </c>
    </row>
    <row r="118" spans="1:35" ht="15.75" thickBot="1" x14ac:dyDescent="0.3">
      <c r="A118" s="110" t="s">
        <v>118</v>
      </c>
      <c r="B118" s="111">
        <f t="shared" ref="B118:C118" si="131">SUM(B22,B28,B31:B32,B66,B68:B69,B71,B73,B119:B123,B155,B161,B167,B176,B178,B190,B197,B200:B201,B208,B210,B212,B216:B218,B220:B222,B227,B233:B234,B236:B238,B246,B251)</f>
        <v>138.74</v>
      </c>
      <c r="C118" s="111">
        <f t="shared" si="131"/>
        <v>123.74000000000001</v>
      </c>
      <c r="D118" s="111">
        <f t="shared" ref="D118:E118" si="132">SUM(D22,D28,D31:D32,D66,D68:D69,D71,D73,D119:D123,D155,D161,D167,D176,D178,D190,D197,D200:D201,D208,D210,D212,D216:D218,D220:D222,D227,D233:D234,D236:D238,D246,D251)</f>
        <v>131.58999999999997</v>
      </c>
      <c r="E118" s="111">
        <f t="shared" si="132"/>
        <v>130.33999999999997</v>
      </c>
      <c r="F118" s="111">
        <f t="shared" ref="F118:G118" si="133">SUM(F22,F28,F31:F32,F66,F68:F69,F71,F73,F119:F123,F155,F161,F167,F176,F178,F190,F197,F200:F201,F208,F210,F212,F216:F218,F220:F222,F227,F233:F234,F236:F238,F246,F251)</f>
        <v>135.98999999999998</v>
      </c>
      <c r="G118" s="111">
        <f t="shared" si="133"/>
        <v>165.78999999999996</v>
      </c>
      <c r="H118" s="111">
        <f t="shared" ref="H118:I118" si="134">SUM(H22,H28,H31:H32,H66,H68:H69,H71,H73,H119:H123,H155,H161,H167,H176,H178,H190,H197,H200:H201,H208,H210,H212,H216:H218,H220:H222,H227,H233:H234,H236:H238,H246,H251)</f>
        <v>209.67999999999998</v>
      </c>
      <c r="I118" s="111">
        <f t="shared" si="134"/>
        <v>235.46000000000004</v>
      </c>
      <c r="J118" s="111">
        <f t="shared" ref="J118:K118" si="135">SUM(J22,J28,J31:J32,J66,J68:J69,J71,J73,J119:J123,J155,J161,J167,J176,J178,J190,J197,J200:J201,J208,J210,J212,J216:J218,J220:J222,J227,J233:J234,J236:J238,J246,J251)</f>
        <v>271.58</v>
      </c>
      <c r="K118" s="111">
        <f t="shared" si="135"/>
        <v>306.44</v>
      </c>
      <c r="L118" s="111">
        <f t="shared" ref="L118" si="136">SUM(L22,L28,L31:L32,L66,L68:L69,L71,L73,L119:L123,L155,L161,L167,L176,L178,L190,L197,L200:L201,L208,L210,L212,L216:L218,L220:L222,L227,L233:L234,L236:L238,L246,L251)</f>
        <v>328.94</v>
      </c>
      <c r="M118" s="111">
        <f t="shared" ref="M118:O118" si="137">SUM(M22,M28,M31:M32,M66,M68:M69,M71,M73,M119:M123,M155,M161,M167,M176,M178,M190,M197,M200:M201,M208,M210,M212,M216:M218,M220:M222,M227,M233:M234,M236:M238,M246,M251)</f>
        <v>330.36999999999995</v>
      </c>
      <c r="N118" s="111">
        <f t="shared" si="137"/>
        <v>298.459</v>
      </c>
      <c r="O118" s="111">
        <f t="shared" si="137"/>
        <v>306.387</v>
      </c>
      <c r="P118" s="111">
        <v>42</v>
      </c>
      <c r="Q118" s="111">
        <f t="shared" ref="Q118:AC118" si="138">SUM(Q22,Q28,Q31:Q32,Q66,Q68:Q69,Q71,Q73,Q119:Q123,Q155,Q161,Q167,Q176,Q178,Q190,Q197,Q200:Q201,Q208,Q210,Q212,Q216:Q218,Q220:Q222,Q227,Q233:Q234,Q236:Q238,Q246,Q251)</f>
        <v>245.14000000000001</v>
      </c>
      <c r="R118" s="111">
        <f t="shared" si="138"/>
        <v>268.15799999999996</v>
      </c>
      <c r="S118" s="111">
        <f t="shared" si="138"/>
        <v>219.517</v>
      </c>
      <c r="T118" s="111">
        <f t="shared" si="138"/>
        <v>230.24199999999999</v>
      </c>
      <c r="U118" s="111">
        <f t="shared" si="138"/>
        <v>228.82099999999997</v>
      </c>
      <c r="V118" s="111">
        <f t="shared" si="138"/>
        <v>249.16399999999999</v>
      </c>
      <c r="W118" s="111">
        <f t="shared" si="138"/>
        <v>296.91399999999999</v>
      </c>
      <c r="X118" s="111">
        <f t="shared" si="138"/>
        <v>354.392</v>
      </c>
      <c r="Y118" s="111">
        <f t="shared" si="138"/>
        <v>378.45800000000003</v>
      </c>
      <c r="Z118" s="111">
        <f t="shared" si="138"/>
        <v>377.52499999999992</v>
      </c>
      <c r="AA118" s="111">
        <f t="shared" si="138"/>
        <v>368.08499999999998</v>
      </c>
      <c r="AB118" s="111">
        <f t="shared" si="138"/>
        <v>342.24</v>
      </c>
      <c r="AC118" s="111">
        <f t="shared" si="138"/>
        <v>320.73999999999995</v>
      </c>
      <c r="AD118" s="111"/>
      <c r="AE118" s="111">
        <f>SUM(AE22,AE28,AE31:AE32,AE66,AE68:AE69,AE71,AE73,AE119:AE123,AE155,AE161,AE167,AE176,AE178,AE190,AE197,AE200:AE201,AE208,AE210,AE212,AE216:AE218,AE220:AE222,AE227,AE233:AE234,AE236:AE238,AE246,AE251)</f>
        <v>211.73999999999995</v>
      </c>
      <c r="AF118" s="111">
        <f>SUM(AF22,AF28,AF31:AF32,AF66,AF68:AF69,AF71,AF73,AF119:AF123,AF155,AF161,AF167,AF176,AF178,AF190,AF197,AF200:AF201,AF208,AF210,AF212,AF216:AF218,AF220:AF222,AF227,AF233:AF234,AF236:AF238,AF246,AF251)</f>
        <v>162.94</v>
      </c>
      <c r="AG118" s="112"/>
      <c r="AH118" s="47">
        <f t="shared" si="40"/>
        <v>378.45800000000003</v>
      </c>
      <c r="AI118" s="48">
        <f t="shared" si="41"/>
        <v>42</v>
      </c>
    </row>
    <row r="119" spans="1:35" x14ac:dyDescent="0.25">
      <c r="A119" s="172" t="s">
        <v>119</v>
      </c>
      <c r="B119" s="113">
        <v>63</v>
      </c>
      <c r="C119" s="113">
        <v>32</v>
      </c>
      <c r="D119" s="113">
        <v>29.8</v>
      </c>
      <c r="E119" s="113">
        <v>34.299999999999997</v>
      </c>
      <c r="F119" s="113">
        <v>34.799999999999997</v>
      </c>
      <c r="G119" s="113">
        <v>71.099999999999994</v>
      </c>
      <c r="H119" s="113">
        <v>71.099999999999994</v>
      </c>
      <c r="I119" s="113">
        <v>79</v>
      </c>
      <c r="J119" s="113">
        <v>78.900000000000006</v>
      </c>
      <c r="K119" s="113">
        <v>82.5</v>
      </c>
      <c r="L119" s="113">
        <v>73.599999999999994</v>
      </c>
      <c r="M119" s="113">
        <v>60.9</v>
      </c>
      <c r="N119" s="113">
        <v>31.9</v>
      </c>
      <c r="O119" s="113">
        <v>31.2</v>
      </c>
      <c r="P119" s="113">
        <v>47.7</v>
      </c>
      <c r="Q119" s="113">
        <v>46.7</v>
      </c>
      <c r="R119" s="113">
        <v>28.7</v>
      </c>
      <c r="S119" s="113">
        <v>15.4</v>
      </c>
      <c r="T119" s="113">
        <v>32.700000000000003</v>
      </c>
      <c r="U119" s="113">
        <v>27.1</v>
      </c>
      <c r="V119" s="113">
        <v>57.3</v>
      </c>
      <c r="W119" s="113">
        <v>88.1</v>
      </c>
      <c r="X119" s="113">
        <v>95.8</v>
      </c>
      <c r="Y119" s="113">
        <v>99.5</v>
      </c>
      <c r="Z119" s="113">
        <v>99.3</v>
      </c>
      <c r="AA119" s="113">
        <v>102.5</v>
      </c>
      <c r="AB119" s="113">
        <v>101.5</v>
      </c>
      <c r="AC119" s="113">
        <v>110</v>
      </c>
      <c r="AD119" s="113">
        <v>99.2</v>
      </c>
      <c r="AE119" s="113">
        <v>64.099999999999994</v>
      </c>
      <c r="AF119" s="113">
        <v>45.6</v>
      </c>
      <c r="AG119" s="114">
        <v>75</v>
      </c>
      <c r="AH119" s="47">
        <f t="shared" si="40"/>
        <v>110</v>
      </c>
      <c r="AI119" s="48">
        <f t="shared" si="41"/>
        <v>15.4</v>
      </c>
    </row>
    <row r="120" spans="1:35" x14ac:dyDescent="0.25">
      <c r="A120" s="173" t="s">
        <v>120</v>
      </c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>
        <v>0</v>
      </c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115"/>
      <c r="AF120" s="115"/>
      <c r="AG120" s="114">
        <v>240</v>
      </c>
      <c r="AH120" s="47">
        <f t="shared" si="40"/>
        <v>0</v>
      </c>
      <c r="AI120" s="48">
        <f t="shared" si="41"/>
        <v>0</v>
      </c>
    </row>
    <row r="121" spans="1:35" x14ac:dyDescent="0.25">
      <c r="A121" s="173" t="s">
        <v>121</v>
      </c>
      <c r="B121" s="115">
        <v>-69</v>
      </c>
      <c r="C121" s="115">
        <v>-66</v>
      </c>
      <c r="D121" s="115">
        <v>-67.900000000000006</v>
      </c>
      <c r="E121" s="115">
        <v>-68</v>
      </c>
      <c r="F121" s="115">
        <v>-67</v>
      </c>
      <c r="G121" s="115">
        <v>-69</v>
      </c>
      <c r="H121" s="115">
        <v>-49</v>
      </c>
      <c r="I121" s="115">
        <v>-42</v>
      </c>
      <c r="J121" s="115">
        <v>-22.9</v>
      </c>
      <c r="K121" s="115">
        <v>1</v>
      </c>
      <c r="L121" s="115">
        <v>14</v>
      </c>
      <c r="M121" s="115">
        <v>10.6</v>
      </c>
      <c r="N121" s="115">
        <v>1.2</v>
      </c>
      <c r="O121" s="115">
        <v>17.3</v>
      </c>
      <c r="P121" s="115">
        <v>-6.8</v>
      </c>
      <c r="Q121" s="115">
        <v>-19.600000000000001</v>
      </c>
      <c r="R121" s="115">
        <v>22.5</v>
      </c>
      <c r="S121" s="115">
        <v>-20</v>
      </c>
      <c r="T121" s="115">
        <v>-18.899999999999999</v>
      </c>
      <c r="U121" s="115">
        <v>-18</v>
      </c>
      <c r="V121" s="115">
        <v>-6.8</v>
      </c>
      <c r="W121" s="115">
        <v>-1</v>
      </c>
      <c r="X121" s="115">
        <v>8.4</v>
      </c>
      <c r="Y121" s="115">
        <v>12.4</v>
      </c>
      <c r="Z121" s="115">
        <v>10.199999999999999</v>
      </c>
      <c r="AA121" s="115">
        <v>0.7</v>
      </c>
      <c r="AB121" s="115">
        <v>0</v>
      </c>
      <c r="AC121" s="115">
        <v>0.2</v>
      </c>
      <c r="AD121" s="115">
        <f>-2.9-3.2</f>
        <v>-6.1</v>
      </c>
      <c r="AE121" s="115">
        <f>-17.1-19.2</f>
        <v>-36.299999999999997</v>
      </c>
      <c r="AF121" s="115">
        <v>-54</v>
      </c>
      <c r="AG121" s="114">
        <v>240</v>
      </c>
      <c r="AH121" s="47">
        <f t="shared" si="40"/>
        <v>22.5</v>
      </c>
      <c r="AI121" s="48">
        <f t="shared" si="41"/>
        <v>-69</v>
      </c>
    </row>
    <row r="122" spans="1:35" ht="15.75" thickBot="1" x14ac:dyDescent="0.3">
      <c r="A122" s="173" t="s">
        <v>122</v>
      </c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15"/>
      <c r="AF122" s="115"/>
      <c r="AG122" s="114">
        <v>60</v>
      </c>
      <c r="AH122" s="47">
        <f t="shared" si="40"/>
        <v>0</v>
      </c>
      <c r="AI122" s="48">
        <f t="shared" si="41"/>
        <v>0</v>
      </c>
    </row>
    <row r="123" spans="1:35" x14ac:dyDescent="0.25">
      <c r="A123" s="172" t="s">
        <v>260</v>
      </c>
      <c r="B123" s="117">
        <v>37</v>
      </c>
      <c r="C123" s="117">
        <v>50</v>
      </c>
      <c r="D123" s="117">
        <f>41.3*1.5</f>
        <v>61.949999999999996</v>
      </c>
      <c r="E123" s="117">
        <v>56.3</v>
      </c>
      <c r="F123" s="117">
        <f>40.3*1.5</f>
        <v>60.449999999999996</v>
      </c>
      <c r="G123" s="117">
        <f>37.3*1.5</f>
        <v>55.949999999999996</v>
      </c>
      <c r="H123" s="117">
        <f>49.9*1.6</f>
        <v>79.84</v>
      </c>
      <c r="I123" s="117">
        <f>56.7*1.6</f>
        <v>90.720000000000013</v>
      </c>
      <c r="J123" s="117">
        <f>67.4*1.6</f>
        <v>107.84000000000002</v>
      </c>
      <c r="K123" s="117">
        <f>72*1.6</f>
        <v>115.2</v>
      </c>
      <c r="L123" s="117">
        <f>83.5*1.6</f>
        <v>133.6</v>
      </c>
      <c r="M123" s="117">
        <f>1.63*91</f>
        <v>148.32999999999998</v>
      </c>
      <c r="N123" s="117">
        <f>1.63*91.3</f>
        <v>148.81899999999999</v>
      </c>
      <c r="O123" s="117">
        <f>1.63*86.9</f>
        <v>141.64699999999999</v>
      </c>
      <c r="P123" s="117">
        <v>100</v>
      </c>
      <c r="Q123" s="117">
        <v>95</v>
      </c>
      <c r="R123" s="117">
        <f>1.63*58.6</f>
        <v>95.518000000000001</v>
      </c>
      <c r="S123" s="117">
        <f>63.1*1.67</f>
        <v>105.377</v>
      </c>
      <c r="T123" s="117">
        <f>60.6*1.67</f>
        <v>101.202</v>
      </c>
      <c r="U123" s="117">
        <f>64.3*1.67</f>
        <v>107.38099999999999</v>
      </c>
      <c r="V123" s="117">
        <f>57.2*1.67</f>
        <v>95.524000000000001</v>
      </c>
      <c r="W123" s="117">
        <f>62.2*1.67</f>
        <v>103.874</v>
      </c>
      <c r="X123" s="117">
        <f>85.6*1.67</f>
        <v>142.952</v>
      </c>
      <c r="Y123" s="117">
        <f>95.4*1.67</f>
        <v>159.31800000000001</v>
      </c>
      <c r="Z123" s="117">
        <f>95.5*1.67</f>
        <v>159.48499999999999</v>
      </c>
      <c r="AA123" s="117">
        <f>93.5*1.67</f>
        <v>156.14499999999998</v>
      </c>
      <c r="AB123" s="117">
        <f>88*1.5</f>
        <v>132</v>
      </c>
      <c r="AC123" s="117">
        <f>68*1.5</f>
        <v>102</v>
      </c>
      <c r="AD123" s="117">
        <f>60*1.5</f>
        <v>90</v>
      </c>
      <c r="AE123" s="117">
        <f>47*1.6</f>
        <v>75.2</v>
      </c>
      <c r="AF123" s="117">
        <v>62</v>
      </c>
      <c r="AG123" s="118">
        <v>120</v>
      </c>
      <c r="AH123" s="47">
        <f t="shared" si="40"/>
        <v>159.48499999999999</v>
      </c>
      <c r="AI123" s="48">
        <f t="shared" si="41"/>
        <v>37</v>
      </c>
    </row>
    <row r="124" spans="1:35" x14ac:dyDescent="0.25">
      <c r="A124" s="173" t="s">
        <v>259</v>
      </c>
      <c r="B124" s="117">
        <v>58</v>
      </c>
      <c r="C124" s="117">
        <v>63</v>
      </c>
      <c r="D124" s="117">
        <v>62.7</v>
      </c>
      <c r="E124" s="117">
        <v>59.2</v>
      </c>
      <c r="F124" s="117">
        <v>60.7</v>
      </c>
      <c r="G124" s="117">
        <v>58.9</v>
      </c>
      <c r="H124" s="117">
        <v>69.3</v>
      </c>
      <c r="I124" s="117">
        <v>74.599999999999994</v>
      </c>
      <c r="J124" s="117">
        <v>85</v>
      </c>
      <c r="K124" s="117">
        <v>86.5</v>
      </c>
      <c r="L124" s="117">
        <v>96.3</v>
      </c>
      <c r="M124" s="117">
        <v>103.4</v>
      </c>
      <c r="N124" s="117">
        <v>103.5</v>
      </c>
      <c r="O124" s="117">
        <v>99</v>
      </c>
      <c r="P124" s="117">
        <v>81.7</v>
      </c>
      <c r="Q124" s="117">
        <v>79.900000000000006</v>
      </c>
      <c r="R124" s="117">
        <v>76.5</v>
      </c>
      <c r="S124" s="117">
        <v>81.400000000000006</v>
      </c>
      <c r="T124" s="117">
        <v>78.7</v>
      </c>
      <c r="U124" s="117">
        <v>82.3</v>
      </c>
      <c r="V124" s="117">
        <v>76.900000000000006</v>
      </c>
      <c r="W124" s="117">
        <v>80.400000000000006</v>
      </c>
      <c r="X124" s="117">
        <v>98.5</v>
      </c>
      <c r="Y124" s="117">
        <v>106.5</v>
      </c>
      <c r="Z124" s="117">
        <v>106.1</v>
      </c>
      <c r="AA124" s="117">
        <v>104.8</v>
      </c>
      <c r="AB124" s="117">
        <v>100.2</v>
      </c>
      <c r="AC124" s="117">
        <v>85</v>
      </c>
      <c r="AD124" s="117">
        <v>78</v>
      </c>
      <c r="AE124" s="117">
        <v>68.7</v>
      </c>
      <c r="AF124" s="117">
        <v>54.8</v>
      </c>
      <c r="AG124" s="118"/>
      <c r="AH124" s="47"/>
      <c r="AI124" s="48"/>
    </row>
    <row r="125" spans="1:35" x14ac:dyDescent="0.25">
      <c r="A125" s="173" t="s">
        <v>256</v>
      </c>
      <c r="B125" s="117">
        <v>35</v>
      </c>
      <c r="C125" s="117">
        <v>55</v>
      </c>
      <c r="D125" s="117">
        <v>63.4</v>
      </c>
      <c r="E125" s="117">
        <v>57.7</v>
      </c>
      <c r="F125" s="117">
        <v>53.7</v>
      </c>
      <c r="G125" s="117">
        <v>32.5</v>
      </c>
      <c r="H125" s="117">
        <v>28.8</v>
      </c>
      <c r="I125" s="117">
        <v>23.3</v>
      </c>
      <c r="J125" s="117">
        <v>20.100000000000001</v>
      </c>
      <c r="K125" s="117">
        <v>-3.5</v>
      </c>
      <c r="L125" s="117">
        <v>-1.5</v>
      </c>
      <c r="M125" s="117">
        <v>3</v>
      </c>
      <c r="N125" s="117">
        <v>13.3</v>
      </c>
      <c r="O125" s="117">
        <v>20</v>
      </c>
      <c r="P125" s="117">
        <v>26.6</v>
      </c>
      <c r="Q125" s="117">
        <v>39.1</v>
      </c>
      <c r="R125" s="117">
        <v>46.2</v>
      </c>
      <c r="S125" s="117">
        <v>56.5</v>
      </c>
      <c r="T125" s="117">
        <v>43.3</v>
      </c>
      <c r="U125" s="117">
        <v>48.2</v>
      </c>
      <c r="V125" s="117">
        <v>14.7</v>
      </c>
      <c r="W125" s="117">
        <v>-11.5</v>
      </c>
      <c r="X125" s="117">
        <v>-9.8000000000000007</v>
      </c>
      <c r="Y125" s="117">
        <v>-10.3</v>
      </c>
      <c r="Z125" s="117">
        <v>-8.3000000000000007</v>
      </c>
      <c r="AA125" s="117">
        <v>-4.5</v>
      </c>
      <c r="AB125" s="117">
        <v>-6.3</v>
      </c>
      <c r="AC125" s="117">
        <v>-23</v>
      </c>
      <c r="AD125" s="117">
        <v>-16.2</v>
      </c>
      <c r="AE125" s="117">
        <v>17.399999999999999</v>
      </c>
      <c r="AF125" s="117">
        <v>21</v>
      </c>
      <c r="AG125" s="118"/>
      <c r="AH125" s="47"/>
      <c r="AI125" s="48"/>
    </row>
    <row r="126" spans="1:35" ht="15.75" thickBot="1" x14ac:dyDescent="0.3">
      <c r="A126" s="173" t="s">
        <v>255</v>
      </c>
      <c r="B126" s="117">
        <v>70</v>
      </c>
      <c r="C126" s="117">
        <v>73</v>
      </c>
      <c r="D126" s="117">
        <v>78</v>
      </c>
      <c r="E126" s="117">
        <v>71.599999999999994</v>
      </c>
      <c r="F126" s="117">
        <v>72.2</v>
      </c>
      <c r="G126" s="117">
        <v>72.599999999999994</v>
      </c>
      <c r="H126" s="117">
        <v>79.7</v>
      </c>
      <c r="I126" s="117">
        <v>86.1</v>
      </c>
      <c r="J126" s="117">
        <v>99.8</v>
      </c>
      <c r="K126" s="117">
        <v>92</v>
      </c>
      <c r="L126" s="117">
        <v>101.7</v>
      </c>
      <c r="M126" s="117">
        <v>100.2</v>
      </c>
      <c r="N126" s="117">
        <v>97.2</v>
      </c>
      <c r="O126" s="117">
        <v>90.5</v>
      </c>
      <c r="P126" s="117">
        <v>87.4</v>
      </c>
      <c r="Q126" s="117">
        <v>93.2</v>
      </c>
      <c r="R126" s="117">
        <v>92.3</v>
      </c>
      <c r="S126" s="117">
        <v>94.4</v>
      </c>
      <c r="T126" s="117">
        <v>90.4</v>
      </c>
      <c r="U126" s="117">
        <v>100</v>
      </c>
      <c r="V126" s="117">
        <v>86.3</v>
      </c>
      <c r="W126" s="117">
        <v>72</v>
      </c>
      <c r="X126" s="117">
        <v>91.6</v>
      </c>
      <c r="Y126" s="117">
        <v>102.9</v>
      </c>
      <c r="Z126" s="117">
        <v>96.9</v>
      </c>
      <c r="AA126" s="117">
        <v>97.6</v>
      </c>
      <c r="AB126" s="117">
        <v>94.4</v>
      </c>
      <c r="AC126" s="117">
        <v>80.599999999999994</v>
      </c>
      <c r="AD126" s="117">
        <v>81.3</v>
      </c>
      <c r="AE126" s="117">
        <v>75.900000000000006</v>
      </c>
      <c r="AF126" s="117">
        <v>70.2</v>
      </c>
      <c r="AG126" s="114"/>
      <c r="AH126" s="47">
        <f t="shared" si="40"/>
        <v>102.9</v>
      </c>
      <c r="AI126" s="48">
        <f t="shared" si="41"/>
        <v>70</v>
      </c>
    </row>
    <row r="127" spans="1:35" x14ac:dyDescent="0.25">
      <c r="A127" s="172" t="s">
        <v>257</v>
      </c>
      <c r="B127" s="117">
        <v>-11</v>
      </c>
      <c r="C127" s="117">
        <v>4</v>
      </c>
      <c r="D127" s="117">
        <v>5.9</v>
      </c>
      <c r="E127" s="117">
        <v>2.4</v>
      </c>
      <c r="F127" s="117">
        <v>6</v>
      </c>
      <c r="G127" s="117">
        <v>-14.2</v>
      </c>
      <c r="H127" s="117">
        <v>-9.3000000000000007</v>
      </c>
      <c r="I127" s="117">
        <v>-8.1</v>
      </c>
      <c r="J127" s="117">
        <v>-17.899999999999999</v>
      </c>
      <c r="K127" s="117">
        <v>-16.899999999999999</v>
      </c>
      <c r="L127" s="117">
        <v>0</v>
      </c>
      <c r="M127" s="117">
        <v>7.5</v>
      </c>
      <c r="N127" s="117">
        <v>20.9</v>
      </c>
      <c r="O127" s="117">
        <v>5.6</v>
      </c>
      <c r="P127" s="117">
        <v>-12</v>
      </c>
      <c r="Q127" s="117">
        <v>-13.5</v>
      </c>
      <c r="R127" s="117">
        <v>-9.3000000000000007</v>
      </c>
      <c r="S127" s="117">
        <v>-4.2</v>
      </c>
      <c r="T127" s="117">
        <v>-11.8</v>
      </c>
      <c r="U127" s="117">
        <v>-9</v>
      </c>
      <c r="V127" s="117">
        <v>-10</v>
      </c>
      <c r="W127" s="117">
        <v>-34.799999999999997</v>
      </c>
      <c r="X127" s="117">
        <v>-31.4</v>
      </c>
      <c r="Y127" s="117">
        <v>-30.3</v>
      </c>
      <c r="Z127" s="117">
        <v>-28.6</v>
      </c>
      <c r="AA127" s="117">
        <v>-26.7</v>
      </c>
      <c r="AB127" s="117">
        <v>-32.6</v>
      </c>
      <c r="AC127" s="117">
        <v>-37</v>
      </c>
      <c r="AD127" s="117">
        <v>-29.6</v>
      </c>
      <c r="AE127" s="117">
        <v>-10</v>
      </c>
      <c r="AF127" s="117">
        <v>-5.6</v>
      </c>
      <c r="AG127" s="114"/>
      <c r="AH127" s="47">
        <f t="shared" si="40"/>
        <v>20.9</v>
      </c>
      <c r="AI127" s="48">
        <f t="shared" si="41"/>
        <v>-37</v>
      </c>
    </row>
    <row r="128" spans="1:35" x14ac:dyDescent="0.25">
      <c r="A128" s="173" t="s">
        <v>124</v>
      </c>
      <c r="B128" s="106">
        <v>-4</v>
      </c>
      <c r="C128" s="106">
        <v>-2</v>
      </c>
      <c r="D128" s="106">
        <v>-1.6</v>
      </c>
      <c r="E128" s="106">
        <v>-1.5</v>
      </c>
      <c r="F128" s="106">
        <v>-4.2</v>
      </c>
      <c r="G128" s="106">
        <v>-5.7</v>
      </c>
      <c r="H128" s="106">
        <v>-15.4</v>
      </c>
      <c r="I128" s="106">
        <v>-19.8</v>
      </c>
      <c r="J128" s="106">
        <v>-26.6</v>
      </c>
      <c r="K128" s="106">
        <v>-32.799999999999997</v>
      </c>
      <c r="L128" s="106">
        <v>-34.200000000000003</v>
      </c>
      <c r="M128" s="106">
        <v>-31.6</v>
      </c>
      <c r="N128" s="106">
        <v>-31.2</v>
      </c>
      <c r="O128" s="106">
        <v>-21.5</v>
      </c>
      <c r="P128" s="106">
        <v>-13.4</v>
      </c>
      <c r="Q128" s="106">
        <v>-7.6</v>
      </c>
      <c r="R128" s="106">
        <v>-1.9</v>
      </c>
      <c r="S128" s="106">
        <v>-4.8</v>
      </c>
      <c r="T128" s="106">
        <v>-5.3</v>
      </c>
      <c r="U128" s="106">
        <v>-5.5</v>
      </c>
      <c r="V128" s="106">
        <v>-14.8</v>
      </c>
      <c r="W128" s="106">
        <v>-28.3</v>
      </c>
      <c r="X128" s="106">
        <v>-39</v>
      </c>
      <c r="Y128" s="106">
        <v>-35.200000000000003</v>
      </c>
      <c r="Z128" s="106">
        <v>-61.3</v>
      </c>
      <c r="AA128" s="106">
        <v>-27.9</v>
      </c>
      <c r="AB128" s="106">
        <v>-24.5</v>
      </c>
      <c r="AC128" s="106">
        <v>-20.8</v>
      </c>
      <c r="AD128" s="106">
        <v>-17.399999999999999</v>
      </c>
      <c r="AE128" s="106">
        <v>-6.3</v>
      </c>
      <c r="AF128" s="106">
        <v>-1.2</v>
      </c>
      <c r="AG128" s="114"/>
      <c r="AH128" s="47">
        <f t="shared" si="40"/>
        <v>-1.2</v>
      </c>
      <c r="AI128" s="48">
        <f t="shared" si="41"/>
        <v>-61.3</v>
      </c>
    </row>
    <row r="129" spans="1:37" x14ac:dyDescent="0.25">
      <c r="A129" s="173" t="s">
        <v>261</v>
      </c>
      <c r="B129" s="106">
        <v>30</v>
      </c>
      <c r="C129" s="106">
        <v>20</v>
      </c>
      <c r="D129" s="106">
        <v>23</v>
      </c>
      <c r="E129" s="106">
        <v>24.8</v>
      </c>
      <c r="F129" s="106">
        <v>20.6</v>
      </c>
      <c r="G129" s="106">
        <v>35.5</v>
      </c>
      <c r="H129" s="106">
        <v>22</v>
      </c>
      <c r="I129" s="106">
        <v>17.8</v>
      </c>
      <c r="J129" s="106">
        <v>11.2</v>
      </c>
      <c r="K129" s="106">
        <v>-7</v>
      </c>
      <c r="L129" s="106">
        <v>-19.5</v>
      </c>
      <c r="M129" s="106">
        <v>-17.8</v>
      </c>
      <c r="N129" s="106">
        <v>-15.5</v>
      </c>
      <c r="O129" s="106">
        <v>-20.6</v>
      </c>
      <c r="P129" s="106">
        <v>6.1</v>
      </c>
      <c r="Q129" s="106">
        <v>8.9</v>
      </c>
      <c r="R129" s="106">
        <v>10.199999999999999</v>
      </c>
      <c r="S129" s="106">
        <v>6.1</v>
      </c>
      <c r="T129" s="106">
        <v>7</v>
      </c>
      <c r="U129" s="106">
        <v>4.7</v>
      </c>
      <c r="V129" s="106">
        <v>-1.2</v>
      </c>
      <c r="W129" s="106">
        <v>5.0999999999999996</v>
      </c>
      <c r="X129" s="106">
        <v>0</v>
      </c>
      <c r="Y129" s="106">
        <v>-1.6</v>
      </c>
      <c r="Z129" s="106">
        <v>1.5</v>
      </c>
      <c r="AA129" s="106">
        <v>9.9</v>
      </c>
      <c r="AB129" s="106">
        <v>10.199999999999999</v>
      </c>
      <c r="AC129" s="106">
        <v>15</v>
      </c>
      <c r="AD129" s="106">
        <v>14.9</v>
      </c>
      <c r="AE129" s="106">
        <v>20.5</v>
      </c>
      <c r="AF129" s="106">
        <v>25.6</v>
      </c>
      <c r="AG129" s="114"/>
      <c r="AH129" s="47">
        <f t="shared" si="40"/>
        <v>35.5</v>
      </c>
      <c r="AI129" s="48">
        <f t="shared" si="41"/>
        <v>-20.6</v>
      </c>
    </row>
    <row r="130" spans="1:37" ht="15.75" thickBot="1" x14ac:dyDescent="0.3">
      <c r="A130" s="173" t="s">
        <v>258</v>
      </c>
      <c r="B130" s="106">
        <v>85</v>
      </c>
      <c r="C130" s="106">
        <v>83</v>
      </c>
      <c r="D130" s="106">
        <v>76</v>
      </c>
      <c r="E130" s="106">
        <v>77.2</v>
      </c>
      <c r="F130" s="106">
        <v>-64.8</v>
      </c>
      <c r="G130" s="106">
        <v>84.6</v>
      </c>
      <c r="H130" s="106">
        <v>85.8</v>
      </c>
      <c r="I130" s="106">
        <v>88.6</v>
      </c>
      <c r="J130" s="106">
        <v>93.8</v>
      </c>
      <c r="K130" s="106">
        <v>94.7</v>
      </c>
      <c r="L130" s="106">
        <v>89.7</v>
      </c>
      <c r="M130" s="106">
        <v>64.8</v>
      </c>
      <c r="N130" s="106">
        <v>88.8</v>
      </c>
      <c r="O130" s="106">
        <v>79.099999999999994</v>
      </c>
      <c r="P130" s="106">
        <v>88.2</v>
      </c>
      <c r="Q130" s="106">
        <v>83.4</v>
      </c>
      <c r="R130" s="106">
        <v>69.3</v>
      </c>
      <c r="S130" s="106">
        <v>75.900000000000006</v>
      </c>
      <c r="T130" s="106">
        <v>70.900000000000006</v>
      </c>
      <c r="U130" s="106">
        <v>68</v>
      </c>
      <c r="V130" s="106">
        <v>72</v>
      </c>
      <c r="W130" s="106">
        <v>85.6</v>
      </c>
      <c r="X130" s="106">
        <v>105</v>
      </c>
      <c r="Y130" s="106">
        <v>111.6</v>
      </c>
      <c r="Z130" s="106">
        <v>108</v>
      </c>
      <c r="AA130" s="106">
        <v>111</v>
      </c>
      <c r="AB130" s="106">
        <v>111.1</v>
      </c>
      <c r="AC130" s="106">
        <v>103.7</v>
      </c>
      <c r="AD130" s="106">
        <v>96.2</v>
      </c>
      <c r="AE130" s="106">
        <v>78.599999999999994</v>
      </c>
      <c r="AF130" s="106">
        <v>70.099999999999994</v>
      </c>
      <c r="AG130" s="114"/>
      <c r="AH130" s="47">
        <f t="shared" si="40"/>
        <v>111.6</v>
      </c>
      <c r="AI130" s="48">
        <f t="shared" si="41"/>
        <v>-64.8</v>
      </c>
    </row>
    <row r="131" spans="1:37" x14ac:dyDescent="0.25">
      <c r="A131" s="144" t="s">
        <v>238</v>
      </c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5"/>
      <c r="AG131" s="43"/>
      <c r="AH131" s="47"/>
      <c r="AI131" s="48"/>
    </row>
    <row r="132" spans="1:37" x14ac:dyDescent="0.25">
      <c r="A132" s="189" t="s">
        <v>368</v>
      </c>
      <c r="B132" s="147"/>
      <c r="C132" s="147"/>
      <c r="D132" s="147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  <c r="AA132" s="147"/>
      <c r="AB132" s="147">
        <v>1983.5</v>
      </c>
      <c r="AC132" s="147"/>
      <c r="AD132" s="147">
        <v>1983.4</v>
      </c>
      <c r="AE132" s="147">
        <v>1983.63</v>
      </c>
      <c r="AF132" s="147">
        <v>1983.63</v>
      </c>
      <c r="AG132" s="149"/>
      <c r="AH132" s="47"/>
      <c r="AI132" s="48"/>
    </row>
    <row r="133" spans="1:37" x14ac:dyDescent="0.25">
      <c r="A133" s="189" t="s">
        <v>239</v>
      </c>
      <c r="B133" s="150"/>
      <c r="C133" s="150"/>
      <c r="D133" s="150"/>
      <c r="E133" s="150"/>
      <c r="F133" s="150"/>
      <c r="G133" s="150"/>
      <c r="H133" s="150"/>
      <c r="I133" s="150"/>
      <c r="J133" s="150"/>
      <c r="K133" s="150"/>
      <c r="L133" s="150"/>
      <c r="M133" s="150"/>
      <c r="N133" s="150"/>
      <c r="O133" s="150"/>
      <c r="P133" s="150"/>
      <c r="Q133" s="150"/>
      <c r="R133" s="150"/>
      <c r="S133" s="150"/>
      <c r="T133" s="150"/>
      <c r="U133" s="150"/>
      <c r="V133" s="150"/>
      <c r="W133" s="150"/>
      <c r="X133" s="150"/>
      <c r="Y133" s="150"/>
      <c r="Z133" s="150"/>
      <c r="AA133" s="150"/>
      <c r="AB133" s="150">
        <v>521.48</v>
      </c>
      <c r="AC133" s="150"/>
      <c r="AD133" s="150">
        <v>520.98</v>
      </c>
      <c r="AE133" s="150">
        <v>520.86</v>
      </c>
      <c r="AF133" s="150">
        <v>520.86</v>
      </c>
      <c r="AG133" s="149"/>
      <c r="AH133" s="47"/>
      <c r="AI133" s="48"/>
    </row>
    <row r="134" spans="1:37" x14ac:dyDescent="0.25">
      <c r="A134" s="189" t="s">
        <v>240</v>
      </c>
      <c r="B134" s="150"/>
      <c r="C134" s="150"/>
      <c r="D134" s="150"/>
      <c r="E134" s="150"/>
      <c r="F134" s="150"/>
      <c r="G134" s="150"/>
      <c r="H134" s="150"/>
      <c r="I134" s="150"/>
      <c r="J134" s="150"/>
      <c r="K134" s="150"/>
      <c r="L134" s="150"/>
      <c r="M134" s="150"/>
      <c r="N134" s="150"/>
      <c r="O134" s="150"/>
      <c r="P134" s="150"/>
      <c r="Q134" s="150"/>
      <c r="R134" s="150"/>
      <c r="S134" s="150"/>
      <c r="T134" s="150"/>
      <c r="U134" s="150"/>
      <c r="V134" s="150"/>
      <c r="W134" s="150"/>
      <c r="X134" s="150"/>
      <c r="Y134" s="150"/>
      <c r="Z134" s="150"/>
      <c r="AA134" s="150"/>
      <c r="AB134" s="150">
        <v>623.5</v>
      </c>
      <c r="AC134" s="150"/>
      <c r="AD134" s="150">
        <v>623.20000000000005</v>
      </c>
      <c r="AE134" s="150">
        <v>622.96</v>
      </c>
      <c r="AF134" s="150">
        <v>622.96</v>
      </c>
      <c r="AG134" s="149"/>
      <c r="AH134" s="47"/>
      <c r="AI134" s="48"/>
    </row>
    <row r="135" spans="1:37" x14ac:dyDescent="0.25">
      <c r="A135" s="189" t="s">
        <v>241</v>
      </c>
      <c r="B135" s="150"/>
      <c r="C135" s="150"/>
      <c r="D135" s="150"/>
      <c r="E135" s="150"/>
      <c r="F135" s="150"/>
      <c r="G135" s="150"/>
      <c r="H135" s="150"/>
      <c r="I135" s="150"/>
      <c r="J135" s="150"/>
      <c r="K135" s="150"/>
      <c r="L135" s="150"/>
      <c r="M135" s="150"/>
      <c r="N135" s="150"/>
      <c r="O135" s="150"/>
      <c r="P135" s="150"/>
      <c r="Q135" s="150"/>
      <c r="R135" s="150"/>
      <c r="S135" s="150"/>
      <c r="T135" s="150"/>
      <c r="U135" s="150"/>
      <c r="V135" s="150"/>
      <c r="W135" s="150"/>
      <c r="X135" s="150"/>
      <c r="Y135" s="150"/>
      <c r="Z135" s="150"/>
      <c r="AA135" s="150"/>
      <c r="AB135" s="150">
        <v>336.17</v>
      </c>
      <c r="AC135" s="150"/>
      <c r="AD135" s="150">
        <v>335.78</v>
      </c>
      <c r="AE135" s="150">
        <v>335.37</v>
      </c>
      <c r="AF135" s="150">
        <v>335.37</v>
      </c>
      <c r="AG135" s="149"/>
      <c r="AH135" s="47"/>
      <c r="AI135" s="48"/>
    </row>
    <row r="136" spans="1:37" x14ac:dyDescent="0.25">
      <c r="A136" s="189" t="s">
        <v>407</v>
      </c>
      <c r="B136" s="150"/>
      <c r="C136" s="150"/>
      <c r="D136" s="150"/>
      <c r="E136" s="150"/>
      <c r="F136" s="150"/>
      <c r="G136" s="150"/>
      <c r="H136" s="150"/>
      <c r="I136" s="150"/>
      <c r="J136" s="150"/>
      <c r="K136" s="150"/>
      <c r="L136" s="150"/>
      <c r="M136" s="150"/>
      <c r="N136" s="150"/>
      <c r="O136" s="150"/>
      <c r="P136" s="150"/>
      <c r="Q136" s="150"/>
      <c r="R136" s="150"/>
      <c r="S136" s="150"/>
      <c r="T136" s="150"/>
      <c r="U136" s="150"/>
      <c r="V136" s="150"/>
      <c r="W136" s="150"/>
      <c r="X136" s="150"/>
      <c r="Y136" s="150"/>
      <c r="Z136" s="150"/>
      <c r="AA136" s="150"/>
      <c r="AB136" s="150">
        <v>885</v>
      </c>
      <c r="AC136" s="150"/>
      <c r="AD136" s="150">
        <v>883.5</v>
      </c>
      <c r="AE136" s="150">
        <v>882.8</v>
      </c>
      <c r="AF136" s="150"/>
      <c r="AG136" s="149"/>
      <c r="AH136" s="47"/>
      <c r="AI136" s="48"/>
    </row>
    <row r="137" spans="1:37" ht="15.75" thickBot="1" x14ac:dyDescent="0.3">
      <c r="A137" s="189" t="s">
        <v>242</v>
      </c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  <c r="AC137" s="152"/>
      <c r="AD137" s="152"/>
      <c r="AE137" s="152"/>
      <c r="AF137" s="152"/>
      <c r="AG137" s="149"/>
      <c r="AH137" s="47"/>
      <c r="AI137" s="48"/>
    </row>
    <row r="138" spans="1:37" ht="15.75" thickBot="1" x14ac:dyDescent="0.3">
      <c r="A138" s="120" t="s">
        <v>125</v>
      </c>
      <c r="B138" s="121"/>
      <c r="C138" s="121"/>
      <c r="D138" s="121"/>
      <c r="E138" s="121"/>
      <c r="F138" s="170" t="s">
        <v>254</v>
      </c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74"/>
      <c r="AH138" s="47"/>
      <c r="AI138" s="48"/>
      <c r="AK138" s="50"/>
    </row>
    <row r="139" spans="1:37" x14ac:dyDescent="0.25">
      <c r="A139" s="122" t="s">
        <v>126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5">
        <v>9.94</v>
      </c>
      <c r="AH139" s="47"/>
      <c r="AI139" s="48"/>
      <c r="AK139" s="50"/>
    </row>
    <row r="140" spans="1:37" x14ac:dyDescent="0.25">
      <c r="A140" s="103" t="s">
        <v>127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5"/>
      <c r="AH140" s="47"/>
      <c r="AI140" s="48"/>
      <c r="AK140" s="50"/>
    </row>
    <row r="141" spans="1:37" x14ac:dyDescent="0.25">
      <c r="A141" s="103" t="s">
        <v>128</v>
      </c>
      <c r="B141" s="123"/>
      <c r="C141" s="124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5"/>
      <c r="AH141" s="47"/>
      <c r="AI141" s="48"/>
      <c r="AK141" s="50"/>
    </row>
    <row r="142" spans="1:37" x14ac:dyDescent="0.25">
      <c r="A142" s="103" t="s">
        <v>129</v>
      </c>
      <c r="B142" s="123"/>
      <c r="C142" s="124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5"/>
      <c r="AH142" s="47"/>
      <c r="AI142" s="48"/>
      <c r="AK142" s="50"/>
    </row>
    <row r="143" spans="1:37" x14ac:dyDescent="0.25">
      <c r="A143" s="103" t="s">
        <v>130</v>
      </c>
      <c r="B143" s="123"/>
      <c r="C143" s="124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5"/>
      <c r="AH143" s="47"/>
      <c r="AI143" s="48"/>
      <c r="AK143" s="50"/>
    </row>
    <row r="144" spans="1:37" x14ac:dyDescent="0.25">
      <c r="A144" s="103" t="s">
        <v>131</v>
      </c>
      <c r="B144" s="123"/>
      <c r="C144" s="124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5"/>
      <c r="AH144" s="47"/>
      <c r="AI144" s="48"/>
      <c r="AK144" s="50"/>
    </row>
    <row r="145" spans="1:37" x14ac:dyDescent="0.25">
      <c r="A145" s="103" t="s">
        <v>132</v>
      </c>
      <c r="B145" s="123"/>
      <c r="C145" s="124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5"/>
      <c r="AH145" s="47"/>
      <c r="AI145" s="48"/>
      <c r="AK145" s="50"/>
    </row>
    <row r="146" spans="1:37" x14ac:dyDescent="0.25">
      <c r="A146" s="103" t="s">
        <v>133</v>
      </c>
      <c r="B146" s="123"/>
      <c r="C146" s="124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5"/>
      <c r="AH146" s="47"/>
      <c r="AI146" s="48"/>
      <c r="AK146" s="50"/>
    </row>
    <row r="147" spans="1:37" x14ac:dyDescent="0.25">
      <c r="A147" s="103" t="s">
        <v>134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5"/>
      <c r="AH147" s="47"/>
      <c r="AI147" s="48"/>
      <c r="AK147" s="50"/>
    </row>
    <row r="148" spans="1:37" x14ac:dyDescent="0.25">
      <c r="A148" s="103" t="s">
        <v>135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5"/>
      <c r="AH148" s="47"/>
      <c r="AI148" s="48"/>
      <c r="AK148" s="50"/>
    </row>
    <row r="149" spans="1:37" x14ac:dyDescent="0.25">
      <c r="A149" s="103" t="s">
        <v>136</v>
      </c>
      <c r="B149" s="123"/>
      <c r="C149" s="124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5"/>
      <c r="AH149" s="47"/>
      <c r="AI149" s="48"/>
      <c r="AK149" s="50"/>
    </row>
    <row r="150" spans="1:37" x14ac:dyDescent="0.25">
      <c r="A150" s="103" t="s">
        <v>137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5"/>
      <c r="AH150" s="47"/>
      <c r="AI150" s="48"/>
      <c r="AK150" s="50"/>
    </row>
    <row r="151" spans="1:37" x14ac:dyDescent="0.25">
      <c r="A151" s="103" t="s">
        <v>138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5"/>
      <c r="AH151" s="47"/>
      <c r="AI151" s="48"/>
      <c r="AK151" s="50"/>
    </row>
    <row r="152" spans="1:37" x14ac:dyDescent="0.25">
      <c r="A152" s="103" t="s">
        <v>139</v>
      </c>
      <c r="B152" s="123"/>
      <c r="C152" s="124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5"/>
      <c r="AH152" s="47"/>
      <c r="AI152" s="48"/>
      <c r="AK152" s="50"/>
    </row>
    <row r="153" spans="1:37" x14ac:dyDescent="0.25">
      <c r="A153" s="103" t="s">
        <v>140</v>
      </c>
      <c r="B153" s="123"/>
      <c r="C153" s="124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5"/>
      <c r="AH153" s="47"/>
      <c r="AI153" s="48"/>
      <c r="AK153" s="50"/>
    </row>
    <row r="154" spans="1:37" x14ac:dyDescent="0.25">
      <c r="A154" s="103" t="s">
        <v>141</v>
      </c>
      <c r="B154" s="123"/>
      <c r="C154" s="124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5"/>
      <c r="AH154" s="47"/>
      <c r="AI154" s="48"/>
      <c r="AK154" s="50"/>
    </row>
    <row r="155" spans="1:37" x14ac:dyDescent="0.25">
      <c r="A155" s="103" t="s">
        <v>142</v>
      </c>
      <c r="B155" s="126"/>
      <c r="C155" s="127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8">
        <v>9.9</v>
      </c>
      <c r="AH155" s="47"/>
      <c r="AI155" s="48"/>
      <c r="AK155" s="50"/>
    </row>
    <row r="156" spans="1:37" x14ac:dyDescent="0.25">
      <c r="A156" s="116" t="s">
        <v>143</v>
      </c>
      <c r="B156" s="126"/>
      <c r="C156" s="127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9">
        <v>9.6579999999999995</v>
      </c>
      <c r="AH156" s="47"/>
      <c r="AI156" s="48"/>
      <c r="AK156" s="50"/>
    </row>
    <row r="157" spans="1:37" x14ac:dyDescent="0.25">
      <c r="A157" s="116" t="s">
        <v>144</v>
      </c>
      <c r="B157" s="126"/>
      <c r="C157" s="127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9">
        <v>9.6</v>
      </c>
      <c r="AH157" s="47"/>
      <c r="AI157" s="48"/>
      <c r="AK157" s="50"/>
    </row>
    <row r="158" spans="1:37" x14ac:dyDescent="0.25">
      <c r="A158" s="116" t="s">
        <v>145</v>
      </c>
      <c r="B158" s="126"/>
      <c r="C158" s="127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9">
        <v>9.51</v>
      </c>
      <c r="AH158" s="47"/>
      <c r="AI158" s="48"/>
      <c r="AK158" s="50"/>
    </row>
    <row r="159" spans="1:37" x14ac:dyDescent="0.25">
      <c r="A159" s="116" t="s">
        <v>146</v>
      </c>
      <c r="B159" s="126"/>
      <c r="C159" s="127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9">
        <v>9.4</v>
      </c>
      <c r="AH159" s="47"/>
      <c r="AI159" s="48"/>
      <c r="AK159" s="50"/>
    </row>
    <row r="160" spans="1:37" x14ac:dyDescent="0.25">
      <c r="A160" s="116" t="s">
        <v>147</v>
      </c>
      <c r="B160" s="126"/>
      <c r="C160" s="127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9">
        <v>8.8000000000000007</v>
      </c>
      <c r="AH160" s="47"/>
      <c r="AI160" s="48"/>
      <c r="AK160" s="50"/>
    </row>
    <row r="161" spans="1:37" x14ac:dyDescent="0.25">
      <c r="A161" s="116" t="s">
        <v>148</v>
      </c>
      <c r="B161" s="126"/>
      <c r="C161" s="127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9">
        <v>8.5</v>
      </c>
      <c r="AH161" s="47"/>
      <c r="AI161" s="48"/>
      <c r="AK161" s="50"/>
    </row>
    <row r="162" spans="1:37" x14ac:dyDescent="0.25">
      <c r="A162" s="116" t="s">
        <v>149</v>
      </c>
      <c r="B162" s="126"/>
      <c r="C162" s="127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9">
        <v>8.5</v>
      </c>
      <c r="AH162" s="47"/>
      <c r="AI162" s="48"/>
      <c r="AK162" s="50"/>
    </row>
    <row r="163" spans="1:37" x14ac:dyDescent="0.25">
      <c r="A163" s="116" t="s">
        <v>150</v>
      </c>
      <c r="B163" s="126"/>
      <c r="C163" s="127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9">
        <v>8.4</v>
      </c>
      <c r="AH163" s="47"/>
      <c r="AI163" s="48"/>
      <c r="AK163" s="50"/>
    </row>
    <row r="164" spans="1:37" ht="13.5" customHeight="1" x14ac:dyDescent="0.25">
      <c r="A164" s="116" t="s">
        <v>151</v>
      </c>
      <c r="B164" s="126"/>
      <c r="C164" s="127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9">
        <v>8</v>
      </c>
      <c r="AH164" s="47"/>
      <c r="AI164" s="48"/>
      <c r="AK164" s="50"/>
    </row>
    <row r="165" spans="1:37" x14ac:dyDescent="0.25">
      <c r="A165" s="116" t="s">
        <v>152</v>
      </c>
      <c r="B165" s="126"/>
      <c r="C165" s="127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9">
        <v>8</v>
      </c>
      <c r="AH165" s="47"/>
      <c r="AI165" s="48"/>
      <c r="AK165" s="50"/>
    </row>
    <row r="166" spans="1:37" x14ac:dyDescent="0.25">
      <c r="A166" s="116" t="s">
        <v>153</v>
      </c>
      <c r="B166" s="126"/>
      <c r="C166" s="127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9">
        <v>8</v>
      </c>
      <c r="AH166" s="47"/>
      <c r="AI166" s="48"/>
      <c r="AK166" s="50"/>
    </row>
    <row r="167" spans="1:37" x14ac:dyDescent="0.25">
      <c r="A167" s="116" t="s">
        <v>154</v>
      </c>
      <c r="B167" s="126"/>
      <c r="C167" s="127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9">
        <v>7.8</v>
      </c>
      <c r="AH167" s="47"/>
      <c r="AI167" s="48"/>
      <c r="AK167" s="50"/>
    </row>
    <row r="168" spans="1:37" x14ac:dyDescent="0.25">
      <c r="A168" s="116" t="s">
        <v>155</v>
      </c>
      <c r="B168" s="126"/>
      <c r="C168" s="127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9">
        <v>7.6</v>
      </c>
      <c r="AH168" s="47"/>
      <c r="AI168" s="48"/>
      <c r="AK168" s="50"/>
    </row>
    <row r="169" spans="1:37" x14ac:dyDescent="0.25">
      <c r="A169" s="116" t="s">
        <v>156</v>
      </c>
      <c r="B169" s="126"/>
      <c r="C169" s="127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9">
        <v>7.5</v>
      </c>
      <c r="AH169" s="47"/>
      <c r="AI169" s="48"/>
      <c r="AK169" s="50"/>
    </row>
    <row r="170" spans="1:37" x14ac:dyDescent="0.25">
      <c r="A170" s="116" t="s">
        <v>157</v>
      </c>
      <c r="B170" s="126"/>
      <c r="C170" s="127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9">
        <v>7.5</v>
      </c>
      <c r="AH170" s="47"/>
      <c r="AI170" s="48"/>
      <c r="AK170" s="50"/>
    </row>
    <row r="171" spans="1:37" x14ac:dyDescent="0.25">
      <c r="A171" s="116" t="s">
        <v>158</v>
      </c>
      <c r="B171" s="126"/>
      <c r="C171" s="127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9">
        <v>7</v>
      </c>
      <c r="AH171" s="47"/>
      <c r="AI171" s="48"/>
      <c r="AK171" s="50"/>
    </row>
    <row r="172" spans="1:37" x14ac:dyDescent="0.25">
      <c r="A172" s="116" t="s">
        <v>159</v>
      </c>
      <c r="B172" s="126"/>
      <c r="C172" s="127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9">
        <v>7</v>
      </c>
      <c r="AH172" s="47"/>
      <c r="AI172" s="48"/>
      <c r="AK172" s="50"/>
    </row>
    <row r="173" spans="1:37" x14ac:dyDescent="0.25">
      <c r="A173" s="116" t="s">
        <v>160</v>
      </c>
      <c r="B173" s="126"/>
      <c r="C173" s="127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9">
        <v>7</v>
      </c>
      <c r="AH173" s="47"/>
      <c r="AI173" s="48"/>
      <c r="AK173" s="50"/>
    </row>
    <row r="174" spans="1:37" x14ac:dyDescent="0.25">
      <c r="A174" s="116" t="s">
        <v>161</v>
      </c>
      <c r="B174" s="126"/>
      <c r="C174" s="127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9">
        <v>7</v>
      </c>
      <c r="AH174" s="47"/>
      <c r="AI174" s="48"/>
      <c r="AK174" s="50"/>
    </row>
    <row r="175" spans="1:37" x14ac:dyDescent="0.25">
      <c r="A175" s="116" t="s">
        <v>162</v>
      </c>
      <c r="B175" s="126"/>
      <c r="C175" s="127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9">
        <v>6.6</v>
      </c>
      <c r="AH175" s="47"/>
      <c r="AI175" s="48"/>
      <c r="AK175" s="50"/>
    </row>
    <row r="176" spans="1:37" x14ac:dyDescent="0.25">
      <c r="A176" s="116" t="s">
        <v>163</v>
      </c>
      <c r="B176" s="126"/>
      <c r="C176" s="127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9">
        <v>6.6</v>
      </c>
      <c r="AH176" s="47"/>
      <c r="AI176" s="48"/>
      <c r="AK176" s="50"/>
    </row>
    <row r="177" spans="1:37" x14ac:dyDescent="0.25">
      <c r="A177" s="116" t="s">
        <v>164</v>
      </c>
      <c r="B177" s="126"/>
      <c r="C177" s="127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9">
        <v>6.4</v>
      </c>
      <c r="AH177" s="47"/>
      <c r="AI177" s="48"/>
      <c r="AK177" s="50"/>
    </row>
    <row r="178" spans="1:37" x14ac:dyDescent="0.25">
      <c r="A178" s="116" t="s">
        <v>165</v>
      </c>
      <c r="B178" s="126"/>
      <c r="C178" s="127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9">
        <v>6</v>
      </c>
      <c r="AH178" s="47"/>
      <c r="AI178" s="48"/>
      <c r="AK178" s="50"/>
    </row>
    <row r="179" spans="1:37" x14ac:dyDescent="0.25">
      <c r="A179" s="116" t="s">
        <v>166</v>
      </c>
      <c r="B179" s="126"/>
      <c r="C179" s="127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9">
        <v>5.0999999999999996</v>
      </c>
      <c r="AH179" s="47"/>
      <c r="AI179" s="48"/>
      <c r="AK179" s="50"/>
    </row>
    <row r="180" spans="1:37" x14ac:dyDescent="0.25">
      <c r="A180" s="116" t="s">
        <v>167</v>
      </c>
      <c r="B180" s="126"/>
      <c r="C180" s="127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9">
        <v>5</v>
      </c>
      <c r="AH180" s="47"/>
      <c r="AI180" s="48"/>
      <c r="AK180" s="50"/>
    </row>
    <row r="181" spans="1:37" x14ac:dyDescent="0.25">
      <c r="A181" s="103" t="s">
        <v>168</v>
      </c>
      <c r="B181" s="126"/>
      <c r="C181" s="127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8">
        <v>5</v>
      </c>
      <c r="AH181" s="47"/>
      <c r="AI181" s="48"/>
      <c r="AK181" s="50"/>
    </row>
    <row r="182" spans="1:37" x14ac:dyDescent="0.25">
      <c r="A182" s="116" t="s">
        <v>169</v>
      </c>
      <c r="B182" s="126"/>
      <c r="C182" s="127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9">
        <v>5</v>
      </c>
      <c r="AH182" s="47"/>
      <c r="AI182" s="48"/>
      <c r="AK182" s="50"/>
    </row>
    <row r="183" spans="1:37" x14ac:dyDescent="0.25">
      <c r="A183" s="116" t="s">
        <v>170</v>
      </c>
      <c r="B183" s="126"/>
      <c r="C183" s="127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9">
        <v>5</v>
      </c>
      <c r="AH183" s="47"/>
      <c r="AI183" s="48"/>
      <c r="AK183" s="50"/>
    </row>
    <row r="184" spans="1:37" x14ac:dyDescent="0.25">
      <c r="A184" s="116" t="s">
        <v>171</v>
      </c>
      <c r="B184" s="126"/>
      <c r="C184" s="127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9">
        <v>5</v>
      </c>
      <c r="AH184" s="47"/>
      <c r="AI184" s="48"/>
      <c r="AK184" s="50"/>
    </row>
    <row r="185" spans="1:37" x14ac:dyDescent="0.25">
      <c r="A185" s="116" t="s">
        <v>172</v>
      </c>
      <c r="B185" s="126"/>
      <c r="C185" s="127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9">
        <v>5</v>
      </c>
      <c r="AH185" s="47"/>
      <c r="AI185" s="48"/>
      <c r="AK185" s="50"/>
    </row>
    <row r="186" spans="1:37" x14ac:dyDescent="0.25">
      <c r="A186" s="116" t="s">
        <v>173</v>
      </c>
      <c r="B186" s="126"/>
      <c r="C186" s="127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9">
        <v>5</v>
      </c>
      <c r="AH186" s="47"/>
      <c r="AI186" s="48"/>
      <c r="AK186" s="50"/>
    </row>
    <row r="187" spans="1:37" x14ac:dyDescent="0.25">
      <c r="A187" s="116" t="s">
        <v>174</v>
      </c>
      <c r="B187" s="126"/>
      <c r="C187" s="127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9">
        <v>4.9930000000000003</v>
      </c>
      <c r="AH187" s="47"/>
      <c r="AI187" s="48"/>
      <c r="AK187" s="50"/>
    </row>
    <row r="188" spans="1:37" x14ac:dyDescent="0.25">
      <c r="A188" s="116" t="s">
        <v>175</v>
      </c>
      <c r="B188" s="126"/>
      <c r="C188" s="127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9">
        <v>4.9800000000000004</v>
      </c>
      <c r="AH188" s="47"/>
      <c r="AI188" s="48"/>
      <c r="AK188" s="50"/>
    </row>
    <row r="189" spans="1:37" x14ac:dyDescent="0.25">
      <c r="A189" s="116" t="s">
        <v>176</v>
      </c>
      <c r="B189" s="126"/>
      <c r="C189" s="127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9">
        <v>4.95</v>
      </c>
      <c r="AH189" s="47"/>
      <c r="AI189" s="48"/>
      <c r="AK189" s="50"/>
    </row>
    <row r="190" spans="1:37" x14ac:dyDescent="0.25">
      <c r="A190" s="116" t="s">
        <v>177</v>
      </c>
      <c r="B190" s="126"/>
      <c r="C190" s="127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9">
        <v>4.95</v>
      </c>
      <c r="AH190" s="47"/>
      <c r="AI190" s="48"/>
      <c r="AK190" s="50"/>
    </row>
    <row r="191" spans="1:37" x14ac:dyDescent="0.25">
      <c r="A191" s="116" t="s">
        <v>178</v>
      </c>
      <c r="B191" s="126"/>
      <c r="C191" s="127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9">
        <v>4.8</v>
      </c>
      <c r="AH191" s="47"/>
      <c r="AI191" s="48"/>
      <c r="AK191" s="50"/>
    </row>
    <row r="192" spans="1:37" x14ac:dyDescent="0.25">
      <c r="A192" s="116" t="s">
        <v>179</v>
      </c>
      <c r="B192" s="126"/>
      <c r="C192" s="127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9">
        <v>4.8</v>
      </c>
      <c r="AH192" s="47"/>
      <c r="AI192" s="48"/>
      <c r="AK192" s="50"/>
    </row>
    <row r="193" spans="1:37" x14ac:dyDescent="0.25">
      <c r="A193" s="116" t="s">
        <v>180</v>
      </c>
      <c r="B193" s="126"/>
      <c r="C193" s="127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9">
        <v>4.8</v>
      </c>
      <c r="AH193" s="47"/>
      <c r="AI193" s="48"/>
      <c r="AK193" s="50"/>
    </row>
    <row r="194" spans="1:37" x14ac:dyDescent="0.25">
      <c r="A194" s="116" t="s">
        <v>181</v>
      </c>
      <c r="B194" s="126"/>
      <c r="C194" s="127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9">
        <v>4.5</v>
      </c>
      <c r="AH194" s="47"/>
      <c r="AI194" s="48"/>
      <c r="AK194" s="50"/>
    </row>
    <row r="195" spans="1:37" x14ac:dyDescent="0.25">
      <c r="A195" s="116" t="s">
        <v>182</v>
      </c>
      <c r="B195" s="126"/>
      <c r="C195" s="127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9">
        <v>4.5</v>
      </c>
      <c r="AH195" s="47"/>
      <c r="AI195" s="48"/>
      <c r="AK195" s="50"/>
    </row>
    <row r="196" spans="1:37" x14ac:dyDescent="0.25">
      <c r="A196" s="116" t="s">
        <v>183</v>
      </c>
      <c r="B196" s="126"/>
      <c r="C196" s="127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9">
        <v>4.4550000000000001</v>
      </c>
      <c r="AH196" s="47"/>
      <c r="AI196" s="48"/>
      <c r="AK196" s="50"/>
    </row>
    <row r="197" spans="1:37" x14ac:dyDescent="0.25">
      <c r="A197" s="116" t="s">
        <v>184</v>
      </c>
      <c r="B197" s="126"/>
      <c r="C197" s="127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9">
        <v>4.41</v>
      </c>
      <c r="AH197" s="47"/>
      <c r="AI197" s="48"/>
      <c r="AK197" s="50"/>
    </row>
    <row r="198" spans="1:37" x14ac:dyDescent="0.25">
      <c r="A198" s="116" t="s">
        <v>185</v>
      </c>
      <c r="B198" s="126"/>
      <c r="C198" s="127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9">
        <v>4.4000000000000004</v>
      </c>
      <c r="AH198" s="47"/>
      <c r="AI198" s="48"/>
      <c r="AK198" s="50"/>
    </row>
    <row r="199" spans="1:37" x14ac:dyDescent="0.25">
      <c r="A199" s="116" t="s">
        <v>186</v>
      </c>
      <c r="B199" s="126"/>
      <c r="C199" s="127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9">
        <v>4.3600000000000003</v>
      </c>
      <c r="AH199" s="47"/>
      <c r="AI199" s="48"/>
      <c r="AK199" s="50"/>
    </row>
    <row r="200" spans="1:37" x14ac:dyDescent="0.25">
      <c r="A200" s="116" t="s">
        <v>187</v>
      </c>
      <c r="B200" s="126"/>
      <c r="C200" s="127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9">
        <v>4.2</v>
      </c>
      <c r="AH200" s="47"/>
      <c r="AI200" s="48"/>
      <c r="AK200" s="50"/>
    </row>
    <row r="201" spans="1:37" x14ac:dyDescent="0.25">
      <c r="A201" s="116" t="s">
        <v>188</v>
      </c>
      <c r="B201" s="126"/>
      <c r="C201" s="127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9">
        <v>4</v>
      </c>
      <c r="AH201" s="47"/>
      <c r="AI201" s="48"/>
      <c r="AK201" s="50"/>
    </row>
    <row r="202" spans="1:37" x14ac:dyDescent="0.25">
      <c r="A202" s="116" t="s">
        <v>189</v>
      </c>
      <c r="B202" s="126"/>
      <c r="C202" s="127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9">
        <v>4</v>
      </c>
      <c r="AH202" s="47"/>
      <c r="AI202" s="48"/>
      <c r="AK202" s="50"/>
    </row>
    <row r="203" spans="1:37" x14ac:dyDescent="0.25">
      <c r="A203" s="116" t="s">
        <v>190</v>
      </c>
      <c r="B203" s="126"/>
      <c r="C203" s="127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9">
        <v>4</v>
      </c>
      <c r="AH203" s="47"/>
      <c r="AI203" s="48"/>
      <c r="AK203" s="50"/>
    </row>
    <row r="204" spans="1:37" x14ac:dyDescent="0.25">
      <c r="A204" s="116" t="s">
        <v>191</v>
      </c>
      <c r="B204" s="126"/>
      <c r="C204" s="127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9">
        <v>4</v>
      </c>
      <c r="AH204" s="47"/>
      <c r="AI204" s="48"/>
      <c r="AK204" s="50"/>
    </row>
    <row r="205" spans="1:37" x14ac:dyDescent="0.25">
      <c r="A205" s="116" t="s">
        <v>192</v>
      </c>
      <c r="B205" s="126"/>
      <c r="C205" s="127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9">
        <v>4</v>
      </c>
      <c r="AH205" s="47"/>
      <c r="AI205" s="48"/>
      <c r="AK205" s="50"/>
    </row>
    <row r="206" spans="1:37" x14ac:dyDescent="0.25">
      <c r="A206" s="116" t="s">
        <v>193</v>
      </c>
      <c r="B206" s="126"/>
      <c r="C206" s="127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9">
        <v>4</v>
      </c>
      <c r="AH206" s="47"/>
      <c r="AI206" s="48"/>
      <c r="AK206" s="50"/>
    </row>
    <row r="207" spans="1:37" x14ac:dyDescent="0.25">
      <c r="A207" s="116" t="s">
        <v>194</v>
      </c>
      <c r="B207" s="126"/>
      <c r="C207" s="127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9">
        <v>4</v>
      </c>
      <c r="AH207" s="47"/>
      <c r="AI207" s="48"/>
      <c r="AK207" s="50"/>
    </row>
    <row r="208" spans="1:37" x14ac:dyDescent="0.25">
      <c r="A208" s="116" t="s">
        <v>195</v>
      </c>
      <c r="B208" s="126"/>
      <c r="C208" s="127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9">
        <v>4</v>
      </c>
      <c r="AH208" s="47"/>
      <c r="AI208" s="48"/>
      <c r="AK208" s="50"/>
    </row>
    <row r="209" spans="1:37" x14ac:dyDescent="0.25">
      <c r="A209" s="116" t="s">
        <v>196</v>
      </c>
      <c r="B209" s="126"/>
      <c r="C209" s="127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9">
        <v>3.75</v>
      </c>
      <c r="AH209" s="47"/>
      <c r="AI209" s="48"/>
      <c r="AK209" s="50"/>
    </row>
    <row r="210" spans="1:37" x14ac:dyDescent="0.25">
      <c r="A210" s="116" t="s">
        <v>197</v>
      </c>
      <c r="B210" s="126"/>
      <c r="C210" s="127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9">
        <v>3.52</v>
      </c>
      <c r="AH210" s="47"/>
      <c r="AI210" s="48"/>
      <c r="AK210" s="50"/>
    </row>
    <row r="211" spans="1:37" x14ac:dyDescent="0.25">
      <c r="A211" s="116" t="s">
        <v>198</v>
      </c>
      <c r="B211" s="126"/>
      <c r="C211" s="127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9">
        <v>3.33</v>
      </c>
      <c r="AH211" s="47"/>
      <c r="AI211" s="48"/>
      <c r="AK211" s="50"/>
    </row>
    <row r="212" spans="1:37" x14ac:dyDescent="0.25">
      <c r="A212" s="116" t="s">
        <v>199</v>
      </c>
      <c r="B212" s="126"/>
      <c r="C212" s="127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9">
        <v>3.2</v>
      </c>
      <c r="AH212" s="47"/>
      <c r="AI212" s="48"/>
      <c r="AK212" s="50"/>
    </row>
    <row r="213" spans="1:37" x14ac:dyDescent="0.25">
      <c r="A213" s="116" t="s">
        <v>200</v>
      </c>
      <c r="B213" s="126"/>
      <c r="C213" s="127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9">
        <v>3</v>
      </c>
      <c r="AH213" s="47"/>
      <c r="AI213" s="48"/>
      <c r="AK213" s="50"/>
    </row>
    <row r="214" spans="1:37" x14ac:dyDescent="0.25">
      <c r="A214" s="116" t="s">
        <v>201</v>
      </c>
      <c r="B214" s="126"/>
      <c r="C214" s="127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9">
        <v>3</v>
      </c>
      <c r="AH214" s="47"/>
      <c r="AI214" s="48"/>
      <c r="AK214" s="50"/>
    </row>
    <row r="215" spans="1:37" x14ac:dyDescent="0.25">
      <c r="A215" s="116" t="s">
        <v>202</v>
      </c>
      <c r="B215" s="126"/>
      <c r="C215" s="127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9">
        <v>3</v>
      </c>
      <c r="AH215" s="47"/>
      <c r="AI215" s="48"/>
      <c r="AK215" s="50"/>
    </row>
    <row r="216" spans="1:37" x14ac:dyDescent="0.25">
      <c r="A216" s="116" t="s">
        <v>203</v>
      </c>
      <c r="B216" s="126"/>
      <c r="C216" s="127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9">
        <v>3</v>
      </c>
      <c r="AH216" s="47"/>
      <c r="AI216" s="48"/>
      <c r="AK216" s="50"/>
    </row>
    <row r="217" spans="1:37" x14ac:dyDescent="0.25">
      <c r="A217" s="116" t="s">
        <v>204</v>
      </c>
      <c r="B217" s="126"/>
      <c r="C217" s="127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9">
        <v>3</v>
      </c>
      <c r="AH217" s="47"/>
      <c r="AI217" s="48"/>
      <c r="AK217" s="50"/>
    </row>
    <row r="218" spans="1:37" x14ac:dyDescent="0.25">
      <c r="A218" s="116" t="s">
        <v>205</v>
      </c>
      <c r="B218" s="126"/>
      <c r="C218" s="127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9">
        <v>3</v>
      </c>
      <c r="AH218" s="47"/>
      <c r="AI218" s="48"/>
      <c r="AK218" s="50"/>
    </row>
    <row r="219" spans="1:37" x14ac:dyDescent="0.25">
      <c r="A219" s="116" t="s">
        <v>206</v>
      </c>
      <c r="B219" s="126"/>
      <c r="C219" s="127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9">
        <v>3</v>
      </c>
      <c r="AH219" s="47"/>
      <c r="AI219" s="48"/>
      <c r="AK219" s="50"/>
    </row>
    <row r="220" spans="1:37" x14ac:dyDescent="0.25">
      <c r="A220" s="116" t="s">
        <v>207</v>
      </c>
      <c r="B220" s="126"/>
      <c r="C220" s="127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9">
        <v>3</v>
      </c>
      <c r="AH220" s="47"/>
      <c r="AI220" s="48"/>
      <c r="AK220" s="50"/>
    </row>
    <row r="221" spans="1:37" x14ac:dyDescent="0.25">
      <c r="A221" s="116" t="s">
        <v>208</v>
      </c>
      <c r="B221" s="126"/>
      <c r="C221" s="127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9">
        <v>2.83</v>
      </c>
      <c r="AH221" s="47"/>
      <c r="AI221" s="48"/>
      <c r="AK221" s="50"/>
    </row>
    <row r="222" spans="1:37" x14ac:dyDescent="0.25">
      <c r="A222" s="116" t="s">
        <v>209</v>
      </c>
      <c r="B222" s="126"/>
      <c r="C222" s="127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9">
        <v>2.5</v>
      </c>
      <c r="AH222" s="47"/>
      <c r="AI222" s="48"/>
      <c r="AK222" s="50"/>
    </row>
    <row r="223" spans="1:37" x14ac:dyDescent="0.25">
      <c r="A223" s="116" t="s">
        <v>210</v>
      </c>
      <c r="B223" s="126"/>
      <c r="C223" s="127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9">
        <v>2.5</v>
      </c>
      <c r="AH223" s="47"/>
      <c r="AI223" s="48"/>
      <c r="AK223" s="50"/>
    </row>
    <row r="224" spans="1:37" x14ac:dyDescent="0.25">
      <c r="A224" s="116" t="s">
        <v>211</v>
      </c>
      <c r="B224" s="126"/>
      <c r="C224" s="127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9">
        <v>2.4</v>
      </c>
      <c r="AH224" s="47"/>
      <c r="AI224" s="48"/>
      <c r="AK224" s="50"/>
    </row>
    <row r="225" spans="1:37" x14ac:dyDescent="0.25">
      <c r="A225" s="116" t="s">
        <v>212</v>
      </c>
      <c r="B225" s="126"/>
      <c r="C225" s="127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9">
        <v>2.4</v>
      </c>
      <c r="AH225" s="47"/>
      <c r="AI225" s="48"/>
      <c r="AK225" s="50"/>
    </row>
    <row r="226" spans="1:37" x14ac:dyDescent="0.25">
      <c r="A226" s="116" t="s">
        <v>213</v>
      </c>
      <c r="B226" s="126"/>
      <c r="C226" s="127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9">
        <v>2.2000000000000002</v>
      </c>
      <c r="AH226" s="47"/>
      <c r="AI226" s="48"/>
      <c r="AK226" s="50"/>
    </row>
    <row r="227" spans="1:37" x14ac:dyDescent="0.25">
      <c r="A227" s="116" t="s">
        <v>214</v>
      </c>
      <c r="B227" s="126"/>
      <c r="C227" s="127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9">
        <v>2</v>
      </c>
      <c r="AH227" s="47"/>
      <c r="AI227" s="48"/>
      <c r="AK227" s="50"/>
    </row>
    <row r="228" spans="1:37" x14ac:dyDescent="0.25">
      <c r="A228" s="116" t="s">
        <v>215</v>
      </c>
      <c r="B228" s="126"/>
      <c r="C228" s="127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9">
        <v>2</v>
      </c>
      <c r="AH228" s="47"/>
      <c r="AI228" s="48"/>
      <c r="AK228" s="50"/>
    </row>
    <row r="229" spans="1:37" x14ac:dyDescent="0.25">
      <c r="A229" s="116" t="s">
        <v>216</v>
      </c>
      <c r="B229" s="126"/>
      <c r="C229" s="127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9">
        <v>2</v>
      </c>
      <c r="AH229" s="47"/>
      <c r="AI229" s="48"/>
      <c r="AK229" s="50"/>
    </row>
    <row r="230" spans="1:37" x14ac:dyDescent="0.25">
      <c r="A230" s="116" t="s">
        <v>217</v>
      </c>
      <c r="B230" s="126"/>
      <c r="C230" s="127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9">
        <v>1.8</v>
      </c>
      <c r="AH230" s="47"/>
      <c r="AI230" s="48"/>
      <c r="AK230" s="50"/>
    </row>
    <row r="231" spans="1:37" x14ac:dyDescent="0.25">
      <c r="A231" s="116" t="s">
        <v>218</v>
      </c>
      <c r="B231" s="126"/>
      <c r="C231" s="127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9">
        <v>1.8</v>
      </c>
      <c r="AH231" s="47"/>
      <c r="AI231" s="48"/>
      <c r="AK231" s="50"/>
    </row>
    <row r="232" spans="1:37" x14ac:dyDescent="0.25">
      <c r="A232" s="116" t="s">
        <v>219</v>
      </c>
      <c r="B232" s="126"/>
      <c r="C232" s="127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9">
        <v>1.65</v>
      </c>
      <c r="AH232" s="47"/>
      <c r="AI232" s="48"/>
      <c r="AK232" s="50"/>
    </row>
    <row r="233" spans="1:37" x14ac:dyDescent="0.25">
      <c r="A233" s="116" t="s">
        <v>220</v>
      </c>
      <c r="B233" s="126"/>
      <c r="C233" s="127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9">
        <v>1.5</v>
      </c>
      <c r="AH233" s="47"/>
      <c r="AI233" s="48"/>
      <c r="AK233" s="50"/>
    </row>
    <row r="234" spans="1:37" x14ac:dyDescent="0.25">
      <c r="A234" s="116" t="s">
        <v>221</v>
      </c>
      <c r="B234" s="126"/>
      <c r="C234" s="127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9">
        <v>0.998</v>
      </c>
      <c r="AH234" s="47"/>
      <c r="AI234" s="48"/>
      <c r="AK234" s="50"/>
    </row>
    <row r="235" spans="1:37" x14ac:dyDescent="0.25">
      <c r="A235" s="116" t="s">
        <v>222</v>
      </c>
      <c r="B235" s="126"/>
      <c r="C235" s="127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9">
        <v>0.997</v>
      </c>
      <c r="AH235" s="47"/>
      <c r="AI235" s="48"/>
      <c r="AK235" s="50"/>
    </row>
    <row r="236" spans="1:37" x14ac:dyDescent="0.25">
      <c r="A236" s="116" t="s">
        <v>223</v>
      </c>
      <c r="B236" s="126"/>
      <c r="C236" s="127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9">
        <v>0.997</v>
      </c>
      <c r="AH236" s="47"/>
      <c r="AI236" s="48"/>
      <c r="AK236" s="50"/>
    </row>
    <row r="237" spans="1:37" x14ac:dyDescent="0.25">
      <c r="A237" s="116" t="s">
        <v>224</v>
      </c>
      <c r="B237" s="126"/>
      <c r="C237" s="127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9">
        <v>0.996</v>
      </c>
      <c r="AH237" s="47"/>
      <c r="AI237" s="48"/>
      <c r="AK237" s="50"/>
    </row>
    <row r="238" spans="1:37" x14ac:dyDescent="0.25">
      <c r="A238" s="116" t="s">
        <v>225</v>
      </c>
      <c r="B238" s="126"/>
      <c r="C238" s="127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9">
        <v>0.996</v>
      </c>
      <c r="AH238" s="47"/>
      <c r="AI238" s="48"/>
      <c r="AK238" s="50"/>
    </row>
    <row r="239" spans="1:37" x14ac:dyDescent="0.25">
      <c r="A239" s="116" t="s">
        <v>226</v>
      </c>
      <c r="B239" s="126"/>
      <c r="C239" s="127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9">
        <v>0.996</v>
      </c>
      <c r="AH239" s="47"/>
      <c r="AI239" s="48"/>
      <c r="AK239" s="50"/>
    </row>
    <row r="240" spans="1:37" x14ac:dyDescent="0.25">
      <c r="A240" s="116" t="s">
        <v>227</v>
      </c>
      <c r="B240" s="126"/>
      <c r="C240" s="127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9">
        <v>0.995</v>
      </c>
      <c r="AH240" s="47"/>
      <c r="AI240" s="48"/>
      <c r="AK240" s="50"/>
    </row>
    <row r="241" spans="1:37" x14ac:dyDescent="0.25">
      <c r="A241" s="116" t="s">
        <v>228</v>
      </c>
      <c r="B241" s="126"/>
      <c r="C241" s="127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9">
        <v>0.99299999999999999</v>
      </c>
      <c r="AH241" s="47"/>
      <c r="AI241" s="48"/>
      <c r="AK241" s="50"/>
    </row>
    <row r="242" spans="1:37" x14ac:dyDescent="0.25">
      <c r="A242" s="116" t="s">
        <v>229</v>
      </c>
      <c r="B242" s="126"/>
      <c r="C242" s="124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9">
        <v>0.99</v>
      </c>
      <c r="AH242" s="47"/>
      <c r="AI242" s="48"/>
      <c r="AK242" s="50"/>
    </row>
    <row r="243" spans="1:37" ht="15.75" thickBot="1" x14ac:dyDescent="0.3">
      <c r="A243" s="116" t="s">
        <v>230</v>
      </c>
      <c r="B243" s="130"/>
      <c r="C243" s="131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29">
        <v>0.97899999999999998</v>
      </c>
      <c r="AH243" s="47"/>
      <c r="AI243" s="48"/>
      <c r="AK243" s="50"/>
    </row>
    <row r="244" spans="1:37" ht="15.75" thickBot="1" x14ac:dyDescent="0.3">
      <c r="A244" s="132" t="s">
        <v>231</v>
      </c>
      <c r="B244" s="133">
        <f t="shared" ref="B244:AG244" si="139">SUM(B139:B243)</f>
        <v>0</v>
      </c>
      <c r="C244" s="134">
        <f t="shared" si="139"/>
        <v>0</v>
      </c>
      <c r="D244" s="134">
        <f t="shared" si="139"/>
        <v>0</v>
      </c>
      <c r="E244" s="134">
        <f t="shared" si="139"/>
        <v>0</v>
      </c>
      <c r="F244" s="134">
        <f t="shared" si="139"/>
        <v>0</v>
      </c>
      <c r="G244" s="134">
        <f t="shared" si="139"/>
        <v>0</v>
      </c>
      <c r="H244" s="134">
        <f t="shared" si="139"/>
        <v>0</v>
      </c>
      <c r="I244" s="134">
        <f t="shared" si="139"/>
        <v>0</v>
      </c>
      <c r="J244" s="134">
        <f t="shared" si="139"/>
        <v>0</v>
      </c>
      <c r="K244" s="134">
        <f t="shared" si="139"/>
        <v>0</v>
      </c>
      <c r="L244" s="134">
        <f t="shared" si="139"/>
        <v>0</v>
      </c>
      <c r="M244" s="134">
        <f t="shared" si="139"/>
        <v>0</v>
      </c>
      <c r="N244" s="134">
        <f t="shared" si="139"/>
        <v>0</v>
      </c>
      <c r="O244" s="134">
        <f t="shared" si="139"/>
        <v>0</v>
      </c>
      <c r="P244" s="134">
        <f t="shared" si="139"/>
        <v>0</v>
      </c>
      <c r="Q244" s="134">
        <f t="shared" si="139"/>
        <v>0</v>
      </c>
      <c r="R244" s="134">
        <f t="shared" si="139"/>
        <v>0</v>
      </c>
      <c r="S244" s="134">
        <f t="shared" si="139"/>
        <v>0</v>
      </c>
      <c r="T244" s="134">
        <f t="shared" si="139"/>
        <v>0</v>
      </c>
      <c r="U244" s="134">
        <f t="shared" si="139"/>
        <v>0</v>
      </c>
      <c r="V244" s="134">
        <f t="shared" si="139"/>
        <v>0</v>
      </c>
      <c r="W244" s="134">
        <f t="shared" si="139"/>
        <v>0</v>
      </c>
      <c r="X244" s="134">
        <f t="shared" si="139"/>
        <v>0</v>
      </c>
      <c r="Y244" s="134">
        <f t="shared" si="139"/>
        <v>0</v>
      </c>
      <c r="Z244" s="134">
        <f t="shared" si="139"/>
        <v>0</v>
      </c>
      <c r="AA244" s="134">
        <f t="shared" si="139"/>
        <v>0</v>
      </c>
      <c r="AB244" s="134">
        <f t="shared" si="139"/>
        <v>0</v>
      </c>
      <c r="AC244" s="134">
        <f t="shared" si="139"/>
        <v>0</v>
      </c>
      <c r="AD244" s="134">
        <f t="shared" si="139"/>
        <v>0</v>
      </c>
      <c r="AE244" s="134">
        <f t="shared" si="139"/>
        <v>0</v>
      </c>
      <c r="AF244" s="135">
        <f t="shared" si="139"/>
        <v>0</v>
      </c>
      <c r="AG244" s="136">
        <f t="shared" si="139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19"/>
      <c r="AH245" s="47"/>
      <c r="AI245" s="48"/>
      <c r="AK245" s="50"/>
    </row>
    <row r="246" spans="1:37" x14ac:dyDescent="0.25">
      <c r="A246" s="100" t="s">
        <v>232</v>
      </c>
      <c r="B246" s="138">
        <f t="shared" ref="B246:B251" si="140">AF246</f>
        <v>0.3</v>
      </c>
      <c r="C246" s="138">
        <v>0.3</v>
      </c>
      <c r="D246" s="138">
        <f t="shared" ref="D246:S251" si="141">C246</f>
        <v>0.3</v>
      </c>
      <c r="E246" s="138">
        <f t="shared" si="141"/>
        <v>0.3</v>
      </c>
      <c r="F246" s="138">
        <f t="shared" si="141"/>
        <v>0.3</v>
      </c>
      <c r="G246" s="138">
        <f t="shared" si="141"/>
        <v>0.3</v>
      </c>
      <c r="H246" s="138">
        <f t="shared" si="141"/>
        <v>0.3</v>
      </c>
      <c r="I246" s="138">
        <f t="shared" si="141"/>
        <v>0.3</v>
      </c>
      <c r="J246" s="138">
        <f t="shared" si="141"/>
        <v>0.3</v>
      </c>
      <c r="K246" s="138">
        <f t="shared" si="141"/>
        <v>0.3</v>
      </c>
      <c r="L246" s="138">
        <f t="shared" si="141"/>
        <v>0.3</v>
      </c>
      <c r="M246" s="138">
        <f t="shared" si="141"/>
        <v>0.3</v>
      </c>
      <c r="N246" s="138">
        <f t="shared" si="141"/>
        <v>0.3</v>
      </c>
      <c r="O246" s="138">
        <f t="shared" si="141"/>
        <v>0.3</v>
      </c>
      <c r="P246" s="138">
        <f t="shared" si="141"/>
        <v>0.3</v>
      </c>
      <c r="Q246" s="138">
        <f t="shared" si="141"/>
        <v>0.3</v>
      </c>
      <c r="R246" s="138">
        <f t="shared" si="141"/>
        <v>0.3</v>
      </c>
      <c r="S246" s="138">
        <f t="shared" si="141"/>
        <v>0.3</v>
      </c>
      <c r="T246" s="138">
        <f t="shared" ref="T246:AF251" si="142">S246</f>
        <v>0.3</v>
      </c>
      <c r="U246" s="138">
        <f t="shared" si="142"/>
        <v>0.3</v>
      </c>
      <c r="V246" s="138">
        <f t="shared" si="142"/>
        <v>0.3</v>
      </c>
      <c r="W246" s="138">
        <f t="shared" si="142"/>
        <v>0.3</v>
      </c>
      <c r="X246" s="138">
        <f t="shared" si="142"/>
        <v>0.3</v>
      </c>
      <c r="Y246" s="138">
        <f t="shared" si="142"/>
        <v>0.3</v>
      </c>
      <c r="Z246" s="138">
        <f t="shared" si="142"/>
        <v>0.3</v>
      </c>
      <c r="AA246" s="138">
        <f t="shared" si="142"/>
        <v>0.3</v>
      </c>
      <c r="AB246" s="138">
        <f t="shared" si="142"/>
        <v>0.3</v>
      </c>
      <c r="AC246" s="138">
        <f t="shared" si="142"/>
        <v>0.3</v>
      </c>
      <c r="AD246" s="138">
        <f t="shared" si="142"/>
        <v>0.3</v>
      </c>
      <c r="AE246" s="138">
        <f t="shared" si="142"/>
        <v>0.3</v>
      </c>
      <c r="AF246" s="138">
        <f t="shared" si="142"/>
        <v>0.3</v>
      </c>
      <c r="AG246" s="139">
        <v>2.4</v>
      </c>
      <c r="AH246" s="47"/>
      <c r="AI246" s="48"/>
      <c r="AK246" s="50"/>
    </row>
    <row r="247" spans="1:37" x14ac:dyDescent="0.25">
      <c r="A247" s="103" t="s">
        <v>233</v>
      </c>
      <c r="B247" s="126">
        <f t="shared" si="140"/>
        <v>0.4</v>
      </c>
      <c r="C247" s="126">
        <v>0.4</v>
      </c>
      <c r="D247" s="126">
        <f t="shared" si="141"/>
        <v>0.4</v>
      </c>
      <c r="E247" s="126">
        <f t="shared" si="141"/>
        <v>0.4</v>
      </c>
      <c r="F247" s="126">
        <f t="shared" si="141"/>
        <v>0.4</v>
      </c>
      <c r="G247" s="126">
        <f t="shared" si="141"/>
        <v>0.4</v>
      </c>
      <c r="H247" s="126">
        <f t="shared" si="141"/>
        <v>0.4</v>
      </c>
      <c r="I247" s="126">
        <f t="shared" si="141"/>
        <v>0.4</v>
      </c>
      <c r="J247" s="126">
        <f t="shared" si="141"/>
        <v>0.4</v>
      </c>
      <c r="K247" s="126">
        <f t="shared" si="141"/>
        <v>0.4</v>
      </c>
      <c r="L247" s="126">
        <f t="shared" si="141"/>
        <v>0.4</v>
      </c>
      <c r="M247" s="126">
        <f t="shared" si="141"/>
        <v>0.4</v>
      </c>
      <c r="N247" s="126">
        <f t="shared" si="141"/>
        <v>0.4</v>
      </c>
      <c r="O247" s="126">
        <f t="shared" si="141"/>
        <v>0.4</v>
      </c>
      <c r="P247" s="126">
        <f t="shared" si="141"/>
        <v>0.4</v>
      </c>
      <c r="Q247" s="126">
        <f t="shared" si="141"/>
        <v>0.4</v>
      </c>
      <c r="R247" s="126">
        <f t="shared" si="141"/>
        <v>0.4</v>
      </c>
      <c r="S247" s="126">
        <f t="shared" si="141"/>
        <v>0.4</v>
      </c>
      <c r="T247" s="126">
        <f t="shared" si="142"/>
        <v>0.4</v>
      </c>
      <c r="U247" s="126">
        <f t="shared" si="142"/>
        <v>0.4</v>
      </c>
      <c r="V247" s="126">
        <f t="shared" si="142"/>
        <v>0.4</v>
      </c>
      <c r="W247" s="126">
        <f t="shared" si="142"/>
        <v>0.4</v>
      </c>
      <c r="X247" s="126">
        <f t="shared" si="142"/>
        <v>0.4</v>
      </c>
      <c r="Y247" s="126">
        <f t="shared" si="142"/>
        <v>0.4</v>
      </c>
      <c r="Z247" s="126">
        <f t="shared" si="142"/>
        <v>0.4</v>
      </c>
      <c r="AA247" s="126">
        <f t="shared" si="142"/>
        <v>0.4</v>
      </c>
      <c r="AB247" s="126">
        <f t="shared" si="142"/>
        <v>0.4</v>
      </c>
      <c r="AC247" s="126">
        <f t="shared" si="142"/>
        <v>0.4</v>
      </c>
      <c r="AD247" s="126">
        <f t="shared" si="142"/>
        <v>0.4</v>
      </c>
      <c r="AE247" s="126">
        <f t="shared" si="142"/>
        <v>0.4</v>
      </c>
      <c r="AF247" s="126">
        <f t="shared" si="142"/>
        <v>0.4</v>
      </c>
      <c r="AG247" s="140">
        <v>2</v>
      </c>
      <c r="AH247" s="47"/>
      <c r="AI247" s="48"/>
      <c r="AK247" s="50"/>
    </row>
    <row r="248" spans="1:37" x14ac:dyDescent="0.25">
      <c r="A248" s="103" t="s">
        <v>234</v>
      </c>
      <c r="B248" s="126">
        <f t="shared" si="140"/>
        <v>1.5</v>
      </c>
      <c r="C248" s="126">
        <v>1.5</v>
      </c>
      <c r="D248" s="126">
        <f t="shared" si="141"/>
        <v>1.5</v>
      </c>
      <c r="E248" s="126">
        <f t="shared" si="141"/>
        <v>1.5</v>
      </c>
      <c r="F248" s="126">
        <f t="shared" si="141"/>
        <v>1.5</v>
      </c>
      <c r="G248" s="126">
        <f t="shared" si="141"/>
        <v>1.5</v>
      </c>
      <c r="H248" s="126">
        <f t="shared" si="141"/>
        <v>1.5</v>
      </c>
      <c r="I248" s="126">
        <f t="shared" si="141"/>
        <v>1.5</v>
      </c>
      <c r="J248" s="126">
        <f t="shared" si="141"/>
        <v>1.5</v>
      </c>
      <c r="K248" s="126">
        <f t="shared" si="141"/>
        <v>1.5</v>
      </c>
      <c r="L248" s="126">
        <f t="shared" si="141"/>
        <v>1.5</v>
      </c>
      <c r="M248" s="126">
        <f t="shared" si="141"/>
        <v>1.5</v>
      </c>
      <c r="N248" s="126">
        <f t="shared" si="141"/>
        <v>1.5</v>
      </c>
      <c r="O248" s="126">
        <f t="shared" si="141"/>
        <v>1.5</v>
      </c>
      <c r="P248" s="126">
        <f t="shared" si="141"/>
        <v>1.5</v>
      </c>
      <c r="Q248" s="126">
        <f t="shared" si="141"/>
        <v>1.5</v>
      </c>
      <c r="R248" s="126">
        <f t="shared" si="141"/>
        <v>1.5</v>
      </c>
      <c r="S248" s="126">
        <f t="shared" si="141"/>
        <v>1.5</v>
      </c>
      <c r="T248" s="126">
        <f t="shared" si="142"/>
        <v>1.5</v>
      </c>
      <c r="U248" s="126">
        <f t="shared" si="142"/>
        <v>1.5</v>
      </c>
      <c r="V248" s="126">
        <f t="shared" si="142"/>
        <v>1.5</v>
      </c>
      <c r="W248" s="126">
        <f t="shared" si="142"/>
        <v>1.5</v>
      </c>
      <c r="X248" s="126">
        <f t="shared" si="142"/>
        <v>1.5</v>
      </c>
      <c r="Y248" s="126">
        <f t="shared" si="142"/>
        <v>1.5</v>
      </c>
      <c r="Z248" s="126">
        <f t="shared" si="142"/>
        <v>1.5</v>
      </c>
      <c r="AA248" s="126">
        <f t="shared" si="142"/>
        <v>1.5</v>
      </c>
      <c r="AB248" s="126">
        <f t="shared" si="142"/>
        <v>1.5</v>
      </c>
      <c r="AC248" s="126">
        <f t="shared" si="142"/>
        <v>1.5</v>
      </c>
      <c r="AD248" s="126">
        <f t="shared" si="142"/>
        <v>1.5</v>
      </c>
      <c r="AE248" s="126">
        <f t="shared" si="142"/>
        <v>1.5</v>
      </c>
      <c r="AF248" s="126">
        <f t="shared" si="142"/>
        <v>1.5</v>
      </c>
      <c r="AG248" s="140">
        <v>1.5</v>
      </c>
      <c r="AH248" s="47"/>
      <c r="AI248" s="48"/>
      <c r="AK248" s="50"/>
    </row>
    <row r="249" spans="1:37" x14ac:dyDescent="0.25">
      <c r="A249" s="103" t="s">
        <v>235</v>
      </c>
      <c r="B249" s="126">
        <f t="shared" si="140"/>
        <v>0.3</v>
      </c>
      <c r="C249" s="126">
        <v>0.3</v>
      </c>
      <c r="D249" s="126">
        <f t="shared" si="141"/>
        <v>0.3</v>
      </c>
      <c r="E249" s="126">
        <f t="shared" si="141"/>
        <v>0.3</v>
      </c>
      <c r="F249" s="126">
        <f t="shared" si="141"/>
        <v>0.3</v>
      </c>
      <c r="G249" s="126">
        <f t="shared" si="141"/>
        <v>0.3</v>
      </c>
      <c r="H249" s="126">
        <f t="shared" si="141"/>
        <v>0.3</v>
      </c>
      <c r="I249" s="126">
        <f t="shared" si="141"/>
        <v>0.3</v>
      </c>
      <c r="J249" s="126">
        <f t="shared" si="141"/>
        <v>0.3</v>
      </c>
      <c r="K249" s="126">
        <f t="shared" si="141"/>
        <v>0.3</v>
      </c>
      <c r="L249" s="126">
        <f t="shared" si="141"/>
        <v>0.3</v>
      </c>
      <c r="M249" s="126">
        <f t="shared" si="141"/>
        <v>0.3</v>
      </c>
      <c r="N249" s="126">
        <f t="shared" si="141"/>
        <v>0.3</v>
      </c>
      <c r="O249" s="126">
        <f t="shared" si="141"/>
        <v>0.3</v>
      </c>
      <c r="P249" s="126">
        <f t="shared" si="141"/>
        <v>0.3</v>
      </c>
      <c r="Q249" s="126">
        <f t="shared" si="141"/>
        <v>0.3</v>
      </c>
      <c r="R249" s="126">
        <f t="shared" si="141"/>
        <v>0.3</v>
      </c>
      <c r="S249" s="126">
        <f t="shared" si="141"/>
        <v>0.3</v>
      </c>
      <c r="T249" s="126">
        <f t="shared" si="142"/>
        <v>0.3</v>
      </c>
      <c r="U249" s="126">
        <f t="shared" si="142"/>
        <v>0.3</v>
      </c>
      <c r="V249" s="126">
        <f t="shared" si="142"/>
        <v>0.3</v>
      </c>
      <c r="W249" s="126">
        <f t="shared" si="142"/>
        <v>0.3</v>
      </c>
      <c r="X249" s="126">
        <f t="shared" si="142"/>
        <v>0.3</v>
      </c>
      <c r="Y249" s="126">
        <f t="shared" si="142"/>
        <v>0.3</v>
      </c>
      <c r="Z249" s="126">
        <f t="shared" si="142"/>
        <v>0.3</v>
      </c>
      <c r="AA249" s="126">
        <f t="shared" si="142"/>
        <v>0.3</v>
      </c>
      <c r="AB249" s="126">
        <f t="shared" si="142"/>
        <v>0.3</v>
      </c>
      <c r="AC249" s="126">
        <f t="shared" si="142"/>
        <v>0.3</v>
      </c>
      <c r="AD249" s="126">
        <f t="shared" si="142"/>
        <v>0.3</v>
      </c>
      <c r="AE249" s="126">
        <f t="shared" si="142"/>
        <v>0.3</v>
      </c>
      <c r="AF249" s="126">
        <f t="shared" si="142"/>
        <v>0.3</v>
      </c>
      <c r="AG249" s="140">
        <v>1</v>
      </c>
      <c r="AH249" s="47"/>
      <c r="AI249" s="48"/>
      <c r="AK249" s="50"/>
    </row>
    <row r="250" spans="1:37" x14ac:dyDescent="0.25">
      <c r="A250" s="103" t="s">
        <v>236</v>
      </c>
      <c r="B250" s="126">
        <f t="shared" si="140"/>
        <v>0.4</v>
      </c>
      <c r="C250" s="126">
        <v>0.4</v>
      </c>
      <c r="D250" s="126">
        <f t="shared" si="141"/>
        <v>0.4</v>
      </c>
      <c r="E250" s="126">
        <f t="shared" si="141"/>
        <v>0.4</v>
      </c>
      <c r="F250" s="126">
        <f t="shared" si="141"/>
        <v>0.4</v>
      </c>
      <c r="G250" s="126">
        <f t="shared" si="141"/>
        <v>0.4</v>
      </c>
      <c r="H250" s="126">
        <f t="shared" si="141"/>
        <v>0.4</v>
      </c>
      <c r="I250" s="126">
        <f t="shared" si="141"/>
        <v>0.4</v>
      </c>
      <c r="J250" s="126">
        <f t="shared" si="141"/>
        <v>0.4</v>
      </c>
      <c r="K250" s="126">
        <f t="shared" si="141"/>
        <v>0.4</v>
      </c>
      <c r="L250" s="126">
        <f t="shared" si="141"/>
        <v>0.4</v>
      </c>
      <c r="M250" s="126">
        <f t="shared" si="141"/>
        <v>0.4</v>
      </c>
      <c r="N250" s="126">
        <f t="shared" si="141"/>
        <v>0.4</v>
      </c>
      <c r="O250" s="126">
        <f t="shared" si="141"/>
        <v>0.4</v>
      </c>
      <c r="P250" s="126">
        <f t="shared" si="141"/>
        <v>0.4</v>
      </c>
      <c r="Q250" s="126">
        <f t="shared" si="141"/>
        <v>0.4</v>
      </c>
      <c r="R250" s="126">
        <f t="shared" si="141"/>
        <v>0.4</v>
      </c>
      <c r="S250" s="126">
        <f t="shared" si="141"/>
        <v>0.4</v>
      </c>
      <c r="T250" s="126">
        <f t="shared" si="142"/>
        <v>0.4</v>
      </c>
      <c r="U250" s="126">
        <f t="shared" si="142"/>
        <v>0.4</v>
      </c>
      <c r="V250" s="126">
        <f t="shared" si="142"/>
        <v>0.4</v>
      </c>
      <c r="W250" s="126">
        <f t="shared" si="142"/>
        <v>0.4</v>
      </c>
      <c r="X250" s="126">
        <f t="shared" si="142"/>
        <v>0.4</v>
      </c>
      <c r="Y250" s="126">
        <f t="shared" si="142"/>
        <v>0.4</v>
      </c>
      <c r="Z250" s="126">
        <f t="shared" si="142"/>
        <v>0.4</v>
      </c>
      <c r="AA250" s="126">
        <f t="shared" si="142"/>
        <v>0.4</v>
      </c>
      <c r="AB250" s="126">
        <f t="shared" si="142"/>
        <v>0.4</v>
      </c>
      <c r="AC250" s="126">
        <f t="shared" si="142"/>
        <v>0.4</v>
      </c>
      <c r="AD250" s="126">
        <f t="shared" si="142"/>
        <v>0.4</v>
      </c>
      <c r="AE250" s="126">
        <f t="shared" si="142"/>
        <v>0.4</v>
      </c>
      <c r="AF250" s="126">
        <f t="shared" si="142"/>
        <v>0.4</v>
      </c>
      <c r="AG250" s="140">
        <v>1</v>
      </c>
      <c r="AH250" s="47"/>
      <c r="AI250" s="48"/>
      <c r="AK250" s="50"/>
    </row>
    <row r="251" spans="1:37" ht="15.75" thickBot="1" x14ac:dyDescent="0.3">
      <c r="A251" s="116" t="s">
        <v>237</v>
      </c>
      <c r="B251" s="130">
        <f t="shared" si="140"/>
        <v>0.64</v>
      </c>
      <c r="C251" s="130">
        <v>0.64</v>
      </c>
      <c r="D251" s="130">
        <f t="shared" si="141"/>
        <v>0.64</v>
      </c>
      <c r="E251" s="130">
        <f t="shared" si="141"/>
        <v>0.64</v>
      </c>
      <c r="F251" s="130">
        <f t="shared" si="141"/>
        <v>0.64</v>
      </c>
      <c r="G251" s="130">
        <f t="shared" si="141"/>
        <v>0.64</v>
      </c>
      <c r="H251" s="130">
        <f t="shared" si="141"/>
        <v>0.64</v>
      </c>
      <c r="I251" s="130">
        <f t="shared" si="141"/>
        <v>0.64</v>
      </c>
      <c r="J251" s="130">
        <f t="shared" si="141"/>
        <v>0.64</v>
      </c>
      <c r="K251" s="130">
        <f t="shared" si="141"/>
        <v>0.64</v>
      </c>
      <c r="L251" s="130">
        <f t="shared" si="141"/>
        <v>0.64</v>
      </c>
      <c r="M251" s="130">
        <f t="shared" si="141"/>
        <v>0.64</v>
      </c>
      <c r="N251" s="130">
        <f t="shared" si="141"/>
        <v>0.64</v>
      </c>
      <c r="O251" s="130">
        <f t="shared" si="141"/>
        <v>0.64</v>
      </c>
      <c r="P251" s="130">
        <f t="shared" si="141"/>
        <v>0.64</v>
      </c>
      <c r="Q251" s="130">
        <f t="shared" si="141"/>
        <v>0.64</v>
      </c>
      <c r="R251" s="130">
        <f t="shared" si="141"/>
        <v>0.64</v>
      </c>
      <c r="S251" s="130">
        <f t="shared" si="141"/>
        <v>0.64</v>
      </c>
      <c r="T251" s="130">
        <f t="shared" si="142"/>
        <v>0.64</v>
      </c>
      <c r="U251" s="130">
        <f t="shared" si="142"/>
        <v>0.64</v>
      </c>
      <c r="V251" s="130">
        <f t="shared" si="142"/>
        <v>0.64</v>
      </c>
      <c r="W251" s="130">
        <f t="shared" si="142"/>
        <v>0.64</v>
      </c>
      <c r="X251" s="130">
        <f t="shared" si="142"/>
        <v>0.64</v>
      </c>
      <c r="Y251" s="130">
        <f t="shared" si="142"/>
        <v>0.64</v>
      </c>
      <c r="Z251" s="130">
        <f t="shared" si="142"/>
        <v>0.64</v>
      </c>
      <c r="AA251" s="130">
        <f t="shared" si="142"/>
        <v>0.64</v>
      </c>
      <c r="AB251" s="130">
        <f t="shared" si="142"/>
        <v>0.64</v>
      </c>
      <c r="AC251" s="130">
        <f t="shared" si="142"/>
        <v>0.64</v>
      </c>
      <c r="AD251" s="130">
        <f t="shared" si="142"/>
        <v>0.64</v>
      </c>
      <c r="AE251" s="130">
        <f t="shared" si="142"/>
        <v>0.64</v>
      </c>
      <c r="AF251" s="130">
        <f t="shared" si="142"/>
        <v>0.64</v>
      </c>
      <c r="AG251" s="141">
        <v>0.66</v>
      </c>
      <c r="AH251" s="47"/>
      <c r="AI251" s="48"/>
    </row>
    <row r="252" spans="1:37" ht="15.75" thickBot="1" x14ac:dyDescent="0.3">
      <c r="A252" s="142" t="s">
        <v>75</v>
      </c>
      <c r="B252" s="134">
        <f t="shared" ref="B252:AG252" si="143">SUM(B246:B251)</f>
        <v>3.54</v>
      </c>
      <c r="C252" s="134">
        <f t="shared" si="143"/>
        <v>3.54</v>
      </c>
      <c r="D252" s="134">
        <f t="shared" si="143"/>
        <v>3.54</v>
      </c>
      <c r="E252" s="134">
        <f t="shared" si="143"/>
        <v>3.54</v>
      </c>
      <c r="F252" s="134">
        <f t="shared" si="143"/>
        <v>3.54</v>
      </c>
      <c r="G252" s="134">
        <f t="shared" si="143"/>
        <v>3.54</v>
      </c>
      <c r="H252" s="134">
        <f t="shared" si="143"/>
        <v>3.54</v>
      </c>
      <c r="I252" s="134">
        <f t="shared" si="143"/>
        <v>3.54</v>
      </c>
      <c r="J252" s="134">
        <f t="shared" si="143"/>
        <v>3.54</v>
      </c>
      <c r="K252" s="134">
        <f t="shared" si="143"/>
        <v>3.54</v>
      </c>
      <c r="L252" s="134">
        <f t="shared" si="143"/>
        <v>3.54</v>
      </c>
      <c r="M252" s="134">
        <f t="shared" si="143"/>
        <v>3.54</v>
      </c>
      <c r="N252" s="134">
        <f t="shared" si="143"/>
        <v>3.54</v>
      </c>
      <c r="O252" s="134">
        <f t="shared" si="143"/>
        <v>3.54</v>
      </c>
      <c r="P252" s="134">
        <f t="shared" si="143"/>
        <v>3.54</v>
      </c>
      <c r="Q252" s="134">
        <f t="shared" si="143"/>
        <v>3.54</v>
      </c>
      <c r="R252" s="134">
        <f t="shared" si="143"/>
        <v>3.54</v>
      </c>
      <c r="S252" s="134">
        <f t="shared" si="143"/>
        <v>3.54</v>
      </c>
      <c r="T252" s="134">
        <f t="shared" si="143"/>
        <v>3.54</v>
      </c>
      <c r="U252" s="134">
        <f t="shared" si="143"/>
        <v>3.54</v>
      </c>
      <c r="V252" s="134">
        <f t="shared" si="143"/>
        <v>3.54</v>
      </c>
      <c r="W252" s="134">
        <f t="shared" si="143"/>
        <v>3.54</v>
      </c>
      <c r="X252" s="134">
        <f t="shared" si="143"/>
        <v>3.54</v>
      </c>
      <c r="Y252" s="134">
        <f t="shared" si="143"/>
        <v>3.54</v>
      </c>
      <c r="Z252" s="134">
        <f t="shared" si="143"/>
        <v>3.54</v>
      </c>
      <c r="AA252" s="134">
        <f t="shared" si="143"/>
        <v>3.54</v>
      </c>
      <c r="AB252" s="134">
        <f t="shared" si="143"/>
        <v>3.54</v>
      </c>
      <c r="AC252" s="134">
        <f t="shared" si="143"/>
        <v>3.54</v>
      </c>
      <c r="AD252" s="134">
        <f t="shared" si="143"/>
        <v>3.54</v>
      </c>
      <c r="AE252" s="134">
        <f t="shared" si="143"/>
        <v>3.54</v>
      </c>
      <c r="AF252" s="134">
        <f t="shared" si="143"/>
        <v>3.54</v>
      </c>
      <c r="AG252" s="143">
        <f t="shared" si="143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37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54" t="s">
        <v>243</v>
      </c>
      <c r="B256" s="155">
        <f>MAX(G99:N99)</f>
        <v>1675.5400000000002</v>
      </c>
      <c r="C256" s="156">
        <f>INDEX(G9:N9,1,MATCH(MAX(G99:N99),G99:N99,0))</f>
        <v>0.3125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50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157" t="str">
        <f ca="1">MID(CELL("filename",C7),FIND("]",CELL("filename",C7))+1,600)</f>
        <v>1</v>
      </c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50" x14ac:dyDescent="0.25">
      <c r="A258" s="257" t="s">
        <v>244</v>
      </c>
      <c r="B258" s="257"/>
      <c r="C258" s="43"/>
      <c r="D258" s="157" t="str">
        <f ca="1">"Pie Chart of Daily Peak Demand(Inclusive of Export) of Nepal ("&amp;A4&amp;" "&amp;B4&amp;")"</f>
        <v>Pie Chart of Daily Peak Demand(Inclusive of Export) of Nepal (Nepali Date: 2080/09/1)</v>
      </c>
      <c r="E258" s="43"/>
      <c r="F258" s="43"/>
      <c r="G258" s="157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157" t="str">
        <f ca="1">"Daily Load Curve(Excluding of Export) of Nepal ("&amp;A4&amp;" "&amp;B4&amp;")"</f>
        <v>Daily Load Curve(Excluding of Export) of Nepal (Nepali Date: 2080/09/1)</v>
      </c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50" ht="12.75" customHeight="1" thickBot="1" x14ac:dyDescent="0.3">
      <c r="A259" s="158" t="s">
        <v>7</v>
      </c>
      <c r="B259" s="159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50" ht="15.75" thickTop="1" x14ac:dyDescent="0.25">
      <c r="A260" s="158" t="s">
        <v>245</v>
      </c>
      <c r="B260" s="15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160" t="s">
        <v>246</v>
      </c>
      <c r="T260" s="161">
        <v>0</v>
      </c>
      <c r="U260" s="162">
        <v>4.1666666666666664E-2</v>
      </c>
      <c r="V260" s="163">
        <v>8.3333333333333301E-2</v>
      </c>
      <c r="W260" s="163">
        <v>0.125</v>
      </c>
      <c r="X260" s="163">
        <v>0.16666666666666699</v>
      </c>
      <c r="Y260" s="163">
        <v>0.20833333333333301</v>
      </c>
      <c r="Z260" s="163">
        <v>0.22916666666666666</v>
      </c>
      <c r="AA260" s="163">
        <v>0.25</v>
      </c>
      <c r="AB260" s="163">
        <v>0.27083333333333331</v>
      </c>
      <c r="AC260" s="163">
        <v>0.29166666666666669</v>
      </c>
      <c r="AD260" s="163">
        <v>0.3125</v>
      </c>
      <c r="AE260" s="164">
        <v>0.33333333333333331</v>
      </c>
      <c r="AF260" s="164">
        <v>0.375</v>
      </c>
      <c r="AG260" s="164">
        <v>0.41666666666666702</v>
      </c>
      <c r="AH260" s="164">
        <v>0.45833333333333298</v>
      </c>
      <c r="AI260" s="164">
        <v>0.5</v>
      </c>
      <c r="AJ260" s="164">
        <v>0.54166666666666696</v>
      </c>
      <c r="AK260" s="164">
        <v>0.58333333333333304</v>
      </c>
      <c r="AL260" s="164">
        <v>0.625</v>
      </c>
      <c r="AM260" s="164">
        <v>0.66666666666666696</v>
      </c>
      <c r="AN260" s="164">
        <v>0.70833333333333304</v>
      </c>
      <c r="AO260" s="164">
        <v>0.72916666666666663</v>
      </c>
      <c r="AP260" s="164">
        <v>0.75</v>
      </c>
      <c r="AQ260" s="164">
        <v>0.77083333333333337</v>
      </c>
      <c r="AR260" s="164">
        <v>0.79166666666666663</v>
      </c>
      <c r="AS260" s="164">
        <v>0.8125</v>
      </c>
      <c r="AT260" s="163">
        <v>0.83333333333333337</v>
      </c>
      <c r="AU260" s="163">
        <v>0.85416666666666663</v>
      </c>
      <c r="AV260" s="163">
        <v>0.875</v>
      </c>
      <c r="AW260" s="163">
        <v>0.91666666666666696</v>
      </c>
      <c r="AX260" s="163">
        <v>0.95833333333333304</v>
      </c>
    </row>
    <row r="261" spans="1:50" x14ac:dyDescent="0.25">
      <c r="A261" s="158" t="s">
        <v>247</v>
      </c>
      <c r="B261" s="15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 t="s">
        <v>248</v>
      </c>
      <c r="T261" s="165">
        <f t="shared" ref="T261:AX261" si="144">B99</f>
        <v>1127.6399999999999</v>
      </c>
      <c r="U261" s="165">
        <f t="shared" si="144"/>
        <v>1077.6399999999999</v>
      </c>
      <c r="V261" s="165">
        <f t="shared" si="144"/>
        <v>1091.8400000000001</v>
      </c>
      <c r="W261" s="165">
        <f t="shared" si="144"/>
        <v>1075.6399999999999</v>
      </c>
      <c r="X261" s="165">
        <f t="shared" si="144"/>
        <v>1080.1399999999999</v>
      </c>
      <c r="Y261" s="165">
        <f t="shared" si="144"/>
        <v>1191.3400000000001</v>
      </c>
      <c r="Z261" s="165">
        <f t="shared" si="144"/>
        <v>1282.6400000000001</v>
      </c>
      <c r="AA261" s="165">
        <f t="shared" si="144"/>
        <v>1357.94</v>
      </c>
      <c r="AB261" s="165">
        <f t="shared" si="144"/>
        <v>1465.04</v>
      </c>
      <c r="AC261" s="165">
        <f t="shared" si="144"/>
        <v>1437.74</v>
      </c>
      <c r="AD261" s="165">
        <f t="shared" si="144"/>
        <v>1675.5400000000002</v>
      </c>
      <c r="AE261" s="165">
        <f t="shared" si="144"/>
        <v>1563.6100000000001</v>
      </c>
      <c r="AF261" s="165">
        <f t="shared" si="144"/>
        <v>1495.71</v>
      </c>
      <c r="AG261" s="165">
        <f t="shared" si="144"/>
        <v>1371.74</v>
      </c>
      <c r="AH261" s="165">
        <f t="shared" si="144"/>
        <v>1341.64</v>
      </c>
      <c r="AI261" s="165">
        <f t="shared" si="144"/>
        <v>1241.1400000000001</v>
      </c>
      <c r="AJ261" s="165">
        <f t="shared" si="144"/>
        <v>1231.44</v>
      </c>
      <c r="AK261" s="165">
        <f t="shared" si="144"/>
        <v>1171.8400000000001</v>
      </c>
      <c r="AL261" s="165">
        <f t="shared" si="144"/>
        <v>1147.1399999999999</v>
      </c>
      <c r="AM261" s="165">
        <f t="shared" si="144"/>
        <v>1137.6399999999999</v>
      </c>
      <c r="AN261" s="165">
        <f t="shared" si="144"/>
        <v>1108.8400000000001</v>
      </c>
      <c r="AO261" s="165">
        <f t="shared" si="144"/>
        <v>1280.3400000000001</v>
      </c>
      <c r="AP261" s="165">
        <f t="shared" si="144"/>
        <v>1488.14</v>
      </c>
      <c r="AQ261" s="165">
        <f t="shared" si="144"/>
        <v>1594.64</v>
      </c>
      <c r="AR261" s="165">
        <f t="shared" si="144"/>
        <v>1576.94</v>
      </c>
      <c r="AS261" s="165">
        <f t="shared" si="144"/>
        <v>1580.14</v>
      </c>
      <c r="AT261" s="165">
        <f t="shared" si="144"/>
        <v>1541.6399999999999</v>
      </c>
      <c r="AU261" s="165">
        <f t="shared" si="144"/>
        <v>1542.54</v>
      </c>
      <c r="AV261" s="165">
        <f t="shared" si="144"/>
        <v>1385.24</v>
      </c>
      <c r="AW261" s="165">
        <f t="shared" si="144"/>
        <v>1176.8399999999999</v>
      </c>
      <c r="AX261" s="165">
        <f t="shared" si="144"/>
        <v>1054.44</v>
      </c>
    </row>
    <row r="262" spans="1:50" x14ac:dyDescent="0.25">
      <c r="A262" s="158" t="s">
        <v>249</v>
      </c>
      <c r="B262" s="15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50" x14ac:dyDescent="0.25">
      <c r="A263" s="158" t="s">
        <v>250</v>
      </c>
      <c r="B263" s="15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50" x14ac:dyDescent="0.25">
      <c r="A264" s="158" t="s">
        <v>251</v>
      </c>
      <c r="B264" s="15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50" x14ac:dyDescent="0.25">
      <c r="A265" s="158" t="s">
        <v>252</v>
      </c>
      <c r="B265" s="166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50" x14ac:dyDescent="0.25">
      <c r="A266" s="158" t="s">
        <v>253</v>
      </c>
      <c r="B266" s="15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50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50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50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50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50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50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1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1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1:34" x14ac:dyDescent="0.25">
      <c r="A282" s="167" t="s">
        <v>238</v>
      </c>
      <c r="B282" s="168">
        <f t="shared" ref="B282:AE282" si="145">C251</f>
        <v>0.64</v>
      </c>
      <c r="C282" s="168">
        <f t="shared" si="145"/>
        <v>0.64</v>
      </c>
      <c r="D282" s="168">
        <f t="shared" si="145"/>
        <v>0.64</v>
      </c>
      <c r="E282" s="168">
        <f t="shared" si="145"/>
        <v>0.64</v>
      </c>
      <c r="F282" s="168">
        <f t="shared" si="145"/>
        <v>0.64</v>
      </c>
      <c r="G282" s="168">
        <f t="shared" si="145"/>
        <v>0.64</v>
      </c>
      <c r="H282" s="168">
        <f t="shared" si="145"/>
        <v>0.64</v>
      </c>
      <c r="I282" s="168">
        <f t="shared" si="145"/>
        <v>0.64</v>
      </c>
      <c r="J282" s="168">
        <f t="shared" si="145"/>
        <v>0.64</v>
      </c>
      <c r="K282" s="168">
        <f t="shared" si="145"/>
        <v>0.64</v>
      </c>
      <c r="L282" s="168">
        <f t="shared" si="145"/>
        <v>0.64</v>
      </c>
      <c r="M282" s="168">
        <f t="shared" si="145"/>
        <v>0.64</v>
      </c>
      <c r="N282" s="168">
        <f t="shared" si="145"/>
        <v>0.64</v>
      </c>
      <c r="O282" s="168">
        <f t="shared" si="145"/>
        <v>0.64</v>
      </c>
      <c r="P282" s="168">
        <f t="shared" si="145"/>
        <v>0.64</v>
      </c>
      <c r="Q282" s="168">
        <f t="shared" si="145"/>
        <v>0.64</v>
      </c>
      <c r="R282" s="168">
        <f t="shared" si="145"/>
        <v>0.64</v>
      </c>
      <c r="S282" s="168">
        <f t="shared" si="145"/>
        <v>0.64</v>
      </c>
      <c r="T282" s="168">
        <f t="shared" si="145"/>
        <v>0.64</v>
      </c>
      <c r="U282" s="168">
        <f t="shared" si="145"/>
        <v>0.64</v>
      </c>
      <c r="V282" s="168">
        <f t="shared" si="145"/>
        <v>0.64</v>
      </c>
      <c r="W282" s="168">
        <f t="shared" si="145"/>
        <v>0.64</v>
      </c>
      <c r="X282" s="168">
        <f t="shared" si="145"/>
        <v>0.64</v>
      </c>
      <c r="Y282" s="168">
        <f t="shared" si="145"/>
        <v>0.64</v>
      </c>
      <c r="Z282" s="168">
        <f t="shared" si="145"/>
        <v>0.64</v>
      </c>
      <c r="AA282" s="168">
        <f t="shared" si="145"/>
        <v>0.64</v>
      </c>
      <c r="AB282" s="168">
        <f t="shared" si="145"/>
        <v>0.64</v>
      </c>
      <c r="AC282" s="168">
        <f t="shared" si="145"/>
        <v>0.64</v>
      </c>
      <c r="AD282" s="168">
        <f t="shared" si="145"/>
        <v>0.64</v>
      </c>
      <c r="AE282" s="168">
        <f t="shared" si="145"/>
        <v>0.64</v>
      </c>
      <c r="AF282" s="168">
        <f>B251</f>
        <v>0.64</v>
      </c>
      <c r="AG282" s="43"/>
      <c r="AH282" s="43"/>
    </row>
    <row r="283" spans="1:34" x14ac:dyDescent="0.25">
      <c r="A283" s="169" t="e">
        <f>#REF!</f>
        <v>#REF!</v>
      </c>
      <c r="B283" s="169" t="e">
        <f>IF(#REF!&lt;100,"",#REF!-520)</f>
        <v>#REF!</v>
      </c>
      <c r="C283" s="169" t="e">
        <f>IF(#REF!&lt;100,"",#REF!-520)</f>
        <v>#REF!</v>
      </c>
      <c r="D283" s="169" t="e">
        <f>IF(#REF!&lt;100,"",#REF!-520)</f>
        <v>#REF!</v>
      </c>
      <c r="E283" s="169" t="e">
        <f>IF(#REF!&lt;100,"",#REF!-520)</f>
        <v>#REF!</v>
      </c>
      <c r="F283" s="169" t="e">
        <f>IF(#REF!&lt;100,"",#REF!-520)</f>
        <v>#REF!</v>
      </c>
      <c r="G283" s="169" t="e">
        <f>IF(#REF!&lt;100,"",#REF!-520)</f>
        <v>#REF!</v>
      </c>
      <c r="H283" s="169" t="e">
        <f>IF(#REF!&lt;100,"",#REF!-520)</f>
        <v>#REF!</v>
      </c>
      <c r="I283" s="169" t="e">
        <f>IF(#REF!&lt;100,"",#REF!-520)</f>
        <v>#REF!</v>
      </c>
      <c r="J283" s="169" t="e">
        <f>IF(#REF!&lt;100,"",#REF!-520)</f>
        <v>#REF!</v>
      </c>
      <c r="K283" s="169" t="e">
        <f>IF(#REF!&lt;100,"",#REF!-520)</f>
        <v>#REF!</v>
      </c>
      <c r="L283" s="169" t="e">
        <f>IF(#REF!&lt;100,"",#REF!-520)</f>
        <v>#REF!</v>
      </c>
      <c r="M283" s="169" t="e">
        <f>IF(#REF!&lt;100,"",#REF!-520)</f>
        <v>#REF!</v>
      </c>
      <c r="N283" s="169" t="e">
        <f>IF(#REF!&lt;100,"",#REF!-520)</f>
        <v>#REF!</v>
      </c>
      <c r="O283" s="169" t="e">
        <f>IF(#REF!&lt;100,"",#REF!-520)</f>
        <v>#REF!</v>
      </c>
      <c r="P283" s="169" t="e">
        <f>IF(#REF!&lt;100,"",#REF!-520)</f>
        <v>#REF!</v>
      </c>
      <c r="Q283" s="169" t="e">
        <f>IF(#REF!&lt;100,"",#REF!-520)</f>
        <v>#REF!</v>
      </c>
      <c r="R283" s="169" t="e">
        <f>IF(#REF!&lt;100,"",#REF!-520)</f>
        <v>#REF!</v>
      </c>
      <c r="S283" s="169" t="e">
        <f>IF(#REF!&lt;100,"",#REF!-520)</f>
        <v>#REF!</v>
      </c>
      <c r="T283" s="169" t="e">
        <f>IF(#REF!&lt;100,"",#REF!-520)</f>
        <v>#REF!</v>
      </c>
      <c r="U283" s="169" t="e">
        <f>IF(#REF!&lt;100,"",#REF!-520)</f>
        <v>#REF!</v>
      </c>
      <c r="V283" s="169" t="e">
        <f>IF(#REF!&lt;100,"",#REF!-520)</f>
        <v>#REF!</v>
      </c>
      <c r="W283" s="169" t="e">
        <f>IF(#REF!&lt;100,"",#REF!-520)</f>
        <v>#REF!</v>
      </c>
      <c r="X283" s="169" t="e">
        <f>IF(#REF!&lt;100,"",#REF!-520)</f>
        <v>#REF!</v>
      </c>
      <c r="Y283" s="169" t="e">
        <f>IF(#REF!&lt;100,"",#REF!-520)</f>
        <v>#REF!</v>
      </c>
      <c r="Z283" s="169" t="e">
        <f>IF(#REF!&lt;100,"",#REF!-520)</f>
        <v>#REF!</v>
      </c>
      <c r="AA283" s="169" t="e">
        <f>IF(#REF!&lt;100,"",#REF!-520)</f>
        <v>#REF!</v>
      </c>
      <c r="AB283" s="169" t="e">
        <f>IF(#REF!&lt;100,"",#REF!-520)</f>
        <v>#REF!</v>
      </c>
      <c r="AC283" s="169" t="e">
        <f>IF(#REF!&lt;100,"",#REF!-520)</f>
        <v>#REF!</v>
      </c>
      <c r="AD283" s="169" t="e">
        <f>IF(#REF!&lt;100,"",#REF!-520)</f>
        <v>#REF!</v>
      </c>
      <c r="AE283" s="169" t="e">
        <f>IF(#REF!&lt;100,"",#REF!-520)</f>
        <v>#REF!</v>
      </c>
      <c r="AF283" s="169" t="e">
        <f>IF(#REF!&lt;100,"",#REF!-520)</f>
        <v>#REF!</v>
      </c>
      <c r="AG283" s="43"/>
      <c r="AH283" s="43"/>
    </row>
    <row r="284" spans="1:34" x14ac:dyDescent="0.25">
      <c r="A284" s="169" t="e">
        <f>#REF!</f>
        <v>#REF!</v>
      </c>
      <c r="B284" s="169" t="e">
        <f>IF(#REF!&lt;100,"",#REF!-620)</f>
        <v>#REF!</v>
      </c>
      <c r="C284" s="169" t="e">
        <f>IF(#REF!&lt;100,"",#REF!-620)</f>
        <v>#REF!</v>
      </c>
      <c r="D284" s="169" t="e">
        <f>IF(#REF!&lt;100,"",#REF!-620)</f>
        <v>#REF!</v>
      </c>
      <c r="E284" s="169" t="e">
        <f>IF(#REF!&lt;100,"",#REF!-620)</f>
        <v>#REF!</v>
      </c>
      <c r="F284" s="169" t="e">
        <f>IF(#REF!&lt;100,"",#REF!-620)</f>
        <v>#REF!</v>
      </c>
      <c r="G284" s="169" t="e">
        <f>IF(#REF!&lt;100,"",#REF!-620)</f>
        <v>#REF!</v>
      </c>
      <c r="H284" s="169" t="e">
        <f>IF(#REF!&lt;100,"",#REF!-620)</f>
        <v>#REF!</v>
      </c>
      <c r="I284" s="169" t="e">
        <f>IF(#REF!&lt;100,"",#REF!-620)</f>
        <v>#REF!</v>
      </c>
      <c r="J284" s="169" t="e">
        <f>IF(#REF!&lt;100,"",#REF!-620)</f>
        <v>#REF!</v>
      </c>
      <c r="K284" s="169" t="e">
        <f>IF(#REF!&lt;100,"",#REF!-620)</f>
        <v>#REF!</v>
      </c>
      <c r="L284" s="169" t="e">
        <f>IF(#REF!&lt;100,"",#REF!-620)</f>
        <v>#REF!</v>
      </c>
      <c r="M284" s="169" t="e">
        <f>IF(#REF!&lt;100,"",#REF!-620)</f>
        <v>#REF!</v>
      </c>
      <c r="N284" s="169" t="e">
        <f>IF(#REF!&lt;100,"",#REF!-620)</f>
        <v>#REF!</v>
      </c>
      <c r="O284" s="169" t="e">
        <f>IF(#REF!&lt;100,"",#REF!-620)</f>
        <v>#REF!</v>
      </c>
      <c r="P284" s="169" t="e">
        <f>IF(#REF!&lt;100,"",#REF!-620)</f>
        <v>#REF!</v>
      </c>
      <c r="Q284" s="169" t="e">
        <f>IF(#REF!&lt;100,"",#REF!-620)</f>
        <v>#REF!</v>
      </c>
      <c r="R284" s="169" t="e">
        <f>IF(#REF!&lt;100,"",#REF!-620)</f>
        <v>#REF!</v>
      </c>
      <c r="S284" s="169" t="e">
        <f>IF(#REF!&lt;100,"",#REF!-620)</f>
        <v>#REF!</v>
      </c>
      <c r="T284" s="169" t="e">
        <f>IF(#REF!&lt;100,"",#REF!-620)</f>
        <v>#REF!</v>
      </c>
      <c r="U284" s="169" t="e">
        <f>IF(#REF!&lt;100,"",#REF!-620)</f>
        <v>#REF!</v>
      </c>
      <c r="V284" s="169" t="e">
        <f>IF(#REF!&lt;100,"",#REF!-620)</f>
        <v>#REF!</v>
      </c>
      <c r="W284" s="169" t="e">
        <f>IF(#REF!&lt;100,"",#REF!-620)</f>
        <v>#REF!</v>
      </c>
      <c r="X284" s="169" t="e">
        <f>IF(#REF!&lt;100,"",#REF!-620)</f>
        <v>#REF!</v>
      </c>
      <c r="Y284" s="169" t="e">
        <f>IF(#REF!&lt;100,"",#REF!-620)</f>
        <v>#REF!</v>
      </c>
      <c r="Z284" s="169" t="e">
        <f>IF(#REF!&lt;100,"",#REF!-620)</f>
        <v>#REF!</v>
      </c>
      <c r="AA284" s="169" t="e">
        <f>IF(#REF!&lt;100,"",#REF!-620)</f>
        <v>#REF!</v>
      </c>
      <c r="AB284" s="169" t="e">
        <f>IF(#REF!&lt;100,"",#REF!-620)</f>
        <v>#REF!</v>
      </c>
      <c r="AC284" s="169" t="e">
        <f>IF(#REF!&lt;100,"",#REF!-620)</f>
        <v>#REF!</v>
      </c>
      <c r="AD284" s="169" t="e">
        <f>IF(#REF!&lt;100,"",#REF!-620)</f>
        <v>#REF!</v>
      </c>
      <c r="AE284" s="169" t="e">
        <f>IF(#REF!&lt;100,"",#REF!-620)</f>
        <v>#REF!</v>
      </c>
      <c r="AF284" s="169" t="e">
        <f>IF(#REF!&lt;100,"",#REF!-620)</f>
        <v>#REF!</v>
      </c>
      <c r="AG284" s="43"/>
      <c r="AH284" s="43"/>
    </row>
    <row r="285" spans="1:34" x14ac:dyDescent="0.25">
      <c r="A285" s="169" t="e">
        <f>#REF!</f>
        <v>#REF!</v>
      </c>
      <c r="B285" s="169" t="e">
        <f>IF(#REF!&lt;100,"",#REF!-330)</f>
        <v>#REF!</v>
      </c>
      <c r="C285" s="169" t="e">
        <f>IF(#REF!&lt;100,"",#REF!-330)</f>
        <v>#REF!</v>
      </c>
      <c r="D285" s="169" t="e">
        <f>IF(#REF!&lt;100,"",#REF!-330)</f>
        <v>#REF!</v>
      </c>
      <c r="E285" s="169" t="e">
        <f>IF(#REF!&lt;100,"",#REF!-330)</f>
        <v>#REF!</v>
      </c>
      <c r="F285" s="169" t="e">
        <f>IF(#REF!&lt;100,"",#REF!-330)</f>
        <v>#REF!</v>
      </c>
      <c r="G285" s="169" t="e">
        <f>IF(#REF!&lt;100,"",#REF!-330)</f>
        <v>#REF!</v>
      </c>
      <c r="H285" s="169" t="e">
        <f>IF(#REF!&lt;100,"",#REF!-330)</f>
        <v>#REF!</v>
      </c>
      <c r="I285" s="169" t="e">
        <f>IF(#REF!&lt;100,"",#REF!-330)</f>
        <v>#REF!</v>
      </c>
      <c r="J285" s="169" t="e">
        <f>IF(#REF!&lt;100,"",#REF!-330)</f>
        <v>#REF!</v>
      </c>
      <c r="K285" s="169" t="e">
        <f>IF(#REF!&lt;100,"",#REF!-330)</f>
        <v>#REF!</v>
      </c>
      <c r="L285" s="169" t="e">
        <f>IF(#REF!&lt;100,"",#REF!-330)</f>
        <v>#REF!</v>
      </c>
      <c r="M285" s="169" t="e">
        <f>IF(#REF!&lt;100,"",#REF!-330)</f>
        <v>#REF!</v>
      </c>
      <c r="N285" s="169" t="e">
        <f>IF(#REF!&lt;100,"",#REF!-330)</f>
        <v>#REF!</v>
      </c>
      <c r="O285" s="169" t="e">
        <f>IF(#REF!&lt;100,"",#REF!-330)</f>
        <v>#REF!</v>
      </c>
      <c r="P285" s="169" t="e">
        <f>IF(#REF!&lt;100,"",#REF!-330)</f>
        <v>#REF!</v>
      </c>
      <c r="Q285" s="169" t="e">
        <f>IF(#REF!&lt;100,"",#REF!-330)</f>
        <v>#REF!</v>
      </c>
      <c r="R285" s="169" t="e">
        <f>IF(#REF!&lt;100,"",#REF!-330)</f>
        <v>#REF!</v>
      </c>
      <c r="S285" s="169" t="e">
        <f>IF(#REF!&lt;100,"",#REF!-330)</f>
        <v>#REF!</v>
      </c>
      <c r="T285" s="169" t="e">
        <f>IF(#REF!&lt;100,"",#REF!-330)</f>
        <v>#REF!</v>
      </c>
      <c r="U285" s="169" t="e">
        <f>IF(#REF!&lt;100,"",#REF!-330)</f>
        <v>#REF!</v>
      </c>
      <c r="V285" s="169" t="e">
        <f>IF(#REF!&lt;100,"",#REF!-330)</f>
        <v>#REF!</v>
      </c>
      <c r="W285" s="169" t="e">
        <f>IF(#REF!&lt;100,"",#REF!-330)</f>
        <v>#REF!</v>
      </c>
      <c r="X285" s="169" t="e">
        <f>IF(#REF!&lt;100,"",#REF!-330)</f>
        <v>#REF!</v>
      </c>
      <c r="Y285" s="169" t="e">
        <f>IF(#REF!&lt;100,"",#REF!-330)</f>
        <v>#REF!</v>
      </c>
      <c r="Z285" s="169" t="e">
        <f>IF(#REF!&lt;100,"",#REF!-330)</f>
        <v>#REF!</v>
      </c>
      <c r="AA285" s="169" t="e">
        <f>IF(#REF!&lt;100,"",#REF!-330)</f>
        <v>#REF!</v>
      </c>
      <c r="AB285" s="169" t="e">
        <f>IF(#REF!&lt;100,"",#REF!-330)</f>
        <v>#REF!</v>
      </c>
      <c r="AC285" s="169" t="e">
        <f>IF(#REF!&lt;100,"",#REF!-330)</f>
        <v>#REF!</v>
      </c>
      <c r="AD285" s="169" t="e">
        <f>IF(#REF!&lt;100,"",#REF!-330)</f>
        <v>#REF!</v>
      </c>
      <c r="AE285" s="169" t="e">
        <f>IF(#REF!&lt;100,"",#REF!-330)</f>
        <v>#REF!</v>
      </c>
      <c r="AF285" s="169" t="e">
        <f>IF(#REF!&lt;100,"",#REF!-330)</f>
        <v>#REF!</v>
      </c>
      <c r="AG285" s="43"/>
      <c r="AH285" s="43"/>
    </row>
    <row r="286" spans="1:34" x14ac:dyDescent="0.25">
      <c r="A286" s="169" t="e">
        <f>#REF!</f>
        <v>#REF!</v>
      </c>
      <c r="B286" s="169" t="e">
        <f>IF(#REF!&lt;100,"",#REF!-1500)</f>
        <v>#REF!</v>
      </c>
      <c r="C286" s="169" t="e">
        <f>IF(#REF!&lt;100,"",#REF!-1500)</f>
        <v>#REF!</v>
      </c>
      <c r="D286" s="169" t="e">
        <f>IF(#REF!&lt;100,"",#REF!-1500)</f>
        <v>#REF!</v>
      </c>
      <c r="E286" s="169" t="e">
        <f>IF(#REF!&lt;100,"",#REF!-1500)</f>
        <v>#REF!</v>
      </c>
      <c r="F286" s="169" t="e">
        <f>IF(#REF!&lt;100,"",#REF!-1500)</f>
        <v>#REF!</v>
      </c>
      <c r="G286" s="169" t="e">
        <f>IF(#REF!&lt;100,"",#REF!-1500)</f>
        <v>#REF!</v>
      </c>
      <c r="H286" s="169" t="e">
        <f>IF(#REF!&lt;100,"",#REF!-1500)</f>
        <v>#REF!</v>
      </c>
      <c r="I286" s="169" t="e">
        <f>IF(#REF!&lt;100,"",#REF!-1500)</f>
        <v>#REF!</v>
      </c>
      <c r="J286" s="169" t="e">
        <f>IF(#REF!&lt;100,"",#REF!-1500)</f>
        <v>#REF!</v>
      </c>
      <c r="K286" s="169" t="e">
        <f>IF(#REF!&lt;100,"",#REF!-1500)</f>
        <v>#REF!</v>
      </c>
      <c r="L286" s="169" t="e">
        <f>IF(#REF!&lt;100,"",#REF!-1500)</f>
        <v>#REF!</v>
      </c>
      <c r="M286" s="169" t="e">
        <f>IF(#REF!&lt;100,"",#REF!-1500)</f>
        <v>#REF!</v>
      </c>
      <c r="N286" s="169" t="e">
        <f>IF(#REF!&lt;100,"",#REF!-1500)</f>
        <v>#REF!</v>
      </c>
      <c r="O286" s="169" t="e">
        <f>IF(#REF!&lt;100,"",#REF!-1500)</f>
        <v>#REF!</v>
      </c>
      <c r="P286" s="169" t="e">
        <f>IF(#REF!&lt;100,"",#REF!-1500)</f>
        <v>#REF!</v>
      </c>
      <c r="Q286" s="169" t="e">
        <f>IF(#REF!&lt;100,"",#REF!-1500)</f>
        <v>#REF!</v>
      </c>
      <c r="R286" s="169" t="e">
        <f>IF(#REF!&lt;100,"",#REF!-1500)</f>
        <v>#REF!</v>
      </c>
      <c r="S286" s="169" t="e">
        <f>IF(#REF!&lt;100,"",#REF!-1500)</f>
        <v>#REF!</v>
      </c>
      <c r="T286" s="169" t="e">
        <f>IF(#REF!&lt;100,"",#REF!-1500)</f>
        <v>#REF!</v>
      </c>
      <c r="U286" s="169" t="e">
        <f>IF(#REF!&lt;100,"",#REF!-1500)</f>
        <v>#REF!</v>
      </c>
      <c r="V286" s="169" t="e">
        <f>IF(#REF!&lt;100,"",#REF!-1500)</f>
        <v>#REF!</v>
      </c>
      <c r="W286" s="169" t="e">
        <f>IF(#REF!&lt;100,"",#REF!-1500)</f>
        <v>#REF!</v>
      </c>
      <c r="X286" s="169" t="e">
        <f>IF(#REF!&lt;100,"",#REF!-1500)</f>
        <v>#REF!</v>
      </c>
      <c r="Y286" s="169" t="e">
        <f>IF(#REF!&lt;100,"",#REF!-1500)</f>
        <v>#REF!</v>
      </c>
      <c r="Z286" s="169" t="e">
        <f>IF(#REF!&lt;100,"",#REF!-1500)</f>
        <v>#REF!</v>
      </c>
      <c r="AA286" s="169" t="e">
        <f>IF(#REF!&lt;100,"",#REF!-1500)</f>
        <v>#REF!</v>
      </c>
      <c r="AB286" s="169" t="e">
        <f>IF(#REF!&lt;100,"",#REF!-1500)</f>
        <v>#REF!</v>
      </c>
      <c r="AC286" s="169" t="e">
        <f>IF(#REF!&lt;100,"",#REF!-1500)</f>
        <v>#REF!</v>
      </c>
      <c r="AD286" s="169" t="e">
        <f>IF(#REF!&lt;100,"",#REF!-1500)</f>
        <v>#REF!</v>
      </c>
      <c r="AE286" s="169" t="e">
        <f>IF(#REF!&lt;100,"",#REF!-1500)</f>
        <v>#REF!</v>
      </c>
      <c r="AF286" s="169" t="e">
        <f>IF(#REF!&lt;100,"",#REF!-1500)</f>
        <v>#REF!</v>
      </c>
      <c r="AG286" s="43"/>
      <c r="AH286" s="43"/>
    </row>
    <row r="287" spans="1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1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2:34" x14ac:dyDescent="0.25"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2:34" x14ac:dyDescent="0.25"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2:34" x14ac:dyDescent="0.25"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2:34" x14ac:dyDescent="0.25"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2:34" x14ac:dyDescent="0.25"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3003" priority="54">
      <formula>$AH11=0</formula>
    </cfRule>
  </conditionalFormatting>
  <conditionalFormatting sqref="A132:A253">
    <cfRule type="expression" dxfId="3002" priority="5">
      <formula>$AH132=0</formula>
    </cfRule>
  </conditionalFormatting>
  <conditionalFormatting sqref="B8 M8 S8 AB8">
    <cfRule type="expression" dxfId="3001" priority="114">
      <formula>AND(C$9&gt;=14/24,C$9&lt;20/24)</formula>
    </cfRule>
    <cfRule type="expression" dxfId="3000" priority="115">
      <formula>AND(C$9&gt;=8/24,C$9&lt;14/24)</formula>
    </cfRule>
    <cfRule type="expression" dxfId="2999" priority="116">
      <formula>C$9&lt;8/24</formula>
    </cfRule>
  </conditionalFormatting>
  <conditionalFormatting sqref="B63:L74 M70:U74">
    <cfRule type="expression" dxfId="2998" priority="23">
      <formula>B$9&lt;8/24</formula>
    </cfRule>
    <cfRule type="expression" dxfId="2997" priority="22">
      <formula>AND(B$9&gt;=8/24,B$9&lt;14/24)</formula>
    </cfRule>
    <cfRule type="expression" dxfId="2996" priority="21">
      <formula>AND(B$9&gt;=14/24,B$9&lt;20/24)</formula>
    </cfRule>
    <cfRule type="expression" dxfId="2995" priority="20">
      <formula>B$9&gt;=20/24</formula>
    </cfRule>
  </conditionalFormatting>
  <conditionalFormatting sqref="B9:AF52">
    <cfRule type="expression" dxfId="2994" priority="25">
      <formula>B$9&gt;=20/24</formula>
    </cfRule>
    <cfRule type="expression" dxfId="2993" priority="26">
      <formula>AND(B$9&gt;=14/24,B$9&lt;20/24)</formula>
    </cfRule>
    <cfRule type="expression" dxfId="2992" priority="27">
      <formula>AND(B$9&gt;=8/24,B$9&lt;14/24)</formula>
    </cfRule>
    <cfRule type="expression" dxfId="2991" priority="28">
      <formula>B$9&lt;8/24</formula>
    </cfRule>
  </conditionalFormatting>
  <conditionalFormatting sqref="B11:AF54">
    <cfRule type="expression" dxfId="2990" priority="14">
      <formula>B11&gt;$AG11</formula>
    </cfRule>
  </conditionalFormatting>
  <conditionalFormatting sqref="B53:AF54">
    <cfRule type="expression" dxfId="2989" priority="10">
      <formula>B$9&gt;=20/24</formula>
    </cfRule>
    <cfRule type="expression" dxfId="2988" priority="11">
      <formula>AND(B$9&gt;=14/24,B$9&lt;20/24)</formula>
    </cfRule>
    <cfRule type="expression" dxfId="2987" priority="12">
      <formula>AND(B$9&gt;=8/24,B$9&lt;14/24)</formula>
    </cfRule>
    <cfRule type="expression" dxfId="2986" priority="13">
      <formula>B$9&lt;8/24</formula>
    </cfRule>
  </conditionalFormatting>
  <conditionalFormatting sqref="B55:AF55">
    <cfRule type="expression" dxfId="2985" priority="34">
      <formula>B55&gt;$AG55</formula>
    </cfRule>
  </conditionalFormatting>
  <conditionalFormatting sqref="B55:AF57">
    <cfRule type="expression" dxfId="2984" priority="30">
      <formula>B$9&gt;=20/24</formula>
    </cfRule>
    <cfRule type="expression" dxfId="2983" priority="32">
      <formula>AND(B$9&gt;=8/24,B$9&lt;14/24)</formula>
    </cfRule>
    <cfRule type="expression" dxfId="2982" priority="31">
      <formula>AND(B$9&gt;=14/24,B$9&lt;20/24)</formula>
    </cfRule>
  </conditionalFormatting>
  <conditionalFormatting sqref="B56:AF61">
    <cfRule type="expression" dxfId="2981" priority="29">
      <formula>B56&gt;$AG56</formula>
    </cfRule>
  </conditionalFormatting>
  <conditionalFormatting sqref="B59:AF61">
    <cfRule type="expression" dxfId="2980" priority="40">
      <formula>B$9&gt;=20/24</formula>
    </cfRule>
    <cfRule type="expression" dxfId="2979" priority="41">
      <formula>AND(B$9&gt;=14/24,B$9&lt;20/24)</formula>
    </cfRule>
    <cfRule type="expression" dxfId="2978" priority="42">
      <formula>AND(B$9&gt;=8/24,B$9&lt;14/24)</formula>
    </cfRule>
    <cfRule type="expression" dxfId="2977" priority="43">
      <formula>B$9&lt;8/24</formula>
    </cfRule>
  </conditionalFormatting>
  <conditionalFormatting sqref="B63:AF74">
    <cfRule type="expression" dxfId="2976" priority="19">
      <formula>B63&gt;$AG63</formula>
    </cfRule>
  </conditionalFormatting>
  <conditionalFormatting sqref="B77:AF79">
    <cfRule type="expression" dxfId="2975" priority="44">
      <formula>B77&gt;$AG77</formula>
    </cfRule>
    <cfRule type="expression" dxfId="2974" priority="45">
      <formula>B$9&gt;=20/24</formula>
    </cfRule>
    <cfRule type="expression" dxfId="2973" priority="46">
      <formula>AND(B$9&gt;=14/24,B$9&lt;20/24)</formula>
    </cfRule>
    <cfRule type="expression" dxfId="2972" priority="47">
      <formula>AND(B$9&gt;=8/24,B$9&lt;14/24)</formula>
    </cfRule>
    <cfRule type="expression" dxfId="2971" priority="48">
      <formula>B$9&lt;8/24</formula>
    </cfRule>
  </conditionalFormatting>
  <conditionalFormatting sqref="B81:AF99">
    <cfRule type="expression" dxfId="2970" priority="17">
      <formula>AND(B$9&gt;=8/24,B$9&lt;14/24)</formula>
    </cfRule>
    <cfRule type="expression" dxfId="2969" priority="18">
      <formula>B$9&lt;8/24</formula>
    </cfRule>
    <cfRule type="expression" dxfId="2968" priority="15">
      <formula>B$9&gt;=20/24</formula>
    </cfRule>
    <cfRule type="expression" dxfId="2967" priority="16">
      <formula>AND(B$9&gt;=14/24,B$9&lt;20/24)</formula>
    </cfRule>
  </conditionalFormatting>
  <conditionalFormatting sqref="B101:AF117">
    <cfRule type="expression" dxfId="2966" priority="8">
      <formula>AND(B$9&gt;=8/24,B$9&lt;14/24)</formula>
    </cfRule>
    <cfRule type="expression" dxfId="2965" priority="9">
      <formula>B$9&lt;8/24</formula>
    </cfRule>
    <cfRule type="expression" dxfId="2964" priority="7">
      <formula>AND(B$9&gt;=14/24,B$9&lt;20/24)</formula>
    </cfRule>
    <cfRule type="expression" dxfId="2963" priority="6">
      <formula>B$9&gt;=20/24</formula>
    </cfRule>
  </conditionalFormatting>
  <conditionalFormatting sqref="B119:AF137">
    <cfRule type="expression" dxfId="2962" priority="4">
      <formula>B$9&lt;8/24</formula>
    </cfRule>
    <cfRule type="expression" dxfId="2961" priority="3">
      <formula>AND(B$9&gt;=8/24,B$9&lt;14/24)</formula>
    </cfRule>
    <cfRule type="expression" dxfId="2960" priority="2">
      <formula>AND(B$9&gt;=14/24,B$9&lt;20/24)</formula>
    </cfRule>
    <cfRule type="expression" dxfId="2959" priority="1">
      <formula>B$9&gt;=20/24</formula>
    </cfRule>
  </conditionalFormatting>
  <conditionalFormatting sqref="B244:AF244 B246:B252 D246:AF252 U260:AF260">
    <cfRule type="expression" dxfId="2958" priority="110">
      <formula>B$9&lt;8/24</formula>
    </cfRule>
    <cfRule type="expression" dxfId="2957" priority="109">
      <formula>AND(B$9&gt;=8/24,B$9&lt;14/24)</formula>
    </cfRule>
    <cfRule type="expression" dxfId="2956" priority="108">
      <formula>AND(B$9&gt;=14/24,B$9&lt;20/24)</formula>
    </cfRule>
    <cfRule type="expression" dxfId="2955" priority="107">
      <formula>B$9&gt;=20/24</formula>
    </cfRule>
  </conditionalFormatting>
  <conditionalFormatting sqref="B62:AG62">
    <cfRule type="expression" dxfId="2954" priority="49">
      <formula>B62&gt;$AG62</formula>
    </cfRule>
    <cfRule type="expression" dxfId="2953" priority="51">
      <formula>AND(B$9&gt;=14/24,B$9&lt;20/24)</formula>
    </cfRule>
    <cfRule type="expression" dxfId="2952" priority="52">
      <formula>AND(B$9&gt;=8/24,B$9&lt;14/24)</formula>
    </cfRule>
    <cfRule type="expression" dxfId="2951" priority="53">
      <formula>B$9&lt;8/24</formula>
    </cfRule>
    <cfRule type="expression" dxfId="2950" priority="50">
      <formula>B$9&gt;=20/24</formula>
    </cfRule>
  </conditionalFormatting>
  <conditionalFormatting sqref="B75:AG76 B80:AG80">
    <cfRule type="expression" dxfId="2949" priority="35">
      <formula>B75&gt;$AG75</formula>
    </cfRule>
  </conditionalFormatting>
  <conditionalFormatting sqref="B80:AG80">
    <cfRule type="expression" dxfId="2948" priority="39">
      <formula>B$9&lt;8/24</formula>
    </cfRule>
    <cfRule type="expression" dxfId="2947" priority="36">
      <formula>B$9&gt;=20/24</formula>
    </cfRule>
    <cfRule type="expression" dxfId="2946" priority="37">
      <formula>AND(B$9&gt;=14/24,B$9&lt;20/24)</formula>
    </cfRule>
    <cfRule type="expression" dxfId="2945" priority="38">
      <formula>AND(B$9&gt;=8/24,B$9&lt;14/24)</formula>
    </cfRule>
  </conditionalFormatting>
  <conditionalFormatting sqref="M63:T67 U66:U67">
    <cfRule type="expression" dxfId="2944" priority="95">
      <formula>M$9&lt;8/24</formula>
    </cfRule>
    <cfRule type="expression" dxfId="2943" priority="94">
      <formula>AND(M$9&gt;=8/24,M$9&lt;14/24)</formula>
    </cfRule>
    <cfRule type="expression" dxfId="2942" priority="93">
      <formula>AND(M$9&gt;=14/24,M$9&lt;20/24)</formula>
    </cfRule>
    <cfRule type="expression" dxfId="2941" priority="92">
      <formula>M$9&gt;=20/24</formula>
    </cfRule>
  </conditionalFormatting>
  <conditionalFormatting sqref="M68:U68">
    <cfRule type="expression" dxfId="2940" priority="66">
      <formula>AND(M$9&gt;=14/24,M$9&lt;20/24)</formula>
    </cfRule>
    <cfRule type="expression" dxfId="2939" priority="67">
      <formula>AND(M$9&gt;=8/24,M$9&lt;14/24)</formula>
    </cfRule>
    <cfRule type="expression" dxfId="2938" priority="68">
      <formula>M$9&lt;8/24</formula>
    </cfRule>
    <cfRule type="expression" dxfId="2937" priority="65">
      <formula>M$9&gt;=20/24</formula>
    </cfRule>
  </conditionalFormatting>
  <conditionalFormatting sqref="M69:AF74">
    <cfRule type="expression" dxfId="2936" priority="55">
      <formula>M$9&gt;=20/24</formula>
    </cfRule>
    <cfRule type="expression" dxfId="2935" priority="56">
      <formula>AND(M$9&gt;=14/24,M$9&lt;20/24)</formula>
    </cfRule>
    <cfRule type="expression" dxfId="2934" priority="57">
      <formula>AND(M$9&gt;=8/24,M$9&lt;14/24)</formula>
    </cfRule>
    <cfRule type="expression" dxfId="2933" priority="58">
      <formula>M$9&lt;8/24</formula>
    </cfRule>
  </conditionalFormatting>
  <conditionalFormatting sqref="O3:P3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P55:AF56 B55:O57 B56:R56">
    <cfRule type="expression" dxfId="2932" priority="33">
      <formula>B$9&lt;8/24</formula>
    </cfRule>
  </conditionalFormatting>
  <conditionalFormatting sqref="S8 AB8 B8 M8">
    <cfRule type="expression" dxfId="2931" priority="113">
      <formula>C$9&gt;=20/24</formula>
    </cfRule>
  </conditionalFormatting>
  <conditionalFormatting sqref="S8">
    <cfRule type="expression" dxfId="2930" priority="100">
      <formula>U$9&gt;=20/24</formula>
    </cfRule>
    <cfRule type="expression" dxfId="2929" priority="101">
      <formula>AND(U$9&gt;=14/24,U$9&lt;20/24)</formula>
    </cfRule>
    <cfRule type="expression" dxfId="2928" priority="102">
      <formula>AND(U$9&gt;=8/24,U$9&lt;14/24)</formula>
    </cfRule>
    <cfRule type="expression" dxfId="2927" priority="103">
      <formula>U$9&lt;8/24</formula>
    </cfRule>
  </conditionalFormatting>
  <conditionalFormatting sqref="S56:AF57 P57:R57">
    <cfRule type="expression" dxfId="2926" priority="63">
      <formula>P$9&lt;8/24</formula>
    </cfRule>
  </conditionalFormatting>
  <conditionalFormatting sqref="S63:AF68">
    <cfRule type="expression" dxfId="2925" priority="59">
      <formula>S$9&gt;=20/24</formula>
    </cfRule>
    <cfRule type="expression" dxfId="2924" priority="62">
      <formula>S$9&lt;8/24</formula>
    </cfRule>
    <cfRule type="expression" dxfId="2923" priority="61">
      <formula>AND(S$9&gt;=8/24,S$9&lt;14/24)</formula>
    </cfRule>
    <cfRule type="expression" dxfId="2922" priority="60">
      <formula>AND(S$9&gt;=14/24,S$9&lt;20/24)</formula>
    </cfRule>
  </conditionalFormatting>
  <conditionalFormatting sqref="T260">
    <cfRule type="expression" dxfId="2921" priority="128">
      <formula>AX$9&lt;8/24</formula>
    </cfRule>
    <cfRule type="expression" dxfId="2920" priority="127">
      <formula>AND(AX$9&gt;=8/24,AX$9&lt;14/24)</formula>
    </cfRule>
    <cfRule type="expression" dxfId="2919" priority="125">
      <formula>AX$9&gt;=20/24</formula>
    </cfRule>
    <cfRule type="expression" dxfId="2918" priority="126">
      <formula>AND(AX$9&gt;=14/24,AX$9&lt;20/24)</formula>
    </cfRule>
  </conditionalFormatting>
  <conditionalFormatting sqref="V3 AB3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2917" priority="97">
      <formula>AND(AD$9&gt;=14/24,AD$9&lt;20/24)</formula>
    </cfRule>
    <cfRule type="expression" dxfId="2916" priority="96">
      <formula>AD$9&gt;=20/24</formula>
    </cfRule>
    <cfRule type="expression" dxfId="2915" priority="98">
      <formula>AND(AD$9&gt;=8/24,AD$9&lt;14/24)</formula>
    </cfRule>
    <cfRule type="expression" dxfId="2914" priority="99">
      <formula>AD$9&lt;8/24</formula>
    </cfRule>
  </conditionalFormatting>
  <conditionalFormatting sqref="AG58">
    <cfRule type="expression" dxfId="2913" priority="83">
      <formula>AG58&gt;$AG58</formula>
    </cfRule>
  </conditionalFormatting>
  <conditionalFormatting sqref="AG97">
    <cfRule type="expression" dxfId="2912" priority="84">
      <formula>AG$9&gt;=20/24</formula>
    </cfRule>
    <cfRule type="expression" dxfId="2911" priority="85">
      <formula>AND(AG$9&gt;=14/24,AG$9&lt;20/24)</formula>
    </cfRule>
    <cfRule type="expression" dxfId="2910" priority="86">
      <formula>AND(AG$9&gt;=8/24,AG$9&lt;14/24)</formula>
    </cfRule>
    <cfRule type="expression" dxfId="2909" priority="87">
      <formula>AG$9&lt;8/24</formula>
    </cfRule>
  </conditionalFormatting>
  <conditionalFormatting sqref="AG260">
    <cfRule type="expression" dxfId="2908" priority="119">
      <formula>AND(B$9&gt;=8/24,B$9&lt;14/24)</formula>
    </cfRule>
    <cfRule type="expression" dxfId="2907" priority="117">
      <formula>B$9&gt;=20/24</formula>
    </cfRule>
    <cfRule type="expression" dxfId="2906" priority="118">
      <formula>AND(B$9&gt;=14/24,B$9&lt;20/24)</formula>
    </cfRule>
    <cfRule type="expression" dxfId="2905" priority="120">
      <formula>B$9&lt;8/24</formula>
    </cfRule>
  </conditionalFormatting>
  <conditionalFormatting sqref="AH260:AX260">
    <cfRule type="expression" dxfId="2904" priority="121">
      <formula>AG$9&gt;=20/24</formula>
    </cfRule>
    <cfRule type="expression" dxfId="2903" priority="122">
      <formula>AND(AG$9&gt;=14/24,AG$9&lt;20/24)</formula>
    </cfRule>
    <cfRule type="expression" dxfId="2902" priority="123">
      <formula>AND(AG$9&gt;=8/24,AG$9&lt;14/24)</formula>
    </cfRule>
    <cfRule type="expression" dxfId="2901" priority="124">
      <formula>AG$9&lt;8/24</formula>
    </cfRule>
  </conditionalFormatting>
  <conditionalFormatting sqref="AL4:AL6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19:AL20">
    <cfRule type="iconSet" priority="71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8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70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8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82">
      <iconSet iconSet="3TrafficLights2" reverse="1">
        <cfvo type="percent" val="0"/>
        <cfvo type="num" val="1"/>
        <cfvo type="num" val="1"/>
      </iconSet>
    </cfRule>
  </conditionalFormatting>
  <conditionalFormatting sqref="AL48 AL45:AL46 AL21:AL24 AL7:AL18 AL26:AL37 AL39:AL43 AL54:AL55">
    <cfRule type="iconSet" priority="129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04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69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2900" priority="130">
      <formula>AJ$9&gt;=20/24</formula>
    </cfRule>
    <cfRule type="expression" dxfId="2899" priority="131">
      <formula>AND(AJ$9&gt;=14/24,AJ$9&lt;20/24)</formula>
    </cfRule>
    <cfRule type="expression" dxfId="2898" priority="132">
      <formula>AND(AJ$9&gt;=8/24,AJ$9&lt;14/24)</formula>
    </cfRule>
    <cfRule type="expression" dxfId="2897" priority="133">
      <formula>AJ$9&lt;8/24</formula>
    </cfRule>
  </conditionalFormatting>
  <conditionalFormatting sqref="AL88:AN88 AL94:AN94">
    <cfRule type="expression" dxfId="2896" priority="79">
      <formula>AL$9&lt;8/24</formula>
    </cfRule>
    <cfRule type="expression" dxfId="2895" priority="78">
      <formula>AND(AL$9&gt;=8/24,AL$9&lt;14/24)</formula>
    </cfRule>
    <cfRule type="expression" dxfId="2894" priority="76">
      <formula>AL$9&gt;=20/24</formula>
    </cfRule>
    <cfRule type="expression" dxfId="2893" priority="77">
      <formula>AND(AL$9&gt;=14/24,AL$9&lt;20/24)</formula>
    </cfRule>
  </conditionalFormatting>
  <conditionalFormatting sqref="AN89:AN92">
    <cfRule type="expression" dxfId="2892" priority="75">
      <formula>AN$9&lt;8/24</formula>
    </cfRule>
    <cfRule type="expression" dxfId="2891" priority="74">
      <formula>AND(AN$9&gt;=8/24,AN$9&lt;14/24)</formula>
    </cfRule>
    <cfRule type="expression" dxfId="2890" priority="73">
      <formula>AND(AN$9&gt;=14/24,AN$9&lt;20/24)</formula>
    </cfRule>
    <cfRule type="expression" dxfId="2889" priority="72">
      <formula>AN$9&gt;=20/24</formula>
    </cfRule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22F5D-5FAC-444A-8878-A807BD19C8CE}">
  <sheetPr codeName="Sheet2"/>
  <dimension ref="A1:CJ293"/>
  <sheetViews>
    <sheetView zoomScaleNormal="100" workbookViewId="0">
      <pane xSplit="1" ySplit="10" topLeftCell="B85" activePane="bottomRight" state="frozen"/>
      <selection activeCell="P118" sqref="P118"/>
      <selection pane="topRight" activeCell="P118" sqref="P118"/>
      <selection pane="bottomLeft" activeCell="P118" sqref="P118"/>
      <selection pane="bottomRight" activeCell="F82" sqref="F82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5" width="6.42578125" style="1" bestFit="1" customWidth="1"/>
    <col min="6" max="6" width="7.7109375" style="1" customWidth="1"/>
    <col min="7" max="7" width="9.140625" style="1" customWidth="1"/>
    <col min="8" max="8" width="6.42578125" style="1" bestFit="1" customWidth="1"/>
    <col min="9" max="9" width="7.7109375" style="1" customWidth="1"/>
    <col min="10" max="10" width="6.5703125" style="1" customWidth="1"/>
    <col min="11" max="11" width="6.85546875" style="1" customWidth="1"/>
    <col min="12" max="12" width="6" style="1" bestFit="1" customWidth="1"/>
    <col min="13" max="13" width="6.85546875" style="1" customWidth="1"/>
    <col min="14" max="14" width="8.5703125" style="1" customWidth="1"/>
    <col min="15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hidden="1" customHeight="1" thickBot="1" x14ac:dyDescent="0.3">
      <c r="A1" s="275" t="s">
        <v>0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  <c r="AD1" s="275"/>
      <c r="AE1" s="275"/>
      <c r="AF1" s="275"/>
      <c r="AG1" s="276" t="s">
        <v>1</v>
      </c>
      <c r="AH1" s="276"/>
      <c r="AI1" s="276"/>
      <c r="AL1" s="2"/>
    </row>
    <row r="2" spans="1:88" ht="20.25" hidden="1" x14ac:dyDescent="0.25">
      <c r="A2" s="3"/>
      <c r="B2" s="277" t="s">
        <v>2</v>
      </c>
      <c r="C2" s="4"/>
      <c r="D2" s="279" t="s">
        <v>3</v>
      </c>
      <c r="E2" s="4"/>
      <c r="F2" s="279" t="s">
        <v>4</v>
      </c>
      <c r="G2" s="4"/>
      <c r="H2" s="279" t="s">
        <v>5</v>
      </c>
      <c r="I2" s="5"/>
      <c r="J2" s="281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78"/>
      <c r="C3" s="16"/>
      <c r="D3" s="280"/>
      <c r="E3" s="16"/>
      <c r="F3" s="280"/>
      <c r="G3" s="16"/>
      <c r="H3" s="280"/>
      <c r="I3" s="17"/>
      <c r="J3" s="281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hidden="1" x14ac:dyDescent="0.25">
      <c r="A4" s="25" t="s">
        <v>11</v>
      </c>
      <c r="B4" s="270" t="str">
        <f ca="1">"2080/"&amp;"09/"&amp;INT(MID(CELL("filename",D6),FIND("]",CELL("filename",D6))+1,200))</f>
        <v>2080/09/2</v>
      </c>
      <c r="C4" s="270"/>
      <c r="D4" s="270"/>
      <c r="E4" s="271" t="str">
        <f ca="1">"2080/"&amp;"09/"&amp;INT(MID(CELL("filename",G6),FIND("]",CELL("filename",G6))+1,200))</f>
        <v>2080/09/2</v>
      </c>
      <c r="F4" s="271"/>
      <c r="G4" s="271"/>
      <c r="H4" s="271" t="str">
        <f ca="1">TEXT(E4,"dddd")</f>
        <v>Monday</v>
      </c>
      <c r="I4" s="271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C92</f>
        <v>299.7</v>
      </c>
      <c r="C5" s="30">
        <f t="shared" si="0"/>
        <v>287.8</v>
      </c>
      <c r="D5" s="30">
        <f t="shared" si="0"/>
        <v>281.10000000000002</v>
      </c>
      <c r="E5" s="30">
        <f t="shared" si="0"/>
        <v>283</v>
      </c>
      <c r="F5" s="30">
        <f t="shared" si="0"/>
        <v>369.1</v>
      </c>
      <c r="G5" s="30">
        <f t="shared" si="0"/>
        <v>383.2</v>
      </c>
      <c r="H5" s="30">
        <f t="shared" si="0"/>
        <v>426</v>
      </c>
      <c r="I5" s="30">
        <f t="shared" si="0"/>
        <v>384.09999999999997</v>
      </c>
      <c r="J5" s="30">
        <f t="shared" si="0"/>
        <v>371.20000000000005</v>
      </c>
      <c r="K5" s="30">
        <f t="shared" si="0"/>
        <v>195.4</v>
      </c>
      <c r="L5" s="30">
        <f t="shared" si="0"/>
        <v>131.9</v>
      </c>
      <c r="M5" s="30">
        <f t="shared" si="0"/>
        <v>92.6</v>
      </c>
      <c r="N5" s="30">
        <f t="shared" si="0"/>
        <v>121.9</v>
      </c>
      <c r="O5" s="30">
        <f t="shared" si="0"/>
        <v>333</v>
      </c>
      <c r="P5" s="30">
        <f t="shared" si="0"/>
        <v>441.9</v>
      </c>
      <c r="Q5" s="30">
        <f t="shared" si="0"/>
        <v>483.8</v>
      </c>
      <c r="R5" s="30">
        <f t="shared" si="0"/>
        <v>451.2</v>
      </c>
      <c r="S5" s="30">
        <f t="shared" si="0"/>
        <v>427.4</v>
      </c>
      <c r="T5" s="30">
        <f t="shared" si="0"/>
        <v>485.7</v>
      </c>
      <c r="U5" s="30">
        <f t="shared" si="0"/>
        <v>412.5</v>
      </c>
      <c r="V5" s="30">
        <f t="shared" si="0"/>
        <v>323.89999999999998</v>
      </c>
      <c r="W5" s="30">
        <f t="shared" si="0"/>
        <v>273.96000000000004</v>
      </c>
      <c r="X5" s="30">
        <f t="shared" si="0"/>
        <v>199.39999999999998</v>
      </c>
      <c r="Y5" s="30">
        <f t="shared" si="0"/>
        <v>247</v>
      </c>
      <c r="Z5" s="30">
        <f t="shared" si="0"/>
        <v>295.7</v>
      </c>
      <c r="AA5" s="30">
        <f t="shared" si="0"/>
        <v>312</v>
      </c>
      <c r="AB5" s="30">
        <f t="shared" si="0"/>
        <v>401.4</v>
      </c>
      <c r="AC5" s="30">
        <f t="shared" si="0"/>
        <v>401.4</v>
      </c>
      <c r="AD5" s="30">
        <f t="shared" si="0"/>
        <v>428</v>
      </c>
      <c r="AE5" s="30">
        <f t="shared" si="0"/>
        <v>407</v>
      </c>
      <c r="AF5" s="30">
        <f>B92</f>
        <v>296.7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hidden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1566MW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Load=979</v>
      </c>
      <c r="B7" s="35">
        <f>B100</f>
        <v>1027.44</v>
      </c>
      <c r="C7" s="35">
        <f t="shared" ref="C7:AF7" si="1">C100</f>
        <v>998.6400000000001</v>
      </c>
      <c r="D7" s="35">
        <f t="shared" si="1"/>
        <v>983.94</v>
      </c>
      <c r="E7" s="35">
        <f t="shared" si="1"/>
        <v>978.74000000000012</v>
      </c>
      <c r="F7" s="35">
        <f t="shared" si="1"/>
        <v>979.64000000000021</v>
      </c>
      <c r="G7" s="35">
        <f t="shared" si="1"/>
        <v>1066.6400000000001</v>
      </c>
      <c r="H7" s="35">
        <f t="shared" si="1"/>
        <v>1080.74</v>
      </c>
      <c r="I7" s="35">
        <f t="shared" si="1"/>
        <v>1210.6400000000001</v>
      </c>
      <c r="J7" s="35">
        <f t="shared" si="1"/>
        <v>1298.6399999999999</v>
      </c>
      <c r="K7" s="35">
        <f t="shared" si="1"/>
        <v>1329.04</v>
      </c>
      <c r="L7" s="35">
        <f t="shared" si="1"/>
        <v>1469.2400000000002</v>
      </c>
      <c r="M7" s="35">
        <f t="shared" si="1"/>
        <v>1565.74</v>
      </c>
      <c r="N7" s="35">
        <f t="shared" si="1"/>
        <v>1536.24</v>
      </c>
      <c r="O7" s="35">
        <f t="shared" si="1"/>
        <v>1526.14</v>
      </c>
      <c r="P7" s="35">
        <f t="shared" si="1"/>
        <v>1496.74</v>
      </c>
      <c r="Q7" s="35">
        <f t="shared" si="1"/>
        <v>1505.2400000000002</v>
      </c>
      <c r="R7" s="35">
        <f t="shared" si="1"/>
        <v>1510.04</v>
      </c>
      <c r="S7" s="35">
        <f t="shared" si="1"/>
        <v>1452.64</v>
      </c>
      <c r="T7" s="35">
        <f t="shared" si="1"/>
        <v>1382.44</v>
      </c>
      <c r="U7" s="35">
        <f t="shared" si="1"/>
        <v>1507.74</v>
      </c>
      <c r="V7" s="35">
        <f t="shared" si="1"/>
        <v>1399.64</v>
      </c>
      <c r="W7" s="35">
        <f t="shared" si="1"/>
        <v>1415.94</v>
      </c>
      <c r="X7" s="35">
        <f t="shared" si="1"/>
        <v>1832.2</v>
      </c>
      <c r="Y7" s="35">
        <f t="shared" si="1"/>
        <v>1847.44</v>
      </c>
      <c r="Z7" s="35">
        <f t="shared" si="1"/>
        <v>1779.74</v>
      </c>
      <c r="AA7" s="35">
        <f t="shared" si="1"/>
        <v>1747.24</v>
      </c>
      <c r="AB7" s="35">
        <f t="shared" si="1"/>
        <v>1654.44</v>
      </c>
      <c r="AC7" s="35">
        <f t="shared" si="1"/>
        <v>1573.04</v>
      </c>
      <c r="AD7" s="35">
        <f t="shared" si="1"/>
        <v>1423.04</v>
      </c>
      <c r="AE7" s="35">
        <f t="shared" si="1"/>
        <v>1304.24</v>
      </c>
      <c r="AF7" s="35">
        <f t="shared" si="1"/>
        <v>1170.24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72" t="s">
        <v>14</v>
      </c>
      <c r="C8" s="273"/>
      <c r="D8" s="273"/>
      <c r="E8" s="273"/>
      <c r="F8" s="273"/>
      <c r="G8" s="273"/>
      <c r="H8" s="273"/>
      <c r="I8" s="273"/>
      <c r="J8" s="273"/>
      <c r="K8" s="273"/>
      <c r="L8" s="274"/>
      <c r="M8" s="265" t="s">
        <v>15</v>
      </c>
      <c r="N8" s="266"/>
      <c r="O8" s="266"/>
      <c r="P8" s="266"/>
      <c r="Q8" s="266"/>
      <c r="R8" s="267"/>
      <c r="S8" s="265" t="s">
        <v>16</v>
      </c>
      <c r="T8" s="266"/>
      <c r="U8" s="266"/>
      <c r="V8" s="266"/>
      <c r="W8" s="266"/>
      <c r="X8" s="266"/>
      <c r="Y8" s="266"/>
      <c r="Z8" s="266"/>
      <c r="AA8" s="267"/>
      <c r="AB8" s="265" t="s">
        <v>17</v>
      </c>
      <c r="AC8" s="266"/>
      <c r="AD8" s="266"/>
      <c r="AE8" s="266"/>
      <c r="AF8" s="267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68" t="s">
        <v>18</v>
      </c>
      <c r="B9" s="264">
        <v>0</v>
      </c>
      <c r="C9" s="264">
        <v>4.1666666666666664E-2</v>
      </c>
      <c r="D9" s="264">
        <v>8.3333333333333301E-2</v>
      </c>
      <c r="E9" s="264">
        <v>0.125</v>
      </c>
      <c r="F9" s="264">
        <v>0.16666666666666699</v>
      </c>
      <c r="G9" s="264">
        <v>0.20833333333333301</v>
      </c>
      <c r="H9" s="264">
        <v>0.22916666666666666</v>
      </c>
      <c r="I9" s="264">
        <v>0.25</v>
      </c>
      <c r="J9" s="264">
        <v>0.27083333333333331</v>
      </c>
      <c r="K9" s="264">
        <v>0.29166666666666669</v>
      </c>
      <c r="L9" s="264">
        <v>0.3125</v>
      </c>
      <c r="M9" s="262">
        <v>0.33333333333333331</v>
      </c>
      <c r="N9" s="262">
        <v>0.375</v>
      </c>
      <c r="O9" s="262">
        <v>0.41666666666666702</v>
      </c>
      <c r="P9" s="262">
        <v>0.45833333333333298</v>
      </c>
      <c r="Q9" s="262">
        <v>0.5</v>
      </c>
      <c r="R9" s="262">
        <v>0.54166666666666696</v>
      </c>
      <c r="S9" s="258">
        <v>0.58333333333333304</v>
      </c>
      <c r="T9" s="258">
        <v>0.625</v>
      </c>
      <c r="U9" s="258">
        <v>0.66666666666666696</v>
      </c>
      <c r="V9" s="258">
        <v>0.70833333333333304</v>
      </c>
      <c r="W9" s="258">
        <v>0.72916666666666663</v>
      </c>
      <c r="X9" s="258">
        <v>0.75</v>
      </c>
      <c r="Y9" s="258">
        <v>0.77083333333333337</v>
      </c>
      <c r="Z9" s="258">
        <v>0.79166666666666663</v>
      </c>
      <c r="AA9" s="258">
        <v>0.8125</v>
      </c>
      <c r="AB9" s="258">
        <v>0.83333333333333337</v>
      </c>
      <c r="AC9" s="258">
        <v>0.85416666666666663</v>
      </c>
      <c r="AD9" s="258">
        <v>0.875</v>
      </c>
      <c r="AE9" s="258">
        <v>0.91666666666666696</v>
      </c>
      <c r="AF9" s="258">
        <v>0.95833333333333304</v>
      </c>
      <c r="AG9" s="260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69"/>
      <c r="B10" s="259"/>
      <c r="C10" s="259"/>
      <c r="D10" s="259"/>
      <c r="E10" s="259"/>
      <c r="F10" s="259"/>
      <c r="G10" s="259"/>
      <c r="H10" s="259"/>
      <c r="I10" s="259"/>
      <c r="J10" s="259"/>
      <c r="K10" s="259"/>
      <c r="L10" s="259"/>
      <c r="M10" s="263"/>
      <c r="N10" s="263"/>
      <c r="O10" s="263"/>
      <c r="P10" s="263"/>
      <c r="Q10" s="263"/>
      <c r="R10" s="263"/>
      <c r="S10" s="259"/>
      <c r="T10" s="259"/>
      <c r="U10" s="259"/>
      <c r="V10" s="259"/>
      <c r="W10" s="259"/>
      <c r="X10" s="259"/>
      <c r="Y10" s="259"/>
      <c r="Z10" s="259"/>
      <c r="AA10" s="259"/>
      <c r="AB10" s="259"/>
      <c r="AC10" s="259"/>
      <c r="AD10" s="259"/>
      <c r="AE10" s="259"/>
      <c r="AF10" s="259"/>
      <c r="AG10" s="261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32.700000000000003</v>
      </c>
      <c r="C11" s="45">
        <v>34.799999999999997</v>
      </c>
      <c r="D11" s="45">
        <v>34.1</v>
      </c>
      <c r="E11" s="45">
        <v>32.5</v>
      </c>
      <c r="F11" s="45">
        <v>32.5</v>
      </c>
      <c r="G11" s="45">
        <v>32.9</v>
      </c>
      <c r="H11" s="45">
        <v>32.9</v>
      </c>
      <c r="I11" s="45">
        <v>32.9</v>
      </c>
      <c r="J11" s="45">
        <v>33.4</v>
      </c>
      <c r="K11" s="45">
        <v>33.4</v>
      </c>
      <c r="L11" s="45">
        <v>33.4</v>
      </c>
      <c r="M11" s="45">
        <v>33.4</v>
      </c>
      <c r="N11" s="45">
        <v>33.4</v>
      </c>
      <c r="O11" s="45">
        <v>33.4</v>
      </c>
      <c r="P11" s="45">
        <v>33.4</v>
      </c>
      <c r="Q11" s="45">
        <v>33.4</v>
      </c>
      <c r="R11" s="45">
        <v>33.4</v>
      </c>
      <c r="S11" s="45">
        <v>33.6</v>
      </c>
      <c r="T11" s="45">
        <v>33.6</v>
      </c>
      <c r="U11" s="45">
        <v>33.6</v>
      </c>
      <c r="V11" s="45">
        <v>33.6</v>
      </c>
      <c r="W11" s="45">
        <v>33.6</v>
      </c>
      <c r="X11" s="45">
        <v>33.6</v>
      </c>
      <c r="Y11" s="45">
        <v>33.6</v>
      </c>
      <c r="Z11" s="45">
        <v>33.6</v>
      </c>
      <c r="AA11" s="45">
        <v>33.6</v>
      </c>
      <c r="AB11" s="45">
        <v>33.6</v>
      </c>
      <c r="AC11" s="45">
        <v>33.6</v>
      </c>
      <c r="AD11" s="45">
        <v>33.6</v>
      </c>
      <c r="AE11" s="45">
        <v>33.6</v>
      </c>
      <c r="AF11" s="45">
        <v>33.6</v>
      </c>
      <c r="AG11" s="46">
        <v>86</v>
      </c>
      <c r="AH11" s="47">
        <f t="shared" ref="AH11:AH84" si="2">MAX(B11:AF11)</f>
        <v>34.799999999999997</v>
      </c>
      <c r="AI11" s="48">
        <f t="shared" ref="AI11:AI84" si="3">MIN(B11:AF11)</f>
        <v>32.5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262</v>
      </c>
      <c r="B12" s="45">
        <v>11.5</v>
      </c>
      <c r="C12" s="45">
        <v>11.5</v>
      </c>
      <c r="D12" s="45">
        <v>11.5</v>
      </c>
      <c r="E12" s="45">
        <v>11.5</v>
      </c>
      <c r="F12" s="45">
        <v>11.5</v>
      </c>
      <c r="G12" s="45">
        <v>11.5</v>
      </c>
      <c r="H12" s="45">
        <v>11.5</v>
      </c>
      <c r="I12" s="45">
        <v>11.5</v>
      </c>
      <c r="J12" s="45">
        <v>11.5</v>
      </c>
      <c r="K12" s="45">
        <v>11.5</v>
      </c>
      <c r="L12" s="45">
        <v>11.5</v>
      </c>
      <c r="M12" s="45">
        <v>11.5</v>
      </c>
      <c r="N12" s="45">
        <v>11.5</v>
      </c>
      <c r="O12" s="45">
        <v>11.5</v>
      </c>
      <c r="P12" s="45">
        <v>11.5</v>
      </c>
      <c r="Q12" s="45">
        <v>11.5</v>
      </c>
      <c r="R12" s="45">
        <v>11.5</v>
      </c>
      <c r="S12" s="45">
        <v>10.8</v>
      </c>
      <c r="T12" s="45">
        <v>10.8</v>
      </c>
      <c r="U12" s="45">
        <v>10.8</v>
      </c>
      <c r="V12" s="45">
        <v>10.8</v>
      </c>
      <c r="W12" s="45">
        <v>10.8</v>
      </c>
      <c r="X12" s="45">
        <v>10.8</v>
      </c>
      <c r="Y12" s="45">
        <v>10.8</v>
      </c>
      <c r="Z12" s="45">
        <v>10.8</v>
      </c>
      <c r="AA12" s="45">
        <v>10.8</v>
      </c>
      <c r="AB12" s="45">
        <v>10.8</v>
      </c>
      <c r="AC12" s="45">
        <v>10.8</v>
      </c>
      <c r="AD12" s="45">
        <v>10.8</v>
      </c>
      <c r="AE12" s="45">
        <v>10.8</v>
      </c>
      <c r="AF12" s="45">
        <v>10.8</v>
      </c>
      <c r="AG12" s="49">
        <v>54</v>
      </c>
      <c r="AH12" s="47">
        <f t="shared" si="2"/>
        <v>11.5</v>
      </c>
      <c r="AI12" s="48">
        <f t="shared" si="3"/>
        <v>10.8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15.5</v>
      </c>
      <c r="C13" s="45">
        <v>15.5</v>
      </c>
      <c r="D13" s="45">
        <v>15.5</v>
      </c>
      <c r="E13" s="45">
        <v>15.5</v>
      </c>
      <c r="F13" s="45">
        <v>15.5</v>
      </c>
      <c r="G13" s="45">
        <v>15.5</v>
      </c>
      <c r="H13" s="45">
        <v>15.5</v>
      </c>
      <c r="I13" s="45">
        <v>15.5</v>
      </c>
      <c r="J13" s="45">
        <v>15.5</v>
      </c>
      <c r="K13" s="45">
        <v>15.5</v>
      </c>
      <c r="L13" s="45">
        <v>15.5</v>
      </c>
      <c r="M13" s="45">
        <v>15.5</v>
      </c>
      <c r="N13" s="45">
        <v>15.5</v>
      </c>
      <c r="O13" s="45">
        <v>15.5</v>
      </c>
      <c r="P13" s="45">
        <v>15.5</v>
      </c>
      <c r="Q13" s="45">
        <v>15.5</v>
      </c>
      <c r="R13" s="45">
        <v>15.5</v>
      </c>
      <c r="S13" s="45">
        <v>15.5</v>
      </c>
      <c r="T13" s="45">
        <v>15.5</v>
      </c>
      <c r="U13" s="45">
        <v>15.5</v>
      </c>
      <c r="V13" s="45">
        <v>15.5</v>
      </c>
      <c r="W13" s="45">
        <v>15.5</v>
      </c>
      <c r="X13" s="45">
        <v>15.5</v>
      </c>
      <c r="Y13" s="45">
        <v>15.5</v>
      </c>
      <c r="Z13" s="45">
        <v>15.5</v>
      </c>
      <c r="AA13" s="45">
        <v>15.5</v>
      </c>
      <c r="AB13" s="45">
        <v>15.5</v>
      </c>
      <c r="AC13" s="45">
        <v>15.5</v>
      </c>
      <c r="AD13" s="45">
        <v>15.5</v>
      </c>
      <c r="AE13" s="45">
        <v>15.5</v>
      </c>
      <c r="AF13" s="45">
        <v>15.5</v>
      </c>
      <c r="AG13" s="49">
        <v>54</v>
      </c>
      <c r="AH13" s="47">
        <f t="shared" si="2"/>
        <v>15.5</v>
      </c>
      <c r="AI13" s="48">
        <f t="shared" si="3"/>
        <v>15.5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16.899999999999999</v>
      </c>
      <c r="C14" s="45">
        <v>16.8</v>
      </c>
      <c r="D14" s="45">
        <v>16.8</v>
      </c>
      <c r="E14" s="45">
        <v>16.8</v>
      </c>
      <c r="F14" s="45">
        <v>16.899999999999999</v>
      </c>
      <c r="G14" s="45">
        <v>16.899999999999999</v>
      </c>
      <c r="H14" s="45">
        <v>16.899999999999999</v>
      </c>
      <c r="I14" s="45">
        <v>16.899999999999999</v>
      </c>
      <c r="J14" s="45">
        <v>16.899999999999999</v>
      </c>
      <c r="K14" s="45">
        <v>16.899999999999999</v>
      </c>
      <c r="L14" s="45">
        <v>16.899999999999999</v>
      </c>
      <c r="M14" s="45">
        <v>16.899999999999999</v>
      </c>
      <c r="N14" s="45">
        <v>16.899999999999999</v>
      </c>
      <c r="O14" s="45">
        <v>16.899999999999999</v>
      </c>
      <c r="P14" s="45">
        <v>16.899999999999999</v>
      </c>
      <c r="Q14" s="45">
        <v>16.899999999999999</v>
      </c>
      <c r="R14" s="45">
        <v>16.899999999999999</v>
      </c>
      <c r="S14" s="45">
        <v>17.100000000000001</v>
      </c>
      <c r="T14" s="45">
        <v>17.100000000000001</v>
      </c>
      <c r="U14" s="45">
        <v>17.100000000000001</v>
      </c>
      <c r="V14" s="45">
        <v>17.100000000000001</v>
      </c>
      <c r="W14" s="45">
        <v>17.100000000000001</v>
      </c>
      <c r="X14" s="45">
        <v>17.100000000000001</v>
      </c>
      <c r="Y14" s="45">
        <v>17.100000000000001</v>
      </c>
      <c r="Z14" s="45">
        <v>17.100000000000001</v>
      </c>
      <c r="AA14" s="45">
        <v>17.100000000000001</v>
      </c>
      <c r="AB14" s="45">
        <v>17.100000000000001</v>
      </c>
      <c r="AC14" s="45">
        <v>17.100000000000001</v>
      </c>
      <c r="AD14" s="45">
        <v>17.100000000000001</v>
      </c>
      <c r="AE14" s="45">
        <v>17.100000000000001</v>
      </c>
      <c r="AF14" s="45">
        <v>17.100000000000001</v>
      </c>
      <c r="AG14" s="46">
        <v>52.4</v>
      </c>
      <c r="AH14" s="47">
        <f t="shared" si="2"/>
        <v>17.100000000000001</v>
      </c>
      <c r="AI14" s="48">
        <f t="shared" si="3"/>
        <v>16.8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36.200000000000003</v>
      </c>
      <c r="C15" s="45">
        <v>36</v>
      </c>
      <c r="D15" s="45">
        <v>36.4</v>
      </c>
      <c r="E15" s="45">
        <v>36.4</v>
      </c>
      <c r="F15" s="45">
        <v>36.4</v>
      </c>
      <c r="G15" s="45">
        <v>36.4</v>
      </c>
      <c r="H15" s="45">
        <v>36.4</v>
      </c>
      <c r="I15" s="45">
        <v>36.4</v>
      </c>
      <c r="J15" s="45">
        <v>36.4</v>
      </c>
      <c r="K15" s="45">
        <v>36.4</v>
      </c>
      <c r="L15" s="45">
        <v>36.4</v>
      </c>
      <c r="M15" s="45">
        <v>36.4</v>
      </c>
      <c r="N15" s="45">
        <v>36.4</v>
      </c>
      <c r="O15" s="45">
        <v>36.4</v>
      </c>
      <c r="P15" s="45">
        <v>36.4</v>
      </c>
      <c r="Q15" s="45">
        <v>36.4</v>
      </c>
      <c r="R15" s="45">
        <v>36.4</v>
      </c>
      <c r="S15" s="45">
        <v>36.4</v>
      </c>
      <c r="T15" s="45">
        <v>36.4</v>
      </c>
      <c r="U15" s="45">
        <v>36.4</v>
      </c>
      <c r="V15" s="45">
        <v>36.4</v>
      </c>
      <c r="W15" s="45">
        <v>36.4</v>
      </c>
      <c r="X15" s="51">
        <v>36.4</v>
      </c>
      <c r="Y15" s="51">
        <v>36.4</v>
      </c>
      <c r="Z15" s="51">
        <v>36.4</v>
      </c>
      <c r="AA15" s="51">
        <v>36.4</v>
      </c>
      <c r="AB15" s="51">
        <v>36.4</v>
      </c>
      <c r="AC15" s="51">
        <v>36.4</v>
      </c>
      <c r="AD15" s="51">
        <v>36.4</v>
      </c>
      <c r="AE15" s="51">
        <v>36.4</v>
      </c>
      <c r="AF15" s="51">
        <v>36.4</v>
      </c>
      <c r="AG15" s="49">
        <v>50</v>
      </c>
      <c r="AH15" s="47">
        <f t="shared" si="2"/>
        <v>36.4</v>
      </c>
      <c r="AI15" s="48">
        <f t="shared" si="3"/>
        <v>36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19.600000000000001</v>
      </c>
      <c r="C16" s="45">
        <v>19.7</v>
      </c>
      <c r="D16" s="45">
        <v>19.8</v>
      </c>
      <c r="E16" s="45">
        <v>19.8</v>
      </c>
      <c r="F16" s="45">
        <v>19.8</v>
      </c>
      <c r="G16" s="45">
        <v>19.8</v>
      </c>
      <c r="H16" s="45">
        <v>19.8</v>
      </c>
      <c r="I16" s="45">
        <v>19.8</v>
      </c>
      <c r="J16" s="45">
        <v>19.8</v>
      </c>
      <c r="K16" s="45">
        <v>19.8</v>
      </c>
      <c r="L16" s="45">
        <v>19.8</v>
      </c>
      <c r="M16" s="45">
        <v>19.8</v>
      </c>
      <c r="N16" s="45">
        <v>19.8</v>
      </c>
      <c r="O16" s="45">
        <v>19.8</v>
      </c>
      <c r="P16" s="45">
        <v>19.8</v>
      </c>
      <c r="Q16" s="45">
        <v>19.8</v>
      </c>
      <c r="R16" s="45">
        <v>19.8</v>
      </c>
      <c r="S16" s="45">
        <v>19.8</v>
      </c>
      <c r="T16" s="45">
        <v>19.8</v>
      </c>
      <c r="U16" s="45">
        <v>19.8</v>
      </c>
      <c r="V16" s="45">
        <v>19.8</v>
      </c>
      <c r="W16" s="45">
        <v>19.8</v>
      </c>
      <c r="X16" s="45">
        <v>19.8</v>
      </c>
      <c r="Y16" s="45">
        <v>19.8</v>
      </c>
      <c r="Z16" s="45">
        <v>19.8</v>
      </c>
      <c r="AA16" s="45">
        <v>19.8</v>
      </c>
      <c r="AB16" s="45">
        <v>19.8</v>
      </c>
      <c r="AC16" s="45">
        <v>19.8</v>
      </c>
      <c r="AD16" s="45">
        <v>19.8</v>
      </c>
      <c r="AE16" s="45">
        <v>19.8</v>
      </c>
      <c r="AF16" s="45">
        <v>19.8</v>
      </c>
      <c r="AG16" s="49">
        <v>45</v>
      </c>
      <c r="AH16" s="47">
        <f t="shared" si="2"/>
        <v>19.8</v>
      </c>
      <c r="AI16" s="48">
        <f t="shared" si="3"/>
        <v>19.600000000000001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16.5</v>
      </c>
      <c r="C17" s="45">
        <v>16.5</v>
      </c>
      <c r="D17" s="45">
        <v>16.5</v>
      </c>
      <c r="E17" s="45">
        <v>16.5</v>
      </c>
      <c r="F17" s="45">
        <v>16.5</v>
      </c>
      <c r="G17" s="45">
        <v>16.5</v>
      </c>
      <c r="H17" s="45">
        <v>16.5</v>
      </c>
      <c r="I17" s="45">
        <v>16.5</v>
      </c>
      <c r="J17" s="45">
        <v>16.5</v>
      </c>
      <c r="K17" s="45">
        <v>16.5</v>
      </c>
      <c r="L17" s="45">
        <v>16.5</v>
      </c>
      <c r="M17" s="45">
        <v>16.5</v>
      </c>
      <c r="N17" s="45">
        <v>16.5</v>
      </c>
      <c r="O17" s="45">
        <v>16.5</v>
      </c>
      <c r="P17" s="45">
        <v>16.5</v>
      </c>
      <c r="Q17" s="45">
        <v>16.5</v>
      </c>
      <c r="R17" s="45">
        <v>16.5</v>
      </c>
      <c r="S17" s="45">
        <v>16.5</v>
      </c>
      <c r="T17" s="45">
        <v>16.5</v>
      </c>
      <c r="U17" s="45">
        <v>16.5</v>
      </c>
      <c r="V17" s="45">
        <v>16.5</v>
      </c>
      <c r="W17" s="45">
        <v>16.5</v>
      </c>
      <c r="X17" s="45">
        <v>16.5</v>
      </c>
      <c r="Y17" s="45">
        <v>16.5</v>
      </c>
      <c r="Z17" s="45">
        <v>16.5</v>
      </c>
      <c r="AA17" s="45">
        <v>16.5</v>
      </c>
      <c r="AB17" s="45">
        <v>16.5</v>
      </c>
      <c r="AC17" s="45">
        <v>16.5</v>
      </c>
      <c r="AD17" s="45">
        <v>16.5</v>
      </c>
      <c r="AE17" s="45">
        <v>16.5</v>
      </c>
      <c r="AF17" s="45">
        <v>16.5</v>
      </c>
      <c r="AG17" s="49">
        <v>44</v>
      </c>
      <c r="AH17" s="47">
        <f>MAX(B17:AG17)</f>
        <v>44</v>
      </c>
      <c r="AI17" s="48">
        <f>MIN(B17:AG17)</f>
        <v>16.5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9</v>
      </c>
      <c r="C18" s="45">
        <v>10</v>
      </c>
      <c r="D18" s="45">
        <v>10.5</v>
      </c>
      <c r="E18" s="45">
        <v>10.5</v>
      </c>
      <c r="F18" s="45">
        <v>10.5</v>
      </c>
      <c r="G18" s="45">
        <v>10.5</v>
      </c>
      <c r="H18" s="45">
        <v>10.5</v>
      </c>
      <c r="I18" s="45">
        <v>10.5</v>
      </c>
      <c r="J18" s="45">
        <v>10.5</v>
      </c>
      <c r="K18" s="45">
        <v>10.5</v>
      </c>
      <c r="L18" s="45">
        <v>10.5</v>
      </c>
      <c r="M18" s="45">
        <v>10.5</v>
      </c>
      <c r="N18" s="45">
        <v>10.5</v>
      </c>
      <c r="O18" s="45">
        <v>10.5</v>
      </c>
      <c r="P18" s="45">
        <v>10.5</v>
      </c>
      <c r="Q18" s="45">
        <v>10.5</v>
      </c>
      <c r="R18" s="45">
        <v>10.5</v>
      </c>
      <c r="S18" s="45">
        <v>10.5</v>
      </c>
      <c r="T18" s="45">
        <v>10.5</v>
      </c>
      <c r="U18" s="45">
        <v>10.5</v>
      </c>
      <c r="V18" s="45">
        <v>10.5</v>
      </c>
      <c r="W18" s="45">
        <v>10.5</v>
      </c>
      <c r="X18" s="45">
        <v>10.5</v>
      </c>
      <c r="Y18" s="45">
        <v>10.5</v>
      </c>
      <c r="Z18" s="45">
        <v>10.5</v>
      </c>
      <c r="AA18" s="45">
        <v>10.5</v>
      </c>
      <c r="AB18" s="45">
        <v>10.5</v>
      </c>
      <c r="AC18" s="45">
        <v>10.5</v>
      </c>
      <c r="AD18" s="45">
        <v>10.5</v>
      </c>
      <c r="AE18" s="45">
        <v>10.5</v>
      </c>
      <c r="AF18" s="45">
        <v>10.5</v>
      </c>
      <c r="AG18" s="49">
        <v>42</v>
      </c>
      <c r="AH18" s="47">
        <f t="shared" si="2"/>
        <v>10.5</v>
      </c>
      <c r="AI18" s="48">
        <f t="shared" si="3"/>
        <v>9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263</v>
      </c>
      <c r="B19" s="45">
        <v>15.4</v>
      </c>
      <c r="C19" s="45">
        <v>15.4</v>
      </c>
      <c r="D19" s="45">
        <v>15.4</v>
      </c>
      <c r="E19" s="45">
        <v>15.4</v>
      </c>
      <c r="F19" s="45">
        <v>15.4</v>
      </c>
      <c r="G19" s="45">
        <v>15.4</v>
      </c>
      <c r="H19" s="45">
        <v>15.4</v>
      </c>
      <c r="I19" s="45">
        <v>15.4</v>
      </c>
      <c r="J19" s="45">
        <v>15.4</v>
      </c>
      <c r="K19" s="45">
        <v>15.4</v>
      </c>
      <c r="L19" s="45">
        <v>15.4</v>
      </c>
      <c r="M19" s="45">
        <v>15.4</v>
      </c>
      <c r="N19" s="45">
        <v>15.4</v>
      </c>
      <c r="O19" s="45">
        <v>15.4</v>
      </c>
      <c r="P19" s="45">
        <v>15.4</v>
      </c>
      <c r="Q19" s="45">
        <v>15.4</v>
      </c>
      <c r="R19" s="45">
        <v>15.4</v>
      </c>
      <c r="S19" s="45">
        <v>15.4</v>
      </c>
      <c r="T19" s="45">
        <v>15.4</v>
      </c>
      <c r="U19" s="45">
        <v>15.4</v>
      </c>
      <c r="V19" s="45">
        <v>15.4</v>
      </c>
      <c r="W19" s="45">
        <v>15.4</v>
      </c>
      <c r="X19" s="45">
        <v>15.4</v>
      </c>
      <c r="Y19" s="45">
        <v>15.4</v>
      </c>
      <c r="Z19" s="45">
        <v>15.4</v>
      </c>
      <c r="AA19" s="45">
        <v>15.4</v>
      </c>
      <c r="AB19" s="45">
        <v>15.4</v>
      </c>
      <c r="AC19" s="45">
        <v>15.4</v>
      </c>
      <c r="AD19" s="45">
        <v>15.4</v>
      </c>
      <c r="AE19" s="45">
        <v>15.4</v>
      </c>
      <c r="AF19" s="45">
        <v>15.4</v>
      </c>
      <c r="AG19" s="49">
        <v>38.46</v>
      </c>
      <c r="AH19" s="47">
        <f t="shared" si="2"/>
        <v>15.4</v>
      </c>
      <c r="AI19" s="48">
        <f t="shared" si="3"/>
        <v>15.4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10.199999999999999</v>
      </c>
      <c r="C20" s="45">
        <v>10.199999999999999</v>
      </c>
      <c r="D20" s="45">
        <v>10.199999999999999</v>
      </c>
      <c r="E20" s="45">
        <v>10.199999999999999</v>
      </c>
      <c r="F20" s="45">
        <v>10.199999999999999</v>
      </c>
      <c r="G20" s="45">
        <v>10.199999999999999</v>
      </c>
      <c r="H20" s="45">
        <v>10.199999999999999</v>
      </c>
      <c r="I20" s="45">
        <v>10.199999999999999</v>
      </c>
      <c r="J20" s="45">
        <v>10.199999999999999</v>
      </c>
      <c r="K20" s="45">
        <v>10.199999999999999</v>
      </c>
      <c r="L20" s="45">
        <v>10.199999999999999</v>
      </c>
      <c r="M20" s="45">
        <v>10.199999999999999</v>
      </c>
      <c r="N20" s="45">
        <v>10.199999999999999</v>
      </c>
      <c r="O20" s="45">
        <v>10.199999999999999</v>
      </c>
      <c r="P20" s="45">
        <v>10.199999999999999</v>
      </c>
      <c r="Q20" s="45">
        <v>10.199999999999999</v>
      </c>
      <c r="R20" s="45">
        <v>10.199999999999999</v>
      </c>
      <c r="S20" s="45">
        <v>10.199999999999999</v>
      </c>
      <c r="T20" s="45">
        <v>10.199999999999999</v>
      </c>
      <c r="U20" s="45">
        <v>10.199999999999999</v>
      </c>
      <c r="V20" s="45">
        <v>10.199999999999999</v>
      </c>
      <c r="W20" s="45">
        <v>10.199999999999999</v>
      </c>
      <c r="X20" s="45">
        <v>10.199999999999999</v>
      </c>
      <c r="Y20" s="45">
        <v>10.199999999999999</v>
      </c>
      <c r="Z20" s="45">
        <v>10.199999999999999</v>
      </c>
      <c r="AA20" s="45">
        <v>10.199999999999999</v>
      </c>
      <c r="AB20" s="45">
        <v>10.199999999999999</v>
      </c>
      <c r="AC20" s="45">
        <v>10.199999999999999</v>
      </c>
      <c r="AD20" s="45">
        <v>10.199999999999999</v>
      </c>
      <c r="AE20" s="45">
        <v>10.199999999999999</v>
      </c>
      <c r="AF20" s="45">
        <v>10.199999999999999</v>
      </c>
      <c r="AG20" s="49">
        <v>38.46</v>
      </c>
      <c r="AH20" s="47">
        <f t="shared" si="2"/>
        <v>10.199999999999999</v>
      </c>
      <c r="AI20" s="48">
        <f t="shared" si="3"/>
        <v>10.199999999999999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13.6</v>
      </c>
      <c r="C21" s="45">
        <v>13.6</v>
      </c>
      <c r="D21" s="45">
        <v>13.6</v>
      </c>
      <c r="E21" s="45">
        <v>13.6</v>
      </c>
      <c r="F21" s="45">
        <v>13.6</v>
      </c>
      <c r="G21" s="45">
        <v>13.6</v>
      </c>
      <c r="H21" s="45">
        <v>13.6</v>
      </c>
      <c r="I21" s="45">
        <v>13.6</v>
      </c>
      <c r="J21" s="45">
        <v>13.6</v>
      </c>
      <c r="K21" s="45">
        <v>13.6</v>
      </c>
      <c r="L21" s="45">
        <v>13.6</v>
      </c>
      <c r="M21" s="45">
        <v>13.6</v>
      </c>
      <c r="N21" s="45">
        <v>13.6</v>
      </c>
      <c r="O21" s="45">
        <v>13.6</v>
      </c>
      <c r="P21" s="45">
        <v>13.6</v>
      </c>
      <c r="Q21" s="45">
        <v>13.6</v>
      </c>
      <c r="R21" s="45">
        <v>13.6</v>
      </c>
      <c r="S21" s="45">
        <v>13.6</v>
      </c>
      <c r="T21" s="45">
        <v>13.6</v>
      </c>
      <c r="U21" s="45">
        <v>13.6</v>
      </c>
      <c r="V21" s="45">
        <v>13.6</v>
      </c>
      <c r="W21" s="45">
        <v>13.6</v>
      </c>
      <c r="X21" s="45">
        <v>13.6</v>
      </c>
      <c r="Y21" s="45">
        <v>13.6</v>
      </c>
      <c r="Z21" s="45">
        <v>13.6</v>
      </c>
      <c r="AA21" s="45">
        <v>13.6</v>
      </c>
      <c r="AB21" s="45">
        <v>13.6</v>
      </c>
      <c r="AC21" s="45">
        <v>13.6</v>
      </c>
      <c r="AD21" s="45">
        <v>13.6</v>
      </c>
      <c r="AE21" s="45">
        <v>13.6</v>
      </c>
      <c r="AF21" s="45">
        <v>13.6</v>
      </c>
      <c r="AG21" s="49">
        <v>36</v>
      </c>
      <c r="AH21" s="47">
        <f t="shared" si="2"/>
        <v>13.6</v>
      </c>
      <c r="AI21" s="48">
        <f t="shared" si="3"/>
        <v>13.6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9.9</v>
      </c>
      <c r="C22" s="45">
        <v>9.9</v>
      </c>
      <c r="D22" s="45">
        <v>9.9</v>
      </c>
      <c r="E22" s="45">
        <v>9.9</v>
      </c>
      <c r="F22" s="45">
        <v>9.9</v>
      </c>
      <c r="G22" s="45">
        <v>9.9</v>
      </c>
      <c r="H22" s="45">
        <v>9.9</v>
      </c>
      <c r="I22" s="45">
        <v>9.9</v>
      </c>
      <c r="J22" s="45">
        <v>9.9</v>
      </c>
      <c r="K22" s="45">
        <v>9.9</v>
      </c>
      <c r="L22" s="45">
        <v>9.9</v>
      </c>
      <c r="M22" s="45">
        <v>9.9</v>
      </c>
      <c r="N22" s="45">
        <v>9.9</v>
      </c>
      <c r="O22" s="45">
        <v>9.9</v>
      </c>
      <c r="P22" s="45">
        <v>9.9</v>
      </c>
      <c r="Q22" s="45">
        <v>9.9</v>
      </c>
      <c r="R22" s="45">
        <v>9.9</v>
      </c>
      <c r="S22" s="45">
        <v>9.9</v>
      </c>
      <c r="T22" s="45">
        <v>9.9</v>
      </c>
      <c r="U22" s="45">
        <v>9.9</v>
      </c>
      <c r="V22" s="45">
        <v>9.9</v>
      </c>
      <c r="W22" s="45">
        <v>9.9</v>
      </c>
      <c r="X22" s="45">
        <v>9.9</v>
      </c>
      <c r="Y22" s="45">
        <v>9.9</v>
      </c>
      <c r="Z22" s="45">
        <v>9.9</v>
      </c>
      <c r="AA22" s="45">
        <v>9.9</v>
      </c>
      <c r="AB22" s="45">
        <v>9.9</v>
      </c>
      <c r="AC22" s="45">
        <v>9.9</v>
      </c>
      <c r="AD22" s="45">
        <v>9.9</v>
      </c>
      <c r="AE22" s="45">
        <v>9.9</v>
      </c>
      <c r="AF22" s="45">
        <v>9.9</v>
      </c>
      <c r="AG22" s="52">
        <v>30</v>
      </c>
      <c r="AH22" s="47">
        <f t="shared" si="2"/>
        <v>9.9</v>
      </c>
      <c r="AI22" s="48">
        <f t="shared" si="3"/>
        <v>9.9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9</v>
      </c>
      <c r="C23" s="45">
        <v>9</v>
      </c>
      <c r="D23" s="45">
        <v>9</v>
      </c>
      <c r="E23" s="45">
        <v>9</v>
      </c>
      <c r="F23" s="45">
        <v>9</v>
      </c>
      <c r="G23" s="45">
        <v>9</v>
      </c>
      <c r="H23" s="45">
        <v>9</v>
      </c>
      <c r="I23" s="45">
        <v>9</v>
      </c>
      <c r="J23" s="45">
        <v>9</v>
      </c>
      <c r="K23" s="45">
        <v>9</v>
      </c>
      <c r="L23" s="45">
        <v>9</v>
      </c>
      <c r="M23" s="45">
        <v>9</v>
      </c>
      <c r="N23" s="45">
        <v>9</v>
      </c>
      <c r="O23" s="45">
        <v>9</v>
      </c>
      <c r="P23" s="45">
        <v>9</v>
      </c>
      <c r="Q23" s="45">
        <v>9</v>
      </c>
      <c r="R23" s="45">
        <v>9</v>
      </c>
      <c r="S23" s="45">
        <v>9</v>
      </c>
      <c r="T23" s="45">
        <v>9</v>
      </c>
      <c r="U23" s="45">
        <v>9</v>
      </c>
      <c r="V23" s="45">
        <v>9</v>
      </c>
      <c r="W23" s="45">
        <v>9</v>
      </c>
      <c r="X23" s="45">
        <v>9</v>
      </c>
      <c r="Y23" s="45">
        <v>9</v>
      </c>
      <c r="Z23" s="45">
        <v>9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9</v>
      </c>
      <c r="AG23" s="49">
        <v>24.2</v>
      </c>
      <c r="AH23" s="47">
        <f t="shared" si="2"/>
        <v>9</v>
      </c>
      <c r="AI23" s="48">
        <f t="shared" si="3"/>
        <v>9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10.1</v>
      </c>
      <c r="C24" s="45">
        <v>10.1</v>
      </c>
      <c r="D24" s="45">
        <v>10.199999999999999</v>
      </c>
      <c r="E24" s="45">
        <v>10.199999999999999</v>
      </c>
      <c r="F24" s="45">
        <v>10.6</v>
      </c>
      <c r="G24" s="45">
        <v>10.6</v>
      </c>
      <c r="H24" s="45">
        <v>10.6</v>
      </c>
      <c r="I24" s="45">
        <v>10.6</v>
      </c>
      <c r="J24" s="45">
        <v>10.6</v>
      </c>
      <c r="K24" s="45">
        <v>10.6</v>
      </c>
      <c r="L24" s="45">
        <v>10.6</v>
      </c>
      <c r="M24" s="45">
        <v>10.6</v>
      </c>
      <c r="N24" s="45">
        <v>10.6</v>
      </c>
      <c r="O24" s="45">
        <v>10.6</v>
      </c>
      <c r="P24" s="45">
        <v>10.6</v>
      </c>
      <c r="Q24" s="45">
        <v>10.6</v>
      </c>
      <c r="R24" s="45">
        <v>10.6</v>
      </c>
      <c r="S24" s="45">
        <v>10.6</v>
      </c>
      <c r="T24" s="45">
        <v>10.6</v>
      </c>
      <c r="U24" s="45">
        <v>10.6</v>
      </c>
      <c r="V24" s="45">
        <v>10.6</v>
      </c>
      <c r="W24" s="45">
        <v>10.6</v>
      </c>
      <c r="X24" s="45">
        <v>10.6</v>
      </c>
      <c r="Y24" s="45">
        <v>10.6</v>
      </c>
      <c r="Z24" s="45">
        <v>10.6</v>
      </c>
      <c r="AA24" s="45">
        <v>10.6</v>
      </c>
      <c r="AB24" s="45">
        <v>10.6</v>
      </c>
      <c r="AC24" s="45">
        <v>10.6</v>
      </c>
      <c r="AD24" s="45">
        <v>10.6</v>
      </c>
      <c r="AE24" s="45">
        <v>10.6</v>
      </c>
      <c r="AF24" s="45">
        <v>10.6</v>
      </c>
      <c r="AG24" s="49">
        <v>28</v>
      </c>
      <c r="AH24" s="47">
        <f t="shared" si="2"/>
        <v>10.6</v>
      </c>
      <c r="AI24" s="48">
        <f t="shared" si="3"/>
        <v>10.1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9</v>
      </c>
      <c r="C25" s="45">
        <v>9</v>
      </c>
      <c r="D25" s="45">
        <v>8.4</v>
      </c>
      <c r="E25" s="45">
        <v>8.4</v>
      </c>
      <c r="F25" s="45">
        <v>8.4</v>
      </c>
      <c r="G25" s="45">
        <v>8.4</v>
      </c>
      <c r="H25" s="45">
        <v>8.4</v>
      </c>
      <c r="I25" s="45">
        <v>8.4</v>
      </c>
      <c r="J25" s="45">
        <v>8.4</v>
      </c>
      <c r="K25" s="45">
        <v>8.4</v>
      </c>
      <c r="L25" s="45">
        <v>8.4</v>
      </c>
      <c r="M25" s="45">
        <v>8.4</v>
      </c>
      <c r="N25" s="45">
        <v>8.4</v>
      </c>
      <c r="O25" s="45">
        <v>8.4</v>
      </c>
      <c r="P25" s="45">
        <v>8.4</v>
      </c>
      <c r="Q25" s="45">
        <v>8.4</v>
      </c>
      <c r="R25" s="45">
        <v>8.4</v>
      </c>
      <c r="S25" s="45">
        <v>8.4</v>
      </c>
      <c r="T25" s="45">
        <v>8.4</v>
      </c>
      <c r="U25" s="45">
        <v>8.4</v>
      </c>
      <c r="V25" s="45">
        <v>8.4</v>
      </c>
      <c r="W25" s="45">
        <v>8.4</v>
      </c>
      <c r="X25" s="45">
        <v>8.4</v>
      </c>
      <c r="Y25" s="45">
        <v>8.4</v>
      </c>
      <c r="Z25" s="45">
        <v>8.4</v>
      </c>
      <c r="AA25" s="45">
        <v>8.4</v>
      </c>
      <c r="AB25" s="45">
        <v>8.4</v>
      </c>
      <c r="AC25" s="45">
        <v>8.4</v>
      </c>
      <c r="AD25" s="45">
        <v>8.4</v>
      </c>
      <c r="AE25" s="45">
        <v>8.4</v>
      </c>
      <c r="AF25" s="45">
        <v>8.4</v>
      </c>
      <c r="AG25" s="52">
        <v>30</v>
      </c>
      <c r="AH25" s="47">
        <f t="shared" si="2"/>
        <v>9</v>
      </c>
      <c r="AI25" s="48">
        <f t="shared" si="3"/>
        <v>8.4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10.8</v>
      </c>
      <c r="C26" s="45">
        <v>10.199999999999999</v>
      </c>
      <c r="D26" s="45">
        <v>10</v>
      </c>
      <c r="E26" s="45">
        <v>10</v>
      </c>
      <c r="F26" s="45">
        <v>10</v>
      </c>
      <c r="G26" s="45">
        <v>10</v>
      </c>
      <c r="H26" s="45">
        <v>10</v>
      </c>
      <c r="I26" s="45">
        <v>10</v>
      </c>
      <c r="J26" s="45">
        <v>10</v>
      </c>
      <c r="K26" s="45">
        <v>10</v>
      </c>
      <c r="L26" s="45">
        <v>10</v>
      </c>
      <c r="M26" s="45">
        <v>10</v>
      </c>
      <c r="N26" s="45">
        <v>10</v>
      </c>
      <c r="O26" s="45">
        <v>10</v>
      </c>
      <c r="P26" s="45">
        <v>10</v>
      </c>
      <c r="Q26" s="45">
        <v>10</v>
      </c>
      <c r="R26" s="45">
        <v>10</v>
      </c>
      <c r="S26" s="45">
        <v>10</v>
      </c>
      <c r="T26" s="45">
        <v>10</v>
      </c>
      <c r="U26" s="45">
        <v>10</v>
      </c>
      <c r="V26" s="45">
        <v>10</v>
      </c>
      <c r="W26" s="45">
        <v>10</v>
      </c>
      <c r="X26" s="45">
        <v>10</v>
      </c>
      <c r="Y26" s="45">
        <v>10</v>
      </c>
      <c r="Z26" s="45">
        <v>10</v>
      </c>
      <c r="AA26" s="45">
        <v>10</v>
      </c>
      <c r="AB26" s="45">
        <v>10</v>
      </c>
      <c r="AC26" s="45">
        <v>10</v>
      </c>
      <c r="AD26" s="45">
        <v>10</v>
      </c>
      <c r="AE26" s="45">
        <v>10</v>
      </c>
      <c r="AF26" s="45">
        <v>10</v>
      </c>
      <c r="AG26" s="49">
        <v>25</v>
      </c>
      <c r="AH26" s="47">
        <f t="shared" si="2"/>
        <v>10.8</v>
      </c>
      <c r="AI26" s="48">
        <f t="shared" si="3"/>
        <v>10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0</v>
      </c>
      <c r="C27" s="45">
        <v>0</v>
      </c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9">
        <v>25</v>
      </c>
      <c r="AH27" s="47">
        <f t="shared" si="2"/>
        <v>0</v>
      </c>
      <c r="AI27" s="48">
        <f t="shared" si="3"/>
        <v>0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7.5</v>
      </c>
      <c r="C28" s="45">
        <v>7.5</v>
      </c>
      <c r="D28" s="45">
        <v>7.5</v>
      </c>
      <c r="E28" s="45">
        <v>7.5</v>
      </c>
      <c r="F28" s="45">
        <v>7.5</v>
      </c>
      <c r="G28" s="45">
        <v>7.5</v>
      </c>
      <c r="H28" s="45">
        <v>7.5</v>
      </c>
      <c r="I28" s="45">
        <v>7.5</v>
      </c>
      <c r="J28" s="45">
        <v>7.5</v>
      </c>
      <c r="K28" s="45">
        <v>7.5</v>
      </c>
      <c r="L28" s="45">
        <v>7.5</v>
      </c>
      <c r="M28" s="45">
        <v>7.5</v>
      </c>
      <c r="N28" s="45">
        <v>7.5</v>
      </c>
      <c r="O28" s="45">
        <v>7.5</v>
      </c>
      <c r="P28" s="45">
        <v>7.5</v>
      </c>
      <c r="Q28" s="45">
        <v>7.5</v>
      </c>
      <c r="R28" s="45">
        <v>7.5</v>
      </c>
      <c r="S28" s="45">
        <v>7.5</v>
      </c>
      <c r="T28" s="45">
        <v>7.5</v>
      </c>
      <c r="U28" s="45">
        <v>7.5</v>
      </c>
      <c r="V28" s="45">
        <v>7.5</v>
      </c>
      <c r="W28" s="45">
        <v>7.5</v>
      </c>
      <c r="X28" s="45">
        <v>7.5</v>
      </c>
      <c r="Y28" s="45">
        <v>7.5</v>
      </c>
      <c r="Z28" s="45">
        <v>7.5</v>
      </c>
      <c r="AA28" s="45">
        <v>7.5</v>
      </c>
      <c r="AB28" s="45">
        <v>7.5</v>
      </c>
      <c r="AC28" s="45">
        <v>7.5</v>
      </c>
      <c r="AD28" s="45">
        <v>7.5</v>
      </c>
      <c r="AE28" s="45">
        <v>7.5</v>
      </c>
      <c r="AF28" s="45">
        <v>7.5</v>
      </c>
      <c r="AG28" s="49">
        <v>25</v>
      </c>
      <c r="AH28" s="47">
        <f t="shared" si="2"/>
        <v>7.5</v>
      </c>
      <c r="AI28" s="48">
        <f t="shared" si="3"/>
        <v>7.5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10.1</v>
      </c>
      <c r="C29" s="45">
        <v>9.9</v>
      </c>
      <c r="D29" s="45">
        <v>9.6999999999999993</v>
      </c>
      <c r="E29" s="45">
        <v>9.6999999999999993</v>
      </c>
      <c r="F29" s="45">
        <v>9.6999999999999993</v>
      </c>
      <c r="G29" s="45">
        <v>9.6999999999999993</v>
      </c>
      <c r="H29" s="45">
        <v>9.6999999999999993</v>
      </c>
      <c r="I29" s="45">
        <v>9.6999999999999993</v>
      </c>
      <c r="J29" s="45">
        <v>9.6999999999999993</v>
      </c>
      <c r="K29" s="45">
        <v>9.6999999999999993</v>
      </c>
      <c r="L29" s="45">
        <v>9.6999999999999993</v>
      </c>
      <c r="M29" s="45">
        <v>9.6999999999999993</v>
      </c>
      <c r="N29" s="45">
        <v>9.6999999999999993</v>
      </c>
      <c r="O29" s="45">
        <v>9.6999999999999993</v>
      </c>
      <c r="P29" s="45">
        <v>9.6999999999999993</v>
      </c>
      <c r="Q29" s="45">
        <v>9.6999999999999993</v>
      </c>
      <c r="R29" s="45">
        <v>9.6999999999999993</v>
      </c>
      <c r="S29" s="45">
        <v>9.6999999999999993</v>
      </c>
      <c r="T29" s="45">
        <v>9.6999999999999993</v>
      </c>
      <c r="U29" s="45">
        <v>9.6999999999999993</v>
      </c>
      <c r="V29" s="45">
        <v>9.6999999999999993</v>
      </c>
      <c r="W29" s="45">
        <v>9.6999999999999993</v>
      </c>
      <c r="X29" s="45">
        <v>9.6999999999999993</v>
      </c>
      <c r="Y29" s="45">
        <v>9.6999999999999993</v>
      </c>
      <c r="Z29" s="45">
        <v>9.6999999999999993</v>
      </c>
      <c r="AA29" s="45">
        <v>9.6999999999999993</v>
      </c>
      <c r="AB29" s="45">
        <v>9.6999999999999993</v>
      </c>
      <c r="AC29" s="45">
        <v>9.6999999999999993</v>
      </c>
      <c r="AD29" s="45">
        <v>9.6999999999999993</v>
      </c>
      <c r="AE29" s="45">
        <v>9.6999999999999993</v>
      </c>
      <c r="AF29" s="45">
        <v>9.6999999999999993</v>
      </c>
      <c r="AG29" s="49">
        <v>25</v>
      </c>
      <c r="AH29" s="47">
        <f t="shared" si="2"/>
        <v>10.1</v>
      </c>
      <c r="AI29" s="48">
        <f t="shared" si="3"/>
        <v>9.6999999999999993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9.8000000000000007</v>
      </c>
      <c r="C30" s="45">
        <v>9.1999999999999993</v>
      </c>
      <c r="D30" s="45">
        <v>9.3000000000000007</v>
      </c>
      <c r="E30" s="45">
        <v>9.3000000000000007</v>
      </c>
      <c r="F30" s="45">
        <v>9.3000000000000007</v>
      </c>
      <c r="G30" s="45">
        <v>9.3000000000000007</v>
      </c>
      <c r="H30" s="45">
        <v>9.3000000000000007</v>
      </c>
      <c r="I30" s="45">
        <v>9.3000000000000007</v>
      </c>
      <c r="J30" s="45">
        <v>9.3000000000000007</v>
      </c>
      <c r="K30" s="45">
        <v>9.3000000000000007</v>
      </c>
      <c r="L30" s="45">
        <v>9.3000000000000007</v>
      </c>
      <c r="M30" s="45">
        <v>9.3000000000000007</v>
      </c>
      <c r="N30" s="45">
        <v>9.3000000000000007</v>
      </c>
      <c r="O30" s="45">
        <v>9.3000000000000007</v>
      </c>
      <c r="P30" s="45">
        <v>9.3000000000000007</v>
      </c>
      <c r="Q30" s="45">
        <v>9.3000000000000007</v>
      </c>
      <c r="R30" s="45">
        <v>9.3000000000000007</v>
      </c>
      <c r="S30" s="45">
        <v>9.3000000000000007</v>
      </c>
      <c r="T30" s="45">
        <v>9.3000000000000007</v>
      </c>
      <c r="U30" s="45">
        <v>9.3000000000000007</v>
      </c>
      <c r="V30" s="45">
        <v>9.3000000000000007</v>
      </c>
      <c r="W30" s="45">
        <v>9.3000000000000007</v>
      </c>
      <c r="X30" s="45">
        <v>9.3000000000000007</v>
      </c>
      <c r="Y30" s="45">
        <v>9.3000000000000007</v>
      </c>
      <c r="Z30" s="45">
        <v>9.3000000000000007</v>
      </c>
      <c r="AA30" s="45">
        <v>9.3000000000000007</v>
      </c>
      <c r="AB30" s="45">
        <v>9.3000000000000007</v>
      </c>
      <c r="AC30" s="45">
        <v>9.3000000000000007</v>
      </c>
      <c r="AD30" s="45">
        <v>9.3000000000000007</v>
      </c>
      <c r="AE30" s="45">
        <v>9.3000000000000007</v>
      </c>
      <c r="AF30" s="45">
        <v>9.3000000000000007</v>
      </c>
      <c r="AG30" s="49">
        <v>23.5</v>
      </c>
      <c r="AH30" s="47">
        <f t="shared" si="2"/>
        <v>9.8000000000000007</v>
      </c>
      <c r="AI30" s="48">
        <f t="shared" si="3"/>
        <v>9.1999999999999993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4.5</v>
      </c>
      <c r="C31" s="45">
        <v>4.5</v>
      </c>
      <c r="D31" s="45">
        <v>4.5</v>
      </c>
      <c r="E31" s="45">
        <v>4.5</v>
      </c>
      <c r="F31" s="45">
        <v>4.5</v>
      </c>
      <c r="G31" s="45">
        <v>4.5</v>
      </c>
      <c r="H31" s="45">
        <v>4.5</v>
      </c>
      <c r="I31" s="45">
        <v>4.5</v>
      </c>
      <c r="J31" s="45">
        <v>4.5</v>
      </c>
      <c r="K31" s="45">
        <v>4.5</v>
      </c>
      <c r="L31" s="45">
        <v>4.5</v>
      </c>
      <c r="M31" s="45">
        <v>4.5</v>
      </c>
      <c r="N31" s="45">
        <v>4.5</v>
      </c>
      <c r="O31" s="45">
        <v>4.5</v>
      </c>
      <c r="P31" s="45">
        <v>4.5</v>
      </c>
      <c r="Q31" s="45">
        <v>4.5</v>
      </c>
      <c r="R31" s="45">
        <v>4.5</v>
      </c>
      <c r="S31" s="45">
        <v>4.5</v>
      </c>
      <c r="T31" s="45">
        <v>4.5</v>
      </c>
      <c r="U31" s="45">
        <v>4.5</v>
      </c>
      <c r="V31" s="45">
        <v>4.5</v>
      </c>
      <c r="W31" s="45">
        <v>4.5</v>
      </c>
      <c r="X31" s="45">
        <v>4.5</v>
      </c>
      <c r="Y31" s="45">
        <v>4.5</v>
      </c>
      <c r="Z31" s="45">
        <v>4.5</v>
      </c>
      <c r="AA31" s="45">
        <v>4.5</v>
      </c>
      <c r="AB31" s="45">
        <v>4.5</v>
      </c>
      <c r="AC31" s="45">
        <v>4.5</v>
      </c>
      <c r="AD31" s="45">
        <v>4.5</v>
      </c>
      <c r="AE31" s="45">
        <v>4.5</v>
      </c>
      <c r="AF31" s="45">
        <v>4.5</v>
      </c>
      <c r="AG31" s="49">
        <v>22.2</v>
      </c>
      <c r="AH31" s="47">
        <f t="shared" si="2"/>
        <v>4.5</v>
      </c>
      <c r="AI31" s="48">
        <f t="shared" si="3"/>
        <v>4.5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>
        <v>5.5</v>
      </c>
      <c r="N32" s="45">
        <v>5.5</v>
      </c>
      <c r="O32" s="45">
        <v>5.5</v>
      </c>
      <c r="P32" s="45">
        <v>5.5</v>
      </c>
      <c r="Q32" s="45">
        <v>5.5</v>
      </c>
      <c r="R32" s="45">
        <v>5.5</v>
      </c>
      <c r="S32" s="45">
        <v>5.5</v>
      </c>
      <c r="T32" s="45">
        <v>5.5</v>
      </c>
      <c r="U32" s="45">
        <v>5.5</v>
      </c>
      <c r="V32" s="45">
        <v>5.5</v>
      </c>
      <c r="W32" s="45">
        <v>5.5</v>
      </c>
      <c r="X32" s="45">
        <v>5.5</v>
      </c>
      <c r="Y32" s="45">
        <v>5.5</v>
      </c>
      <c r="Z32" s="45">
        <v>5.5</v>
      </c>
      <c r="AA32" s="45">
        <v>5.5</v>
      </c>
      <c r="AB32" s="45">
        <v>5.5</v>
      </c>
      <c r="AC32" s="45">
        <v>5.5</v>
      </c>
      <c r="AD32" s="45">
        <v>5.5</v>
      </c>
      <c r="AE32" s="45">
        <v>5.5</v>
      </c>
      <c r="AF32" s="45">
        <v>5.5</v>
      </c>
      <c r="AG32" s="49">
        <v>22.1</v>
      </c>
      <c r="AH32" s="47">
        <f t="shared" si="2"/>
        <v>5.5</v>
      </c>
      <c r="AI32" s="48">
        <f t="shared" si="3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22</v>
      </c>
      <c r="AH33" s="47">
        <f t="shared" si="2"/>
        <v>6</v>
      </c>
      <c r="AI33" s="48">
        <f t="shared" si="3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10.5</v>
      </c>
      <c r="C34" s="45">
        <v>11.3</v>
      </c>
      <c r="D34" s="45">
        <v>11.3</v>
      </c>
      <c r="E34" s="45">
        <v>11.3</v>
      </c>
      <c r="F34" s="45">
        <v>11.3</v>
      </c>
      <c r="G34" s="45">
        <v>11.3</v>
      </c>
      <c r="H34" s="45">
        <v>11.3</v>
      </c>
      <c r="I34" s="45">
        <v>11.3</v>
      </c>
      <c r="J34" s="45">
        <v>11.3</v>
      </c>
      <c r="K34" s="45">
        <v>11.3</v>
      </c>
      <c r="L34" s="45">
        <v>11.3</v>
      </c>
      <c r="M34" s="45">
        <v>11.3</v>
      </c>
      <c r="N34" s="45">
        <v>11.3</v>
      </c>
      <c r="O34" s="45">
        <v>11.3</v>
      </c>
      <c r="P34" s="45">
        <v>11.3</v>
      </c>
      <c r="Q34" s="45">
        <v>11.3</v>
      </c>
      <c r="R34" s="45">
        <v>11.3</v>
      </c>
      <c r="S34" s="45">
        <v>11.3</v>
      </c>
      <c r="T34" s="45">
        <v>11.3</v>
      </c>
      <c r="U34" s="45">
        <v>11.3</v>
      </c>
      <c r="V34" s="45">
        <v>11.3</v>
      </c>
      <c r="W34" s="45">
        <v>11.3</v>
      </c>
      <c r="X34" s="45">
        <v>11.3</v>
      </c>
      <c r="Y34" s="45">
        <v>11.3</v>
      </c>
      <c r="Z34" s="45">
        <v>11.3</v>
      </c>
      <c r="AA34" s="45">
        <v>11.3</v>
      </c>
      <c r="AB34" s="45">
        <v>11.3</v>
      </c>
      <c r="AC34" s="45">
        <v>11.3</v>
      </c>
      <c r="AD34" s="45">
        <v>11.3</v>
      </c>
      <c r="AE34" s="45">
        <v>11.3</v>
      </c>
      <c r="AF34" s="45">
        <v>11.3</v>
      </c>
      <c r="AG34" s="49">
        <v>22</v>
      </c>
      <c r="AH34" s="47">
        <f t="shared" si="2"/>
        <v>11.3</v>
      </c>
      <c r="AI34" s="48">
        <f t="shared" si="3"/>
        <v>10.5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6.5</v>
      </c>
      <c r="C35" s="45">
        <v>6.5</v>
      </c>
      <c r="D35" s="45">
        <v>6.5</v>
      </c>
      <c r="E35" s="45">
        <v>6.5</v>
      </c>
      <c r="F35" s="45">
        <v>6.5</v>
      </c>
      <c r="G35" s="45">
        <v>6.5</v>
      </c>
      <c r="H35" s="45">
        <v>6.5</v>
      </c>
      <c r="I35" s="45">
        <v>6.5</v>
      </c>
      <c r="J35" s="45">
        <v>6.5</v>
      </c>
      <c r="K35" s="45">
        <v>6.5</v>
      </c>
      <c r="L35" s="45">
        <v>6.5</v>
      </c>
      <c r="M35" s="45">
        <v>6.5</v>
      </c>
      <c r="N35" s="45">
        <v>6.5</v>
      </c>
      <c r="O35" s="45">
        <v>6.5</v>
      </c>
      <c r="P35" s="45">
        <v>6.5</v>
      </c>
      <c r="Q35" s="45">
        <v>6.5</v>
      </c>
      <c r="R35" s="45">
        <v>6.5</v>
      </c>
      <c r="S35" s="45">
        <v>6.5</v>
      </c>
      <c r="T35" s="45">
        <v>6.5</v>
      </c>
      <c r="U35" s="45">
        <v>6.5</v>
      </c>
      <c r="V35" s="45">
        <v>6.5</v>
      </c>
      <c r="W35" s="45">
        <v>6.5</v>
      </c>
      <c r="X35" s="45">
        <v>6.5</v>
      </c>
      <c r="Y35" s="45">
        <v>6.5</v>
      </c>
      <c r="Z35" s="45">
        <v>6.5</v>
      </c>
      <c r="AA35" s="45">
        <v>6.5</v>
      </c>
      <c r="AB35" s="45">
        <v>6.5</v>
      </c>
      <c r="AC35" s="45">
        <v>6.5</v>
      </c>
      <c r="AD35" s="45">
        <v>6.5</v>
      </c>
      <c r="AE35" s="45">
        <v>6.5</v>
      </c>
      <c r="AF35" s="45">
        <v>6.5</v>
      </c>
      <c r="AG35" s="49">
        <v>20</v>
      </c>
      <c r="AH35" s="47">
        <f t="shared" si="2"/>
        <v>6.5</v>
      </c>
      <c r="AI35" s="48">
        <f t="shared" si="3"/>
        <v>6.5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264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2"/>
        <v>4</v>
      </c>
      <c r="AI36" s="48">
        <f t="shared" si="3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5.5</v>
      </c>
      <c r="C37" s="45">
        <v>5.5</v>
      </c>
      <c r="D37" s="45">
        <v>5.5</v>
      </c>
      <c r="E37" s="45">
        <v>5.5</v>
      </c>
      <c r="F37" s="45">
        <v>5.5</v>
      </c>
      <c r="G37" s="45">
        <v>5.5</v>
      </c>
      <c r="H37" s="45">
        <v>5.5</v>
      </c>
      <c r="I37" s="45">
        <v>5.5</v>
      </c>
      <c r="J37" s="45">
        <v>5.5</v>
      </c>
      <c r="K37" s="45">
        <v>5.5</v>
      </c>
      <c r="L37" s="45">
        <v>5.5</v>
      </c>
      <c r="M37" s="45">
        <v>5.5</v>
      </c>
      <c r="N37" s="45">
        <v>5.5</v>
      </c>
      <c r="O37" s="45">
        <v>5.5</v>
      </c>
      <c r="P37" s="45">
        <v>5.5</v>
      </c>
      <c r="Q37" s="45">
        <v>5.5</v>
      </c>
      <c r="R37" s="45">
        <v>5.5</v>
      </c>
      <c r="S37" s="45">
        <v>5.5</v>
      </c>
      <c r="T37" s="45">
        <v>5.5</v>
      </c>
      <c r="U37" s="45">
        <v>5.5</v>
      </c>
      <c r="V37" s="45">
        <v>5.5</v>
      </c>
      <c r="W37" s="45">
        <v>5.5</v>
      </c>
      <c r="X37" s="45">
        <v>5.5</v>
      </c>
      <c r="Y37" s="45">
        <v>5.5</v>
      </c>
      <c r="Z37" s="45">
        <v>5.5</v>
      </c>
      <c r="AA37" s="45">
        <v>5.5</v>
      </c>
      <c r="AB37" s="45">
        <v>5.5</v>
      </c>
      <c r="AC37" s="45">
        <v>5.5</v>
      </c>
      <c r="AD37" s="45">
        <v>5.5</v>
      </c>
      <c r="AE37" s="45">
        <v>5.5</v>
      </c>
      <c r="AF37" s="45">
        <v>5.5</v>
      </c>
      <c r="AG37" s="49">
        <v>18</v>
      </c>
      <c r="AH37" s="47">
        <f t="shared" si="2"/>
        <v>5.5</v>
      </c>
      <c r="AI37" s="48">
        <f t="shared" si="3"/>
        <v>5.5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>
        <v>7.2</v>
      </c>
      <c r="N38" s="45">
        <v>7.2</v>
      </c>
      <c r="O38" s="45">
        <v>7.2</v>
      </c>
      <c r="P38" s="45">
        <v>7.2</v>
      </c>
      <c r="Q38" s="45">
        <v>7.2</v>
      </c>
      <c r="R38" s="45">
        <v>7.2</v>
      </c>
      <c r="S38" s="45">
        <v>7.2</v>
      </c>
      <c r="T38" s="45">
        <v>7.2</v>
      </c>
      <c r="U38" s="45">
        <v>7.2</v>
      </c>
      <c r="V38" s="45">
        <v>7.2</v>
      </c>
      <c r="W38" s="45">
        <v>7.2</v>
      </c>
      <c r="X38" s="45">
        <v>7.2</v>
      </c>
      <c r="Y38" s="45">
        <v>7.2</v>
      </c>
      <c r="Z38" s="45">
        <v>7.2</v>
      </c>
      <c r="AA38" s="45">
        <v>7.2</v>
      </c>
      <c r="AB38" s="45">
        <v>7.2</v>
      </c>
      <c r="AC38" s="45">
        <v>7.2</v>
      </c>
      <c r="AD38" s="45">
        <v>7.2</v>
      </c>
      <c r="AE38" s="45">
        <v>7.2</v>
      </c>
      <c r="AF38" s="45">
        <v>7.2</v>
      </c>
      <c r="AG38" s="49">
        <v>14.9</v>
      </c>
      <c r="AH38" s="47">
        <f t="shared" si="2"/>
        <v>7.2</v>
      </c>
      <c r="AI38" s="48">
        <f t="shared" si="3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265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2"/>
        <v>5</v>
      </c>
      <c r="AI40" s="48">
        <f t="shared" si="3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266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>
        <v>4</v>
      </c>
      <c r="N41" s="45">
        <v>4</v>
      </c>
      <c r="O41" s="45">
        <v>4</v>
      </c>
      <c r="P41" s="45">
        <v>4</v>
      </c>
      <c r="Q41" s="45">
        <v>4</v>
      </c>
      <c r="R41" s="45">
        <v>4</v>
      </c>
      <c r="S41" s="45">
        <v>4</v>
      </c>
      <c r="T41" s="45">
        <v>4</v>
      </c>
      <c r="U41" s="45">
        <v>4</v>
      </c>
      <c r="V41" s="45">
        <v>4</v>
      </c>
      <c r="W41" s="45">
        <v>4</v>
      </c>
      <c r="X41" s="45">
        <v>4</v>
      </c>
      <c r="Y41" s="45">
        <v>4</v>
      </c>
      <c r="Z41" s="45">
        <v>4</v>
      </c>
      <c r="AA41" s="45">
        <v>4</v>
      </c>
      <c r="AB41" s="45">
        <v>4</v>
      </c>
      <c r="AC41" s="45">
        <v>4</v>
      </c>
      <c r="AD41" s="45">
        <v>4</v>
      </c>
      <c r="AE41" s="45">
        <v>4</v>
      </c>
      <c r="AF41" s="45">
        <v>4</v>
      </c>
      <c r="AG41" s="49">
        <v>14.9</v>
      </c>
      <c r="AH41" s="47">
        <f t="shared" si="2"/>
        <v>4</v>
      </c>
      <c r="AI41" s="48">
        <f t="shared" si="3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2"/>
        <v>1.8</v>
      </c>
      <c r="AI42" s="48">
        <f t="shared" si="3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2"/>
        <v>3.8</v>
      </c>
      <c r="AI43" s="48">
        <f t="shared" si="3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4</v>
      </c>
      <c r="C44" s="45">
        <v>4</v>
      </c>
      <c r="D44" s="45">
        <v>4</v>
      </c>
      <c r="E44" s="45">
        <v>4</v>
      </c>
      <c r="F44" s="45">
        <v>4</v>
      </c>
      <c r="G44" s="45">
        <v>4</v>
      </c>
      <c r="H44" s="45">
        <v>4</v>
      </c>
      <c r="I44" s="45">
        <v>4</v>
      </c>
      <c r="J44" s="45">
        <v>4</v>
      </c>
      <c r="K44" s="45">
        <v>4</v>
      </c>
      <c r="L44" s="45">
        <v>4</v>
      </c>
      <c r="M44" s="45">
        <v>4</v>
      </c>
      <c r="N44" s="45">
        <v>4</v>
      </c>
      <c r="O44" s="45">
        <v>4</v>
      </c>
      <c r="P44" s="45">
        <v>4</v>
      </c>
      <c r="Q44" s="45">
        <v>4</v>
      </c>
      <c r="R44" s="45">
        <v>4</v>
      </c>
      <c r="S44" s="45">
        <v>4</v>
      </c>
      <c r="T44" s="45">
        <v>4</v>
      </c>
      <c r="U44" s="45">
        <v>4</v>
      </c>
      <c r="V44" s="45">
        <v>4</v>
      </c>
      <c r="W44" s="45">
        <v>4</v>
      </c>
      <c r="X44" s="45">
        <v>4</v>
      </c>
      <c r="Y44" s="45">
        <v>4</v>
      </c>
      <c r="Z44" s="45">
        <v>4</v>
      </c>
      <c r="AA44" s="45">
        <v>4</v>
      </c>
      <c r="AB44" s="45">
        <v>4</v>
      </c>
      <c r="AC44" s="45">
        <v>4</v>
      </c>
      <c r="AD44" s="45">
        <v>4</v>
      </c>
      <c r="AE44" s="45">
        <v>4</v>
      </c>
      <c r="AF44" s="45">
        <v>4</v>
      </c>
      <c r="AG44" s="49">
        <v>12</v>
      </c>
      <c r="AH44" s="47">
        <f t="shared" si="2"/>
        <v>4</v>
      </c>
      <c r="AI44" s="48">
        <f t="shared" si="3"/>
        <v>4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49">
        <v>12</v>
      </c>
      <c r="AH45" s="47">
        <f t="shared" si="2"/>
        <v>9</v>
      </c>
      <c r="AI45" s="48">
        <f t="shared" si="3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2"/>
        <v>3</v>
      </c>
      <c r="AI46" s="48">
        <f t="shared" si="3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2"/>
        <v>3.5</v>
      </c>
      <c r="AI47" s="48">
        <f t="shared" si="3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>
        <v>5</v>
      </c>
      <c r="N48" s="45">
        <v>5</v>
      </c>
      <c r="O48" s="45">
        <v>5</v>
      </c>
      <c r="P48" s="45">
        <v>5</v>
      </c>
      <c r="Q48" s="45">
        <v>5</v>
      </c>
      <c r="R48" s="45">
        <v>5</v>
      </c>
      <c r="S48" s="45">
        <v>5</v>
      </c>
      <c r="T48" s="45">
        <v>5</v>
      </c>
      <c r="U48" s="45">
        <v>5</v>
      </c>
      <c r="V48" s="45">
        <v>5</v>
      </c>
      <c r="W48" s="45">
        <v>5</v>
      </c>
      <c r="X48" s="45">
        <v>5</v>
      </c>
      <c r="Y48" s="45">
        <v>5</v>
      </c>
      <c r="Z48" s="45">
        <v>5</v>
      </c>
      <c r="AA48" s="45">
        <v>5</v>
      </c>
      <c r="AB48" s="45">
        <v>5</v>
      </c>
      <c r="AC48" s="45">
        <v>5</v>
      </c>
      <c r="AD48" s="45">
        <v>5</v>
      </c>
      <c r="AE48" s="45">
        <v>5</v>
      </c>
      <c r="AF48" s="45">
        <v>5</v>
      </c>
      <c r="AG48" s="52">
        <v>11.88</v>
      </c>
      <c r="AH48" s="47">
        <f t="shared" si="2"/>
        <v>5</v>
      </c>
      <c r="AI48" s="48">
        <f t="shared" si="3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>
        <v>3</v>
      </c>
      <c r="N49" s="45">
        <v>3</v>
      </c>
      <c r="O49" s="45">
        <v>3</v>
      </c>
      <c r="P49" s="45">
        <v>3</v>
      </c>
      <c r="Q49" s="45">
        <v>3</v>
      </c>
      <c r="R49" s="45">
        <v>3</v>
      </c>
      <c r="S49" s="45">
        <v>3</v>
      </c>
      <c r="T49" s="45">
        <v>3</v>
      </c>
      <c r="U49" s="45">
        <v>3</v>
      </c>
      <c r="V49" s="45">
        <v>3</v>
      </c>
      <c r="W49" s="45">
        <v>3</v>
      </c>
      <c r="X49" s="45">
        <v>3</v>
      </c>
      <c r="Y49" s="45">
        <v>3</v>
      </c>
      <c r="Z49" s="45">
        <v>3</v>
      </c>
      <c r="AA49" s="45">
        <v>3</v>
      </c>
      <c r="AB49" s="45">
        <v>3</v>
      </c>
      <c r="AC49" s="45">
        <v>3</v>
      </c>
      <c r="AD49" s="45">
        <v>3</v>
      </c>
      <c r="AE49" s="45">
        <v>3</v>
      </c>
      <c r="AF49" s="45">
        <v>3</v>
      </c>
      <c r="AG49" s="55">
        <v>11</v>
      </c>
      <c r="AH49" s="47">
        <f t="shared" si="2"/>
        <v>3</v>
      </c>
      <c r="AI49" s="48">
        <f t="shared" si="3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267</v>
      </c>
      <c r="B50" s="45">
        <v>3.3</v>
      </c>
      <c r="C50" s="45">
        <v>3.3</v>
      </c>
      <c r="D50" s="45">
        <v>3.3</v>
      </c>
      <c r="E50" s="45">
        <v>3.3</v>
      </c>
      <c r="F50" s="45">
        <v>3.3</v>
      </c>
      <c r="G50" s="45">
        <v>3.3</v>
      </c>
      <c r="H50" s="45">
        <v>3.3</v>
      </c>
      <c r="I50" s="45">
        <v>3.3</v>
      </c>
      <c r="J50" s="45">
        <v>3.3</v>
      </c>
      <c r="K50" s="45">
        <v>3.3</v>
      </c>
      <c r="L50" s="45">
        <v>3.3</v>
      </c>
      <c r="M50" s="45">
        <v>3.3</v>
      </c>
      <c r="N50" s="45">
        <v>3.3</v>
      </c>
      <c r="O50" s="45">
        <v>3.3</v>
      </c>
      <c r="P50" s="45">
        <v>3.3</v>
      </c>
      <c r="Q50" s="45">
        <v>3.3</v>
      </c>
      <c r="R50" s="45">
        <v>3.3</v>
      </c>
      <c r="S50" s="45">
        <v>3.3</v>
      </c>
      <c r="T50" s="45">
        <v>3.3</v>
      </c>
      <c r="U50" s="45">
        <v>3.3</v>
      </c>
      <c r="V50" s="45">
        <v>3.3</v>
      </c>
      <c r="W50" s="45">
        <v>3.3</v>
      </c>
      <c r="X50" s="45">
        <v>3.3</v>
      </c>
      <c r="Y50" s="45">
        <v>3.3</v>
      </c>
      <c r="Z50" s="45">
        <v>3.3</v>
      </c>
      <c r="AA50" s="45">
        <v>3.3</v>
      </c>
      <c r="AB50" s="45">
        <v>3.3</v>
      </c>
      <c r="AC50" s="45">
        <v>3.3</v>
      </c>
      <c r="AD50" s="45">
        <v>3.3</v>
      </c>
      <c r="AE50" s="45">
        <v>3.3</v>
      </c>
      <c r="AF50" s="45">
        <v>3.3</v>
      </c>
      <c r="AG50" s="55">
        <v>11</v>
      </c>
      <c r="AH50" s="47">
        <f t="shared" si="2"/>
        <v>3.3</v>
      </c>
      <c r="AI50" s="48">
        <f t="shared" si="3"/>
        <v>3.3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268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"/>
        <v>3</v>
      </c>
      <c r="AI51" s="48">
        <f t="shared" si="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2"/>
        <v>4</v>
      </c>
      <c r="AI52" s="48">
        <f t="shared" si="3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"/>
        <v>4.5</v>
      </c>
      <c r="AI53" s="48">
        <f t="shared" si="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269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"/>
        <v>0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175</v>
      </c>
      <c r="C56" s="57">
        <v>175</v>
      </c>
      <c r="D56" s="57">
        <v>175</v>
      </c>
      <c r="E56" s="57">
        <v>175</v>
      </c>
      <c r="F56" s="57">
        <v>175</v>
      </c>
      <c r="G56" s="57">
        <v>175</v>
      </c>
      <c r="H56" s="57">
        <v>175</v>
      </c>
      <c r="I56" s="57">
        <v>175</v>
      </c>
      <c r="J56" s="57">
        <v>175</v>
      </c>
      <c r="K56" s="57">
        <v>175</v>
      </c>
      <c r="L56" s="57">
        <v>175</v>
      </c>
      <c r="M56" s="57">
        <v>175</v>
      </c>
      <c r="N56" s="57">
        <v>175</v>
      </c>
      <c r="O56" s="57">
        <v>175</v>
      </c>
      <c r="P56" s="57">
        <v>175</v>
      </c>
      <c r="Q56" s="57">
        <v>175</v>
      </c>
      <c r="R56" s="57">
        <v>175</v>
      </c>
      <c r="S56" s="57">
        <v>175</v>
      </c>
      <c r="T56" s="57">
        <v>175</v>
      </c>
      <c r="U56" s="57">
        <v>175</v>
      </c>
      <c r="V56" s="57">
        <v>175</v>
      </c>
      <c r="W56" s="57">
        <v>175</v>
      </c>
      <c r="X56" s="57">
        <v>175</v>
      </c>
      <c r="Y56" s="57">
        <v>175</v>
      </c>
      <c r="Z56" s="57">
        <v>175</v>
      </c>
      <c r="AA56" s="57">
        <v>175</v>
      </c>
      <c r="AB56" s="57">
        <v>175</v>
      </c>
      <c r="AC56" s="57">
        <v>175</v>
      </c>
      <c r="AD56" s="57">
        <v>175</v>
      </c>
      <c r="AE56" s="57">
        <v>175</v>
      </c>
      <c r="AF56" s="57">
        <v>175</v>
      </c>
      <c r="AG56" s="55">
        <v>85</v>
      </c>
      <c r="AH56" s="47">
        <f t="shared" si="2"/>
        <v>175</v>
      </c>
      <c r="AI56" s="48">
        <f t="shared" si="3"/>
        <v>175</v>
      </c>
      <c r="AK56" s="50"/>
    </row>
    <row r="57" spans="1:88" ht="15.75" thickBot="1" x14ac:dyDescent="0.3">
      <c r="A57" s="58" t="s">
        <v>57</v>
      </c>
      <c r="B57" s="57"/>
      <c r="C57" s="57"/>
      <c r="D57" s="57"/>
      <c r="E57" s="57"/>
      <c r="F57" s="57"/>
      <c r="G57" s="57"/>
      <c r="H57" s="57"/>
      <c r="I57" s="57"/>
      <c r="J57" s="57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7"/>
      <c r="Y57" s="57"/>
      <c r="Z57" s="57"/>
      <c r="AA57" s="57"/>
      <c r="AB57" s="57"/>
      <c r="AC57" s="57"/>
      <c r="AD57" s="57"/>
      <c r="AE57" s="57"/>
      <c r="AF57" s="57"/>
      <c r="AG57" s="55">
        <v>240</v>
      </c>
      <c r="AH57" s="47">
        <f t="shared" si="2"/>
        <v>0</v>
      </c>
      <c r="AI57" s="48">
        <f t="shared" si="3"/>
        <v>0</v>
      </c>
      <c r="AK57" s="50"/>
    </row>
    <row r="58" spans="1:88" ht="15.75" thickBot="1" x14ac:dyDescent="0.3">
      <c r="A58" s="59" t="s">
        <v>58</v>
      </c>
      <c r="B58" s="60">
        <f t="shared" ref="B58:C58" si="4">SUM(B11:B56)</f>
        <v>554.90000000000009</v>
      </c>
      <c r="C58" s="60">
        <f t="shared" si="4"/>
        <v>557.20000000000005</v>
      </c>
      <c r="D58" s="60">
        <f t="shared" ref="D58" si="5">SUM(D11:D56)</f>
        <v>556.70000000000005</v>
      </c>
      <c r="E58" s="60">
        <f t="shared" ref="E58:AC58" si="6">SUM(E11:E56)</f>
        <v>555.1</v>
      </c>
      <c r="F58" s="60">
        <f t="shared" si="6"/>
        <v>555.60000000000014</v>
      </c>
      <c r="G58" s="60">
        <f t="shared" si="6"/>
        <v>556</v>
      </c>
      <c r="H58" s="60">
        <f t="shared" ref="H58:I58" si="7">SUM(H11:H56)</f>
        <v>556</v>
      </c>
      <c r="I58" s="60">
        <f t="shared" si="7"/>
        <v>556</v>
      </c>
      <c r="J58" s="60">
        <f t="shared" si="6"/>
        <v>556.5</v>
      </c>
      <c r="K58" s="60">
        <f t="shared" si="6"/>
        <v>556.5</v>
      </c>
      <c r="L58" s="60">
        <f t="shared" si="6"/>
        <v>556.5</v>
      </c>
      <c r="M58" s="60">
        <f t="shared" si="6"/>
        <v>556.5</v>
      </c>
      <c r="N58" s="60">
        <f t="shared" si="6"/>
        <v>556.5</v>
      </c>
      <c r="O58" s="60">
        <f t="shared" si="6"/>
        <v>556.5</v>
      </c>
      <c r="P58" s="60">
        <f t="shared" si="6"/>
        <v>556.5</v>
      </c>
      <c r="Q58" s="60">
        <f t="shared" si="6"/>
        <v>556.5</v>
      </c>
      <c r="R58" s="60">
        <f t="shared" si="6"/>
        <v>556.5</v>
      </c>
      <c r="S58" s="60">
        <f t="shared" ref="S58:T58" si="8">SUM(S11:S56)</f>
        <v>556.20000000000005</v>
      </c>
      <c r="T58" s="60">
        <f t="shared" si="8"/>
        <v>556.20000000000005</v>
      </c>
      <c r="U58" s="60">
        <f t="shared" ref="U58:V58" si="9">SUM(U11:U56)</f>
        <v>556.20000000000005</v>
      </c>
      <c r="V58" s="60">
        <f t="shared" si="9"/>
        <v>556.20000000000005</v>
      </c>
      <c r="W58" s="60">
        <f t="shared" ref="W58:X58" si="10">SUM(W11:W56)</f>
        <v>556.20000000000005</v>
      </c>
      <c r="X58" s="60">
        <f t="shared" si="10"/>
        <v>556.20000000000005</v>
      </c>
      <c r="Y58" s="60">
        <f t="shared" ref="Y58" si="11">SUM(Y11:Y56)</f>
        <v>556.20000000000005</v>
      </c>
      <c r="Z58" s="60">
        <f t="shared" si="6"/>
        <v>556.20000000000005</v>
      </c>
      <c r="AA58" s="60">
        <f t="shared" ref="AA58:AB58" si="12">SUM(AA11:AA56)</f>
        <v>556.20000000000005</v>
      </c>
      <c r="AB58" s="60">
        <f t="shared" si="12"/>
        <v>556.20000000000005</v>
      </c>
      <c r="AC58" s="60">
        <f t="shared" si="6"/>
        <v>556.20000000000005</v>
      </c>
      <c r="AD58" s="60">
        <f t="shared" ref="AD58:AE58" si="13">SUM(AD11:AD56)</f>
        <v>556.20000000000005</v>
      </c>
      <c r="AE58" s="60">
        <f t="shared" si="13"/>
        <v>556.20000000000005</v>
      </c>
      <c r="AF58" s="60">
        <f t="shared" ref="AF58" si="14">SUM(AF11:AF56)</f>
        <v>556.20000000000005</v>
      </c>
      <c r="AG58" s="61">
        <f>SUM(AG14:AG56)</f>
        <v>1042.4000000000001</v>
      </c>
      <c r="AH58" s="47">
        <f t="shared" si="2"/>
        <v>557.20000000000005</v>
      </c>
      <c r="AI58" s="48">
        <f t="shared" si="3"/>
        <v>554.90000000000009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180</v>
      </c>
      <c r="M59" s="45">
        <v>350</v>
      </c>
      <c r="N59" s="63">
        <v>400</v>
      </c>
      <c r="O59" s="63">
        <v>385</v>
      </c>
      <c r="P59" s="63">
        <v>170</v>
      </c>
      <c r="Q59" s="63">
        <v>70</v>
      </c>
      <c r="R59" s="63">
        <v>70</v>
      </c>
      <c r="S59" s="63">
        <v>76</v>
      </c>
      <c r="T59" s="63">
        <v>55</v>
      </c>
      <c r="U59" s="63">
        <v>20</v>
      </c>
      <c r="V59" s="63">
        <v>24</v>
      </c>
      <c r="W59" s="63">
        <v>175</v>
      </c>
      <c r="X59" s="45">
        <v>320</v>
      </c>
      <c r="Y59" s="45">
        <v>380</v>
      </c>
      <c r="Z59" s="45">
        <v>280</v>
      </c>
      <c r="AA59" s="45">
        <v>200</v>
      </c>
      <c r="AB59" s="45">
        <v>150</v>
      </c>
      <c r="AC59" s="45">
        <v>60</v>
      </c>
      <c r="AD59" s="45">
        <v>0</v>
      </c>
      <c r="AE59" s="45">
        <v>0</v>
      </c>
      <c r="AF59" s="45">
        <v>0</v>
      </c>
      <c r="AG59" s="52">
        <v>456</v>
      </c>
      <c r="AH59" s="47">
        <f t="shared" si="2"/>
        <v>400</v>
      </c>
      <c r="AI59" s="48">
        <f t="shared" si="3"/>
        <v>0</v>
      </c>
      <c r="AK59" s="50"/>
    </row>
    <row r="60" spans="1:88" x14ac:dyDescent="0.25">
      <c r="A60" s="64" t="s">
        <v>60</v>
      </c>
      <c r="B60" s="65">
        <v>34</v>
      </c>
      <c r="C60" s="65">
        <v>34</v>
      </c>
      <c r="D60" s="65">
        <v>34</v>
      </c>
      <c r="E60" s="65">
        <v>34</v>
      </c>
      <c r="F60" s="65">
        <v>34</v>
      </c>
      <c r="G60" s="65">
        <v>34</v>
      </c>
      <c r="H60" s="65">
        <v>34</v>
      </c>
      <c r="I60" s="65">
        <v>34</v>
      </c>
      <c r="J60" s="65">
        <v>34</v>
      </c>
      <c r="K60" s="65">
        <v>34</v>
      </c>
      <c r="L60" s="65">
        <v>34</v>
      </c>
      <c r="M60" s="65">
        <v>34</v>
      </c>
      <c r="N60" s="65">
        <v>34</v>
      </c>
      <c r="O60" s="65">
        <v>34</v>
      </c>
      <c r="P60" s="65">
        <v>34</v>
      </c>
      <c r="Q60" s="65">
        <v>34</v>
      </c>
      <c r="R60" s="65">
        <v>34</v>
      </c>
      <c r="S60" s="65">
        <v>34</v>
      </c>
      <c r="T60" s="65">
        <v>34</v>
      </c>
      <c r="U60" s="65">
        <v>34</v>
      </c>
      <c r="V60" s="65">
        <v>34</v>
      </c>
      <c r="W60" s="65">
        <v>34</v>
      </c>
      <c r="X60" s="65">
        <v>34</v>
      </c>
      <c r="Y60" s="65">
        <v>34</v>
      </c>
      <c r="Z60" s="65">
        <v>34</v>
      </c>
      <c r="AA60" s="65">
        <v>34</v>
      </c>
      <c r="AB60" s="65">
        <v>34</v>
      </c>
      <c r="AC60" s="65">
        <v>34</v>
      </c>
      <c r="AD60" s="65">
        <v>34</v>
      </c>
      <c r="AE60" s="65">
        <v>34</v>
      </c>
      <c r="AF60" s="65">
        <v>34</v>
      </c>
      <c r="AG60" s="55">
        <v>60</v>
      </c>
      <c r="AH60" s="47">
        <f t="shared" si="2"/>
        <v>34</v>
      </c>
      <c r="AI60" s="48">
        <f t="shared" si="3"/>
        <v>34</v>
      </c>
      <c r="AK60" s="50"/>
    </row>
    <row r="61" spans="1:88" ht="15.75" thickBot="1" x14ac:dyDescent="0.3">
      <c r="A61" s="66" t="s">
        <v>61</v>
      </c>
      <c r="B61" s="67">
        <v>13.6</v>
      </c>
      <c r="C61" s="67">
        <v>13.7</v>
      </c>
      <c r="D61" s="67">
        <v>13.6</v>
      </c>
      <c r="E61" s="67">
        <v>13.7</v>
      </c>
      <c r="F61" s="67">
        <v>12.2</v>
      </c>
      <c r="G61" s="67">
        <v>12.7</v>
      </c>
      <c r="H61" s="67">
        <v>12.7</v>
      </c>
      <c r="I61" s="67">
        <v>12.7</v>
      </c>
      <c r="J61" s="67">
        <v>12.7</v>
      </c>
      <c r="K61" s="67">
        <v>12.7</v>
      </c>
      <c r="L61" s="67">
        <v>12.6</v>
      </c>
      <c r="M61" s="67">
        <v>12.7</v>
      </c>
      <c r="N61" s="67">
        <v>11.7</v>
      </c>
      <c r="O61" s="67">
        <v>11.6</v>
      </c>
      <c r="P61" s="67">
        <v>11.7</v>
      </c>
      <c r="Q61" s="67">
        <v>11.7</v>
      </c>
      <c r="R61" s="67">
        <v>11.7</v>
      </c>
      <c r="S61" s="67">
        <v>11.7</v>
      </c>
      <c r="T61" s="67">
        <v>11.7</v>
      </c>
      <c r="U61" s="67">
        <v>11.7</v>
      </c>
      <c r="V61" s="67">
        <v>11.7</v>
      </c>
      <c r="W61" s="67">
        <v>11.7</v>
      </c>
      <c r="X61" s="67">
        <v>11.7</v>
      </c>
      <c r="Y61" s="67">
        <v>11.7</v>
      </c>
      <c r="Z61" s="67">
        <v>18.100000000000001</v>
      </c>
      <c r="AA61" s="67">
        <v>18.100000000000001</v>
      </c>
      <c r="AB61" s="67">
        <v>18.100000000000001</v>
      </c>
      <c r="AC61" s="67">
        <v>18.100000000000001</v>
      </c>
      <c r="AD61" s="67">
        <v>18.100000000000001</v>
      </c>
      <c r="AE61" s="67">
        <v>16</v>
      </c>
      <c r="AF61" s="67">
        <v>14</v>
      </c>
      <c r="AG61" s="68">
        <v>22.1</v>
      </c>
      <c r="AH61" s="47">
        <f t="shared" si="2"/>
        <v>18.100000000000001</v>
      </c>
      <c r="AI61" s="48">
        <f t="shared" si="3"/>
        <v>11.6</v>
      </c>
      <c r="AK61" s="50"/>
    </row>
    <row r="62" spans="1:88" ht="15.75" thickBot="1" x14ac:dyDescent="0.3">
      <c r="A62" s="69" t="s">
        <v>62</v>
      </c>
      <c r="B62" s="60">
        <f t="shared" ref="B62:C62" si="15">SUM(B59:B61)</f>
        <v>47.6</v>
      </c>
      <c r="C62" s="60">
        <f t="shared" si="15"/>
        <v>47.7</v>
      </c>
      <c r="D62" s="60">
        <f t="shared" ref="D62" si="16">SUM(D59:D61)</f>
        <v>47.6</v>
      </c>
      <c r="E62" s="60">
        <f t="shared" ref="E62:AG62" si="17">SUM(E59:E61)</f>
        <v>47.7</v>
      </c>
      <c r="F62" s="60">
        <f t="shared" si="17"/>
        <v>46.2</v>
      </c>
      <c r="G62" s="60">
        <f t="shared" si="17"/>
        <v>46.7</v>
      </c>
      <c r="H62" s="60">
        <f t="shared" ref="H62:I62" si="18">SUM(H59:H61)</f>
        <v>46.7</v>
      </c>
      <c r="I62" s="60">
        <f t="shared" si="18"/>
        <v>46.7</v>
      </c>
      <c r="J62" s="60">
        <f t="shared" si="17"/>
        <v>46.7</v>
      </c>
      <c r="K62" s="60">
        <f t="shared" si="17"/>
        <v>46.7</v>
      </c>
      <c r="L62" s="60">
        <f t="shared" si="17"/>
        <v>226.6</v>
      </c>
      <c r="M62" s="60">
        <f t="shared" si="17"/>
        <v>396.7</v>
      </c>
      <c r="N62" s="60">
        <f t="shared" si="17"/>
        <v>445.7</v>
      </c>
      <c r="O62" s="60">
        <f t="shared" si="17"/>
        <v>430.6</v>
      </c>
      <c r="P62" s="60">
        <f t="shared" si="17"/>
        <v>215.7</v>
      </c>
      <c r="Q62" s="60">
        <f t="shared" si="17"/>
        <v>115.7</v>
      </c>
      <c r="R62" s="60">
        <f t="shared" si="17"/>
        <v>115.7</v>
      </c>
      <c r="S62" s="60">
        <f t="shared" ref="S62:T62" si="19">SUM(S59:S61)</f>
        <v>121.7</v>
      </c>
      <c r="T62" s="60">
        <f t="shared" si="19"/>
        <v>100.7</v>
      </c>
      <c r="U62" s="60">
        <f t="shared" ref="U62:V62" si="20">SUM(U59:U61)</f>
        <v>65.7</v>
      </c>
      <c r="V62" s="60">
        <f t="shared" si="20"/>
        <v>69.7</v>
      </c>
      <c r="W62" s="60">
        <f t="shared" ref="W62:X62" si="21">SUM(W59:W61)</f>
        <v>220.7</v>
      </c>
      <c r="X62" s="60">
        <f t="shared" si="21"/>
        <v>365.7</v>
      </c>
      <c r="Y62" s="60">
        <f t="shared" ref="Y62" si="22">SUM(Y59:Y61)</f>
        <v>425.7</v>
      </c>
      <c r="Z62" s="60">
        <f t="shared" si="17"/>
        <v>332.1</v>
      </c>
      <c r="AA62" s="60">
        <f t="shared" ref="AA62:AB62" si="23">SUM(AA59:AA61)</f>
        <v>252.1</v>
      </c>
      <c r="AB62" s="60">
        <f t="shared" si="23"/>
        <v>202.1</v>
      </c>
      <c r="AC62" s="60">
        <f t="shared" si="17"/>
        <v>112.1</v>
      </c>
      <c r="AD62" s="60">
        <f t="shared" ref="AD62:AE62" si="24">SUM(AD59:AD61)</f>
        <v>52.1</v>
      </c>
      <c r="AE62" s="60">
        <f t="shared" si="24"/>
        <v>50</v>
      </c>
      <c r="AF62" s="60">
        <f t="shared" ref="AF62" si="25">SUM(AF59:AF61)</f>
        <v>48</v>
      </c>
      <c r="AG62" s="61">
        <f t="shared" si="17"/>
        <v>538.1</v>
      </c>
      <c r="AH62" s="47">
        <f t="shared" si="2"/>
        <v>445.7</v>
      </c>
      <c r="AI62" s="48">
        <f t="shared" si="3"/>
        <v>46.2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30</v>
      </c>
      <c r="J63" s="45">
        <v>90</v>
      </c>
      <c r="K63" s="45">
        <v>115</v>
      </c>
      <c r="L63" s="45">
        <v>146.6</v>
      </c>
      <c r="M63" s="45">
        <v>137.30000000000001</v>
      </c>
      <c r="N63" s="45">
        <v>118</v>
      </c>
      <c r="O63" s="45">
        <v>101.7</v>
      </c>
      <c r="P63" s="45">
        <v>139</v>
      </c>
      <c r="Q63" s="45">
        <v>144.4</v>
      </c>
      <c r="R63" s="45">
        <v>121.6</v>
      </c>
      <c r="S63" s="45">
        <v>121.6</v>
      </c>
      <c r="T63" s="45">
        <v>105.5</v>
      </c>
      <c r="U63" s="45">
        <v>98</v>
      </c>
      <c r="V63" s="45">
        <v>61.3</v>
      </c>
      <c r="W63" s="45">
        <v>69.5</v>
      </c>
      <c r="X63" s="45">
        <v>136.5</v>
      </c>
      <c r="Y63" s="45">
        <v>121.3</v>
      </c>
      <c r="Z63" s="45">
        <v>110</v>
      </c>
      <c r="AA63" s="45">
        <v>109.8</v>
      </c>
      <c r="AB63" s="45">
        <v>109.8</v>
      </c>
      <c r="AC63" s="45">
        <v>70</v>
      </c>
      <c r="AD63" s="45">
        <v>60</v>
      </c>
      <c r="AE63" s="45">
        <v>60</v>
      </c>
      <c r="AF63" s="45">
        <v>0</v>
      </c>
      <c r="AG63" s="52">
        <v>144</v>
      </c>
      <c r="AH63" s="47">
        <f t="shared" si="2"/>
        <v>146.6</v>
      </c>
      <c r="AI63" s="48">
        <f t="shared" si="3"/>
        <v>0</v>
      </c>
      <c r="AK63" s="50"/>
    </row>
    <row r="64" spans="1:88" x14ac:dyDescent="0.25">
      <c r="A64" s="54" t="s">
        <v>64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32</v>
      </c>
      <c r="J64" s="65">
        <v>50</v>
      </c>
      <c r="K64" s="65">
        <v>70</v>
      </c>
      <c r="L64" s="65">
        <v>70.7</v>
      </c>
      <c r="M64" s="65">
        <v>69</v>
      </c>
      <c r="N64" s="65">
        <v>52.2</v>
      </c>
      <c r="O64" s="65">
        <v>52.2</v>
      </c>
      <c r="P64" s="65">
        <v>67.599999999999994</v>
      </c>
      <c r="Q64" s="65">
        <v>61.2</v>
      </c>
      <c r="R64" s="65">
        <v>59.9</v>
      </c>
      <c r="S64" s="65">
        <v>60.3</v>
      </c>
      <c r="T64" s="65">
        <v>60.3</v>
      </c>
      <c r="U64" s="65">
        <v>60.3</v>
      </c>
      <c r="V64" s="65">
        <v>60.3</v>
      </c>
      <c r="W64" s="65">
        <v>0</v>
      </c>
      <c r="X64" s="45">
        <v>35</v>
      </c>
      <c r="Y64" s="45">
        <v>60</v>
      </c>
      <c r="Z64" s="45">
        <v>60</v>
      </c>
      <c r="AA64" s="45">
        <v>60</v>
      </c>
      <c r="AB64" s="45">
        <v>60</v>
      </c>
      <c r="AC64" s="45">
        <v>60</v>
      </c>
      <c r="AD64" s="45">
        <v>35</v>
      </c>
      <c r="AE64" s="45">
        <v>35</v>
      </c>
      <c r="AF64" s="45">
        <v>23</v>
      </c>
      <c r="AG64" s="55">
        <v>70</v>
      </c>
      <c r="AH64" s="47">
        <f t="shared" si="2"/>
        <v>70.7</v>
      </c>
      <c r="AI64" s="48">
        <f t="shared" si="3"/>
        <v>0</v>
      </c>
      <c r="AK64" s="50"/>
    </row>
    <row r="65" spans="1:41" x14ac:dyDescent="0.25">
      <c r="A65" s="54" t="s">
        <v>65</v>
      </c>
      <c r="B65" s="65">
        <v>32</v>
      </c>
      <c r="C65" s="65">
        <v>0</v>
      </c>
      <c r="D65" s="65">
        <v>0</v>
      </c>
      <c r="E65" s="65">
        <v>0</v>
      </c>
      <c r="F65" s="65">
        <v>0</v>
      </c>
      <c r="G65" s="65">
        <v>0</v>
      </c>
      <c r="H65" s="65">
        <v>0</v>
      </c>
      <c r="I65" s="65">
        <v>15.1</v>
      </c>
      <c r="J65" s="65">
        <v>60</v>
      </c>
      <c r="K65" s="65">
        <v>50.3</v>
      </c>
      <c r="L65" s="65">
        <v>67</v>
      </c>
      <c r="M65" s="65">
        <v>68.599999999999994</v>
      </c>
      <c r="N65" s="65">
        <v>64.400000000000006</v>
      </c>
      <c r="O65" s="65">
        <v>51.7</v>
      </c>
      <c r="P65" s="65">
        <v>66.5</v>
      </c>
      <c r="Q65" s="65">
        <v>66.099999999999994</v>
      </c>
      <c r="R65" s="65">
        <v>53.9</v>
      </c>
      <c r="S65" s="65">
        <v>40.200000000000003</v>
      </c>
      <c r="T65" s="65">
        <v>33.299999999999997</v>
      </c>
      <c r="U65" s="65">
        <v>40.9</v>
      </c>
      <c r="V65" s="65">
        <v>40.9</v>
      </c>
      <c r="W65" s="65">
        <v>33.799999999999997</v>
      </c>
      <c r="X65" s="45">
        <v>46</v>
      </c>
      <c r="Y65" s="45">
        <v>67</v>
      </c>
      <c r="Z65" s="45">
        <v>67.099999999999994</v>
      </c>
      <c r="AA65" s="45">
        <v>67.099999999999994</v>
      </c>
      <c r="AB65" s="45">
        <v>67.099999999999994</v>
      </c>
      <c r="AC65" s="45">
        <v>54</v>
      </c>
      <c r="AD65" s="45">
        <v>50</v>
      </c>
      <c r="AE65" s="45">
        <v>50</v>
      </c>
      <c r="AF65" s="45">
        <v>43</v>
      </c>
      <c r="AG65" s="55">
        <v>69</v>
      </c>
      <c r="AH65" s="47">
        <f t="shared" si="2"/>
        <v>68.599999999999994</v>
      </c>
      <c r="AI65" s="48">
        <f t="shared" si="3"/>
        <v>0</v>
      </c>
      <c r="AK65" s="50"/>
    </row>
    <row r="66" spans="1:41" x14ac:dyDescent="0.25">
      <c r="A66" s="54" t="s">
        <v>66</v>
      </c>
      <c r="B66" s="65">
        <v>51.4</v>
      </c>
      <c r="C66" s="65">
        <v>50.2</v>
      </c>
      <c r="D66" s="65">
        <v>48.9</v>
      </c>
      <c r="E66" s="65">
        <v>48.9</v>
      </c>
      <c r="F66" s="65">
        <v>48.9</v>
      </c>
      <c r="G66" s="65">
        <v>48.9</v>
      </c>
      <c r="H66" s="65">
        <v>48.9</v>
      </c>
      <c r="I66" s="65">
        <v>48.9</v>
      </c>
      <c r="J66" s="65">
        <v>50.4</v>
      </c>
      <c r="K66" s="57">
        <v>50.4</v>
      </c>
      <c r="L66" s="57">
        <v>50.2</v>
      </c>
      <c r="M66" s="65">
        <v>50.4</v>
      </c>
      <c r="N66" s="65">
        <v>50.4</v>
      </c>
      <c r="O66" s="65">
        <v>50.2</v>
      </c>
      <c r="P66" s="65">
        <v>48.1</v>
      </c>
      <c r="Q66" s="65">
        <v>48.1</v>
      </c>
      <c r="R66" s="65">
        <v>48.1</v>
      </c>
      <c r="S66" s="65">
        <v>47.8</v>
      </c>
      <c r="T66" s="65">
        <v>47.8</v>
      </c>
      <c r="U66" s="65">
        <v>47.8</v>
      </c>
      <c r="V66" s="65">
        <v>47.8</v>
      </c>
      <c r="W66" s="65">
        <v>50.2</v>
      </c>
      <c r="X66" s="45">
        <v>50.2</v>
      </c>
      <c r="Y66" s="45">
        <v>50.2</v>
      </c>
      <c r="Z66" s="45">
        <v>48.1</v>
      </c>
      <c r="AA66" s="45">
        <v>48.1</v>
      </c>
      <c r="AB66" s="45">
        <v>48.1</v>
      </c>
      <c r="AC66" s="45">
        <v>50.4</v>
      </c>
      <c r="AD66" s="45">
        <v>50.4</v>
      </c>
      <c r="AE66" s="45">
        <v>50.4</v>
      </c>
      <c r="AF66" s="45">
        <v>50.4</v>
      </c>
      <c r="AG66" s="55">
        <v>60</v>
      </c>
      <c r="AH66" s="47">
        <f t="shared" si="2"/>
        <v>51.4</v>
      </c>
      <c r="AI66" s="48">
        <f t="shared" si="3"/>
        <v>47.8</v>
      </c>
      <c r="AK66" s="50"/>
    </row>
    <row r="67" spans="1:41" x14ac:dyDescent="0.25">
      <c r="A67" s="54" t="s">
        <v>67</v>
      </c>
      <c r="B67" s="65">
        <v>0</v>
      </c>
      <c r="C67" s="65">
        <v>0</v>
      </c>
      <c r="D67" s="65">
        <v>0</v>
      </c>
      <c r="E67" s="65">
        <v>0</v>
      </c>
      <c r="F67" s="65">
        <v>0</v>
      </c>
      <c r="G67" s="65">
        <v>0</v>
      </c>
      <c r="H67" s="65">
        <v>0</v>
      </c>
      <c r="I67" s="65">
        <v>10</v>
      </c>
      <c r="J67" s="65">
        <v>15</v>
      </c>
      <c r="K67" s="57">
        <v>23</v>
      </c>
      <c r="L67" s="57">
        <v>30</v>
      </c>
      <c r="M67" s="65">
        <v>28</v>
      </c>
      <c r="N67" s="65">
        <v>28</v>
      </c>
      <c r="O67" s="65">
        <v>25</v>
      </c>
      <c r="P67" s="65">
        <v>10</v>
      </c>
      <c r="Q67" s="65">
        <v>10</v>
      </c>
      <c r="R67" s="65">
        <v>10</v>
      </c>
      <c r="S67" s="65">
        <v>0</v>
      </c>
      <c r="T67" s="65">
        <v>0</v>
      </c>
      <c r="U67" s="65">
        <v>10</v>
      </c>
      <c r="V67" s="65">
        <v>10</v>
      </c>
      <c r="W67" s="65">
        <v>22</v>
      </c>
      <c r="X67" s="45">
        <v>29</v>
      </c>
      <c r="Y67" s="45">
        <v>29</v>
      </c>
      <c r="Z67" s="45">
        <v>15</v>
      </c>
      <c r="AA67" s="45">
        <v>15</v>
      </c>
      <c r="AB67" s="45">
        <v>15</v>
      </c>
      <c r="AC67" s="45">
        <v>10</v>
      </c>
      <c r="AD67" s="45">
        <v>10</v>
      </c>
      <c r="AE67" s="45">
        <v>10</v>
      </c>
      <c r="AF67" s="45">
        <v>0</v>
      </c>
      <c r="AG67" s="55">
        <v>30</v>
      </c>
      <c r="AH67" s="47">
        <f t="shared" si="2"/>
        <v>30</v>
      </c>
      <c r="AI67" s="48">
        <f t="shared" si="3"/>
        <v>0</v>
      </c>
      <c r="AK67" s="50"/>
    </row>
    <row r="68" spans="1:41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65">
        <v>0.3</v>
      </c>
      <c r="M68" s="65">
        <v>1.4</v>
      </c>
      <c r="N68" s="65">
        <v>2.8</v>
      </c>
      <c r="O68" s="65">
        <v>10.7</v>
      </c>
      <c r="P68" s="65">
        <v>14.7</v>
      </c>
      <c r="Q68" s="65">
        <v>15.7</v>
      </c>
      <c r="R68" s="65">
        <v>14.9</v>
      </c>
      <c r="S68" s="65">
        <v>8</v>
      </c>
      <c r="T68" s="65">
        <v>6.6</v>
      </c>
      <c r="U68" s="65">
        <v>1.5</v>
      </c>
      <c r="V68" s="65">
        <v>0.3</v>
      </c>
      <c r="W68" s="65">
        <v>0</v>
      </c>
      <c r="X68" s="45">
        <v>0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55">
        <v>25</v>
      </c>
      <c r="AH68" s="47">
        <f t="shared" si="2"/>
        <v>15.7</v>
      </c>
      <c r="AI68" s="48">
        <f t="shared" si="3"/>
        <v>0</v>
      </c>
      <c r="AK68" s="50"/>
    </row>
    <row r="69" spans="1:41" x14ac:dyDescent="0.25">
      <c r="A69" s="54" t="s">
        <v>69</v>
      </c>
      <c r="B69" s="65">
        <v>15</v>
      </c>
      <c r="C69" s="65">
        <v>15</v>
      </c>
      <c r="D69" s="65">
        <v>15</v>
      </c>
      <c r="E69" s="65">
        <v>15</v>
      </c>
      <c r="F69" s="65">
        <v>15</v>
      </c>
      <c r="G69" s="65">
        <v>15</v>
      </c>
      <c r="H69" s="65">
        <v>15</v>
      </c>
      <c r="I69" s="65">
        <v>15</v>
      </c>
      <c r="J69" s="65">
        <v>15</v>
      </c>
      <c r="K69" s="65">
        <v>15</v>
      </c>
      <c r="L69" s="65">
        <v>15</v>
      </c>
      <c r="M69" s="65">
        <v>15</v>
      </c>
      <c r="N69" s="65">
        <v>15</v>
      </c>
      <c r="O69" s="65">
        <v>15</v>
      </c>
      <c r="P69" s="65">
        <v>15</v>
      </c>
      <c r="Q69" s="65">
        <v>15</v>
      </c>
      <c r="R69" s="65">
        <v>15</v>
      </c>
      <c r="S69" s="65">
        <v>15</v>
      </c>
      <c r="T69" s="65">
        <v>15</v>
      </c>
      <c r="U69" s="65">
        <v>15</v>
      </c>
      <c r="V69" s="65">
        <v>15</v>
      </c>
      <c r="W69" s="65">
        <v>15</v>
      </c>
      <c r="X69" s="65">
        <v>15</v>
      </c>
      <c r="Y69" s="65">
        <v>15</v>
      </c>
      <c r="Z69" s="65">
        <v>15</v>
      </c>
      <c r="AA69" s="65">
        <v>15</v>
      </c>
      <c r="AB69" s="65">
        <v>15</v>
      </c>
      <c r="AC69" s="65">
        <v>15</v>
      </c>
      <c r="AD69" s="65">
        <v>15</v>
      </c>
      <c r="AE69" s="65">
        <v>15</v>
      </c>
      <c r="AF69" s="65">
        <v>15</v>
      </c>
      <c r="AG69" s="55">
        <v>24</v>
      </c>
      <c r="AH69" s="47">
        <f t="shared" si="2"/>
        <v>15</v>
      </c>
      <c r="AI69" s="48">
        <f t="shared" si="3"/>
        <v>15</v>
      </c>
      <c r="AK69" s="50"/>
    </row>
    <row r="70" spans="1:41" x14ac:dyDescent="0.25">
      <c r="A70" s="54" t="s">
        <v>70</v>
      </c>
      <c r="B70" s="65">
        <v>4.5</v>
      </c>
      <c r="C70" s="65">
        <v>4.5</v>
      </c>
      <c r="D70" s="65">
        <v>4.5</v>
      </c>
      <c r="E70" s="65">
        <v>4.5</v>
      </c>
      <c r="F70" s="65">
        <v>4.5</v>
      </c>
      <c r="G70" s="65">
        <v>4.5</v>
      </c>
      <c r="H70" s="65">
        <v>4.5</v>
      </c>
      <c r="I70" s="65">
        <v>4.5</v>
      </c>
      <c r="J70" s="65">
        <v>4.5</v>
      </c>
      <c r="K70" s="65">
        <v>4.5</v>
      </c>
      <c r="L70" s="65">
        <v>4.5</v>
      </c>
      <c r="M70" s="65">
        <v>4.5</v>
      </c>
      <c r="N70" s="65">
        <v>4.5</v>
      </c>
      <c r="O70" s="65">
        <v>4.5</v>
      </c>
      <c r="P70" s="65">
        <v>4.5</v>
      </c>
      <c r="Q70" s="65">
        <v>4.5</v>
      </c>
      <c r="R70" s="65">
        <v>4.5</v>
      </c>
      <c r="S70" s="65">
        <v>4.5</v>
      </c>
      <c r="T70" s="65">
        <v>4.5</v>
      </c>
      <c r="U70" s="65">
        <v>4.5</v>
      </c>
      <c r="V70" s="65">
        <v>4.5</v>
      </c>
      <c r="W70" s="65">
        <v>4.5</v>
      </c>
      <c r="X70" s="65">
        <v>4.5</v>
      </c>
      <c r="Y70" s="65">
        <v>4.5</v>
      </c>
      <c r="Z70" s="65">
        <v>4.5</v>
      </c>
      <c r="AA70" s="65">
        <v>4.5</v>
      </c>
      <c r="AB70" s="65">
        <v>4.5</v>
      </c>
      <c r="AC70" s="65">
        <v>4.5</v>
      </c>
      <c r="AD70" s="65">
        <v>4.5</v>
      </c>
      <c r="AE70" s="65">
        <v>4.5</v>
      </c>
      <c r="AF70" s="65">
        <v>4.5</v>
      </c>
      <c r="AG70" s="55">
        <v>15</v>
      </c>
      <c r="AH70" s="47">
        <f t="shared" si="2"/>
        <v>4.5</v>
      </c>
      <c r="AI70" s="48">
        <f t="shared" si="3"/>
        <v>4.5</v>
      </c>
      <c r="AK70" s="50"/>
      <c r="AL70" s="70"/>
      <c r="AO70" s="70"/>
    </row>
    <row r="71" spans="1:41" s="70" customFormat="1" x14ac:dyDescent="0.25">
      <c r="A71" s="54" t="s">
        <v>71</v>
      </c>
      <c r="B71" s="65">
        <v>9.9</v>
      </c>
      <c r="C71" s="65">
        <v>9.9</v>
      </c>
      <c r="D71" s="65">
        <v>10</v>
      </c>
      <c r="E71" s="65">
        <v>10</v>
      </c>
      <c r="F71" s="65">
        <v>10</v>
      </c>
      <c r="G71" s="65">
        <v>10</v>
      </c>
      <c r="H71" s="65">
        <v>10</v>
      </c>
      <c r="I71" s="65">
        <v>10</v>
      </c>
      <c r="J71" s="65">
        <v>10</v>
      </c>
      <c r="K71" s="65">
        <v>10</v>
      </c>
      <c r="L71" s="65">
        <v>10</v>
      </c>
      <c r="M71" s="65">
        <v>10</v>
      </c>
      <c r="N71" s="65">
        <v>9.9</v>
      </c>
      <c r="O71" s="65">
        <v>9.9</v>
      </c>
      <c r="P71" s="65">
        <v>9.9</v>
      </c>
      <c r="Q71" s="65">
        <v>9.9</v>
      </c>
      <c r="R71" s="65">
        <v>9.9</v>
      </c>
      <c r="S71" s="65">
        <v>9.9</v>
      </c>
      <c r="T71" s="65">
        <v>9.9</v>
      </c>
      <c r="U71" s="65">
        <v>9.9</v>
      </c>
      <c r="V71" s="65">
        <v>9.9</v>
      </c>
      <c r="W71" s="65">
        <v>9.9</v>
      </c>
      <c r="X71" s="65">
        <v>9.9</v>
      </c>
      <c r="Y71" s="65">
        <v>9.9</v>
      </c>
      <c r="Z71" s="65">
        <v>9.9</v>
      </c>
      <c r="AA71" s="65">
        <v>9.9</v>
      </c>
      <c r="AB71" s="65">
        <v>9.9</v>
      </c>
      <c r="AC71" s="65">
        <v>9.9</v>
      </c>
      <c r="AD71" s="65">
        <v>9.9</v>
      </c>
      <c r="AE71" s="65">
        <v>9.9</v>
      </c>
      <c r="AF71" s="65">
        <v>9.9</v>
      </c>
      <c r="AG71" s="55">
        <v>14.1</v>
      </c>
      <c r="AH71" s="47">
        <f t="shared" si="2"/>
        <v>10</v>
      </c>
      <c r="AI71" s="48">
        <f t="shared" si="3"/>
        <v>9.9</v>
      </c>
      <c r="AJ71" s="1"/>
      <c r="AK71" s="50"/>
      <c r="AL71" s="1"/>
      <c r="AM71" s="1"/>
      <c r="AN71" s="1"/>
      <c r="AO71" s="1"/>
    </row>
    <row r="72" spans="1:41" x14ac:dyDescent="0.25">
      <c r="A72" s="71" t="s">
        <v>72</v>
      </c>
      <c r="B72" s="65">
        <v>4.9000000000000004</v>
      </c>
      <c r="C72" s="65">
        <v>4.9000000000000004</v>
      </c>
      <c r="D72" s="65">
        <v>4.9000000000000004</v>
      </c>
      <c r="E72" s="65">
        <v>4.9000000000000004</v>
      </c>
      <c r="F72" s="65">
        <v>4.9000000000000004</v>
      </c>
      <c r="G72" s="65">
        <v>4.9000000000000004</v>
      </c>
      <c r="H72" s="65">
        <v>4.9000000000000004</v>
      </c>
      <c r="I72" s="65">
        <v>4.9000000000000004</v>
      </c>
      <c r="J72" s="65">
        <v>4.9000000000000004</v>
      </c>
      <c r="K72" s="65">
        <v>4.9000000000000004</v>
      </c>
      <c r="L72" s="65">
        <v>4.9000000000000004</v>
      </c>
      <c r="M72" s="65">
        <v>4.9000000000000004</v>
      </c>
      <c r="N72" s="65">
        <v>4.7</v>
      </c>
      <c r="O72" s="65">
        <v>4.7</v>
      </c>
      <c r="P72" s="65">
        <v>4.7</v>
      </c>
      <c r="Q72" s="65">
        <v>4.7</v>
      </c>
      <c r="R72" s="65">
        <v>4.7</v>
      </c>
      <c r="S72" s="65">
        <v>4.7</v>
      </c>
      <c r="T72" s="65">
        <v>4.7</v>
      </c>
      <c r="U72" s="65">
        <v>4.7</v>
      </c>
      <c r="V72" s="65">
        <v>4.7</v>
      </c>
      <c r="W72" s="65">
        <v>4.7</v>
      </c>
      <c r="X72" s="65">
        <v>4.7</v>
      </c>
      <c r="Y72" s="65">
        <v>4.7</v>
      </c>
      <c r="Z72" s="65">
        <v>4.7</v>
      </c>
      <c r="AA72" s="65">
        <v>4.7</v>
      </c>
      <c r="AB72" s="65">
        <v>4.7</v>
      </c>
      <c r="AC72" s="65">
        <v>4.7</v>
      </c>
      <c r="AD72" s="65">
        <v>4.7</v>
      </c>
      <c r="AE72" s="65">
        <v>4.7</v>
      </c>
      <c r="AF72" s="65">
        <v>4.7</v>
      </c>
      <c r="AG72" s="55">
        <v>14</v>
      </c>
      <c r="AH72" s="47">
        <f t="shared" si="2"/>
        <v>4.9000000000000004</v>
      </c>
      <c r="AI72" s="48">
        <f t="shared" si="3"/>
        <v>4.7</v>
      </c>
      <c r="AK72" s="50"/>
    </row>
    <row r="73" spans="1:41" x14ac:dyDescent="0.25">
      <c r="A73" s="54" t="s">
        <v>73</v>
      </c>
      <c r="B73" s="65">
        <v>5</v>
      </c>
      <c r="C73" s="65">
        <v>5</v>
      </c>
      <c r="D73" s="65">
        <v>5</v>
      </c>
      <c r="E73" s="65">
        <v>5</v>
      </c>
      <c r="F73" s="65">
        <v>5</v>
      </c>
      <c r="G73" s="65">
        <v>5</v>
      </c>
      <c r="H73" s="65">
        <v>5</v>
      </c>
      <c r="I73" s="65">
        <v>5</v>
      </c>
      <c r="J73" s="65">
        <v>5</v>
      </c>
      <c r="K73" s="65">
        <v>5</v>
      </c>
      <c r="L73" s="65">
        <v>5</v>
      </c>
      <c r="M73" s="65">
        <v>5</v>
      </c>
      <c r="N73" s="65">
        <v>5</v>
      </c>
      <c r="O73" s="65">
        <v>5</v>
      </c>
      <c r="P73" s="65">
        <v>5</v>
      </c>
      <c r="Q73" s="65">
        <v>5</v>
      </c>
      <c r="R73" s="65">
        <v>5</v>
      </c>
      <c r="S73" s="65">
        <v>5</v>
      </c>
      <c r="T73" s="65">
        <v>5</v>
      </c>
      <c r="U73" s="65">
        <v>5</v>
      </c>
      <c r="V73" s="65">
        <v>5</v>
      </c>
      <c r="W73" s="65">
        <v>5</v>
      </c>
      <c r="X73" s="65">
        <v>5</v>
      </c>
      <c r="Y73" s="65">
        <v>5</v>
      </c>
      <c r="Z73" s="65">
        <v>5</v>
      </c>
      <c r="AA73" s="65">
        <v>5</v>
      </c>
      <c r="AB73" s="65">
        <v>5</v>
      </c>
      <c r="AC73" s="65">
        <v>5</v>
      </c>
      <c r="AD73" s="65">
        <v>5</v>
      </c>
      <c r="AE73" s="65">
        <v>5</v>
      </c>
      <c r="AF73" s="65">
        <v>5</v>
      </c>
      <c r="AG73" s="55">
        <v>10.050000000000001</v>
      </c>
      <c r="AH73" s="47">
        <f t="shared" si="2"/>
        <v>5</v>
      </c>
      <c r="AI73" s="48">
        <f t="shared" si="3"/>
        <v>5</v>
      </c>
      <c r="AK73" s="50"/>
    </row>
    <row r="74" spans="1:41" x14ac:dyDescent="0.25">
      <c r="A74" s="54" t="s">
        <v>74</v>
      </c>
      <c r="B74" s="65">
        <v>3</v>
      </c>
      <c r="C74" s="65">
        <v>3</v>
      </c>
      <c r="D74" s="65">
        <v>3</v>
      </c>
      <c r="E74" s="65">
        <v>3</v>
      </c>
      <c r="F74" s="65">
        <v>3</v>
      </c>
      <c r="G74" s="65">
        <v>3</v>
      </c>
      <c r="H74" s="65">
        <v>3</v>
      </c>
      <c r="I74" s="65">
        <v>3</v>
      </c>
      <c r="J74" s="65">
        <v>3</v>
      </c>
      <c r="K74" s="65">
        <v>3</v>
      </c>
      <c r="L74" s="65">
        <v>3</v>
      </c>
      <c r="M74" s="65">
        <v>3</v>
      </c>
      <c r="N74" s="65">
        <v>3</v>
      </c>
      <c r="O74" s="65">
        <v>3</v>
      </c>
      <c r="P74" s="65">
        <v>3</v>
      </c>
      <c r="Q74" s="65">
        <v>3</v>
      </c>
      <c r="R74" s="65">
        <v>3</v>
      </c>
      <c r="S74" s="65">
        <v>3</v>
      </c>
      <c r="T74" s="65">
        <v>3</v>
      </c>
      <c r="U74" s="65">
        <v>3</v>
      </c>
      <c r="V74" s="65">
        <v>3</v>
      </c>
      <c r="W74" s="65">
        <v>3</v>
      </c>
      <c r="X74" s="65">
        <v>3</v>
      </c>
      <c r="Y74" s="65">
        <v>3</v>
      </c>
      <c r="Z74" s="65">
        <v>3</v>
      </c>
      <c r="AA74" s="65">
        <v>3</v>
      </c>
      <c r="AB74" s="65">
        <v>3</v>
      </c>
      <c r="AC74" s="65">
        <v>3</v>
      </c>
      <c r="AD74" s="65">
        <v>3</v>
      </c>
      <c r="AE74" s="65">
        <v>3</v>
      </c>
      <c r="AF74" s="65">
        <v>3</v>
      </c>
      <c r="AG74" s="55">
        <v>6.2</v>
      </c>
      <c r="AH74" s="47">
        <f t="shared" si="2"/>
        <v>3</v>
      </c>
      <c r="AI74" s="48">
        <f t="shared" si="3"/>
        <v>3</v>
      </c>
      <c r="AK74" s="50"/>
    </row>
    <row r="75" spans="1:41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3.54</v>
      </c>
      <c r="Z75" s="72">
        <v>3.54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2"/>
        <v>3.54</v>
      </c>
      <c r="AI75" s="48">
        <f t="shared" si="3"/>
        <v>3.54</v>
      </c>
      <c r="AK75" s="50"/>
    </row>
    <row r="76" spans="1:41" ht="15.75" thickBot="1" x14ac:dyDescent="0.3">
      <c r="A76" s="74" t="s">
        <v>76</v>
      </c>
      <c r="B76" s="60">
        <f t="shared" ref="B76:C76" si="26">SUM(B63:B75)</f>
        <v>129.24</v>
      </c>
      <c r="C76" s="60">
        <f t="shared" si="26"/>
        <v>96.04000000000002</v>
      </c>
      <c r="D76" s="60">
        <f t="shared" ref="D76" si="27">SUM(D63:D75)</f>
        <v>94.840000000000018</v>
      </c>
      <c r="E76" s="60">
        <f t="shared" ref="E76:AG76" si="28">SUM(E63:E75)</f>
        <v>94.840000000000018</v>
      </c>
      <c r="F76" s="60">
        <f t="shared" si="28"/>
        <v>94.840000000000018</v>
      </c>
      <c r="G76" s="60">
        <f t="shared" si="28"/>
        <v>94.840000000000018</v>
      </c>
      <c r="H76" s="60">
        <f t="shared" ref="H76:I76" si="29">SUM(H63:H75)</f>
        <v>94.840000000000018</v>
      </c>
      <c r="I76" s="60">
        <f t="shared" si="29"/>
        <v>181.94</v>
      </c>
      <c r="J76" s="60">
        <f t="shared" si="28"/>
        <v>311.33999999999997</v>
      </c>
      <c r="K76" s="60">
        <f t="shared" si="28"/>
        <v>354.64</v>
      </c>
      <c r="L76" s="60">
        <f t="shared" si="28"/>
        <v>410.74</v>
      </c>
      <c r="M76" s="60">
        <f t="shared" si="28"/>
        <v>400.63999999999993</v>
      </c>
      <c r="N76" s="60">
        <f t="shared" si="28"/>
        <v>361.44</v>
      </c>
      <c r="O76" s="60">
        <f t="shared" si="28"/>
        <v>337.14</v>
      </c>
      <c r="P76" s="60">
        <f t="shared" si="28"/>
        <v>391.54</v>
      </c>
      <c r="Q76" s="60">
        <f t="shared" si="28"/>
        <v>391.14000000000004</v>
      </c>
      <c r="R76" s="60">
        <f t="shared" si="28"/>
        <v>354.03999999999996</v>
      </c>
      <c r="S76" s="60">
        <f t="shared" si="28"/>
        <v>323.53999999999996</v>
      </c>
      <c r="T76" s="60">
        <f t="shared" ref="T76:U76" si="30">SUM(T63:T75)</f>
        <v>299.14</v>
      </c>
      <c r="U76" s="60">
        <f t="shared" si="30"/>
        <v>304.14</v>
      </c>
      <c r="V76" s="60">
        <f t="shared" ref="V76:X76" si="31">SUM(V63:V75)</f>
        <v>266.24000000000007</v>
      </c>
      <c r="W76" s="60">
        <f t="shared" si="31"/>
        <v>221.14</v>
      </c>
      <c r="X76" s="60">
        <f t="shared" si="31"/>
        <v>342.34</v>
      </c>
      <c r="Y76" s="60">
        <f t="shared" ref="Y76" si="32">SUM(Y63:Y75)</f>
        <v>373.14</v>
      </c>
      <c r="Z76" s="60">
        <f t="shared" si="28"/>
        <v>345.84</v>
      </c>
      <c r="AA76" s="60">
        <f t="shared" ref="AA76:AB76" si="33">SUM(AA63:AA75)</f>
        <v>345.64</v>
      </c>
      <c r="AB76" s="60">
        <f t="shared" si="33"/>
        <v>345.64</v>
      </c>
      <c r="AC76" s="60">
        <f t="shared" si="28"/>
        <v>290.03999999999996</v>
      </c>
      <c r="AD76" s="60">
        <f t="shared" ref="AD76:AE76" si="34">SUM(AD63:AD75)</f>
        <v>251.04</v>
      </c>
      <c r="AE76" s="60">
        <f t="shared" si="34"/>
        <v>251.04</v>
      </c>
      <c r="AF76" s="60">
        <f t="shared" ref="AF76" si="35">SUM(AF63:AF75)</f>
        <v>162.04</v>
      </c>
      <c r="AG76" s="61">
        <f t="shared" si="28"/>
        <v>489.91</v>
      </c>
      <c r="AH76" s="47">
        <f t="shared" si="2"/>
        <v>410.74</v>
      </c>
      <c r="AI76" s="48">
        <f t="shared" si="3"/>
        <v>94.840000000000018</v>
      </c>
      <c r="AK76" s="50"/>
    </row>
    <row r="77" spans="1:41" x14ac:dyDescent="0.25">
      <c r="A77" s="44" t="s">
        <v>77</v>
      </c>
      <c r="B77" s="45">
        <v>0</v>
      </c>
      <c r="C77" s="45">
        <v>0</v>
      </c>
      <c r="D77" s="45">
        <v>0</v>
      </c>
      <c r="E77" s="45"/>
      <c r="F77" s="45"/>
      <c r="G77" s="45"/>
      <c r="H77" s="45"/>
      <c r="I77" s="45"/>
      <c r="J77" s="45"/>
      <c r="K77" s="45"/>
      <c r="L77" s="45"/>
      <c r="M77" s="45">
        <v>0</v>
      </c>
      <c r="N77" s="45">
        <v>0</v>
      </c>
      <c r="O77" s="45">
        <v>0</v>
      </c>
      <c r="P77" s="45">
        <v>0</v>
      </c>
      <c r="Q77" s="45">
        <v>0</v>
      </c>
      <c r="R77" s="45">
        <v>0</v>
      </c>
      <c r="S77" s="45"/>
      <c r="T77" s="45"/>
      <c r="U77" s="45">
        <v>60.2</v>
      </c>
      <c r="V77" s="45">
        <v>60.2</v>
      </c>
      <c r="W77" s="45">
        <v>60.2</v>
      </c>
      <c r="X77" s="45">
        <v>60.2</v>
      </c>
      <c r="Y77" s="45">
        <v>60.2</v>
      </c>
      <c r="Z77" s="45">
        <v>60</v>
      </c>
      <c r="AA77" s="45">
        <v>60</v>
      </c>
      <c r="AB77" s="45">
        <v>40</v>
      </c>
      <c r="AC77" s="45">
        <v>39.799999999999997</v>
      </c>
      <c r="AD77" s="45">
        <v>39.799999999999997</v>
      </c>
      <c r="AE77" s="45">
        <v>14</v>
      </c>
      <c r="AF77" s="45">
        <v>0</v>
      </c>
      <c r="AG77" s="52">
        <v>60</v>
      </c>
      <c r="AH77" s="47">
        <f t="shared" si="2"/>
        <v>60.2</v>
      </c>
      <c r="AI77" s="48">
        <f t="shared" si="3"/>
        <v>0</v>
      </c>
      <c r="AK77" s="50"/>
    </row>
    <row r="78" spans="1:41" x14ac:dyDescent="0.25">
      <c r="A78" s="54" t="s">
        <v>78</v>
      </c>
      <c r="B78" s="65">
        <v>0</v>
      </c>
      <c r="C78" s="65">
        <v>0</v>
      </c>
      <c r="D78" s="65">
        <v>0</v>
      </c>
      <c r="E78" s="65"/>
      <c r="F78" s="65"/>
      <c r="G78" s="65"/>
      <c r="H78" s="65"/>
      <c r="I78" s="65"/>
      <c r="J78" s="65"/>
      <c r="K78" s="65"/>
      <c r="L78" s="65"/>
      <c r="M78" s="65">
        <v>0</v>
      </c>
      <c r="N78" s="65">
        <v>0</v>
      </c>
      <c r="O78" s="65">
        <v>0</v>
      </c>
      <c r="P78" s="65">
        <v>0</v>
      </c>
      <c r="Q78" s="65">
        <v>0</v>
      </c>
      <c r="R78" s="65">
        <v>0</v>
      </c>
      <c r="S78" s="65"/>
      <c r="T78" s="65"/>
      <c r="U78" s="65">
        <v>27.7</v>
      </c>
      <c r="V78" s="65">
        <v>27.7</v>
      </c>
      <c r="W78" s="65">
        <v>27.7</v>
      </c>
      <c r="X78" s="65">
        <v>27.7</v>
      </c>
      <c r="Y78" s="65">
        <v>27.7</v>
      </c>
      <c r="Z78" s="65">
        <v>28.3</v>
      </c>
      <c r="AA78" s="65">
        <v>28.3</v>
      </c>
      <c r="AB78" s="65">
        <v>15</v>
      </c>
      <c r="AC78" s="65">
        <v>17.2</v>
      </c>
      <c r="AD78" s="65">
        <v>17.2</v>
      </c>
      <c r="AE78" s="65">
        <v>5</v>
      </c>
      <c r="AF78" s="65">
        <v>0</v>
      </c>
      <c r="AG78" s="55">
        <v>32</v>
      </c>
      <c r="AH78" s="47">
        <f t="shared" si="2"/>
        <v>28.3</v>
      </c>
      <c r="AI78" s="48">
        <f t="shared" si="3"/>
        <v>0</v>
      </c>
      <c r="AK78" s="50"/>
    </row>
    <row r="79" spans="1:41" ht="15.75" thickBot="1" x14ac:dyDescent="0.3">
      <c r="A79" s="71" t="s">
        <v>79</v>
      </c>
      <c r="B79" s="67">
        <v>0</v>
      </c>
      <c r="C79" s="67">
        <v>0</v>
      </c>
      <c r="D79" s="67">
        <v>0</v>
      </c>
      <c r="E79" s="67"/>
      <c r="F79" s="67"/>
      <c r="G79" s="67"/>
      <c r="H79" s="67"/>
      <c r="I79" s="67"/>
      <c r="J79" s="67"/>
      <c r="K79" s="67"/>
      <c r="L79" s="67"/>
      <c r="M79" s="67">
        <v>0</v>
      </c>
      <c r="N79" s="67">
        <v>0</v>
      </c>
      <c r="O79" s="67">
        <v>0</v>
      </c>
      <c r="P79" s="67">
        <v>0</v>
      </c>
      <c r="Q79" s="67">
        <v>0</v>
      </c>
      <c r="R79" s="67">
        <v>0</v>
      </c>
      <c r="S79" s="67"/>
      <c r="T79" s="67"/>
      <c r="U79" s="67">
        <v>10.1</v>
      </c>
      <c r="V79" s="67">
        <v>10.1</v>
      </c>
      <c r="W79" s="67">
        <v>10.1</v>
      </c>
      <c r="X79" s="67">
        <v>10.1</v>
      </c>
      <c r="Y79" s="67">
        <v>10.1</v>
      </c>
      <c r="Z79" s="67">
        <v>10.3</v>
      </c>
      <c r="AA79" s="67">
        <v>10.3</v>
      </c>
      <c r="AB79" s="67">
        <v>5.5</v>
      </c>
      <c r="AC79" s="67">
        <v>6.3</v>
      </c>
      <c r="AD79" s="67">
        <v>6.3</v>
      </c>
      <c r="AE79" s="67">
        <v>2</v>
      </c>
      <c r="AF79" s="67">
        <v>0</v>
      </c>
      <c r="AG79" s="68">
        <v>14</v>
      </c>
      <c r="AH79" s="47">
        <f t="shared" si="2"/>
        <v>10.3</v>
      </c>
      <c r="AI79" s="48">
        <f t="shared" si="3"/>
        <v>0</v>
      </c>
      <c r="AK79" s="50"/>
    </row>
    <row r="80" spans="1:41" ht="15.75" thickBot="1" x14ac:dyDescent="0.3">
      <c r="A80" s="74" t="s">
        <v>80</v>
      </c>
      <c r="B80" s="60">
        <f t="shared" ref="B80:C80" si="36">B77+B78+B79</f>
        <v>0</v>
      </c>
      <c r="C80" s="60">
        <f t="shared" si="36"/>
        <v>0</v>
      </c>
      <c r="D80" s="60">
        <f t="shared" ref="D80" si="37">D77+D78+D79</f>
        <v>0</v>
      </c>
      <c r="E80" s="60">
        <f t="shared" ref="E80:AC80" si="38">E77+E78+E79</f>
        <v>0</v>
      </c>
      <c r="F80" s="60">
        <f t="shared" si="38"/>
        <v>0</v>
      </c>
      <c r="G80" s="60">
        <f t="shared" si="38"/>
        <v>0</v>
      </c>
      <c r="H80" s="60">
        <f t="shared" ref="H80:I80" si="39">H77+H78+H79</f>
        <v>0</v>
      </c>
      <c r="I80" s="60">
        <f t="shared" si="39"/>
        <v>0</v>
      </c>
      <c r="J80" s="60">
        <f t="shared" si="38"/>
        <v>0</v>
      </c>
      <c r="K80" s="60">
        <f t="shared" si="38"/>
        <v>0</v>
      </c>
      <c r="L80" s="60">
        <f t="shared" si="38"/>
        <v>0</v>
      </c>
      <c r="M80" s="60">
        <f t="shared" si="38"/>
        <v>0</v>
      </c>
      <c r="N80" s="60">
        <f t="shared" si="38"/>
        <v>0</v>
      </c>
      <c r="O80" s="60">
        <f t="shared" si="38"/>
        <v>0</v>
      </c>
      <c r="P80" s="60">
        <f t="shared" si="38"/>
        <v>0</v>
      </c>
      <c r="Q80" s="60">
        <f t="shared" si="38"/>
        <v>0</v>
      </c>
      <c r="R80" s="60">
        <f t="shared" si="38"/>
        <v>0</v>
      </c>
      <c r="S80" s="60">
        <f t="shared" si="38"/>
        <v>0</v>
      </c>
      <c r="T80" s="60">
        <f t="shared" ref="T80:U80" si="40">T77+T78+T79</f>
        <v>0</v>
      </c>
      <c r="U80" s="60">
        <f t="shared" si="40"/>
        <v>98</v>
      </c>
      <c r="V80" s="60">
        <f t="shared" ref="V80:X80" si="41">V77+V78+V79</f>
        <v>98</v>
      </c>
      <c r="W80" s="60">
        <f t="shared" si="41"/>
        <v>98</v>
      </c>
      <c r="X80" s="60">
        <f t="shared" si="41"/>
        <v>98</v>
      </c>
      <c r="Y80" s="60">
        <f t="shared" ref="Y80" si="42">Y77+Y78+Y79</f>
        <v>98</v>
      </c>
      <c r="Z80" s="60">
        <f t="shared" si="38"/>
        <v>98.6</v>
      </c>
      <c r="AA80" s="60">
        <f t="shared" ref="AA80:AB80" si="43">AA77+AA78+AA79</f>
        <v>98.6</v>
      </c>
      <c r="AB80" s="60">
        <f t="shared" si="43"/>
        <v>60.5</v>
      </c>
      <c r="AC80" s="60">
        <f t="shared" si="38"/>
        <v>63.3</v>
      </c>
      <c r="AD80" s="60">
        <f t="shared" ref="AD80:AE80" si="44">AD77+AD78+AD79</f>
        <v>63.3</v>
      </c>
      <c r="AE80" s="60">
        <f t="shared" si="44"/>
        <v>21</v>
      </c>
      <c r="AF80" s="60">
        <f t="shared" ref="AF80" si="45">AF77+AF78+AF79</f>
        <v>0</v>
      </c>
      <c r="AG80" s="61">
        <f>SUM(AG77:AG79)</f>
        <v>106</v>
      </c>
      <c r="AH80" s="47">
        <f t="shared" si="2"/>
        <v>98.6</v>
      </c>
      <c r="AI80" s="48">
        <f t="shared" si="3"/>
        <v>0</v>
      </c>
      <c r="AK80" s="50"/>
    </row>
    <row r="81" spans="1:40" x14ac:dyDescent="0.25">
      <c r="A81" s="44" t="s">
        <v>81</v>
      </c>
      <c r="B81" s="45">
        <v>49.8</v>
      </c>
      <c r="C81" s="45">
        <v>45.7</v>
      </c>
      <c r="D81" s="45">
        <v>38.9</v>
      </c>
      <c r="E81" s="45">
        <v>35</v>
      </c>
      <c r="F81" s="45">
        <v>35</v>
      </c>
      <c r="G81" s="45">
        <v>61</v>
      </c>
      <c r="H81" s="45">
        <v>63</v>
      </c>
      <c r="I81" s="45">
        <v>58</v>
      </c>
      <c r="J81" s="45">
        <v>53.4</v>
      </c>
      <c r="K81" s="45">
        <v>45.6</v>
      </c>
      <c r="L81" s="45">
        <v>40</v>
      </c>
      <c r="M81" s="45">
        <v>35.9</v>
      </c>
      <c r="N81" s="45">
        <v>32.9</v>
      </c>
      <c r="O81" s="45">
        <v>32.700000000000003</v>
      </c>
      <c r="P81" s="45">
        <v>52.2</v>
      </c>
      <c r="Q81" s="45">
        <v>62.7</v>
      </c>
      <c r="R81" s="45">
        <v>57.8</v>
      </c>
      <c r="S81" s="45">
        <v>53.2</v>
      </c>
      <c r="T81" s="45">
        <v>54.5</v>
      </c>
      <c r="U81" s="45">
        <v>56.8</v>
      </c>
      <c r="V81" s="45">
        <v>53.8</v>
      </c>
      <c r="W81" s="45">
        <v>68</v>
      </c>
      <c r="X81" s="45">
        <v>64.599999999999994</v>
      </c>
      <c r="Y81" s="45">
        <v>47.7</v>
      </c>
      <c r="Z81" s="45">
        <v>58</v>
      </c>
      <c r="AA81" s="45">
        <v>58.8</v>
      </c>
      <c r="AB81" s="45">
        <v>52</v>
      </c>
      <c r="AC81" s="45">
        <v>58.4</v>
      </c>
      <c r="AD81" s="45">
        <v>58.4</v>
      </c>
      <c r="AE81" s="45">
        <v>57</v>
      </c>
      <c r="AF81" s="45">
        <v>54</v>
      </c>
      <c r="AG81" s="52"/>
      <c r="AH81" s="47">
        <f t="shared" si="2"/>
        <v>68</v>
      </c>
      <c r="AI81" s="48">
        <f t="shared" si="3"/>
        <v>32.700000000000003</v>
      </c>
      <c r="AK81" s="50"/>
    </row>
    <row r="82" spans="1:40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>
        <v>0</v>
      </c>
      <c r="O82" s="65">
        <v>0</v>
      </c>
      <c r="P82" s="65">
        <v>0</v>
      </c>
      <c r="Q82" s="65">
        <v>0</v>
      </c>
      <c r="R82" s="65">
        <v>0</v>
      </c>
      <c r="S82" s="65"/>
      <c r="T82" s="65"/>
      <c r="U82" s="65"/>
      <c r="V82" s="65"/>
      <c r="W82" s="65"/>
      <c r="X82" s="65"/>
      <c r="Y82" s="65"/>
      <c r="Z82" s="65"/>
      <c r="AA82" s="65"/>
      <c r="AB82" s="65">
        <v>0</v>
      </c>
      <c r="AC82" s="65">
        <v>0</v>
      </c>
      <c r="AD82" s="65">
        <v>0</v>
      </c>
      <c r="AE82" s="65">
        <v>0</v>
      </c>
      <c r="AF82" s="65">
        <v>0</v>
      </c>
      <c r="AG82" s="55"/>
      <c r="AH82" s="47">
        <f t="shared" si="2"/>
        <v>0</v>
      </c>
      <c r="AI82" s="48">
        <f t="shared" si="3"/>
        <v>0</v>
      </c>
      <c r="AK82" s="50"/>
    </row>
    <row r="83" spans="1:40" x14ac:dyDescent="0.25">
      <c r="A83" s="54" t="s">
        <v>83</v>
      </c>
      <c r="B83" s="65">
        <v>246.9</v>
      </c>
      <c r="C83" s="65">
        <v>254</v>
      </c>
      <c r="D83" s="65">
        <v>248.9</v>
      </c>
      <c r="E83" s="65">
        <v>246.1</v>
      </c>
      <c r="F83" s="65">
        <v>248</v>
      </c>
      <c r="G83" s="65">
        <v>308.10000000000002</v>
      </c>
      <c r="H83" s="65">
        <v>320.2</v>
      </c>
      <c r="I83" s="65">
        <v>368</v>
      </c>
      <c r="J83" s="65">
        <v>330.7</v>
      </c>
      <c r="K83" s="65">
        <v>325.60000000000002</v>
      </c>
      <c r="L83" s="65">
        <v>155.4</v>
      </c>
      <c r="M83" s="65">
        <v>96</v>
      </c>
      <c r="N83" s="65">
        <v>59.7</v>
      </c>
      <c r="O83" s="65">
        <v>89.2</v>
      </c>
      <c r="P83" s="65">
        <v>280.8</v>
      </c>
      <c r="Q83" s="65">
        <v>379.2</v>
      </c>
      <c r="R83" s="65">
        <v>426</v>
      </c>
      <c r="S83" s="65">
        <v>398</v>
      </c>
      <c r="T83" s="65">
        <v>372.9</v>
      </c>
      <c r="U83" s="65">
        <v>428.9</v>
      </c>
      <c r="V83" s="65">
        <v>358.7</v>
      </c>
      <c r="W83" s="65">
        <v>255.9</v>
      </c>
      <c r="X83" s="65">
        <v>209.36</v>
      </c>
      <c r="Y83" s="65">
        <v>151.69999999999999</v>
      </c>
      <c r="Z83" s="65">
        <v>189</v>
      </c>
      <c r="AA83" s="65">
        <v>236.9</v>
      </c>
      <c r="AB83" s="65">
        <v>260</v>
      </c>
      <c r="AC83" s="65">
        <v>343</v>
      </c>
      <c r="AD83" s="65">
        <v>343</v>
      </c>
      <c r="AE83" s="65">
        <v>371</v>
      </c>
      <c r="AF83" s="65">
        <v>353</v>
      </c>
      <c r="AG83" s="75"/>
      <c r="AH83" s="47">
        <f t="shared" si="2"/>
        <v>428.9</v>
      </c>
      <c r="AI83" s="48">
        <f t="shared" si="3"/>
        <v>59.7</v>
      </c>
      <c r="AK83" s="50"/>
    </row>
    <row r="84" spans="1:40" x14ac:dyDescent="0.25">
      <c r="A84" s="54" t="s">
        <v>84</v>
      </c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>
        <v>0</v>
      </c>
      <c r="AC84" s="76">
        <v>0</v>
      </c>
      <c r="AD84" s="76">
        <v>0</v>
      </c>
      <c r="AE84" s="76">
        <v>0</v>
      </c>
      <c r="AF84" s="76">
        <v>0</v>
      </c>
      <c r="AG84" s="75"/>
      <c r="AH84" s="47">
        <f t="shared" si="2"/>
        <v>0</v>
      </c>
      <c r="AI84" s="48">
        <f t="shared" si="3"/>
        <v>0</v>
      </c>
      <c r="AK84" s="50"/>
    </row>
    <row r="85" spans="1:40" x14ac:dyDescent="0.25">
      <c r="A85" s="54" t="s">
        <v>85</v>
      </c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>
        <v>0</v>
      </c>
      <c r="AC85" s="45">
        <v>0</v>
      </c>
      <c r="AD85" s="45">
        <v>0</v>
      </c>
      <c r="AE85" s="45">
        <v>0</v>
      </c>
      <c r="AF85" s="45">
        <v>0</v>
      </c>
      <c r="AG85" s="75"/>
      <c r="AH85" s="47">
        <f t="shared" ref="AH85:AH130" si="46">MAX(B85:AF85)</f>
        <v>0</v>
      </c>
      <c r="AI85" s="48">
        <f t="shared" ref="AI85:AI130" si="47">MIN(B85:AF85)</f>
        <v>0</v>
      </c>
      <c r="AK85" s="50"/>
    </row>
    <row r="86" spans="1:40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/>
      <c r="AH86" s="47">
        <f t="shared" si="46"/>
        <v>0</v>
      </c>
      <c r="AI86" s="48">
        <f t="shared" si="47"/>
        <v>0</v>
      </c>
      <c r="AK86" s="50"/>
    </row>
    <row r="87" spans="1:40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>
        <v>0</v>
      </c>
      <c r="AC87" s="77">
        <v>0</v>
      </c>
      <c r="AD87" s="77">
        <v>0</v>
      </c>
      <c r="AE87" s="77">
        <v>0</v>
      </c>
      <c r="AF87" s="77">
        <v>0</v>
      </c>
      <c r="AG87" s="75"/>
      <c r="AH87" s="47">
        <f t="shared" si="46"/>
        <v>0</v>
      </c>
      <c r="AI87" s="48">
        <f t="shared" si="47"/>
        <v>0</v>
      </c>
      <c r="AK87" s="50"/>
      <c r="AL87" s="78" t="s">
        <v>88</v>
      </c>
      <c r="AM87" s="78"/>
    </row>
    <row r="88" spans="1:40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>
        <v>0</v>
      </c>
      <c r="AC88" s="77">
        <v>0</v>
      </c>
      <c r="AD88" s="77">
        <v>0</v>
      </c>
      <c r="AE88" s="77">
        <v>0</v>
      </c>
      <c r="AF88" s="77">
        <v>0</v>
      </c>
      <c r="AG88" s="75"/>
      <c r="AH88" s="47">
        <f t="shared" si="46"/>
        <v>0</v>
      </c>
      <c r="AI88" s="48">
        <f t="shared" si="47"/>
        <v>0</v>
      </c>
      <c r="AK88" s="79"/>
      <c r="AL88" s="80"/>
      <c r="AM88" s="80"/>
      <c r="AN88" s="81"/>
    </row>
    <row r="89" spans="1:40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>
        <v>0</v>
      </c>
      <c r="AC89" s="77">
        <v>0</v>
      </c>
      <c r="AD89" s="77">
        <v>0</v>
      </c>
      <c r="AE89" s="77">
        <v>0</v>
      </c>
      <c r="AF89" s="77">
        <v>0</v>
      </c>
      <c r="AG89" s="75"/>
      <c r="AH89" s="47">
        <f t="shared" si="46"/>
        <v>0</v>
      </c>
      <c r="AI89" s="48">
        <f t="shared" si="47"/>
        <v>0</v>
      </c>
      <c r="AK89" s="82" t="s">
        <v>91</v>
      </c>
      <c r="AL89" s="65"/>
      <c r="AM89" s="76"/>
      <c r="AN89" s="83"/>
    </row>
    <row r="90" spans="1:40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>
        <v>0</v>
      </c>
      <c r="AC90" s="77">
        <v>0</v>
      </c>
      <c r="AD90" s="77">
        <v>0</v>
      </c>
      <c r="AE90" s="77">
        <v>0</v>
      </c>
      <c r="AF90" s="77">
        <v>0</v>
      </c>
      <c r="AG90" s="85"/>
      <c r="AH90" s="47">
        <f t="shared" si="46"/>
        <v>0</v>
      </c>
      <c r="AI90" s="48">
        <f t="shared" si="47"/>
        <v>0</v>
      </c>
      <c r="AK90" s="82" t="s">
        <v>93</v>
      </c>
      <c r="AL90" s="76"/>
      <c r="AM90" s="76"/>
      <c r="AN90" s="83"/>
    </row>
    <row r="91" spans="1:40" ht="15.75" thickBot="1" x14ac:dyDescent="0.3">
      <c r="A91" s="84" t="s">
        <v>94</v>
      </c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>
        <v>0</v>
      </c>
      <c r="AC91" s="77">
        <v>0</v>
      </c>
      <c r="AD91" s="77">
        <v>0</v>
      </c>
      <c r="AE91" s="77">
        <v>0</v>
      </c>
      <c r="AF91" s="77">
        <v>0</v>
      </c>
      <c r="AG91" s="85"/>
      <c r="AH91" s="47">
        <f t="shared" si="46"/>
        <v>0</v>
      </c>
      <c r="AI91" s="48">
        <f t="shared" si="47"/>
        <v>0</v>
      </c>
      <c r="AK91" s="86"/>
      <c r="AL91" s="45"/>
      <c r="AM91" s="45"/>
      <c r="AN91" s="87"/>
    </row>
    <row r="92" spans="1:40" ht="15.75" thickBot="1" x14ac:dyDescent="0.3">
      <c r="A92" s="74" t="s">
        <v>95</v>
      </c>
      <c r="B92" s="60">
        <f t="shared" ref="B92:C92" si="48">SUMIF(B81:B91,"&gt;0")</f>
        <v>296.7</v>
      </c>
      <c r="C92" s="60">
        <f t="shared" si="48"/>
        <v>299.7</v>
      </c>
      <c r="D92" s="60">
        <f t="shared" ref="D92" si="49">SUMIF(D81:D91,"&gt;0")</f>
        <v>287.8</v>
      </c>
      <c r="E92" s="60">
        <f t="shared" ref="E92:AC92" si="50">SUMIF(E81:E91,"&gt;0")</f>
        <v>281.10000000000002</v>
      </c>
      <c r="F92" s="60">
        <f t="shared" si="50"/>
        <v>283</v>
      </c>
      <c r="G92" s="60">
        <f t="shared" si="50"/>
        <v>369.1</v>
      </c>
      <c r="H92" s="60">
        <f t="shared" si="50"/>
        <v>383.2</v>
      </c>
      <c r="I92" s="60">
        <f t="shared" si="50"/>
        <v>426</v>
      </c>
      <c r="J92" s="60">
        <f t="shared" si="50"/>
        <v>384.09999999999997</v>
      </c>
      <c r="K92" s="60">
        <f t="shared" si="50"/>
        <v>371.20000000000005</v>
      </c>
      <c r="L92" s="60">
        <f t="shared" si="50"/>
        <v>195.4</v>
      </c>
      <c r="M92" s="60">
        <f t="shared" si="50"/>
        <v>131.9</v>
      </c>
      <c r="N92" s="60">
        <f t="shared" si="50"/>
        <v>92.6</v>
      </c>
      <c r="O92" s="60">
        <f t="shared" si="50"/>
        <v>121.9</v>
      </c>
      <c r="P92" s="60">
        <f t="shared" si="50"/>
        <v>333</v>
      </c>
      <c r="Q92" s="60">
        <f t="shared" si="50"/>
        <v>441.9</v>
      </c>
      <c r="R92" s="60">
        <f t="shared" si="50"/>
        <v>483.8</v>
      </c>
      <c r="S92" s="60">
        <f t="shared" si="50"/>
        <v>451.2</v>
      </c>
      <c r="T92" s="60">
        <f t="shared" ref="T92:U92" si="51">SUMIF(T81:T91,"&gt;0")</f>
        <v>427.4</v>
      </c>
      <c r="U92" s="60">
        <f t="shared" si="51"/>
        <v>485.7</v>
      </c>
      <c r="V92" s="60">
        <f t="shared" ref="V92:X92" si="52">SUMIF(V81:V91,"&gt;0")</f>
        <v>412.5</v>
      </c>
      <c r="W92" s="60">
        <f t="shared" si="52"/>
        <v>323.89999999999998</v>
      </c>
      <c r="X92" s="60">
        <f t="shared" si="52"/>
        <v>273.96000000000004</v>
      </c>
      <c r="Y92" s="60">
        <f t="shared" ref="Y92" si="53">SUMIF(Y81:Y91,"&gt;0")</f>
        <v>199.39999999999998</v>
      </c>
      <c r="Z92" s="60">
        <f t="shared" si="50"/>
        <v>247</v>
      </c>
      <c r="AA92" s="60">
        <f t="shared" ref="AA92:AB92" si="54">SUMIF(AA81:AA91,"&gt;0")</f>
        <v>295.7</v>
      </c>
      <c r="AB92" s="60">
        <f t="shared" si="54"/>
        <v>312</v>
      </c>
      <c r="AC92" s="60">
        <f t="shared" si="50"/>
        <v>401.4</v>
      </c>
      <c r="AD92" s="60">
        <f t="shared" ref="AD92:AE92" si="55">SUMIF(AD81:AD91,"&gt;0")</f>
        <v>401.4</v>
      </c>
      <c r="AE92" s="60">
        <f t="shared" si="55"/>
        <v>428</v>
      </c>
      <c r="AF92" s="60">
        <f t="shared" ref="AF92" si="56">SUMIF(AF81:AF91,"&gt;0")</f>
        <v>407</v>
      </c>
      <c r="AG92" s="88">
        <f>SUM(AG81:AG91)</f>
        <v>0</v>
      </c>
      <c r="AH92" s="47">
        <f t="shared" si="46"/>
        <v>485.7</v>
      </c>
      <c r="AI92" s="48">
        <f t="shared" si="47"/>
        <v>92.6</v>
      </c>
      <c r="AK92" s="86"/>
      <c r="AL92" s="77"/>
      <c r="AM92" s="89"/>
      <c r="AN92" s="255"/>
    </row>
    <row r="93" spans="1:40" x14ac:dyDescent="0.25">
      <c r="A93" s="44" t="s">
        <v>96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46"/>
        <v>0</v>
      </c>
      <c r="AI93" s="48">
        <f t="shared" si="47"/>
        <v>0</v>
      </c>
      <c r="AK93" s="86"/>
      <c r="AL93" s="77"/>
      <c r="AM93" s="77"/>
      <c r="AN93" s="256"/>
    </row>
    <row r="94" spans="1:40" ht="15.75" thickBot="1" x14ac:dyDescent="0.3">
      <c r="A94" s="54" t="s">
        <v>97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46"/>
        <v>0</v>
      </c>
      <c r="AI94" s="48">
        <f t="shared" si="47"/>
        <v>0</v>
      </c>
      <c r="AK94" s="91"/>
      <c r="AL94" s="92"/>
      <c r="AM94" s="92"/>
      <c r="AN94" s="93"/>
    </row>
    <row r="95" spans="1:40" ht="15.75" thickBot="1" x14ac:dyDescent="0.3">
      <c r="A95" s="84" t="s">
        <v>98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46"/>
        <v>0</v>
      </c>
      <c r="AI95" s="48">
        <f t="shared" si="47"/>
        <v>0</v>
      </c>
    </row>
    <row r="96" spans="1:40" ht="15.75" thickBot="1" x14ac:dyDescent="0.3">
      <c r="A96" s="74" t="s">
        <v>99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46"/>
        <v>0</v>
      </c>
      <c r="AI96" s="48">
        <f t="shared" si="47"/>
        <v>0</v>
      </c>
    </row>
    <row r="97" spans="1:37" ht="15.75" thickBot="1" x14ac:dyDescent="0.3">
      <c r="A97" s="74" t="s">
        <v>100</v>
      </c>
      <c r="B97" s="95">
        <f t="shared" ref="B97:C97" si="57">B58+B62+B80+B76+B92+B96</f>
        <v>1028.44</v>
      </c>
      <c r="C97" s="95">
        <f t="shared" si="57"/>
        <v>1000.6400000000001</v>
      </c>
      <c r="D97" s="95">
        <f t="shared" ref="D97" si="58">D58+D62+D80+D76+D92+D96</f>
        <v>986.94</v>
      </c>
      <c r="E97" s="95">
        <f t="shared" ref="E97:AG97" si="59">E58+E62+E80+E76+E92+E96</f>
        <v>978.74000000000012</v>
      </c>
      <c r="F97" s="95">
        <f t="shared" si="59"/>
        <v>979.64000000000021</v>
      </c>
      <c r="G97" s="95">
        <f t="shared" si="59"/>
        <v>1066.6400000000001</v>
      </c>
      <c r="H97" s="95">
        <f t="shared" si="59"/>
        <v>1080.74</v>
      </c>
      <c r="I97" s="95">
        <f t="shared" si="59"/>
        <v>1210.6400000000001</v>
      </c>
      <c r="J97" s="95">
        <f t="shared" si="59"/>
        <v>1298.6399999999999</v>
      </c>
      <c r="K97" s="95">
        <f t="shared" si="59"/>
        <v>1329.04</v>
      </c>
      <c r="L97" s="95">
        <f t="shared" si="59"/>
        <v>1389.2400000000002</v>
      </c>
      <c r="M97" s="95">
        <f t="shared" si="59"/>
        <v>1485.74</v>
      </c>
      <c r="N97" s="95">
        <f t="shared" si="59"/>
        <v>1456.24</v>
      </c>
      <c r="O97" s="95">
        <f t="shared" si="59"/>
        <v>1446.14</v>
      </c>
      <c r="P97" s="95">
        <f t="shared" si="59"/>
        <v>1496.74</v>
      </c>
      <c r="Q97" s="95">
        <f t="shared" si="59"/>
        <v>1505.2400000000002</v>
      </c>
      <c r="R97" s="95">
        <f t="shared" si="59"/>
        <v>1510.04</v>
      </c>
      <c r="S97" s="95">
        <f t="shared" si="59"/>
        <v>1452.64</v>
      </c>
      <c r="T97" s="95">
        <f t="shared" ref="T97:U97" si="60">T58+T62+T80+T76+T92+T96</f>
        <v>1383.44</v>
      </c>
      <c r="U97" s="95">
        <f t="shared" si="60"/>
        <v>1509.74</v>
      </c>
      <c r="V97" s="95">
        <f t="shared" ref="V97:X97" si="61">V58+V62+V80+V76+V92+V96</f>
        <v>1402.64</v>
      </c>
      <c r="W97" s="95">
        <f t="shared" si="61"/>
        <v>1419.94</v>
      </c>
      <c r="X97" s="95">
        <f t="shared" si="61"/>
        <v>1636.2</v>
      </c>
      <c r="Y97" s="95">
        <f t="shared" ref="Y97" si="62">Y58+Y62+Y80+Y76+Y92+Y96</f>
        <v>1652.44</v>
      </c>
      <c r="Z97" s="95">
        <f t="shared" si="59"/>
        <v>1579.74</v>
      </c>
      <c r="AA97" s="95">
        <f t="shared" ref="AA97:AB97" si="63">AA58+AA62+AA80+AA76+AA92+AA96</f>
        <v>1548.24</v>
      </c>
      <c r="AB97" s="95">
        <f t="shared" si="63"/>
        <v>1476.44</v>
      </c>
      <c r="AC97" s="95">
        <f t="shared" si="59"/>
        <v>1423.04</v>
      </c>
      <c r="AD97" s="95">
        <f t="shared" ref="AD97:AE97" si="64">AD58+AD62+AD80+AD76+AD92+AD96</f>
        <v>1324.04</v>
      </c>
      <c r="AE97" s="95">
        <f t="shared" si="64"/>
        <v>1306.24</v>
      </c>
      <c r="AF97" s="95">
        <f t="shared" ref="AF97" si="65">AF58+AF62+AF80+AF76+AF92+AF96</f>
        <v>1173.24</v>
      </c>
      <c r="AG97" s="61">
        <f t="shared" si="59"/>
        <v>2231.81</v>
      </c>
      <c r="AH97" s="47">
        <f t="shared" si="46"/>
        <v>1652.44</v>
      </c>
      <c r="AI97" s="48">
        <f t="shared" si="47"/>
        <v>978.74000000000012</v>
      </c>
    </row>
    <row r="98" spans="1:37" ht="15.75" thickBot="1" x14ac:dyDescent="0.3">
      <c r="A98" s="96" t="s">
        <v>101</v>
      </c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>
        <v>80</v>
      </c>
      <c r="M98" s="97">
        <v>80</v>
      </c>
      <c r="N98" s="97">
        <v>80</v>
      </c>
      <c r="O98" s="97">
        <v>80</v>
      </c>
      <c r="P98" s="97">
        <v>0</v>
      </c>
      <c r="Q98" s="97"/>
      <c r="R98" s="97"/>
      <c r="S98" s="97"/>
      <c r="T98" s="97"/>
      <c r="U98" s="97"/>
      <c r="V98" s="97"/>
      <c r="W98" s="97"/>
      <c r="X98" s="97">
        <v>200</v>
      </c>
      <c r="Y98" s="97">
        <v>200</v>
      </c>
      <c r="Z98" s="97">
        <v>200</v>
      </c>
      <c r="AA98" s="97">
        <v>200</v>
      </c>
      <c r="AB98" s="97">
        <v>180</v>
      </c>
      <c r="AC98" s="97">
        <v>150</v>
      </c>
      <c r="AD98" s="97">
        <v>100</v>
      </c>
      <c r="AE98" s="97">
        <v>0</v>
      </c>
      <c r="AF98" s="97">
        <v>0</v>
      </c>
      <c r="AG98" s="88"/>
      <c r="AH98" s="47">
        <f t="shared" si="46"/>
        <v>200</v>
      </c>
      <c r="AI98" s="48">
        <f t="shared" si="47"/>
        <v>0</v>
      </c>
    </row>
    <row r="99" spans="1:37" ht="15.75" thickBot="1" x14ac:dyDescent="0.3">
      <c r="A99" s="74" t="s">
        <v>102</v>
      </c>
      <c r="B99" s="95">
        <f t="shared" ref="B99:C99" si="66">B97+B98</f>
        <v>1028.44</v>
      </c>
      <c r="C99" s="95">
        <f t="shared" si="66"/>
        <v>1000.6400000000001</v>
      </c>
      <c r="D99" s="95">
        <f t="shared" ref="D99" si="67">D97+D98</f>
        <v>986.94</v>
      </c>
      <c r="E99" s="95">
        <f t="shared" ref="E99:AC99" si="68">E97+E98</f>
        <v>978.74000000000012</v>
      </c>
      <c r="F99" s="95">
        <f t="shared" si="68"/>
        <v>979.64000000000021</v>
      </c>
      <c r="G99" s="95">
        <f t="shared" si="68"/>
        <v>1066.6400000000001</v>
      </c>
      <c r="H99" s="95">
        <f t="shared" si="68"/>
        <v>1080.74</v>
      </c>
      <c r="I99" s="95">
        <f t="shared" si="68"/>
        <v>1210.6400000000001</v>
      </c>
      <c r="J99" s="95">
        <f t="shared" si="68"/>
        <v>1298.6399999999999</v>
      </c>
      <c r="K99" s="95">
        <f t="shared" si="68"/>
        <v>1329.04</v>
      </c>
      <c r="L99" s="95">
        <f t="shared" si="68"/>
        <v>1469.2400000000002</v>
      </c>
      <c r="M99" s="95">
        <f t="shared" si="68"/>
        <v>1565.74</v>
      </c>
      <c r="N99" s="95">
        <f t="shared" si="68"/>
        <v>1536.24</v>
      </c>
      <c r="O99" s="95">
        <f t="shared" si="68"/>
        <v>1526.14</v>
      </c>
      <c r="P99" s="95">
        <f t="shared" si="68"/>
        <v>1496.74</v>
      </c>
      <c r="Q99" s="95">
        <f t="shared" si="68"/>
        <v>1505.2400000000002</v>
      </c>
      <c r="R99" s="95">
        <f t="shared" si="68"/>
        <v>1510.04</v>
      </c>
      <c r="S99" s="95">
        <f t="shared" si="68"/>
        <v>1452.64</v>
      </c>
      <c r="T99" s="95">
        <f t="shared" ref="T99:U99" si="69">T97+T98</f>
        <v>1383.44</v>
      </c>
      <c r="U99" s="95">
        <f t="shared" si="69"/>
        <v>1509.74</v>
      </c>
      <c r="V99" s="95">
        <f t="shared" ref="V99:X99" si="70">V97+V98</f>
        <v>1402.64</v>
      </c>
      <c r="W99" s="95">
        <f t="shared" si="70"/>
        <v>1419.94</v>
      </c>
      <c r="X99" s="95">
        <f t="shared" si="70"/>
        <v>1836.2</v>
      </c>
      <c r="Y99" s="95">
        <f t="shared" ref="Y99" si="71">Y97+Y98</f>
        <v>1852.44</v>
      </c>
      <c r="Z99" s="95">
        <f t="shared" si="68"/>
        <v>1779.74</v>
      </c>
      <c r="AA99" s="95">
        <f t="shared" ref="AA99:AB99" si="72">AA97+AA98</f>
        <v>1748.24</v>
      </c>
      <c r="AB99" s="95">
        <f t="shared" si="72"/>
        <v>1656.44</v>
      </c>
      <c r="AC99" s="95">
        <f t="shared" si="68"/>
        <v>1573.04</v>
      </c>
      <c r="AD99" s="95">
        <f t="shared" ref="AD99:AE99" si="73">AD97+AD98</f>
        <v>1424.04</v>
      </c>
      <c r="AE99" s="95">
        <f t="shared" si="73"/>
        <v>1306.24</v>
      </c>
      <c r="AF99" s="95">
        <f t="shared" ref="AF99" si="74">AF97+AF98</f>
        <v>1173.24</v>
      </c>
      <c r="AG99" s="88">
        <f>AG96+AG92+AG80+AG76+AG58+AG98</f>
        <v>1693.71</v>
      </c>
      <c r="AH99" s="47">
        <f t="shared" si="46"/>
        <v>1852.44</v>
      </c>
      <c r="AI99" s="48">
        <f t="shared" si="47"/>
        <v>978.74000000000012</v>
      </c>
    </row>
    <row r="100" spans="1:37" ht="15.75" thickBot="1" x14ac:dyDescent="0.3">
      <c r="A100" s="74" t="s">
        <v>103</v>
      </c>
      <c r="B100" s="95">
        <f t="shared" ref="B100:C100" si="75">B99-(B107)</f>
        <v>1027.44</v>
      </c>
      <c r="C100" s="95">
        <f t="shared" si="75"/>
        <v>998.6400000000001</v>
      </c>
      <c r="D100" s="95">
        <f t="shared" ref="D100" si="76">D99-(D107)</f>
        <v>983.94</v>
      </c>
      <c r="E100" s="95">
        <f t="shared" ref="E100:M100" si="77">E99-(E107)</f>
        <v>978.74000000000012</v>
      </c>
      <c r="F100" s="95">
        <f t="shared" si="77"/>
        <v>979.64000000000021</v>
      </c>
      <c r="G100" s="95">
        <f t="shared" si="77"/>
        <v>1066.6400000000001</v>
      </c>
      <c r="H100" s="95">
        <f t="shared" si="77"/>
        <v>1080.74</v>
      </c>
      <c r="I100" s="95">
        <f t="shared" si="77"/>
        <v>1210.6400000000001</v>
      </c>
      <c r="J100" s="95">
        <f t="shared" si="77"/>
        <v>1298.6399999999999</v>
      </c>
      <c r="K100" s="95">
        <f t="shared" si="77"/>
        <v>1329.04</v>
      </c>
      <c r="L100" s="95">
        <f t="shared" si="77"/>
        <v>1469.2400000000002</v>
      </c>
      <c r="M100" s="95">
        <f t="shared" si="77"/>
        <v>1565.74</v>
      </c>
      <c r="N100" s="95">
        <f>N99-(N107)</f>
        <v>1536.24</v>
      </c>
      <c r="O100" s="95">
        <f t="shared" ref="O100:AC100" si="78">O99-(O107)</f>
        <v>1526.14</v>
      </c>
      <c r="P100" s="95">
        <f t="shared" si="78"/>
        <v>1496.74</v>
      </c>
      <c r="Q100" s="95">
        <f t="shared" si="78"/>
        <v>1505.2400000000002</v>
      </c>
      <c r="R100" s="95">
        <f t="shared" si="78"/>
        <v>1510.04</v>
      </c>
      <c r="S100" s="95">
        <f t="shared" si="78"/>
        <v>1452.64</v>
      </c>
      <c r="T100" s="95">
        <f t="shared" ref="T100:U100" si="79">T99-(T107)</f>
        <v>1382.44</v>
      </c>
      <c r="U100" s="95">
        <f t="shared" si="79"/>
        <v>1507.74</v>
      </c>
      <c r="V100" s="95">
        <f t="shared" ref="V100:X100" si="80">V99-(V107)</f>
        <v>1399.64</v>
      </c>
      <c r="W100" s="95">
        <f t="shared" si="80"/>
        <v>1415.94</v>
      </c>
      <c r="X100" s="95">
        <f t="shared" si="80"/>
        <v>1832.2</v>
      </c>
      <c r="Y100" s="95">
        <f t="shared" ref="Y100" si="81">Y99-(Y107)</f>
        <v>1847.44</v>
      </c>
      <c r="Z100" s="95">
        <f t="shared" si="78"/>
        <v>1779.74</v>
      </c>
      <c r="AA100" s="95">
        <f t="shared" ref="AA100:AB100" si="82">AA99-(AA107)</f>
        <v>1747.24</v>
      </c>
      <c r="AB100" s="95">
        <f t="shared" si="82"/>
        <v>1654.44</v>
      </c>
      <c r="AC100" s="95">
        <f t="shared" si="78"/>
        <v>1573.04</v>
      </c>
      <c r="AD100" s="95">
        <f t="shared" ref="AD100:AE100" si="83">AD99-(AD107)</f>
        <v>1423.04</v>
      </c>
      <c r="AE100" s="95">
        <f t="shared" si="83"/>
        <v>1304.24</v>
      </c>
      <c r="AF100" s="95">
        <f t="shared" ref="AF100" si="84">AF99-(AF107)</f>
        <v>1170.24</v>
      </c>
      <c r="AG100" s="88"/>
      <c r="AH100" s="47">
        <f t="shared" si="46"/>
        <v>1847.44</v>
      </c>
      <c r="AI100" s="48">
        <f t="shared" si="47"/>
        <v>978.74000000000012</v>
      </c>
    </row>
    <row r="101" spans="1:37" x14ac:dyDescent="0.25">
      <c r="A101" s="44" t="s">
        <v>84</v>
      </c>
      <c r="B101" s="76">
        <f t="shared" ref="B101:C101" si="85">IF(B84&lt;0,B84*-1,0)</f>
        <v>0</v>
      </c>
      <c r="C101" s="76">
        <f t="shared" si="85"/>
        <v>0</v>
      </c>
      <c r="D101" s="76">
        <f t="shared" ref="D101" si="86">IF(D84&lt;0,D84*-1,0)</f>
        <v>0</v>
      </c>
      <c r="E101" s="76">
        <f t="shared" ref="E101:AC101" si="87">IF(E84&lt;0,E84*-1,0)</f>
        <v>0</v>
      </c>
      <c r="F101" s="76">
        <f t="shared" si="87"/>
        <v>0</v>
      </c>
      <c r="G101" s="76">
        <f t="shared" si="87"/>
        <v>0</v>
      </c>
      <c r="H101" s="76">
        <f t="shared" si="87"/>
        <v>0</v>
      </c>
      <c r="I101" s="76">
        <f t="shared" si="87"/>
        <v>0</v>
      </c>
      <c r="J101" s="76">
        <f t="shared" si="87"/>
        <v>0</v>
      </c>
      <c r="K101" s="76">
        <f t="shared" si="87"/>
        <v>0</v>
      </c>
      <c r="L101" s="76">
        <f t="shared" si="87"/>
        <v>0</v>
      </c>
      <c r="M101" s="76">
        <f t="shared" si="87"/>
        <v>0</v>
      </c>
      <c r="N101" s="76">
        <f t="shared" si="87"/>
        <v>0</v>
      </c>
      <c r="O101" s="76">
        <f t="shared" si="87"/>
        <v>0</v>
      </c>
      <c r="P101" s="76">
        <f t="shared" si="87"/>
        <v>0</v>
      </c>
      <c r="Q101" s="76">
        <f t="shared" si="87"/>
        <v>0</v>
      </c>
      <c r="R101" s="76">
        <f t="shared" si="87"/>
        <v>0</v>
      </c>
      <c r="S101" s="76">
        <f t="shared" si="87"/>
        <v>0</v>
      </c>
      <c r="T101" s="76">
        <f t="shared" ref="T101:U101" si="88">IF(T84&lt;0,T84*-1,0)</f>
        <v>0</v>
      </c>
      <c r="U101" s="76">
        <f t="shared" si="88"/>
        <v>0</v>
      </c>
      <c r="V101" s="76">
        <f t="shared" ref="V101:X101" si="89">IF(V84&lt;0,V84*-1,0)</f>
        <v>0</v>
      </c>
      <c r="W101" s="76">
        <f t="shared" si="89"/>
        <v>0</v>
      </c>
      <c r="X101" s="76">
        <f t="shared" si="89"/>
        <v>0</v>
      </c>
      <c r="Y101" s="76">
        <f t="shared" ref="Y101" si="90">IF(Y84&lt;0,Y84*-1,0)</f>
        <v>0</v>
      </c>
      <c r="Z101" s="76">
        <f t="shared" si="87"/>
        <v>0</v>
      </c>
      <c r="AA101" s="76">
        <f t="shared" ref="AA101:AB101" si="91">IF(AA84&lt;0,AA84*-1,0)</f>
        <v>0</v>
      </c>
      <c r="AB101" s="76">
        <f t="shared" si="91"/>
        <v>0</v>
      </c>
      <c r="AC101" s="76">
        <f t="shared" si="87"/>
        <v>0</v>
      </c>
      <c r="AD101" s="76">
        <f t="shared" ref="AD101:AE101" si="92">IF(AD84&lt;0,AD84*-1,0)</f>
        <v>0</v>
      </c>
      <c r="AE101" s="76">
        <f t="shared" si="92"/>
        <v>0</v>
      </c>
      <c r="AF101" s="76">
        <f t="shared" ref="AF101" si="93">IF(AF84&lt;0,AF84*-1,0)</f>
        <v>0</v>
      </c>
      <c r="AG101" s="52"/>
      <c r="AH101" s="47">
        <f t="shared" si="46"/>
        <v>0</v>
      </c>
      <c r="AI101" s="48">
        <f t="shared" si="47"/>
        <v>0</v>
      </c>
    </row>
    <row r="102" spans="1:37" x14ac:dyDescent="0.25">
      <c r="A102" s="54" t="s">
        <v>82</v>
      </c>
      <c r="B102" s="76">
        <f t="shared" ref="B102:C102" si="94">IF(B82&lt;0,B82*-1,0)</f>
        <v>0</v>
      </c>
      <c r="C102" s="76">
        <f t="shared" si="94"/>
        <v>0</v>
      </c>
      <c r="D102" s="76">
        <f t="shared" ref="D102" si="95">IF(D82&lt;0,D82*-1,0)</f>
        <v>0</v>
      </c>
      <c r="E102" s="76">
        <f t="shared" ref="E102:AC102" si="96">IF(E82&lt;0,E82*-1,0)</f>
        <v>0</v>
      </c>
      <c r="F102" s="76">
        <f t="shared" si="96"/>
        <v>0</v>
      </c>
      <c r="G102" s="76">
        <f t="shared" si="96"/>
        <v>0</v>
      </c>
      <c r="H102" s="76">
        <f t="shared" si="96"/>
        <v>0</v>
      </c>
      <c r="I102" s="76">
        <f t="shared" si="96"/>
        <v>0</v>
      </c>
      <c r="J102" s="76">
        <f t="shared" si="96"/>
        <v>0</v>
      </c>
      <c r="K102" s="76">
        <f t="shared" si="96"/>
        <v>0</v>
      </c>
      <c r="L102" s="76">
        <f t="shared" si="96"/>
        <v>0</v>
      </c>
      <c r="M102" s="76">
        <f t="shared" si="96"/>
        <v>0</v>
      </c>
      <c r="N102" s="76">
        <f t="shared" si="96"/>
        <v>0</v>
      </c>
      <c r="O102" s="76">
        <f t="shared" si="96"/>
        <v>0</v>
      </c>
      <c r="P102" s="76">
        <f t="shared" si="96"/>
        <v>0</v>
      </c>
      <c r="Q102" s="76">
        <f t="shared" si="96"/>
        <v>0</v>
      </c>
      <c r="R102" s="76">
        <f t="shared" si="96"/>
        <v>0</v>
      </c>
      <c r="S102" s="76">
        <f t="shared" si="96"/>
        <v>0</v>
      </c>
      <c r="T102" s="76">
        <f t="shared" ref="T102:U102" si="97">IF(T82&lt;0,T82*-1,0)</f>
        <v>0</v>
      </c>
      <c r="U102" s="76">
        <f t="shared" si="97"/>
        <v>0</v>
      </c>
      <c r="V102" s="76">
        <f t="shared" ref="V102:X102" si="98">IF(V82&lt;0,V82*-1,0)</f>
        <v>0</v>
      </c>
      <c r="W102" s="76">
        <f t="shared" si="98"/>
        <v>0</v>
      </c>
      <c r="X102" s="76">
        <f t="shared" si="98"/>
        <v>0</v>
      </c>
      <c r="Y102" s="76">
        <f t="shared" ref="Y102" si="99">IF(Y82&lt;0,Y82*-1,0)</f>
        <v>0</v>
      </c>
      <c r="Z102" s="76">
        <f t="shared" si="96"/>
        <v>0</v>
      </c>
      <c r="AA102" s="76">
        <f t="shared" ref="AA102:AB102" si="100">IF(AA82&lt;0,AA82*-1,0)</f>
        <v>0</v>
      </c>
      <c r="AB102" s="76">
        <f t="shared" si="100"/>
        <v>0</v>
      </c>
      <c r="AC102" s="76">
        <f t="shared" si="96"/>
        <v>0</v>
      </c>
      <c r="AD102" s="76">
        <f t="shared" ref="AD102:AE102" si="101">IF(AD82&lt;0,AD82*-1,0)</f>
        <v>0</v>
      </c>
      <c r="AE102" s="76">
        <f t="shared" si="101"/>
        <v>0</v>
      </c>
      <c r="AF102" s="76">
        <f t="shared" ref="AF102" si="102">IF(AF82&lt;0,AF82*-1,0)</f>
        <v>0</v>
      </c>
      <c r="AG102" s="55"/>
      <c r="AH102" s="47">
        <f t="shared" si="46"/>
        <v>0</v>
      </c>
      <c r="AI102" s="48">
        <f t="shared" si="47"/>
        <v>0</v>
      </c>
    </row>
    <row r="103" spans="1:37" x14ac:dyDescent="0.25">
      <c r="A103" s="84" t="s">
        <v>104</v>
      </c>
      <c r="B103" s="76">
        <f t="shared" ref="B103:C103" si="103">IF(B85&lt;0,B85*-1,0)</f>
        <v>0</v>
      </c>
      <c r="C103" s="76">
        <f t="shared" si="103"/>
        <v>0</v>
      </c>
      <c r="D103" s="76">
        <f t="shared" ref="D103" si="104">IF(D85&lt;0,D85*-1,0)</f>
        <v>0</v>
      </c>
      <c r="E103" s="76">
        <f t="shared" ref="E103:AC103" si="105">IF(E85&lt;0,E85*-1,0)</f>
        <v>0</v>
      </c>
      <c r="F103" s="76">
        <f t="shared" si="105"/>
        <v>0</v>
      </c>
      <c r="G103" s="76">
        <f t="shared" si="105"/>
        <v>0</v>
      </c>
      <c r="H103" s="76">
        <f t="shared" si="105"/>
        <v>0</v>
      </c>
      <c r="I103" s="76">
        <f t="shared" si="105"/>
        <v>0</v>
      </c>
      <c r="J103" s="76">
        <f t="shared" si="105"/>
        <v>0</v>
      </c>
      <c r="K103" s="76">
        <f t="shared" si="105"/>
        <v>0</v>
      </c>
      <c r="L103" s="76">
        <f t="shared" si="105"/>
        <v>0</v>
      </c>
      <c r="M103" s="76">
        <f t="shared" si="105"/>
        <v>0</v>
      </c>
      <c r="N103" s="76">
        <f t="shared" si="105"/>
        <v>0</v>
      </c>
      <c r="O103" s="76">
        <f t="shared" si="105"/>
        <v>0</v>
      </c>
      <c r="P103" s="76">
        <f t="shared" si="105"/>
        <v>0</v>
      </c>
      <c r="Q103" s="76">
        <f t="shared" si="105"/>
        <v>0</v>
      </c>
      <c r="R103" s="76">
        <f t="shared" si="105"/>
        <v>0</v>
      </c>
      <c r="S103" s="76">
        <f t="shared" si="105"/>
        <v>0</v>
      </c>
      <c r="T103" s="76">
        <f t="shared" ref="T103:U103" si="106">IF(T85&lt;0,T85*-1,0)</f>
        <v>0</v>
      </c>
      <c r="U103" s="76">
        <f t="shared" si="106"/>
        <v>0</v>
      </c>
      <c r="V103" s="76">
        <f t="shared" ref="V103:X103" si="107">IF(V85&lt;0,V85*-1,0)</f>
        <v>0</v>
      </c>
      <c r="W103" s="76">
        <f t="shared" si="107"/>
        <v>0</v>
      </c>
      <c r="X103" s="76">
        <f t="shared" si="107"/>
        <v>0</v>
      </c>
      <c r="Y103" s="76">
        <f t="shared" ref="Y103" si="108">IF(Y85&lt;0,Y85*-1,0)</f>
        <v>0</v>
      </c>
      <c r="Z103" s="76">
        <f t="shared" si="105"/>
        <v>0</v>
      </c>
      <c r="AA103" s="76">
        <f t="shared" ref="AA103:AB103" si="109">IF(AA85&lt;0,AA85*-1,0)</f>
        <v>0</v>
      </c>
      <c r="AB103" s="76">
        <f t="shared" si="109"/>
        <v>0</v>
      </c>
      <c r="AC103" s="76">
        <f t="shared" si="105"/>
        <v>0</v>
      </c>
      <c r="AD103" s="76">
        <f t="shared" ref="AD103:AE103" si="110">IF(AD85&lt;0,AD85*-1,0)</f>
        <v>0</v>
      </c>
      <c r="AE103" s="76">
        <f t="shared" si="110"/>
        <v>0</v>
      </c>
      <c r="AF103" s="76">
        <f t="shared" ref="AF103" si="111">IF(AF85&lt;0,AF85*-1,0)</f>
        <v>0</v>
      </c>
      <c r="AG103" s="98"/>
      <c r="AH103" s="47">
        <f t="shared" si="46"/>
        <v>0</v>
      </c>
      <c r="AI103" s="48">
        <f t="shared" si="47"/>
        <v>0</v>
      </c>
    </row>
    <row r="104" spans="1:37" x14ac:dyDescent="0.25">
      <c r="A104" s="84" t="s">
        <v>105</v>
      </c>
      <c r="B104" s="76">
        <f t="shared" ref="B104:C104" si="112">IF(B83&lt;0,B83*-1,0)</f>
        <v>0</v>
      </c>
      <c r="C104" s="76">
        <f t="shared" si="112"/>
        <v>0</v>
      </c>
      <c r="D104" s="76">
        <f t="shared" ref="D104" si="113">IF(D83&lt;0,D83*-1,0)</f>
        <v>0</v>
      </c>
      <c r="E104" s="76">
        <f t="shared" ref="E104:AC104" si="114">IF(E83&lt;0,E83*-1,0)</f>
        <v>0</v>
      </c>
      <c r="F104" s="76">
        <f t="shared" si="114"/>
        <v>0</v>
      </c>
      <c r="G104" s="76">
        <f t="shared" si="114"/>
        <v>0</v>
      </c>
      <c r="H104" s="76">
        <f t="shared" si="114"/>
        <v>0</v>
      </c>
      <c r="I104" s="76">
        <f t="shared" si="114"/>
        <v>0</v>
      </c>
      <c r="J104" s="76">
        <f t="shared" si="114"/>
        <v>0</v>
      </c>
      <c r="K104" s="76">
        <f t="shared" si="114"/>
        <v>0</v>
      </c>
      <c r="L104" s="76">
        <f t="shared" si="114"/>
        <v>0</v>
      </c>
      <c r="M104" s="76">
        <f t="shared" si="114"/>
        <v>0</v>
      </c>
      <c r="N104" s="76">
        <f t="shared" si="114"/>
        <v>0</v>
      </c>
      <c r="O104" s="76">
        <f t="shared" si="114"/>
        <v>0</v>
      </c>
      <c r="P104" s="76">
        <f t="shared" si="114"/>
        <v>0</v>
      </c>
      <c r="Q104" s="76">
        <f t="shared" si="114"/>
        <v>0</v>
      </c>
      <c r="R104" s="76">
        <f t="shared" si="114"/>
        <v>0</v>
      </c>
      <c r="S104" s="76">
        <f t="shared" si="114"/>
        <v>0</v>
      </c>
      <c r="T104" s="76">
        <f t="shared" ref="T104:U104" si="115">IF(T83&lt;0,T83*-1,0)</f>
        <v>0</v>
      </c>
      <c r="U104" s="76">
        <f t="shared" si="115"/>
        <v>0</v>
      </c>
      <c r="V104" s="76">
        <f t="shared" ref="V104:X104" si="116">IF(V83&lt;0,V83*-1,0)</f>
        <v>0</v>
      </c>
      <c r="W104" s="76">
        <f t="shared" si="116"/>
        <v>0</v>
      </c>
      <c r="X104" s="76">
        <f t="shared" si="116"/>
        <v>0</v>
      </c>
      <c r="Y104" s="76">
        <f t="shared" ref="Y104" si="117">IF(Y83&lt;0,Y83*-1,0)</f>
        <v>0</v>
      </c>
      <c r="Z104" s="76">
        <f t="shared" si="114"/>
        <v>0</v>
      </c>
      <c r="AA104" s="76">
        <f t="shared" ref="AA104:AB104" si="118">IF(AA83&lt;0,AA83*-1,0)</f>
        <v>0</v>
      </c>
      <c r="AB104" s="76">
        <f t="shared" si="118"/>
        <v>0</v>
      </c>
      <c r="AC104" s="76">
        <f t="shared" si="114"/>
        <v>0</v>
      </c>
      <c r="AD104" s="76">
        <f t="shared" ref="AD104:AE104" si="119">IF(AD83&lt;0,AD83*-1,0)</f>
        <v>0</v>
      </c>
      <c r="AE104" s="76">
        <f t="shared" si="119"/>
        <v>0</v>
      </c>
      <c r="AF104" s="76">
        <f t="shared" ref="AF104" si="120">IF(AF83&lt;0,AF83*-1,0)</f>
        <v>0</v>
      </c>
      <c r="AG104" s="98"/>
      <c r="AH104" s="47">
        <f t="shared" si="46"/>
        <v>0</v>
      </c>
      <c r="AI104" s="48">
        <f t="shared" si="47"/>
        <v>0</v>
      </c>
    </row>
    <row r="105" spans="1:37" x14ac:dyDescent="0.25">
      <c r="A105" s="84" t="s">
        <v>81</v>
      </c>
      <c r="B105" s="76">
        <f t="shared" ref="B105:C105" si="121">IF(B81&lt;0,B81*-1,0)</f>
        <v>0</v>
      </c>
      <c r="C105" s="76">
        <f t="shared" si="121"/>
        <v>0</v>
      </c>
      <c r="D105" s="76">
        <f t="shared" ref="D105" si="122">IF(D81&lt;0,D81*-1,0)</f>
        <v>0</v>
      </c>
      <c r="E105" s="76">
        <f t="shared" ref="E105:AC105" si="123">IF(E81&lt;0,E81*-1,0)</f>
        <v>0</v>
      </c>
      <c r="F105" s="76">
        <f t="shared" si="123"/>
        <v>0</v>
      </c>
      <c r="G105" s="76">
        <f t="shared" si="123"/>
        <v>0</v>
      </c>
      <c r="H105" s="76">
        <f t="shared" si="123"/>
        <v>0</v>
      </c>
      <c r="I105" s="76">
        <f t="shared" si="123"/>
        <v>0</v>
      </c>
      <c r="J105" s="76">
        <f t="shared" si="123"/>
        <v>0</v>
      </c>
      <c r="K105" s="76">
        <f t="shared" si="123"/>
        <v>0</v>
      </c>
      <c r="L105" s="76">
        <f t="shared" si="123"/>
        <v>0</v>
      </c>
      <c r="M105" s="76">
        <f t="shared" si="123"/>
        <v>0</v>
      </c>
      <c r="N105" s="76">
        <f t="shared" si="123"/>
        <v>0</v>
      </c>
      <c r="O105" s="76">
        <f t="shared" si="123"/>
        <v>0</v>
      </c>
      <c r="P105" s="76">
        <f t="shared" si="123"/>
        <v>0</v>
      </c>
      <c r="Q105" s="76">
        <f t="shared" si="123"/>
        <v>0</v>
      </c>
      <c r="R105" s="76">
        <f t="shared" si="123"/>
        <v>0</v>
      </c>
      <c r="S105" s="76">
        <f t="shared" si="123"/>
        <v>0</v>
      </c>
      <c r="T105" s="76">
        <f t="shared" ref="T105:U105" si="124">IF(T81&lt;0,T81*-1,0)</f>
        <v>0</v>
      </c>
      <c r="U105" s="76">
        <f t="shared" si="124"/>
        <v>0</v>
      </c>
      <c r="V105" s="76">
        <f t="shared" ref="V105:X105" si="125">IF(V81&lt;0,V81*-1,0)</f>
        <v>0</v>
      </c>
      <c r="W105" s="76">
        <f t="shared" si="125"/>
        <v>0</v>
      </c>
      <c r="X105" s="76">
        <f t="shared" si="125"/>
        <v>0</v>
      </c>
      <c r="Y105" s="76">
        <f t="shared" ref="Y105" si="126">IF(Y81&lt;0,Y81*-1,0)</f>
        <v>0</v>
      </c>
      <c r="Z105" s="76">
        <f t="shared" si="123"/>
        <v>0</v>
      </c>
      <c r="AA105" s="76">
        <f t="shared" ref="AA105:AB105" si="127">IF(AA81&lt;0,AA81*-1,0)</f>
        <v>0</v>
      </c>
      <c r="AB105" s="76">
        <f t="shared" si="127"/>
        <v>0</v>
      </c>
      <c r="AC105" s="76">
        <f t="shared" si="123"/>
        <v>0</v>
      </c>
      <c r="AD105" s="76">
        <f t="shared" ref="AD105:AE105" si="128">IF(AD81&lt;0,AD81*-1,0)</f>
        <v>0</v>
      </c>
      <c r="AE105" s="76">
        <f t="shared" si="128"/>
        <v>0</v>
      </c>
      <c r="AF105" s="76">
        <f t="shared" ref="AF105" si="129">IF(AF81&lt;0,AF81*-1,0)</f>
        <v>0</v>
      </c>
      <c r="AG105" s="98"/>
      <c r="AH105" s="47">
        <f t="shared" si="46"/>
        <v>0</v>
      </c>
      <c r="AI105" s="48">
        <f t="shared" si="47"/>
        <v>0</v>
      </c>
    </row>
    <row r="106" spans="1:37" ht="15.75" thickBot="1" x14ac:dyDescent="0.3">
      <c r="A106" s="84" t="s">
        <v>106</v>
      </c>
      <c r="B106" s="94">
        <v>1</v>
      </c>
      <c r="C106" s="94">
        <v>2</v>
      </c>
      <c r="D106" s="94">
        <v>3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1</v>
      </c>
      <c r="U106" s="94">
        <v>2</v>
      </c>
      <c r="V106" s="94">
        <v>3</v>
      </c>
      <c r="W106" s="94">
        <v>4</v>
      </c>
      <c r="X106" s="94">
        <v>4</v>
      </c>
      <c r="Y106" s="94">
        <v>5</v>
      </c>
      <c r="Z106" s="94">
        <v>0</v>
      </c>
      <c r="AA106" s="94">
        <v>1</v>
      </c>
      <c r="AB106" s="94">
        <v>2</v>
      </c>
      <c r="AC106" s="94">
        <v>0</v>
      </c>
      <c r="AD106" s="94">
        <v>1</v>
      </c>
      <c r="AE106" s="94">
        <v>2</v>
      </c>
      <c r="AF106" s="94">
        <v>3</v>
      </c>
      <c r="AG106" s="85"/>
      <c r="AH106" s="47">
        <f t="shared" si="46"/>
        <v>5</v>
      </c>
      <c r="AI106" s="48">
        <f t="shared" si="47"/>
        <v>0</v>
      </c>
    </row>
    <row r="107" spans="1:37" ht="15.75" thickBot="1" x14ac:dyDescent="0.3">
      <c r="A107" s="99" t="s">
        <v>107</v>
      </c>
      <c r="B107" s="60">
        <f t="shared" ref="B107:C107" si="130">SUM(B101:B106)</f>
        <v>1</v>
      </c>
      <c r="C107" s="60">
        <f t="shared" si="130"/>
        <v>2</v>
      </c>
      <c r="D107" s="60">
        <f t="shared" ref="D107" si="131">SUM(D101:D106)</f>
        <v>3</v>
      </c>
      <c r="E107" s="60">
        <f t="shared" ref="E107:AC107" si="132">SUM(E101:E106)</f>
        <v>0</v>
      </c>
      <c r="F107" s="60">
        <f t="shared" si="132"/>
        <v>0</v>
      </c>
      <c r="G107" s="60">
        <f t="shared" si="132"/>
        <v>0</v>
      </c>
      <c r="H107" s="60">
        <f t="shared" si="132"/>
        <v>0</v>
      </c>
      <c r="I107" s="60">
        <f t="shared" si="132"/>
        <v>0</v>
      </c>
      <c r="J107" s="60">
        <f t="shared" si="132"/>
        <v>0</v>
      </c>
      <c r="K107" s="60">
        <f t="shared" si="132"/>
        <v>0</v>
      </c>
      <c r="L107" s="60">
        <f t="shared" si="132"/>
        <v>0</v>
      </c>
      <c r="M107" s="60">
        <f t="shared" si="132"/>
        <v>0</v>
      </c>
      <c r="N107" s="60">
        <f t="shared" si="132"/>
        <v>0</v>
      </c>
      <c r="O107" s="60">
        <f t="shared" si="132"/>
        <v>0</v>
      </c>
      <c r="P107" s="60">
        <f t="shared" si="132"/>
        <v>0</v>
      </c>
      <c r="Q107" s="60">
        <f t="shared" si="132"/>
        <v>0</v>
      </c>
      <c r="R107" s="60">
        <f t="shared" si="132"/>
        <v>0</v>
      </c>
      <c r="S107" s="60">
        <f t="shared" si="132"/>
        <v>0</v>
      </c>
      <c r="T107" s="60">
        <f t="shared" ref="T107:U107" si="133">SUM(T101:T106)</f>
        <v>1</v>
      </c>
      <c r="U107" s="60">
        <f t="shared" si="133"/>
        <v>2</v>
      </c>
      <c r="V107" s="60">
        <f t="shared" ref="V107:X107" si="134">SUM(V101:V106)</f>
        <v>3</v>
      </c>
      <c r="W107" s="60">
        <f t="shared" si="134"/>
        <v>4</v>
      </c>
      <c r="X107" s="60">
        <f t="shared" si="134"/>
        <v>4</v>
      </c>
      <c r="Y107" s="60">
        <f t="shared" ref="Y107" si="135">SUM(Y101:Y106)</f>
        <v>5</v>
      </c>
      <c r="Z107" s="60">
        <f t="shared" si="132"/>
        <v>0</v>
      </c>
      <c r="AA107" s="60">
        <f t="shared" ref="AA107:AB107" si="136">SUM(AA101:AA106)</f>
        <v>1</v>
      </c>
      <c r="AB107" s="60">
        <f t="shared" si="136"/>
        <v>2</v>
      </c>
      <c r="AC107" s="60">
        <f t="shared" si="132"/>
        <v>0</v>
      </c>
      <c r="AD107" s="60">
        <f t="shared" ref="AD107:AE107" si="137">SUM(AD101:AD106)</f>
        <v>1</v>
      </c>
      <c r="AE107" s="60">
        <f t="shared" si="137"/>
        <v>2</v>
      </c>
      <c r="AF107" s="60">
        <f t="shared" ref="AF107" si="138">SUM(AF101:AF106)</f>
        <v>3</v>
      </c>
      <c r="AG107" s="88"/>
      <c r="AH107" s="47">
        <f t="shared" si="46"/>
        <v>5</v>
      </c>
      <c r="AI107" s="48">
        <f t="shared" si="47"/>
        <v>0</v>
      </c>
      <c r="AK107" s="50"/>
    </row>
    <row r="108" spans="1:37" ht="15.75" thickBot="1" x14ac:dyDescent="0.3">
      <c r="A108" s="74" t="s">
        <v>108</v>
      </c>
      <c r="B108" s="60">
        <f t="shared" ref="B108:C108" si="139">B92-B107</f>
        <v>295.7</v>
      </c>
      <c r="C108" s="60">
        <f t="shared" si="139"/>
        <v>297.7</v>
      </c>
      <c r="D108" s="60">
        <f t="shared" ref="D108" si="140">D92-D107</f>
        <v>284.8</v>
      </c>
      <c r="E108" s="60">
        <f t="shared" ref="E108:AC108" si="141">E92-E107</f>
        <v>281.10000000000002</v>
      </c>
      <c r="F108" s="60">
        <f t="shared" si="141"/>
        <v>283</v>
      </c>
      <c r="G108" s="60">
        <f t="shared" si="141"/>
        <v>369.1</v>
      </c>
      <c r="H108" s="60">
        <f t="shared" si="141"/>
        <v>383.2</v>
      </c>
      <c r="I108" s="60">
        <f t="shared" si="141"/>
        <v>426</v>
      </c>
      <c r="J108" s="60">
        <f t="shared" si="141"/>
        <v>384.09999999999997</v>
      </c>
      <c r="K108" s="60">
        <f t="shared" si="141"/>
        <v>371.20000000000005</v>
      </c>
      <c r="L108" s="60">
        <f t="shared" si="141"/>
        <v>195.4</v>
      </c>
      <c r="M108" s="60">
        <f t="shared" si="141"/>
        <v>131.9</v>
      </c>
      <c r="N108" s="60">
        <f t="shared" si="141"/>
        <v>92.6</v>
      </c>
      <c r="O108" s="60">
        <f t="shared" si="141"/>
        <v>121.9</v>
      </c>
      <c r="P108" s="60">
        <f t="shared" si="141"/>
        <v>333</v>
      </c>
      <c r="Q108" s="60">
        <f t="shared" si="141"/>
        <v>441.9</v>
      </c>
      <c r="R108" s="60">
        <f t="shared" si="141"/>
        <v>483.8</v>
      </c>
      <c r="S108" s="60">
        <f t="shared" si="141"/>
        <v>451.2</v>
      </c>
      <c r="T108" s="60">
        <f t="shared" ref="T108:U108" si="142">T92-T107</f>
        <v>426.4</v>
      </c>
      <c r="U108" s="60">
        <f t="shared" si="142"/>
        <v>483.7</v>
      </c>
      <c r="V108" s="60">
        <f t="shared" ref="V108:X108" si="143">V92-V107</f>
        <v>409.5</v>
      </c>
      <c r="W108" s="60">
        <f t="shared" si="143"/>
        <v>319.89999999999998</v>
      </c>
      <c r="X108" s="60">
        <f t="shared" si="143"/>
        <v>269.96000000000004</v>
      </c>
      <c r="Y108" s="60">
        <f t="shared" ref="Y108" si="144">Y92-Y107</f>
        <v>194.39999999999998</v>
      </c>
      <c r="Z108" s="60">
        <f t="shared" si="141"/>
        <v>247</v>
      </c>
      <c r="AA108" s="60">
        <f t="shared" ref="AA108:AB108" si="145">AA92-AA107</f>
        <v>294.7</v>
      </c>
      <c r="AB108" s="60">
        <f t="shared" si="145"/>
        <v>310</v>
      </c>
      <c r="AC108" s="60">
        <f t="shared" si="141"/>
        <v>401.4</v>
      </c>
      <c r="AD108" s="60">
        <f t="shared" ref="AD108:AE108" si="146">AD92-AD107</f>
        <v>400.4</v>
      </c>
      <c r="AE108" s="60">
        <f t="shared" si="146"/>
        <v>426</v>
      </c>
      <c r="AF108" s="60">
        <f t="shared" ref="AF108" si="147">AF92-AF107</f>
        <v>404</v>
      </c>
      <c r="AG108" s="88"/>
      <c r="AH108" s="47">
        <f t="shared" si="46"/>
        <v>483.8</v>
      </c>
      <c r="AI108" s="48">
        <f t="shared" si="47"/>
        <v>92.6</v>
      </c>
    </row>
    <row r="109" spans="1:37" x14ac:dyDescent="0.25">
      <c r="A109" s="100" t="s">
        <v>109</v>
      </c>
      <c r="B109" s="101">
        <v>49.87</v>
      </c>
      <c r="C109" s="101">
        <v>49.95</v>
      </c>
      <c r="D109" s="101">
        <v>50</v>
      </c>
      <c r="E109" s="101">
        <v>49.99</v>
      </c>
      <c r="F109" s="101">
        <v>49.973999999999997</v>
      </c>
      <c r="G109" s="101">
        <v>50.009</v>
      </c>
      <c r="H109" s="101">
        <v>49.970999999999997</v>
      </c>
      <c r="I109" s="101">
        <v>49.970999999999997</v>
      </c>
      <c r="J109" s="101">
        <v>50.07</v>
      </c>
      <c r="K109" s="101">
        <v>49.905999999999999</v>
      </c>
      <c r="L109" s="101">
        <v>49.953000000000003</v>
      </c>
      <c r="M109" s="101">
        <v>50</v>
      </c>
      <c r="N109" s="101">
        <v>50.1</v>
      </c>
      <c r="O109" s="101">
        <v>49.985999999999997</v>
      </c>
      <c r="P109" s="101">
        <v>50.094999999999999</v>
      </c>
      <c r="Q109" s="101">
        <v>49.874000000000002</v>
      </c>
      <c r="R109" s="101">
        <v>50</v>
      </c>
      <c r="S109" s="101">
        <v>49.917000000000002</v>
      </c>
      <c r="T109" s="101">
        <v>50.07</v>
      </c>
      <c r="U109" s="101">
        <v>50.01</v>
      </c>
      <c r="V109" s="101">
        <v>49.99</v>
      </c>
      <c r="W109" s="101">
        <v>50.09</v>
      </c>
      <c r="X109" s="101">
        <v>50.03</v>
      </c>
      <c r="Y109" s="101">
        <v>49.94</v>
      </c>
      <c r="Z109" s="101">
        <v>49.936999999999998</v>
      </c>
      <c r="AA109" s="101">
        <v>49.99</v>
      </c>
      <c r="AB109" s="101">
        <v>50.02</v>
      </c>
      <c r="AC109" s="101">
        <v>49.911000000000001</v>
      </c>
      <c r="AD109" s="101">
        <v>49.911000000000001</v>
      </c>
      <c r="AE109" s="101">
        <v>49.9</v>
      </c>
      <c r="AF109" s="101">
        <v>49.99</v>
      </c>
      <c r="AG109" s="102"/>
      <c r="AH109" s="47">
        <f t="shared" si="46"/>
        <v>50.1</v>
      </c>
      <c r="AI109" s="48">
        <f t="shared" si="47"/>
        <v>49.87</v>
      </c>
    </row>
    <row r="110" spans="1:37" x14ac:dyDescent="0.25">
      <c r="A110" s="103" t="s">
        <v>110</v>
      </c>
      <c r="B110" s="65">
        <v>131.30000000000001</v>
      </c>
      <c r="C110" s="65">
        <v>131</v>
      </c>
      <c r="D110" s="65">
        <v>131</v>
      </c>
      <c r="E110" s="65">
        <v>131</v>
      </c>
      <c r="F110" s="65">
        <v>131</v>
      </c>
      <c r="G110" s="65">
        <v>127.7</v>
      </c>
      <c r="H110" s="65">
        <v>127.1</v>
      </c>
      <c r="I110" s="65">
        <v>126</v>
      </c>
      <c r="J110" s="65">
        <v>127.6</v>
      </c>
      <c r="K110" s="65">
        <v>126.5</v>
      </c>
      <c r="L110" s="65">
        <v>124.1</v>
      </c>
      <c r="M110" s="65">
        <v>121.8</v>
      </c>
      <c r="N110" s="65">
        <v>125.4</v>
      </c>
      <c r="O110" s="65">
        <v>125.1</v>
      </c>
      <c r="P110" s="65">
        <v>121.8</v>
      </c>
      <c r="Q110" s="65">
        <v>122.2</v>
      </c>
      <c r="R110" s="65">
        <v>123.9</v>
      </c>
      <c r="S110" s="65">
        <v>123.9</v>
      </c>
      <c r="T110" s="65">
        <v>123.8</v>
      </c>
      <c r="U110" s="65">
        <v>123.8</v>
      </c>
      <c r="V110" s="65">
        <v>130.19999999999999</v>
      </c>
      <c r="W110" s="65">
        <v>130.19999999999999</v>
      </c>
      <c r="X110" s="65">
        <v>125.4</v>
      </c>
      <c r="Y110" s="65">
        <v>125.4</v>
      </c>
      <c r="Z110" s="65">
        <v>127.9</v>
      </c>
      <c r="AA110" s="65">
        <v>128.30000000000001</v>
      </c>
      <c r="AB110" s="65">
        <v>128.30000000000001</v>
      </c>
      <c r="AC110" s="65">
        <v>129</v>
      </c>
      <c r="AD110" s="65">
        <v>129</v>
      </c>
      <c r="AE110" s="65">
        <v>126</v>
      </c>
      <c r="AF110" s="65">
        <v>128</v>
      </c>
      <c r="AG110" s="104"/>
      <c r="AH110" s="47">
        <f t="shared" si="46"/>
        <v>131.30000000000001</v>
      </c>
      <c r="AI110" s="48">
        <f t="shared" si="47"/>
        <v>121.8</v>
      </c>
    </row>
    <row r="111" spans="1:37" x14ac:dyDescent="0.25">
      <c r="A111" s="103" t="s">
        <v>111</v>
      </c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104"/>
      <c r="AH111" s="47">
        <f t="shared" si="46"/>
        <v>0</v>
      </c>
      <c r="AI111" s="48">
        <f t="shared" si="47"/>
        <v>0</v>
      </c>
    </row>
    <row r="112" spans="1:37" x14ac:dyDescent="0.25">
      <c r="A112" s="103" t="s">
        <v>112</v>
      </c>
      <c r="B112" s="65">
        <v>129.69999999999999</v>
      </c>
      <c r="C112" s="65">
        <v>129.1</v>
      </c>
      <c r="D112" s="65">
        <v>131.5</v>
      </c>
      <c r="E112" s="65">
        <v>131.4</v>
      </c>
      <c r="F112" s="65">
        <v>131.30000000000001</v>
      </c>
      <c r="G112" s="65">
        <v>127.7</v>
      </c>
      <c r="H112" s="65">
        <v>128.6</v>
      </c>
      <c r="I112" s="65">
        <v>129.19999999999999</v>
      </c>
      <c r="J112" s="65">
        <v>129.69999999999999</v>
      </c>
      <c r="K112" s="65">
        <v>128.5</v>
      </c>
      <c r="L112" s="65">
        <v>126.5</v>
      </c>
      <c r="M112" s="65">
        <v>129</v>
      </c>
      <c r="N112" s="65">
        <v>129</v>
      </c>
      <c r="O112" s="65">
        <v>130</v>
      </c>
      <c r="P112" s="65">
        <v>125.9</v>
      </c>
      <c r="Q112" s="65">
        <v>126.3</v>
      </c>
      <c r="R112" s="65">
        <v>124.9</v>
      </c>
      <c r="S112" s="65">
        <v>126</v>
      </c>
      <c r="T112" s="65">
        <v>126.8</v>
      </c>
      <c r="U112" s="65">
        <v>126.8</v>
      </c>
      <c r="V112" s="65">
        <v>131</v>
      </c>
      <c r="W112" s="65">
        <v>131</v>
      </c>
      <c r="X112" s="65">
        <v>128.19999999999999</v>
      </c>
      <c r="Y112" s="65">
        <v>130.6</v>
      </c>
      <c r="Z112" s="65">
        <v>126.5</v>
      </c>
      <c r="AA112" s="65">
        <v>128</v>
      </c>
      <c r="AB112" s="65">
        <v>128</v>
      </c>
      <c r="AC112" s="65">
        <v>131.1</v>
      </c>
      <c r="AD112" s="65">
        <v>131.1</v>
      </c>
      <c r="AE112" s="65">
        <v>129</v>
      </c>
      <c r="AF112" s="65">
        <v>130</v>
      </c>
      <c r="AG112" s="104"/>
      <c r="AH112" s="47">
        <f t="shared" si="46"/>
        <v>131.5</v>
      </c>
      <c r="AI112" s="48">
        <f t="shared" si="47"/>
        <v>124.9</v>
      </c>
    </row>
    <row r="113" spans="1:35" x14ac:dyDescent="0.25">
      <c r="A113" s="105" t="s">
        <v>113</v>
      </c>
      <c r="B113" s="65">
        <v>130.69999999999999</v>
      </c>
      <c r="C113" s="65">
        <v>129.9</v>
      </c>
      <c r="D113" s="65">
        <v>132.30000000000001</v>
      </c>
      <c r="E113" s="65">
        <v>132</v>
      </c>
      <c r="F113" s="65">
        <v>131.69999999999999</v>
      </c>
      <c r="G113" s="65">
        <v>129.30000000000001</v>
      </c>
      <c r="H113" s="65">
        <v>130.80000000000001</v>
      </c>
      <c r="I113" s="65">
        <v>130.6</v>
      </c>
      <c r="J113" s="65">
        <v>130.5</v>
      </c>
      <c r="K113" s="65">
        <v>128.69999999999999</v>
      </c>
      <c r="L113" s="65">
        <v>128.4</v>
      </c>
      <c r="M113" s="65">
        <v>130</v>
      </c>
      <c r="N113" s="65">
        <v>130.1</v>
      </c>
      <c r="O113" s="65">
        <v>131.19999999999999</v>
      </c>
      <c r="P113" s="65">
        <v>128</v>
      </c>
      <c r="Q113" s="65">
        <v>128.9</v>
      </c>
      <c r="R113" s="65">
        <v>128.4</v>
      </c>
      <c r="S113" s="65">
        <v>129.4</v>
      </c>
      <c r="T113" s="65">
        <v>130</v>
      </c>
      <c r="U113" s="65">
        <v>130</v>
      </c>
      <c r="V113" s="65">
        <v>133.5</v>
      </c>
      <c r="W113" s="65">
        <v>133.5</v>
      </c>
      <c r="X113" s="65">
        <v>129.6</v>
      </c>
      <c r="Y113" s="65">
        <v>132.6</v>
      </c>
      <c r="Z113" s="65">
        <v>128.30000000000001</v>
      </c>
      <c r="AA113" s="65">
        <v>130.6</v>
      </c>
      <c r="AB113" s="65">
        <v>130.6</v>
      </c>
      <c r="AC113" s="65">
        <v>133.80000000000001</v>
      </c>
      <c r="AD113" s="65">
        <v>133.80000000000001</v>
      </c>
      <c r="AE113" s="65">
        <v>131</v>
      </c>
      <c r="AF113" s="65">
        <v>133</v>
      </c>
      <c r="AG113" s="104"/>
      <c r="AH113" s="47">
        <f t="shared" si="46"/>
        <v>133.80000000000001</v>
      </c>
      <c r="AI113" s="48">
        <f t="shared" si="47"/>
        <v>128</v>
      </c>
    </row>
    <row r="114" spans="1:35" x14ac:dyDescent="0.25">
      <c r="A114" s="105" t="s">
        <v>114</v>
      </c>
      <c r="B114" s="106">
        <v>133.9</v>
      </c>
      <c r="C114" s="106">
        <v>134.80000000000001</v>
      </c>
      <c r="D114" s="106">
        <v>134.9</v>
      </c>
      <c r="E114" s="106">
        <v>134.5</v>
      </c>
      <c r="F114" s="106">
        <v>134</v>
      </c>
      <c r="G114" s="106">
        <v>131.69999999999999</v>
      </c>
      <c r="H114" s="106">
        <v>131.9</v>
      </c>
      <c r="I114" s="106">
        <v>132</v>
      </c>
      <c r="J114" s="106">
        <v>133.69999999999999</v>
      </c>
      <c r="K114" s="106">
        <v>134</v>
      </c>
      <c r="L114" s="106">
        <v>133.1</v>
      </c>
      <c r="M114" s="106">
        <v>132.69999999999999</v>
      </c>
      <c r="N114" s="106">
        <v>134.6</v>
      </c>
      <c r="O114" s="106">
        <v>133.6</v>
      </c>
      <c r="P114" s="106">
        <v>132.4</v>
      </c>
      <c r="Q114" s="106">
        <v>133</v>
      </c>
      <c r="R114" s="106">
        <v>133</v>
      </c>
      <c r="S114" s="106">
        <v>131.80000000000001</v>
      </c>
      <c r="T114" s="106"/>
      <c r="U114" s="106"/>
      <c r="V114" s="106">
        <v>135.5</v>
      </c>
      <c r="W114" s="106">
        <v>135.5</v>
      </c>
      <c r="X114" s="106">
        <v>131</v>
      </c>
      <c r="Y114" s="106">
        <v>131.9</v>
      </c>
      <c r="Z114" s="106">
        <v>135.30000000000001</v>
      </c>
      <c r="AA114" s="106">
        <v>134.6</v>
      </c>
      <c r="AB114" s="106">
        <v>134.6</v>
      </c>
      <c r="AC114" s="106">
        <v>137</v>
      </c>
      <c r="AD114" s="106">
        <v>137</v>
      </c>
      <c r="AE114" s="106">
        <v>133</v>
      </c>
      <c r="AF114" s="106">
        <v>132</v>
      </c>
      <c r="AG114" s="107"/>
      <c r="AH114" s="47">
        <f t="shared" si="46"/>
        <v>137</v>
      </c>
      <c r="AI114" s="48">
        <f t="shared" si="47"/>
        <v>131</v>
      </c>
    </row>
    <row r="115" spans="1:35" x14ac:dyDescent="0.25">
      <c r="A115" s="103" t="s">
        <v>115</v>
      </c>
      <c r="B115" s="65">
        <v>132.4</v>
      </c>
      <c r="C115" s="65">
        <v>132.19999999999999</v>
      </c>
      <c r="D115" s="65">
        <v>134.80000000000001</v>
      </c>
      <c r="E115" s="65">
        <v>134.80000000000001</v>
      </c>
      <c r="F115" s="65">
        <v>133.5</v>
      </c>
      <c r="G115" s="65">
        <v>131.80000000000001</v>
      </c>
      <c r="H115" s="65">
        <v>130</v>
      </c>
      <c r="I115" s="65">
        <v>130.1</v>
      </c>
      <c r="J115" s="65">
        <v>133.80000000000001</v>
      </c>
      <c r="K115" s="65">
        <v>134.5</v>
      </c>
      <c r="L115" s="65">
        <v>128.9</v>
      </c>
      <c r="M115" s="65">
        <v>130</v>
      </c>
      <c r="N115" s="65">
        <v>129.9</v>
      </c>
      <c r="O115" s="65">
        <v>129.80000000000001</v>
      </c>
      <c r="P115" s="65">
        <v>128.80000000000001</v>
      </c>
      <c r="Q115" s="65">
        <v>127.7</v>
      </c>
      <c r="R115" s="65">
        <v>129.69999999999999</v>
      </c>
      <c r="S115" s="65">
        <v>131.5</v>
      </c>
      <c r="T115" s="65">
        <v>132.1</v>
      </c>
      <c r="U115" s="65">
        <v>132.1</v>
      </c>
      <c r="V115" s="65">
        <v>134.19999999999999</v>
      </c>
      <c r="W115" s="65">
        <v>134.19999999999999</v>
      </c>
      <c r="X115" s="65">
        <v>130.9</v>
      </c>
      <c r="Y115" s="65">
        <v>130.69999999999999</v>
      </c>
      <c r="Z115" s="65">
        <v>134</v>
      </c>
      <c r="AA115" s="65">
        <v>134.6</v>
      </c>
      <c r="AB115" s="65">
        <v>134.6</v>
      </c>
      <c r="AC115" s="65">
        <v>130.9</v>
      </c>
      <c r="AD115" s="65">
        <v>130.9</v>
      </c>
      <c r="AE115" s="65">
        <v>131</v>
      </c>
      <c r="AF115" s="65">
        <v>130</v>
      </c>
      <c r="AG115" s="104"/>
      <c r="AH115" s="47">
        <f t="shared" si="46"/>
        <v>134.80000000000001</v>
      </c>
      <c r="AI115" s="48">
        <f t="shared" si="47"/>
        <v>127.7</v>
      </c>
    </row>
    <row r="116" spans="1:35" ht="15.75" thickBot="1" x14ac:dyDescent="0.3">
      <c r="A116" s="103" t="s">
        <v>116</v>
      </c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108"/>
      <c r="AH116" s="47">
        <f t="shared" si="46"/>
        <v>0</v>
      </c>
      <c r="AI116" s="48">
        <f t="shared" si="47"/>
        <v>0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46"/>
        <v>0</v>
      </c>
      <c r="AI117" s="48">
        <f t="shared" si="47"/>
        <v>0</v>
      </c>
    </row>
    <row r="118" spans="1:35" ht="15.75" thickBot="1" x14ac:dyDescent="0.3">
      <c r="A118" s="110" t="s">
        <v>118</v>
      </c>
      <c r="B118" s="111">
        <f>SUM(B22,B28,B31:B32,B66,B68:B69,B71,B73,B119:B123,B155,B161,B167,B176,B178,B190,B197,B200:B201,B208,B210,B212,B216:B218,B220:B222,B227,B233:B234,B236:B238,B246,B251)</f>
        <v>130.69</v>
      </c>
      <c r="C118" s="111">
        <f>SUM(C22,C28,C31:C32,C66,C68:C69,C71,C73,C119:C123,C155,C161,C167,C176,C178,C190,C197,C200:C201,C208,C210,C212,C216:C218,C220:C222,C227,C233:C234,C236:C238,C246,C251)</f>
        <v>111.03999999999999</v>
      </c>
      <c r="D118" s="111">
        <f>SUM(D22,D28,D31:D32,D66,D68:D69,D71,D73,D119:D123,D155,D161,D167,D176,D178,D190,D197,D200:D201,D208,D210,D212,D216:D218,D220:D222,D227,D233:D234,D236:D238,D246,D251)</f>
        <v>106</v>
      </c>
      <c r="E118" s="111">
        <f t="shared" ref="E118:O118" si="148">SUM(E22,E28,E31:E32,E66,E68:E69,E71,E73,E119:E123,E155,E161,E167,E176,E178,E190,E197,E200:E201,E208,E210,E212,E216:E218,E220:E222,E227,E233:E234,E236:E238,E246,E251)</f>
        <v>105.34</v>
      </c>
      <c r="F118" s="111">
        <f t="shared" si="148"/>
        <v>109.13999999999999</v>
      </c>
      <c r="G118" s="111">
        <f t="shared" si="148"/>
        <v>130.54</v>
      </c>
      <c r="H118" s="111">
        <f t="shared" si="148"/>
        <v>173.14</v>
      </c>
      <c r="I118" s="111">
        <f t="shared" si="148"/>
        <v>193.44</v>
      </c>
      <c r="J118" s="111">
        <f t="shared" si="148"/>
        <v>233.09</v>
      </c>
      <c r="K118" s="111">
        <f t="shared" si="148"/>
        <v>287.64</v>
      </c>
      <c r="L118" s="111">
        <f t="shared" si="148"/>
        <v>318.83999999999997</v>
      </c>
      <c r="M118" s="111">
        <f t="shared" si="148"/>
        <v>364.04</v>
      </c>
      <c r="N118" s="111">
        <f t="shared" si="148"/>
        <v>358.61499999999995</v>
      </c>
      <c r="O118" s="111">
        <f t="shared" si="148"/>
        <v>348.77300000000002</v>
      </c>
      <c r="P118" s="111">
        <v>42</v>
      </c>
      <c r="Q118" s="111">
        <f t="shared" ref="Q118:AC118" si="149">SUM(Q22,Q28,Q31:Q32,Q66,Q68:Q69,Q71,Q73,Q119:Q123,Q155,Q161,Q167,Q176,Q178,Q190,Q197,Q200:Q201,Q208,Q210,Q212,Q216:Q218,Q220:Q222,Q227,Q233:Q234,Q236:Q238,Q246,Q251)</f>
        <v>325.47399999999999</v>
      </c>
      <c r="R118" s="111">
        <f t="shared" si="149"/>
        <v>298.64000000000004</v>
      </c>
      <c r="S118" s="111">
        <f t="shared" si="149"/>
        <v>322.24</v>
      </c>
      <c r="T118" s="111">
        <f t="shared" ref="T118:U118" si="150">SUM(T22,T28,T31:T32,T66,T68:T69,T71,T73,T119:T123,T155,T161,T167,T176,T178,T190,T197,T200:T201,T208,T210,T212,T216:T218,T220:T222,T227,T233:T234,T236:T238,T246,T251)</f>
        <v>270.79000000000002</v>
      </c>
      <c r="U118" s="111">
        <f t="shared" si="150"/>
        <v>238.23999999999998</v>
      </c>
      <c r="V118" s="111">
        <f t="shared" ref="V118:X118" si="151">SUM(V22,V28,V31:V32,V66,V68:V69,V71,V73,V119:V123,V155,V161,V167,V176,V178,V190,V197,V200:V201,V208,V210,V212,V216:V218,V220:V222,V227,V233:V234,V236:V238,V246,V251)</f>
        <v>255.04000000000002</v>
      </c>
      <c r="W118" s="111">
        <f t="shared" si="151"/>
        <v>288.2</v>
      </c>
      <c r="X118" s="111">
        <f t="shared" si="151"/>
        <v>335.42</v>
      </c>
      <c r="Y118" s="111">
        <f t="shared" ref="Y118" si="152">SUM(Y22,Y28,Y31:Y32,Y66,Y68:Y69,Y71,Y73,Y119:Y123,Y155,Y161,Y167,Y176,Y178,Y190,Y197,Y200:Y201,Y208,Y210,Y212,Y216:Y218,Y220:Y222,Y227,Y233:Y234,Y236:Y238,Y246,Y251)</f>
        <v>354.04</v>
      </c>
      <c r="Z118" s="111">
        <f t="shared" si="149"/>
        <v>331.38399999999996</v>
      </c>
      <c r="AA118" s="111">
        <f t="shared" ref="AA118:AB118" si="153">SUM(AA22,AA28,AA31:AA32,AA66,AA68:AA69,AA71,AA73,AA119:AA123,AA155,AA161,AA167,AA176,AA178,AA190,AA197,AA200:AA201,AA208,AA210,AA212,AA216:AA218,AA220:AA222,AA227,AA233:AA234,AA236:AA238,AA246,AA251)</f>
        <v>316.62</v>
      </c>
      <c r="AB118" s="111">
        <f t="shared" si="153"/>
        <v>316.62</v>
      </c>
      <c r="AC118" s="111">
        <f t="shared" si="149"/>
        <v>312.11799999999999</v>
      </c>
      <c r="AD118" s="111">
        <f t="shared" ref="AD118:AE118" si="154">SUM(AD22,AD28,AD31:AD32,AD66,AD68:AD69,AD71,AD73,AD119:AD123,AD155,AD161,AD167,AD176,AD178,AD190,AD197,AD200:AD201,AD208,AD210,AD212,AD216:AD218,AD220:AD222,AD227,AD233:AD234,AD236:AD238,AD246,AD251)</f>
        <v>312.11799999999999</v>
      </c>
      <c r="AE118" s="111">
        <f t="shared" si="154"/>
        <v>220.64</v>
      </c>
      <c r="AF118" s="111">
        <f t="shared" ref="AF118" si="155">SUM(AF22,AF28,AF31:AF32,AF66,AF68:AF69,AF71,AF73,AF119:AF123,AF155,AF161,AF167,AF176,AF178,AF190,AF197,AF200:AF201,AF208,AF210,AF212,AF216:AF218,AF220:AF222,AF227,AF233:AF234,AF236:AF238,AF246,AF251)</f>
        <v>144.63999999999999</v>
      </c>
      <c r="AG118" s="112"/>
      <c r="AH118" s="47">
        <f t="shared" si="46"/>
        <v>364.04</v>
      </c>
      <c r="AI118" s="48">
        <f t="shared" si="47"/>
        <v>42</v>
      </c>
    </row>
    <row r="119" spans="1:35" x14ac:dyDescent="0.25">
      <c r="A119" s="172" t="s">
        <v>119</v>
      </c>
      <c r="B119" s="113">
        <v>27.1</v>
      </c>
      <c r="C119" s="113">
        <v>9.3000000000000007</v>
      </c>
      <c r="D119" s="113">
        <v>9.4</v>
      </c>
      <c r="E119" s="113">
        <v>9.1999999999999993</v>
      </c>
      <c r="F119" s="113">
        <v>8.1</v>
      </c>
      <c r="G119" s="113">
        <v>5.9</v>
      </c>
      <c r="H119" s="113">
        <v>40.9</v>
      </c>
      <c r="I119" s="113">
        <v>35.700000000000003</v>
      </c>
      <c r="J119" s="113">
        <v>85.7</v>
      </c>
      <c r="K119" s="113">
        <v>94.9</v>
      </c>
      <c r="L119" s="113">
        <v>109.3</v>
      </c>
      <c r="M119" s="113">
        <v>104</v>
      </c>
      <c r="N119" s="113">
        <v>72.7</v>
      </c>
      <c r="O119" s="113">
        <v>65.2</v>
      </c>
      <c r="P119" s="113">
        <v>109</v>
      </c>
      <c r="Q119" s="113">
        <v>110.4</v>
      </c>
      <c r="R119" s="113">
        <v>94.4</v>
      </c>
      <c r="S119" s="113">
        <v>87.4</v>
      </c>
      <c r="T119" s="113">
        <v>84.8</v>
      </c>
      <c r="U119" s="113">
        <v>74.5</v>
      </c>
      <c r="V119" s="113">
        <v>56.1</v>
      </c>
      <c r="W119" s="113">
        <v>35.4</v>
      </c>
      <c r="X119" s="113">
        <v>64.900000000000006</v>
      </c>
      <c r="Y119" s="113">
        <v>65.400000000000006</v>
      </c>
      <c r="Z119" s="113">
        <v>70.3</v>
      </c>
      <c r="AA119" s="113">
        <v>74.8</v>
      </c>
      <c r="AB119" s="113">
        <v>74.8</v>
      </c>
      <c r="AC119" s="113">
        <v>64.599999999999994</v>
      </c>
      <c r="AD119" s="113">
        <v>64.599999999999994</v>
      </c>
      <c r="AE119" s="113">
        <v>58</v>
      </c>
      <c r="AF119" s="113">
        <v>24</v>
      </c>
      <c r="AG119" s="114">
        <v>75</v>
      </c>
      <c r="AH119" s="47">
        <f t="shared" si="46"/>
        <v>110.4</v>
      </c>
      <c r="AI119" s="48">
        <f t="shared" si="47"/>
        <v>5.9</v>
      </c>
    </row>
    <row r="120" spans="1:35" x14ac:dyDescent="0.25">
      <c r="A120" s="173" t="s">
        <v>120</v>
      </c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115"/>
      <c r="AF120" s="115"/>
      <c r="AG120" s="114">
        <v>240</v>
      </c>
      <c r="AH120" s="47">
        <f t="shared" si="46"/>
        <v>0</v>
      </c>
      <c r="AI120" s="48">
        <f t="shared" si="47"/>
        <v>0</v>
      </c>
    </row>
    <row r="121" spans="1:35" x14ac:dyDescent="0.25">
      <c r="A121" s="173" t="s">
        <v>121</v>
      </c>
      <c r="B121" s="115">
        <v>-65</v>
      </c>
      <c r="C121" s="115">
        <f>-28.8-32.5</f>
        <v>-61.3</v>
      </c>
      <c r="D121" s="115">
        <v>-66</v>
      </c>
      <c r="E121" s="115">
        <v>-63.6</v>
      </c>
      <c r="F121" s="115">
        <f>-29.5-32.2</f>
        <v>-61.7</v>
      </c>
      <c r="G121" s="115">
        <v>-57.6</v>
      </c>
      <c r="H121" s="115">
        <f>-24-26</f>
        <v>-50</v>
      </c>
      <c r="I121" s="115">
        <f>-20-24</f>
        <v>-44</v>
      </c>
      <c r="J121" s="115">
        <f>-16.4-18.45</f>
        <v>-34.849999999999994</v>
      </c>
      <c r="K121" s="115">
        <v>0</v>
      </c>
      <c r="L121" s="115">
        <f>-3.6-3.7</f>
        <v>-7.3000000000000007</v>
      </c>
      <c r="M121" s="115">
        <v>7.9</v>
      </c>
      <c r="N121" s="115">
        <v>20</v>
      </c>
      <c r="O121" s="115">
        <v>14.3</v>
      </c>
      <c r="P121" s="115">
        <v>-9.6999999999999993</v>
      </c>
      <c r="Q121" s="115">
        <v>-24.2</v>
      </c>
      <c r="R121" s="115">
        <v>-22</v>
      </c>
      <c r="S121" s="115">
        <v>-13.2</v>
      </c>
      <c r="T121" s="115">
        <v>-33.9</v>
      </c>
      <c r="U121" s="115">
        <v>-30.8</v>
      </c>
      <c r="V121" s="115">
        <v>-5</v>
      </c>
      <c r="W121" s="115">
        <v>9</v>
      </c>
      <c r="X121" s="115">
        <v>16</v>
      </c>
      <c r="Y121" s="115">
        <v>21</v>
      </c>
      <c r="Z121" s="115">
        <v>16</v>
      </c>
      <c r="AA121" s="115">
        <v>11</v>
      </c>
      <c r="AB121" s="115">
        <v>11</v>
      </c>
      <c r="AC121" s="115">
        <v>16.3</v>
      </c>
      <c r="AD121" s="115">
        <v>16.3</v>
      </c>
      <c r="AE121" s="115">
        <v>-36</v>
      </c>
      <c r="AF121" s="115">
        <v>-53</v>
      </c>
      <c r="AG121" s="114">
        <v>240</v>
      </c>
      <c r="AH121" s="47">
        <f t="shared" si="46"/>
        <v>21</v>
      </c>
      <c r="AI121" s="48">
        <f t="shared" si="47"/>
        <v>-66</v>
      </c>
    </row>
    <row r="122" spans="1:35" ht="15.75" thickBot="1" x14ac:dyDescent="0.3">
      <c r="A122" s="173" t="s">
        <v>122</v>
      </c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>
        <v>10</v>
      </c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15"/>
      <c r="AF122" s="115"/>
      <c r="AG122" s="114">
        <v>60</v>
      </c>
      <c r="AH122" s="47">
        <f t="shared" si="46"/>
        <v>10</v>
      </c>
      <c r="AI122" s="48">
        <f t="shared" si="47"/>
        <v>10</v>
      </c>
    </row>
    <row r="123" spans="1:35" x14ac:dyDescent="0.25">
      <c r="A123" s="172" t="s">
        <v>260</v>
      </c>
      <c r="B123" s="117">
        <f>39.3*1.5</f>
        <v>58.949999999999996</v>
      </c>
      <c r="C123" s="117">
        <f>36.4*1.5</f>
        <v>54.599999999999994</v>
      </c>
      <c r="D123" s="117">
        <f>34.6*1.6</f>
        <v>55.360000000000007</v>
      </c>
      <c r="E123" s="117">
        <f>35*1.5</f>
        <v>52.5</v>
      </c>
      <c r="F123" s="117">
        <f>37*1.5</f>
        <v>55.5</v>
      </c>
      <c r="G123" s="117">
        <f>50*1.5</f>
        <v>75</v>
      </c>
      <c r="H123" s="117">
        <f>50*1.5</f>
        <v>75</v>
      </c>
      <c r="I123" s="117">
        <f>63*1.5</f>
        <v>94.5</v>
      </c>
      <c r="J123" s="117">
        <f>49*1.5</f>
        <v>73.5</v>
      </c>
      <c r="K123" s="117">
        <f>56*1.5</f>
        <v>84</v>
      </c>
      <c r="L123" s="117">
        <f>72*1.5</f>
        <v>108</v>
      </c>
      <c r="M123" s="117">
        <v>142</v>
      </c>
      <c r="N123" s="117">
        <f>92.5*1.67</f>
        <v>154.47499999999999</v>
      </c>
      <c r="O123" s="117">
        <f>89.9*1.67</f>
        <v>150.13300000000001</v>
      </c>
      <c r="P123" s="117">
        <v>120</v>
      </c>
      <c r="Q123" s="117">
        <f>70.2*1.67</f>
        <v>117.23399999999999</v>
      </c>
      <c r="R123" s="117">
        <v>105</v>
      </c>
      <c r="S123" s="117">
        <v>124</v>
      </c>
      <c r="T123" s="117">
        <f>71.5*1.5</f>
        <v>107.25</v>
      </c>
      <c r="U123" s="117">
        <f>58*1.5</f>
        <v>87</v>
      </c>
      <c r="V123" s="117">
        <f>61*1.6</f>
        <v>97.600000000000009</v>
      </c>
      <c r="W123" s="117">
        <f>84.6*1.6</f>
        <v>135.35999999999999</v>
      </c>
      <c r="X123" s="117">
        <f>91.3*1.6</f>
        <v>146.08000000000001</v>
      </c>
      <c r="Y123" s="117">
        <f>99.5*1.6</f>
        <v>159.20000000000002</v>
      </c>
      <c r="Z123" s="117">
        <f>1.64*84.6</f>
        <v>138.74399999999997</v>
      </c>
      <c r="AA123" s="117">
        <f>77.8*1.6</f>
        <v>124.48</v>
      </c>
      <c r="AB123" s="117">
        <f>77.8*1.6</f>
        <v>124.48</v>
      </c>
      <c r="AC123" s="117">
        <f>73.4*1.67</f>
        <v>122.578</v>
      </c>
      <c r="AD123" s="117">
        <f>73.4*1.67</f>
        <v>122.578</v>
      </c>
      <c r="AE123" s="117">
        <v>90</v>
      </c>
      <c r="AF123" s="117">
        <v>65</v>
      </c>
      <c r="AG123" s="118">
        <v>120</v>
      </c>
      <c r="AH123" s="47">
        <f t="shared" si="46"/>
        <v>159.20000000000002</v>
      </c>
      <c r="AI123" s="48">
        <f t="shared" si="47"/>
        <v>52.5</v>
      </c>
    </row>
    <row r="124" spans="1:35" x14ac:dyDescent="0.25">
      <c r="A124" s="173" t="s">
        <v>259</v>
      </c>
      <c r="B124" s="117">
        <v>62.8</v>
      </c>
      <c r="C124" s="117">
        <v>59.38</v>
      </c>
      <c r="D124" s="117">
        <v>58.6</v>
      </c>
      <c r="E124" s="117">
        <v>58.6</v>
      </c>
      <c r="F124" s="117">
        <v>60.8</v>
      </c>
      <c r="G124" s="117">
        <v>70.3</v>
      </c>
      <c r="H124" s="117">
        <v>70.8</v>
      </c>
      <c r="I124" s="117">
        <v>78</v>
      </c>
      <c r="J124" s="117">
        <v>70</v>
      </c>
      <c r="K124" s="117">
        <v>75</v>
      </c>
      <c r="L124" s="117">
        <v>87</v>
      </c>
      <c r="M124" s="117">
        <v>99.8</v>
      </c>
      <c r="N124" s="117">
        <v>104.4</v>
      </c>
      <c r="O124" s="117">
        <v>102.6</v>
      </c>
      <c r="P124" s="117">
        <v>90.5</v>
      </c>
      <c r="Q124" s="117">
        <v>86.1</v>
      </c>
      <c r="R124" s="117">
        <v>81.599999999999994</v>
      </c>
      <c r="S124" s="117">
        <v>90.7</v>
      </c>
      <c r="T124" s="117">
        <v>86.5</v>
      </c>
      <c r="U124" s="117">
        <v>79.599999999999994</v>
      </c>
      <c r="V124" s="117">
        <v>77.5</v>
      </c>
      <c r="W124" s="117">
        <v>96.8</v>
      </c>
      <c r="X124" s="117">
        <v>102.1</v>
      </c>
      <c r="Y124" s="117">
        <v>108.7</v>
      </c>
      <c r="Z124" s="117">
        <v>97.6</v>
      </c>
      <c r="AA124" s="117">
        <v>91.4</v>
      </c>
      <c r="AB124" s="117">
        <v>91.4</v>
      </c>
      <c r="AC124" s="117">
        <v>89.8</v>
      </c>
      <c r="AD124" s="117">
        <v>89.8</v>
      </c>
      <c r="AE124" s="117">
        <v>82</v>
      </c>
      <c r="AF124" s="117">
        <v>78</v>
      </c>
      <c r="AG124" s="118"/>
      <c r="AH124" s="47"/>
      <c r="AI124" s="48"/>
    </row>
    <row r="125" spans="1:35" x14ac:dyDescent="0.25">
      <c r="A125" s="173" t="s">
        <v>256</v>
      </c>
      <c r="B125" s="117">
        <v>53.8</v>
      </c>
      <c r="C125" s="117">
        <v>55.9</v>
      </c>
      <c r="D125" s="117">
        <v>59.1</v>
      </c>
      <c r="E125" s="117">
        <v>60.5</v>
      </c>
      <c r="F125" s="117">
        <v>61.9</v>
      </c>
      <c r="G125" s="117">
        <v>65.7</v>
      </c>
      <c r="H125" s="117">
        <v>40.700000000000003</v>
      </c>
      <c r="I125" s="117">
        <v>40</v>
      </c>
      <c r="J125" s="117">
        <v>6.5</v>
      </c>
      <c r="K125" s="117">
        <v>-20</v>
      </c>
      <c r="L125" s="117">
        <v>-25.3</v>
      </c>
      <c r="M125" s="117">
        <v>-6.8</v>
      </c>
      <c r="N125" s="117">
        <v>6.5</v>
      </c>
      <c r="O125" s="117">
        <v>23.3</v>
      </c>
      <c r="P125" s="117">
        <v>-1.7</v>
      </c>
      <c r="Q125" s="117">
        <v>4.8</v>
      </c>
      <c r="R125" s="117">
        <v>8.8000000000000007</v>
      </c>
      <c r="S125" s="117">
        <v>15.4</v>
      </c>
      <c r="T125" s="117">
        <v>4</v>
      </c>
      <c r="U125" s="117">
        <v>-9</v>
      </c>
      <c r="V125" s="117">
        <v>-32.799999999999997</v>
      </c>
      <c r="W125" s="117">
        <v>-24.2</v>
      </c>
      <c r="X125" s="117">
        <v>-41</v>
      </c>
      <c r="Y125" s="117">
        <v>-38.200000000000003</v>
      </c>
      <c r="Z125" s="117">
        <v>-49.5</v>
      </c>
      <c r="AA125" s="117">
        <v>-49.2</v>
      </c>
      <c r="AB125" s="117">
        <v>-49.2</v>
      </c>
      <c r="AC125" s="117">
        <v>-32.1</v>
      </c>
      <c r="AD125" s="117">
        <v>-32.1</v>
      </c>
      <c r="AE125" s="117">
        <v>19</v>
      </c>
      <c r="AF125" s="117">
        <v>50</v>
      </c>
      <c r="AG125" s="118"/>
      <c r="AH125" s="47"/>
      <c r="AI125" s="48"/>
    </row>
    <row r="126" spans="1:35" ht="15.75" thickBot="1" x14ac:dyDescent="0.3">
      <c r="A126" s="173" t="s">
        <v>255</v>
      </c>
      <c r="B126" s="117">
        <v>69.900000000000006</v>
      </c>
      <c r="C126" s="117">
        <v>69.599999999999994</v>
      </c>
      <c r="D126" s="117">
        <v>70.8</v>
      </c>
      <c r="E126" s="117">
        <v>70.099999999999994</v>
      </c>
      <c r="F126" s="117">
        <v>74.2</v>
      </c>
      <c r="G126" s="117">
        <v>89.7</v>
      </c>
      <c r="H126" s="117">
        <v>87.6</v>
      </c>
      <c r="I126" s="117">
        <v>92.5</v>
      </c>
      <c r="J126" s="117">
        <v>77</v>
      </c>
      <c r="K126" s="117">
        <v>85.8</v>
      </c>
      <c r="L126" s="117">
        <v>76.900000000000006</v>
      </c>
      <c r="M126" s="117">
        <v>95.5</v>
      </c>
      <c r="N126" s="117">
        <v>93.9</v>
      </c>
      <c r="O126" s="117">
        <v>90.2</v>
      </c>
      <c r="P126" s="117">
        <v>95</v>
      </c>
      <c r="Q126" s="117">
        <v>96.7</v>
      </c>
      <c r="R126" s="117">
        <v>91</v>
      </c>
      <c r="S126" s="117">
        <v>102.8</v>
      </c>
      <c r="T126" s="117">
        <v>98.2</v>
      </c>
      <c r="U126" s="117">
        <v>89.6</v>
      </c>
      <c r="V126" s="117">
        <v>76</v>
      </c>
      <c r="W126" s="117">
        <v>88.7</v>
      </c>
      <c r="X126" s="117">
        <v>55.8</v>
      </c>
      <c r="Y126" s="117">
        <v>91.9</v>
      </c>
      <c r="Z126" s="117">
        <v>79</v>
      </c>
      <c r="AA126" s="117">
        <v>78.099999999999994</v>
      </c>
      <c r="AB126" s="117">
        <v>78.099999999999994</v>
      </c>
      <c r="AC126" s="117">
        <v>85.9</v>
      </c>
      <c r="AD126" s="117">
        <v>85.9</v>
      </c>
      <c r="AE126" s="117">
        <v>96</v>
      </c>
      <c r="AF126" s="117">
        <v>96</v>
      </c>
      <c r="AG126" s="114"/>
      <c r="AH126" s="47">
        <f t="shared" si="46"/>
        <v>102.8</v>
      </c>
      <c r="AI126" s="48">
        <f t="shared" si="47"/>
        <v>55.8</v>
      </c>
    </row>
    <row r="127" spans="1:35" x14ac:dyDescent="0.25">
      <c r="A127" s="172" t="s">
        <v>257</v>
      </c>
      <c r="B127" s="117">
        <v>14.5</v>
      </c>
      <c r="C127" s="117">
        <v>11.4</v>
      </c>
      <c r="D127" s="117">
        <v>10.199999999999999</v>
      </c>
      <c r="E127" s="117">
        <v>13.3</v>
      </c>
      <c r="F127" s="117">
        <v>15.4</v>
      </c>
      <c r="G127" s="117">
        <v>13.8</v>
      </c>
      <c r="H127" s="117">
        <v>-8.3000000000000007</v>
      </c>
      <c r="I127" s="117">
        <v>-1.2</v>
      </c>
      <c r="J127" s="117">
        <v>-23.9</v>
      </c>
      <c r="K127" s="117">
        <v>-28.3</v>
      </c>
      <c r="L127" s="117">
        <v>-38.6</v>
      </c>
      <c r="M127" s="117">
        <v>-33.1</v>
      </c>
      <c r="N127" s="117">
        <v>-17</v>
      </c>
      <c r="O127" s="117">
        <v>-10</v>
      </c>
      <c r="P127" s="117">
        <v>-42.3</v>
      </c>
      <c r="Q127" s="117">
        <v>-50.8</v>
      </c>
      <c r="R127" s="117">
        <v>-43.2</v>
      </c>
      <c r="S127" s="117">
        <v>-36.6</v>
      </c>
      <c r="T127" s="117">
        <v>-36.1</v>
      </c>
      <c r="U127" s="117">
        <v>-30.3</v>
      </c>
      <c r="V127" s="117">
        <v>-15.2</v>
      </c>
      <c r="W127" s="117">
        <v>-5.5</v>
      </c>
      <c r="X127" s="117">
        <v>-14.5</v>
      </c>
      <c r="Y127" s="117">
        <v>-2.2000000000000002</v>
      </c>
      <c r="Z127" s="117">
        <v>-7.5</v>
      </c>
      <c r="AA127" s="117">
        <v>-7.9</v>
      </c>
      <c r="AB127" s="117">
        <v>-7.9</v>
      </c>
      <c r="AC127" s="117">
        <v>-2.4</v>
      </c>
      <c r="AD127" s="117">
        <v>-2.4</v>
      </c>
      <c r="AE127" s="117">
        <v>-7</v>
      </c>
      <c r="AF127" s="117">
        <v>14</v>
      </c>
      <c r="AG127" s="114"/>
      <c r="AH127" s="47">
        <f t="shared" si="46"/>
        <v>15.4</v>
      </c>
      <c r="AI127" s="48">
        <f t="shared" si="47"/>
        <v>-50.8</v>
      </c>
    </row>
    <row r="128" spans="1:35" x14ac:dyDescent="0.25">
      <c r="A128" s="173" t="s">
        <v>124</v>
      </c>
      <c r="B128" s="106">
        <v>2.4</v>
      </c>
      <c r="C128" s="106">
        <v>2.6</v>
      </c>
      <c r="D128" s="106">
        <v>2.9</v>
      </c>
      <c r="E128" s="106">
        <v>3</v>
      </c>
      <c r="F128" s="106">
        <v>1.2</v>
      </c>
      <c r="G128" s="106">
        <v>0</v>
      </c>
      <c r="H128" s="106">
        <v>-9</v>
      </c>
      <c r="I128" s="106">
        <v>-12.4</v>
      </c>
      <c r="J128" s="106">
        <v>-16.3</v>
      </c>
      <c r="K128" s="106">
        <v>-23.8</v>
      </c>
      <c r="L128" s="106">
        <v>-29.9</v>
      </c>
      <c r="M128" s="106">
        <v>-33.9</v>
      </c>
      <c r="N128" s="106">
        <v>-33.9</v>
      </c>
      <c r="O128" s="106">
        <v>-31.4</v>
      </c>
      <c r="P128" s="106">
        <v>-22.2</v>
      </c>
      <c r="Q128" s="106">
        <v>-21.9</v>
      </c>
      <c r="R128" s="106">
        <v>-18.3</v>
      </c>
      <c r="S128" s="106">
        <v>-19.399999999999999</v>
      </c>
      <c r="T128" s="106">
        <v>-19.2</v>
      </c>
      <c r="U128" s="106">
        <v>-19.7</v>
      </c>
      <c r="V128" s="106">
        <v>-17.3</v>
      </c>
      <c r="W128" s="106">
        <v>-31.1</v>
      </c>
      <c r="X128" s="106">
        <v>-38.1</v>
      </c>
      <c r="Y128" s="106">
        <v>-31.6</v>
      </c>
      <c r="Z128" s="106">
        <v>-34.200000000000003</v>
      </c>
      <c r="AA128" s="106">
        <v>-36.6</v>
      </c>
      <c r="AB128" s="106">
        <v>-36.6</v>
      </c>
      <c r="AC128" s="106">
        <v>-26.3</v>
      </c>
      <c r="AD128" s="106">
        <v>-26.3</v>
      </c>
      <c r="AE128" s="106">
        <v>-10</v>
      </c>
      <c r="AF128" s="106">
        <v>-5</v>
      </c>
      <c r="AG128" s="114"/>
      <c r="AH128" s="47">
        <f t="shared" si="46"/>
        <v>3</v>
      </c>
      <c r="AI128" s="48">
        <f t="shared" si="47"/>
        <v>-38.1</v>
      </c>
    </row>
    <row r="129" spans="1:37" x14ac:dyDescent="0.25">
      <c r="A129" s="173" t="s">
        <v>261</v>
      </c>
      <c r="B129" s="106">
        <v>21.7</v>
      </c>
      <c r="C129" s="106">
        <v>23.2</v>
      </c>
      <c r="D129" s="106">
        <v>27.8</v>
      </c>
      <c r="E129" s="106">
        <v>23.7</v>
      </c>
      <c r="F129" s="106">
        <v>21.8</v>
      </c>
      <c r="G129" s="106">
        <v>17.600000000000001</v>
      </c>
      <c r="H129" s="106">
        <v>22.7</v>
      </c>
      <c r="I129" s="106">
        <v>16</v>
      </c>
      <c r="J129" s="106">
        <v>16.899999999999999</v>
      </c>
      <c r="K129" s="106">
        <v>2.8</v>
      </c>
      <c r="L129" s="106">
        <v>8.3000000000000007</v>
      </c>
      <c r="M129" s="106">
        <v>0</v>
      </c>
      <c r="N129" s="106">
        <v>-15</v>
      </c>
      <c r="O129" s="106">
        <v>-17.899999999999999</v>
      </c>
      <c r="P129" s="106">
        <v>7</v>
      </c>
      <c r="Q129" s="106">
        <v>22.5</v>
      </c>
      <c r="R129" s="106">
        <v>16.5</v>
      </c>
      <c r="S129" s="106">
        <v>7.6</v>
      </c>
      <c r="T129" s="106">
        <v>24.2</v>
      </c>
      <c r="U129" s="106">
        <v>30.2</v>
      </c>
      <c r="V129" s="106">
        <v>5.7</v>
      </c>
      <c r="W129" s="106">
        <v>-5.8</v>
      </c>
      <c r="X129" s="106">
        <v>5.3</v>
      </c>
      <c r="Y129" s="106">
        <v>-12.1</v>
      </c>
      <c r="Z129" s="106">
        <v>-4.4000000000000004</v>
      </c>
      <c r="AA129" s="106">
        <v>-1.7</v>
      </c>
      <c r="AB129" s="106">
        <v>-1.7</v>
      </c>
      <c r="AC129" s="106">
        <v>-10.7</v>
      </c>
      <c r="AD129" s="106">
        <v>-10.7</v>
      </c>
      <c r="AE129" s="106">
        <v>14</v>
      </c>
      <c r="AF129" s="106">
        <v>16</v>
      </c>
      <c r="AG129" s="114"/>
      <c r="AH129" s="47">
        <f t="shared" si="46"/>
        <v>30.2</v>
      </c>
      <c r="AI129" s="48">
        <f t="shared" si="47"/>
        <v>-17.899999999999999</v>
      </c>
    </row>
    <row r="130" spans="1:37" ht="15.75" thickBot="1" x14ac:dyDescent="0.3">
      <c r="A130" s="173" t="s">
        <v>258</v>
      </c>
      <c r="B130" s="106">
        <v>73.099999999999994</v>
      </c>
      <c r="C130" s="106">
        <v>69.599999999999994</v>
      </c>
      <c r="D130" s="106">
        <v>64.900000000000006</v>
      </c>
      <c r="E130" s="106">
        <v>67.099999999999994</v>
      </c>
      <c r="F130" s="106">
        <v>65.3</v>
      </c>
      <c r="G130" s="106">
        <v>71</v>
      </c>
      <c r="H130" s="106">
        <v>78.7</v>
      </c>
      <c r="I130" s="106">
        <v>85.2</v>
      </c>
      <c r="J130" s="106">
        <v>83</v>
      </c>
      <c r="K130" s="106">
        <v>89.1</v>
      </c>
      <c r="L130" s="106">
        <v>91.9</v>
      </c>
      <c r="M130" s="106">
        <v>94.3</v>
      </c>
      <c r="N130" s="106">
        <v>100.5</v>
      </c>
      <c r="O130" s="106">
        <v>98.2</v>
      </c>
      <c r="P130" s="106">
        <v>103.7</v>
      </c>
      <c r="Q130" s="106">
        <v>108.9</v>
      </c>
      <c r="R130" s="106">
        <v>113</v>
      </c>
      <c r="S130" s="106">
        <v>109.2</v>
      </c>
      <c r="T130" s="106">
        <v>106.4</v>
      </c>
      <c r="U130" s="106">
        <v>106.2</v>
      </c>
      <c r="V130" s="106">
        <v>96.9</v>
      </c>
      <c r="W130" s="106">
        <v>108.5</v>
      </c>
      <c r="X130" s="106">
        <v>115</v>
      </c>
      <c r="Y130" s="106">
        <v>109.6</v>
      </c>
      <c r="Z130" s="106">
        <v>107.3</v>
      </c>
      <c r="AA130" s="106">
        <v>109.9</v>
      </c>
      <c r="AB130" s="106">
        <v>109.9</v>
      </c>
      <c r="AC130" s="106">
        <v>94.6</v>
      </c>
      <c r="AD130" s="106">
        <v>94.6</v>
      </c>
      <c r="AE130" s="106">
        <v>93</v>
      </c>
      <c r="AF130" s="106">
        <v>8</v>
      </c>
      <c r="AG130" s="114"/>
      <c r="AH130" s="47">
        <f t="shared" si="46"/>
        <v>115</v>
      </c>
      <c r="AI130" s="48">
        <f t="shared" si="47"/>
        <v>8</v>
      </c>
    </row>
    <row r="131" spans="1:37" x14ac:dyDescent="0.25">
      <c r="A131" s="144" t="s">
        <v>238</v>
      </c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6"/>
      <c r="AG131" s="43"/>
      <c r="AH131" s="47"/>
      <c r="AI131" s="48"/>
    </row>
    <row r="132" spans="1:37" x14ac:dyDescent="0.25">
      <c r="A132" s="189" t="s">
        <v>368</v>
      </c>
      <c r="B132" s="147"/>
      <c r="C132" s="147"/>
      <c r="D132" s="147"/>
      <c r="E132" s="147">
        <v>1985.11</v>
      </c>
      <c r="F132" s="147">
        <v>1985.4</v>
      </c>
      <c r="G132" s="147">
        <v>1985.64</v>
      </c>
      <c r="H132" s="147"/>
      <c r="I132" s="147">
        <v>1985.9</v>
      </c>
      <c r="J132" s="147"/>
      <c r="K132" s="147">
        <v>1986.12</v>
      </c>
      <c r="L132" s="147"/>
      <c r="M132" s="147">
        <v>1986</v>
      </c>
      <c r="N132" s="147">
        <v>1985.25</v>
      </c>
      <c r="O132" s="147">
        <v>1984.4</v>
      </c>
      <c r="P132" s="147">
        <v>1983.71</v>
      </c>
      <c r="Q132" s="147">
        <v>1983.55</v>
      </c>
      <c r="R132" s="147"/>
      <c r="S132" s="147">
        <v>1983.85</v>
      </c>
      <c r="T132" s="147">
        <v>1983.85</v>
      </c>
      <c r="U132" s="147">
        <v>1984.02</v>
      </c>
      <c r="V132" s="147">
        <v>1984.27</v>
      </c>
      <c r="W132" s="147"/>
      <c r="X132" s="147"/>
      <c r="Y132" s="147"/>
      <c r="Z132" s="147"/>
      <c r="AA132" s="147"/>
      <c r="AB132" s="147">
        <v>1982.5</v>
      </c>
      <c r="AC132" s="147"/>
      <c r="AD132" s="147"/>
      <c r="AE132" s="147">
        <v>1983.19</v>
      </c>
      <c r="AF132" s="148"/>
      <c r="AG132" s="149"/>
      <c r="AH132" s="47"/>
      <c r="AI132" s="48"/>
    </row>
    <row r="133" spans="1:37" x14ac:dyDescent="0.25">
      <c r="A133" s="189" t="s">
        <v>239</v>
      </c>
      <c r="B133" s="150"/>
      <c r="C133" s="150"/>
      <c r="D133" s="150"/>
      <c r="E133" s="150">
        <v>522.78</v>
      </c>
      <c r="F133" s="150">
        <v>523.16</v>
      </c>
      <c r="G133" s="150">
        <v>523.5</v>
      </c>
      <c r="H133" s="150"/>
      <c r="I133" s="150">
        <v>523.72</v>
      </c>
      <c r="J133" s="150"/>
      <c r="K133" s="150">
        <v>523.66999999999996</v>
      </c>
      <c r="L133" s="150"/>
      <c r="M133" s="150">
        <v>523.07000000000005</v>
      </c>
      <c r="N133" s="150">
        <v>522.9</v>
      </c>
      <c r="O133" s="150">
        <v>522.69000000000005</v>
      </c>
      <c r="P133" s="150">
        <v>522.46</v>
      </c>
      <c r="Q133" s="150">
        <v>522.02</v>
      </c>
      <c r="R133" s="150"/>
      <c r="S133" s="150">
        <v>521.08000000000004</v>
      </c>
      <c r="T133" s="150">
        <v>521.08000000000004</v>
      </c>
      <c r="U133" s="150">
        <v>521.08000000000004</v>
      </c>
      <c r="V133" s="150">
        <v>522.97</v>
      </c>
      <c r="W133" s="150"/>
      <c r="X133" s="150"/>
      <c r="Y133" s="150"/>
      <c r="Z133" s="150"/>
      <c r="AA133" s="150"/>
      <c r="AB133" s="150">
        <v>519.34</v>
      </c>
      <c r="AC133" s="150"/>
      <c r="AD133" s="150"/>
      <c r="AE133" s="150">
        <v>519.20000000000005</v>
      </c>
      <c r="AF133" s="151"/>
      <c r="AG133" s="149"/>
      <c r="AH133" s="47"/>
      <c r="AI133" s="48"/>
    </row>
    <row r="134" spans="1:37" x14ac:dyDescent="0.25">
      <c r="A134" s="189" t="s">
        <v>240</v>
      </c>
      <c r="B134" s="150"/>
      <c r="C134" s="150"/>
      <c r="D134" s="150"/>
      <c r="E134" s="150">
        <v>625.07000000000005</v>
      </c>
      <c r="F134" s="150">
        <v>625.29</v>
      </c>
      <c r="G134" s="150">
        <v>625.65</v>
      </c>
      <c r="H134" s="150"/>
      <c r="I134" s="150">
        <v>625.74</v>
      </c>
      <c r="J134" s="150"/>
      <c r="K134" s="150">
        <v>625.66</v>
      </c>
      <c r="L134" s="150"/>
      <c r="M134" s="150">
        <v>625.15</v>
      </c>
      <c r="N134" s="150">
        <v>624.97</v>
      </c>
      <c r="O134" s="150">
        <v>624.70000000000005</v>
      </c>
      <c r="P134" s="150">
        <v>624.47</v>
      </c>
      <c r="Q134" s="150">
        <v>624.15</v>
      </c>
      <c r="R134" s="150"/>
      <c r="S134" s="150">
        <v>623.35</v>
      </c>
      <c r="T134" s="150">
        <v>623.35</v>
      </c>
      <c r="U134" s="150">
        <v>623.35</v>
      </c>
      <c r="V134" s="150">
        <v>623.35</v>
      </c>
      <c r="W134" s="150"/>
      <c r="X134" s="150"/>
      <c r="Y134" s="150"/>
      <c r="Z134" s="150"/>
      <c r="AA134" s="150"/>
      <c r="AB134" s="150">
        <v>622.46</v>
      </c>
      <c r="AC134" s="150"/>
      <c r="AD134" s="150"/>
      <c r="AE134" s="150">
        <v>622.16</v>
      </c>
      <c r="AF134" s="151"/>
      <c r="AG134" s="149"/>
      <c r="AH134" s="47"/>
      <c r="AI134" s="48"/>
    </row>
    <row r="135" spans="1:37" x14ac:dyDescent="0.25">
      <c r="A135" s="189" t="s">
        <v>241</v>
      </c>
      <c r="B135" s="150">
        <v>335.18</v>
      </c>
      <c r="C135" s="150"/>
      <c r="D135" s="150"/>
      <c r="E135" s="150">
        <v>336.67</v>
      </c>
      <c r="F135" s="150">
        <v>336.96</v>
      </c>
      <c r="G135" s="150">
        <v>337.18</v>
      </c>
      <c r="H135" s="150"/>
      <c r="I135" s="150">
        <v>337.37</v>
      </c>
      <c r="J135" s="150"/>
      <c r="K135" s="150">
        <v>337.18</v>
      </c>
      <c r="L135" s="150"/>
      <c r="M135" s="150">
        <v>336.76</v>
      </c>
      <c r="N135" s="150">
        <v>336.21</v>
      </c>
      <c r="O135" s="150">
        <v>335.75</v>
      </c>
      <c r="P135" s="150">
        <v>335.36</v>
      </c>
      <c r="Q135" s="150">
        <v>334.72</v>
      </c>
      <c r="R135" s="150"/>
      <c r="S135" s="150">
        <v>334.86</v>
      </c>
      <c r="T135" s="150">
        <v>334.86</v>
      </c>
      <c r="U135" s="150">
        <v>334.86</v>
      </c>
      <c r="V135" s="150">
        <v>334.86</v>
      </c>
      <c r="W135" s="150"/>
      <c r="X135" s="150"/>
      <c r="Y135" s="150"/>
      <c r="Z135" s="150"/>
      <c r="AA135" s="150"/>
      <c r="AB135" s="150">
        <v>335.82</v>
      </c>
      <c r="AC135" s="150"/>
      <c r="AD135" s="150"/>
      <c r="AE135" s="150">
        <v>335.6</v>
      </c>
      <c r="AF135" s="151"/>
      <c r="AG135" s="149"/>
      <c r="AH135" s="47"/>
      <c r="AI135" s="48"/>
    </row>
    <row r="136" spans="1:37" x14ac:dyDescent="0.25">
      <c r="A136" s="189" t="s">
        <v>407</v>
      </c>
      <c r="B136" s="150"/>
      <c r="C136" s="150"/>
      <c r="D136" s="150"/>
      <c r="E136" s="150"/>
      <c r="F136" s="150"/>
      <c r="G136" s="150">
        <v>887.1</v>
      </c>
      <c r="H136" s="150"/>
      <c r="I136" s="150">
        <v>887.3</v>
      </c>
      <c r="J136" s="150"/>
      <c r="K136" s="150"/>
      <c r="L136" s="150"/>
      <c r="M136" s="150">
        <v>886.5</v>
      </c>
      <c r="N136" s="150">
        <v>885.3</v>
      </c>
      <c r="O136" s="150">
        <v>884.1</v>
      </c>
      <c r="P136" s="150">
        <v>883.6</v>
      </c>
      <c r="Q136" s="150">
        <v>883.6</v>
      </c>
      <c r="R136" s="150"/>
      <c r="S136" s="150">
        <v>884.2</v>
      </c>
      <c r="T136" s="150">
        <v>884.2</v>
      </c>
      <c r="U136" s="150">
        <v>884.2</v>
      </c>
      <c r="V136" s="150">
        <v>884.2</v>
      </c>
      <c r="W136" s="150"/>
      <c r="X136" s="150"/>
      <c r="Y136" s="150"/>
      <c r="Z136" s="150"/>
      <c r="AA136" s="150"/>
      <c r="AB136" s="150">
        <v>882.7</v>
      </c>
      <c r="AC136" s="150"/>
      <c r="AD136" s="150"/>
      <c r="AE136" s="150">
        <v>882.6</v>
      </c>
      <c r="AF136" s="151"/>
      <c r="AG136" s="149"/>
      <c r="AH136" s="47"/>
      <c r="AI136" s="48"/>
    </row>
    <row r="137" spans="1:37" ht="15.75" thickBot="1" x14ac:dyDescent="0.3">
      <c r="A137" s="189" t="s">
        <v>242</v>
      </c>
      <c r="B137" s="152"/>
      <c r="C137" s="152"/>
      <c r="D137" s="152"/>
      <c r="E137" s="152"/>
      <c r="F137" s="152"/>
      <c r="G137" s="152"/>
      <c r="H137" s="152">
        <v>1522.11</v>
      </c>
      <c r="I137" s="152"/>
      <c r="J137" s="152"/>
      <c r="K137" s="152"/>
      <c r="L137" s="152"/>
      <c r="M137" s="152">
        <v>1522.11</v>
      </c>
      <c r="N137" s="152">
        <v>1522.11</v>
      </c>
      <c r="O137" s="152">
        <v>1522.11</v>
      </c>
      <c r="P137" s="152">
        <v>1522.11</v>
      </c>
      <c r="Q137" s="152">
        <v>1522.11</v>
      </c>
      <c r="R137" s="152"/>
      <c r="S137" s="152">
        <v>1522.12</v>
      </c>
      <c r="T137" s="152">
        <v>1522.12</v>
      </c>
      <c r="U137" s="152">
        <v>1522.12</v>
      </c>
      <c r="V137" s="152">
        <v>1522.12</v>
      </c>
      <c r="W137" s="152"/>
      <c r="X137" s="152"/>
      <c r="Y137" s="152"/>
      <c r="Z137" s="152"/>
      <c r="AA137" s="152"/>
      <c r="AB137" s="152">
        <v>1522.01</v>
      </c>
      <c r="AC137" s="152"/>
      <c r="AD137" s="152"/>
      <c r="AE137" s="152"/>
      <c r="AF137" s="153"/>
      <c r="AG137" s="149"/>
      <c r="AH137" s="47"/>
      <c r="AI137" s="48"/>
    </row>
    <row r="138" spans="1:37" ht="15.75" thickBot="1" x14ac:dyDescent="0.3">
      <c r="A138" s="120" t="s">
        <v>125</v>
      </c>
      <c r="B138" s="121"/>
      <c r="C138" s="121"/>
      <c r="D138" s="121"/>
      <c r="E138" s="121"/>
      <c r="F138" s="170" t="s">
        <v>254</v>
      </c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74"/>
      <c r="AH138" s="47"/>
      <c r="AI138" s="48"/>
      <c r="AK138" s="50"/>
    </row>
    <row r="139" spans="1:37" x14ac:dyDescent="0.25">
      <c r="A139" s="122" t="s">
        <v>126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5">
        <v>9.94</v>
      </c>
      <c r="AH139" s="47"/>
      <c r="AI139" s="48"/>
      <c r="AK139" s="50"/>
    </row>
    <row r="140" spans="1:37" x14ac:dyDescent="0.25">
      <c r="A140" s="103" t="s">
        <v>127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5"/>
      <c r="AH140" s="47"/>
      <c r="AI140" s="48"/>
      <c r="AK140" s="50"/>
    </row>
    <row r="141" spans="1:37" x14ac:dyDescent="0.25">
      <c r="A141" s="103" t="s">
        <v>128</v>
      </c>
      <c r="B141" s="123"/>
      <c r="C141" s="124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5"/>
      <c r="AH141" s="47"/>
      <c r="AI141" s="48"/>
      <c r="AK141" s="50"/>
    </row>
    <row r="142" spans="1:37" x14ac:dyDescent="0.25">
      <c r="A142" s="103" t="s">
        <v>129</v>
      </c>
      <c r="B142" s="123"/>
      <c r="C142" s="124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5"/>
      <c r="AH142" s="47"/>
      <c r="AI142" s="48"/>
      <c r="AK142" s="50"/>
    </row>
    <row r="143" spans="1:37" x14ac:dyDescent="0.25">
      <c r="A143" s="103" t="s">
        <v>130</v>
      </c>
      <c r="B143" s="123"/>
      <c r="C143" s="124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5"/>
      <c r="AH143" s="47"/>
      <c r="AI143" s="48"/>
      <c r="AK143" s="50"/>
    </row>
    <row r="144" spans="1:37" x14ac:dyDescent="0.25">
      <c r="A144" s="103" t="s">
        <v>131</v>
      </c>
      <c r="B144" s="123"/>
      <c r="C144" s="124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5"/>
      <c r="AH144" s="47"/>
      <c r="AI144" s="48"/>
      <c r="AK144" s="50"/>
    </row>
    <row r="145" spans="1:37" x14ac:dyDescent="0.25">
      <c r="A145" s="103" t="s">
        <v>132</v>
      </c>
      <c r="B145" s="123"/>
      <c r="C145" s="124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5"/>
      <c r="AH145" s="47"/>
      <c r="AI145" s="48"/>
      <c r="AK145" s="50"/>
    </row>
    <row r="146" spans="1:37" x14ac:dyDescent="0.25">
      <c r="A146" s="103" t="s">
        <v>133</v>
      </c>
      <c r="B146" s="123"/>
      <c r="C146" s="124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5"/>
      <c r="AH146" s="47"/>
      <c r="AI146" s="48"/>
      <c r="AK146" s="50"/>
    </row>
    <row r="147" spans="1:37" x14ac:dyDescent="0.25">
      <c r="A147" s="103" t="s">
        <v>134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5"/>
      <c r="AH147" s="47"/>
      <c r="AI147" s="48"/>
      <c r="AK147" s="50"/>
    </row>
    <row r="148" spans="1:37" x14ac:dyDescent="0.25">
      <c r="A148" s="103" t="s">
        <v>135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5"/>
      <c r="AH148" s="47"/>
      <c r="AI148" s="48"/>
      <c r="AK148" s="50"/>
    </row>
    <row r="149" spans="1:37" x14ac:dyDescent="0.25">
      <c r="A149" s="103" t="s">
        <v>136</v>
      </c>
      <c r="B149" s="123"/>
      <c r="C149" s="124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5"/>
      <c r="AH149" s="47"/>
      <c r="AI149" s="48"/>
      <c r="AK149" s="50"/>
    </row>
    <row r="150" spans="1:37" x14ac:dyDescent="0.25">
      <c r="A150" s="103" t="s">
        <v>137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5"/>
      <c r="AH150" s="47"/>
      <c r="AI150" s="48"/>
      <c r="AK150" s="50"/>
    </row>
    <row r="151" spans="1:37" x14ac:dyDescent="0.25">
      <c r="A151" s="103" t="s">
        <v>138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5"/>
      <c r="AH151" s="47"/>
      <c r="AI151" s="48"/>
      <c r="AK151" s="50"/>
    </row>
    <row r="152" spans="1:37" x14ac:dyDescent="0.25">
      <c r="A152" s="103" t="s">
        <v>139</v>
      </c>
      <c r="B152" s="123"/>
      <c r="C152" s="124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5"/>
      <c r="AH152" s="47"/>
      <c r="AI152" s="48"/>
      <c r="AK152" s="50"/>
    </row>
    <row r="153" spans="1:37" x14ac:dyDescent="0.25">
      <c r="A153" s="103" t="s">
        <v>140</v>
      </c>
      <c r="B153" s="123"/>
      <c r="C153" s="124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5"/>
      <c r="AH153" s="47"/>
      <c r="AI153" s="48"/>
      <c r="AK153" s="50"/>
    </row>
    <row r="154" spans="1:37" x14ac:dyDescent="0.25">
      <c r="A154" s="103" t="s">
        <v>141</v>
      </c>
      <c r="B154" s="123"/>
      <c r="C154" s="124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5"/>
      <c r="AH154" s="47"/>
      <c r="AI154" s="48"/>
      <c r="AK154" s="50"/>
    </row>
    <row r="155" spans="1:37" x14ac:dyDescent="0.25">
      <c r="A155" s="103" t="s">
        <v>142</v>
      </c>
      <c r="B155" s="126"/>
      <c r="C155" s="127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8">
        <v>9.9</v>
      </c>
      <c r="AH155" s="47"/>
      <c r="AI155" s="48"/>
      <c r="AK155" s="50"/>
    </row>
    <row r="156" spans="1:37" x14ac:dyDescent="0.25">
      <c r="A156" s="116" t="s">
        <v>143</v>
      </c>
      <c r="B156" s="126"/>
      <c r="C156" s="127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9">
        <v>9.6579999999999995</v>
      </c>
      <c r="AH156" s="47"/>
      <c r="AI156" s="48"/>
      <c r="AK156" s="50"/>
    </row>
    <row r="157" spans="1:37" x14ac:dyDescent="0.25">
      <c r="A157" s="116" t="s">
        <v>144</v>
      </c>
      <c r="B157" s="126"/>
      <c r="C157" s="127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9">
        <v>9.6</v>
      </c>
      <c r="AH157" s="47"/>
      <c r="AI157" s="48"/>
      <c r="AK157" s="50"/>
    </row>
    <row r="158" spans="1:37" x14ac:dyDescent="0.25">
      <c r="A158" s="116" t="s">
        <v>145</v>
      </c>
      <c r="B158" s="126"/>
      <c r="C158" s="127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9">
        <v>9.51</v>
      </c>
      <c r="AH158" s="47"/>
      <c r="AI158" s="48"/>
      <c r="AK158" s="50"/>
    </row>
    <row r="159" spans="1:37" x14ac:dyDescent="0.25">
      <c r="A159" s="116" t="s">
        <v>146</v>
      </c>
      <c r="B159" s="126"/>
      <c r="C159" s="127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9">
        <v>9.4</v>
      </c>
      <c r="AH159" s="47"/>
      <c r="AI159" s="48"/>
      <c r="AK159" s="50"/>
    </row>
    <row r="160" spans="1:37" x14ac:dyDescent="0.25">
      <c r="A160" s="116" t="s">
        <v>147</v>
      </c>
      <c r="B160" s="126"/>
      <c r="C160" s="127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9">
        <v>8.8000000000000007</v>
      </c>
      <c r="AH160" s="47"/>
      <c r="AI160" s="48"/>
      <c r="AK160" s="50"/>
    </row>
    <row r="161" spans="1:37" x14ac:dyDescent="0.25">
      <c r="A161" s="116" t="s">
        <v>148</v>
      </c>
      <c r="B161" s="126"/>
      <c r="C161" s="127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9">
        <v>8.5</v>
      </c>
      <c r="AH161" s="47"/>
      <c r="AI161" s="48"/>
      <c r="AK161" s="50"/>
    </row>
    <row r="162" spans="1:37" x14ac:dyDescent="0.25">
      <c r="A162" s="116" t="s">
        <v>149</v>
      </c>
      <c r="B162" s="126"/>
      <c r="C162" s="127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9">
        <v>8.5</v>
      </c>
      <c r="AH162" s="47"/>
      <c r="AI162" s="48"/>
      <c r="AK162" s="50"/>
    </row>
    <row r="163" spans="1:37" x14ac:dyDescent="0.25">
      <c r="A163" s="116" t="s">
        <v>150</v>
      </c>
      <c r="B163" s="126"/>
      <c r="C163" s="127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9">
        <v>8.4</v>
      </c>
      <c r="AH163" s="47"/>
      <c r="AI163" s="48"/>
      <c r="AK163" s="50"/>
    </row>
    <row r="164" spans="1:37" ht="13.5" customHeight="1" x14ac:dyDescent="0.25">
      <c r="A164" s="116" t="s">
        <v>151</v>
      </c>
      <c r="B164" s="126"/>
      <c r="C164" s="127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9">
        <v>8</v>
      </c>
      <c r="AH164" s="47"/>
      <c r="AI164" s="48"/>
      <c r="AK164" s="50"/>
    </row>
    <row r="165" spans="1:37" x14ac:dyDescent="0.25">
      <c r="A165" s="116" t="s">
        <v>152</v>
      </c>
      <c r="B165" s="126"/>
      <c r="C165" s="127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9">
        <v>8</v>
      </c>
      <c r="AH165" s="47"/>
      <c r="AI165" s="48"/>
      <c r="AK165" s="50"/>
    </row>
    <row r="166" spans="1:37" x14ac:dyDescent="0.25">
      <c r="A166" s="116" t="s">
        <v>153</v>
      </c>
      <c r="B166" s="126"/>
      <c r="C166" s="127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9">
        <v>8</v>
      </c>
      <c r="AH166" s="47"/>
      <c r="AI166" s="48"/>
      <c r="AK166" s="50"/>
    </row>
    <row r="167" spans="1:37" x14ac:dyDescent="0.25">
      <c r="A167" s="116" t="s">
        <v>154</v>
      </c>
      <c r="B167" s="126"/>
      <c r="C167" s="127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9">
        <v>7.8</v>
      </c>
      <c r="AH167" s="47"/>
      <c r="AI167" s="48"/>
      <c r="AK167" s="50"/>
    </row>
    <row r="168" spans="1:37" x14ac:dyDescent="0.25">
      <c r="A168" s="116" t="s">
        <v>155</v>
      </c>
      <c r="B168" s="126"/>
      <c r="C168" s="127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9">
        <v>7.6</v>
      </c>
      <c r="AH168" s="47"/>
      <c r="AI168" s="48"/>
      <c r="AK168" s="50"/>
    </row>
    <row r="169" spans="1:37" x14ac:dyDescent="0.25">
      <c r="A169" s="116" t="s">
        <v>156</v>
      </c>
      <c r="B169" s="126"/>
      <c r="C169" s="127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9">
        <v>7.5</v>
      </c>
      <c r="AH169" s="47"/>
      <c r="AI169" s="48"/>
      <c r="AK169" s="50"/>
    </row>
    <row r="170" spans="1:37" x14ac:dyDescent="0.25">
      <c r="A170" s="116" t="s">
        <v>157</v>
      </c>
      <c r="B170" s="126"/>
      <c r="C170" s="127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9">
        <v>7.5</v>
      </c>
      <c r="AH170" s="47"/>
      <c r="AI170" s="48"/>
      <c r="AK170" s="50"/>
    </row>
    <row r="171" spans="1:37" x14ac:dyDescent="0.25">
      <c r="A171" s="116" t="s">
        <v>158</v>
      </c>
      <c r="B171" s="126"/>
      <c r="C171" s="127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9">
        <v>7</v>
      </c>
      <c r="AH171" s="47"/>
      <c r="AI171" s="48"/>
      <c r="AK171" s="50"/>
    </row>
    <row r="172" spans="1:37" x14ac:dyDescent="0.25">
      <c r="A172" s="116" t="s">
        <v>159</v>
      </c>
      <c r="B172" s="126"/>
      <c r="C172" s="127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9">
        <v>7</v>
      </c>
      <c r="AH172" s="47"/>
      <c r="AI172" s="48"/>
      <c r="AK172" s="50"/>
    </row>
    <row r="173" spans="1:37" x14ac:dyDescent="0.25">
      <c r="A173" s="116" t="s">
        <v>160</v>
      </c>
      <c r="B173" s="126"/>
      <c r="C173" s="127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9">
        <v>7</v>
      </c>
      <c r="AH173" s="47"/>
      <c r="AI173" s="48"/>
      <c r="AK173" s="50"/>
    </row>
    <row r="174" spans="1:37" x14ac:dyDescent="0.25">
      <c r="A174" s="116" t="s">
        <v>161</v>
      </c>
      <c r="B174" s="126"/>
      <c r="C174" s="127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9">
        <v>7</v>
      </c>
      <c r="AH174" s="47"/>
      <c r="AI174" s="48"/>
      <c r="AK174" s="50"/>
    </row>
    <row r="175" spans="1:37" x14ac:dyDescent="0.25">
      <c r="A175" s="116" t="s">
        <v>162</v>
      </c>
      <c r="B175" s="126"/>
      <c r="C175" s="127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9">
        <v>6.6</v>
      </c>
      <c r="AH175" s="47"/>
      <c r="AI175" s="48"/>
      <c r="AK175" s="50"/>
    </row>
    <row r="176" spans="1:37" x14ac:dyDescent="0.25">
      <c r="A176" s="116" t="s">
        <v>163</v>
      </c>
      <c r="B176" s="126"/>
      <c r="C176" s="127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9">
        <v>6.6</v>
      </c>
      <c r="AH176" s="47"/>
      <c r="AI176" s="48"/>
      <c r="AK176" s="50"/>
    </row>
    <row r="177" spans="1:37" x14ac:dyDescent="0.25">
      <c r="A177" s="116" t="s">
        <v>164</v>
      </c>
      <c r="B177" s="126"/>
      <c r="C177" s="127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9">
        <v>6.4</v>
      </c>
      <c r="AH177" s="47"/>
      <c r="AI177" s="48"/>
      <c r="AK177" s="50"/>
    </row>
    <row r="178" spans="1:37" x14ac:dyDescent="0.25">
      <c r="A178" s="116" t="s">
        <v>165</v>
      </c>
      <c r="B178" s="126"/>
      <c r="C178" s="127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9">
        <v>6</v>
      </c>
      <c r="AH178" s="47"/>
      <c r="AI178" s="48"/>
      <c r="AK178" s="50"/>
    </row>
    <row r="179" spans="1:37" x14ac:dyDescent="0.25">
      <c r="A179" s="116" t="s">
        <v>166</v>
      </c>
      <c r="B179" s="126"/>
      <c r="C179" s="127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9">
        <v>5.0999999999999996</v>
      </c>
      <c r="AH179" s="47"/>
      <c r="AI179" s="48"/>
      <c r="AK179" s="50"/>
    </row>
    <row r="180" spans="1:37" x14ac:dyDescent="0.25">
      <c r="A180" s="116" t="s">
        <v>167</v>
      </c>
      <c r="B180" s="126"/>
      <c r="C180" s="127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9">
        <v>5</v>
      </c>
      <c r="AH180" s="47"/>
      <c r="AI180" s="48"/>
      <c r="AK180" s="50"/>
    </row>
    <row r="181" spans="1:37" x14ac:dyDescent="0.25">
      <c r="A181" s="103" t="s">
        <v>168</v>
      </c>
      <c r="B181" s="126"/>
      <c r="C181" s="127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8">
        <v>5</v>
      </c>
      <c r="AH181" s="47"/>
      <c r="AI181" s="48"/>
      <c r="AK181" s="50"/>
    </row>
    <row r="182" spans="1:37" x14ac:dyDescent="0.25">
      <c r="A182" s="116" t="s">
        <v>169</v>
      </c>
      <c r="B182" s="126"/>
      <c r="C182" s="127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9">
        <v>5</v>
      </c>
      <c r="AH182" s="47"/>
      <c r="AI182" s="48"/>
      <c r="AK182" s="50"/>
    </row>
    <row r="183" spans="1:37" x14ac:dyDescent="0.25">
      <c r="A183" s="116" t="s">
        <v>170</v>
      </c>
      <c r="B183" s="126"/>
      <c r="C183" s="127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9">
        <v>5</v>
      </c>
      <c r="AH183" s="47"/>
      <c r="AI183" s="48"/>
      <c r="AK183" s="50"/>
    </row>
    <row r="184" spans="1:37" x14ac:dyDescent="0.25">
      <c r="A184" s="116" t="s">
        <v>171</v>
      </c>
      <c r="B184" s="126"/>
      <c r="C184" s="127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9">
        <v>5</v>
      </c>
      <c r="AH184" s="47"/>
      <c r="AI184" s="48"/>
      <c r="AK184" s="50"/>
    </row>
    <row r="185" spans="1:37" x14ac:dyDescent="0.25">
      <c r="A185" s="116" t="s">
        <v>172</v>
      </c>
      <c r="B185" s="126"/>
      <c r="C185" s="127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9">
        <v>5</v>
      </c>
      <c r="AH185" s="47"/>
      <c r="AI185" s="48"/>
      <c r="AK185" s="50"/>
    </row>
    <row r="186" spans="1:37" x14ac:dyDescent="0.25">
      <c r="A186" s="116" t="s">
        <v>173</v>
      </c>
      <c r="B186" s="126"/>
      <c r="C186" s="127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9">
        <v>5</v>
      </c>
      <c r="AH186" s="47"/>
      <c r="AI186" s="48"/>
      <c r="AK186" s="50"/>
    </row>
    <row r="187" spans="1:37" x14ac:dyDescent="0.25">
      <c r="A187" s="116" t="s">
        <v>174</v>
      </c>
      <c r="B187" s="126"/>
      <c r="C187" s="127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9">
        <v>4.9930000000000003</v>
      </c>
      <c r="AH187" s="47"/>
      <c r="AI187" s="48"/>
      <c r="AK187" s="50"/>
    </row>
    <row r="188" spans="1:37" x14ac:dyDescent="0.25">
      <c r="A188" s="116" t="s">
        <v>175</v>
      </c>
      <c r="B188" s="126"/>
      <c r="C188" s="127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9">
        <v>4.9800000000000004</v>
      </c>
      <c r="AH188" s="47"/>
      <c r="AI188" s="48"/>
      <c r="AK188" s="50"/>
    </row>
    <row r="189" spans="1:37" x14ac:dyDescent="0.25">
      <c r="A189" s="116" t="s">
        <v>176</v>
      </c>
      <c r="B189" s="126"/>
      <c r="C189" s="127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9">
        <v>4.95</v>
      </c>
      <c r="AH189" s="47"/>
      <c r="AI189" s="48"/>
      <c r="AK189" s="50"/>
    </row>
    <row r="190" spans="1:37" x14ac:dyDescent="0.25">
      <c r="A190" s="116" t="s">
        <v>177</v>
      </c>
      <c r="B190" s="126"/>
      <c r="C190" s="127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9">
        <v>4.95</v>
      </c>
      <c r="AH190" s="47"/>
      <c r="AI190" s="48"/>
      <c r="AK190" s="50"/>
    </row>
    <row r="191" spans="1:37" x14ac:dyDescent="0.25">
      <c r="A191" s="116" t="s">
        <v>178</v>
      </c>
      <c r="B191" s="126"/>
      <c r="C191" s="127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9">
        <v>4.8</v>
      </c>
      <c r="AH191" s="47"/>
      <c r="AI191" s="48"/>
      <c r="AK191" s="50"/>
    </row>
    <row r="192" spans="1:37" x14ac:dyDescent="0.25">
      <c r="A192" s="116" t="s">
        <v>179</v>
      </c>
      <c r="B192" s="126"/>
      <c r="C192" s="127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9">
        <v>4.8</v>
      </c>
      <c r="AH192" s="47"/>
      <c r="AI192" s="48"/>
      <c r="AK192" s="50"/>
    </row>
    <row r="193" spans="1:37" x14ac:dyDescent="0.25">
      <c r="A193" s="116" t="s">
        <v>180</v>
      </c>
      <c r="B193" s="126"/>
      <c r="C193" s="127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9">
        <v>4.8</v>
      </c>
      <c r="AH193" s="47"/>
      <c r="AI193" s="48"/>
      <c r="AK193" s="50"/>
    </row>
    <row r="194" spans="1:37" x14ac:dyDescent="0.25">
      <c r="A194" s="116" t="s">
        <v>181</v>
      </c>
      <c r="B194" s="126"/>
      <c r="C194" s="127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9">
        <v>4.5</v>
      </c>
      <c r="AH194" s="47"/>
      <c r="AI194" s="48"/>
      <c r="AK194" s="50"/>
    </row>
    <row r="195" spans="1:37" x14ac:dyDescent="0.25">
      <c r="A195" s="116" t="s">
        <v>182</v>
      </c>
      <c r="B195" s="126"/>
      <c r="C195" s="127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9">
        <v>4.5</v>
      </c>
      <c r="AH195" s="47"/>
      <c r="AI195" s="48"/>
      <c r="AK195" s="50"/>
    </row>
    <row r="196" spans="1:37" x14ac:dyDescent="0.25">
      <c r="A196" s="116" t="s">
        <v>183</v>
      </c>
      <c r="B196" s="126"/>
      <c r="C196" s="127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9">
        <v>4.4550000000000001</v>
      </c>
      <c r="AH196" s="47"/>
      <c r="AI196" s="48"/>
      <c r="AK196" s="50"/>
    </row>
    <row r="197" spans="1:37" x14ac:dyDescent="0.25">
      <c r="A197" s="116" t="s">
        <v>184</v>
      </c>
      <c r="B197" s="126"/>
      <c r="C197" s="127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9">
        <v>4.41</v>
      </c>
      <c r="AH197" s="47"/>
      <c r="AI197" s="48"/>
      <c r="AK197" s="50"/>
    </row>
    <row r="198" spans="1:37" x14ac:dyDescent="0.25">
      <c r="A198" s="116" t="s">
        <v>185</v>
      </c>
      <c r="B198" s="126"/>
      <c r="C198" s="127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9">
        <v>4.4000000000000004</v>
      </c>
      <c r="AH198" s="47"/>
      <c r="AI198" s="48"/>
      <c r="AK198" s="50"/>
    </row>
    <row r="199" spans="1:37" x14ac:dyDescent="0.25">
      <c r="A199" s="116" t="s">
        <v>186</v>
      </c>
      <c r="B199" s="126"/>
      <c r="C199" s="127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9">
        <v>4.3600000000000003</v>
      </c>
      <c r="AH199" s="47"/>
      <c r="AI199" s="48"/>
      <c r="AK199" s="50"/>
    </row>
    <row r="200" spans="1:37" x14ac:dyDescent="0.25">
      <c r="A200" s="116" t="s">
        <v>187</v>
      </c>
      <c r="B200" s="126"/>
      <c r="C200" s="127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9">
        <v>4.2</v>
      </c>
      <c r="AH200" s="47"/>
      <c r="AI200" s="48"/>
      <c r="AK200" s="50"/>
    </row>
    <row r="201" spans="1:37" x14ac:dyDescent="0.25">
      <c r="A201" s="116" t="s">
        <v>188</v>
      </c>
      <c r="B201" s="126"/>
      <c r="C201" s="127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9">
        <v>4</v>
      </c>
      <c r="AH201" s="47"/>
      <c r="AI201" s="48"/>
      <c r="AK201" s="50"/>
    </row>
    <row r="202" spans="1:37" x14ac:dyDescent="0.25">
      <c r="A202" s="116" t="s">
        <v>189</v>
      </c>
      <c r="B202" s="126"/>
      <c r="C202" s="127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9">
        <v>4</v>
      </c>
      <c r="AH202" s="47"/>
      <c r="AI202" s="48"/>
      <c r="AK202" s="50"/>
    </row>
    <row r="203" spans="1:37" x14ac:dyDescent="0.25">
      <c r="A203" s="116" t="s">
        <v>190</v>
      </c>
      <c r="B203" s="126"/>
      <c r="C203" s="127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9">
        <v>4</v>
      </c>
      <c r="AH203" s="47"/>
      <c r="AI203" s="48"/>
      <c r="AK203" s="50"/>
    </row>
    <row r="204" spans="1:37" x14ac:dyDescent="0.25">
      <c r="A204" s="116" t="s">
        <v>191</v>
      </c>
      <c r="B204" s="126"/>
      <c r="C204" s="127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9">
        <v>4</v>
      </c>
      <c r="AH204" s="47"/>
      <c r="AI204" s="48"/>
      <c r="AK204" s="50"/>
    </row>
    <row r="205" spans="1:37" x14ac:dyDescent="0.25">
      <c r="A205" s="116" t="s">
        <v>192</v>
      </c>
      <c r="B205" s="126"/>
      <c r="C205" s="127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9">
        <v>4</v>
      </c>
      <c r="AH205" s="47"/>
      <c r="AI205" s="48"/>
      <c r="AK205" s="50"/>
    </row>
    <row r="206" spans="1:37" x14ac:dyDescent="0.25">
      <c r="A206" s="116" t="s">
        <v>193</v>
      </c>
      <c r="B206" s="126"/>
      <c r="C206" s="127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9">
        <v>4</v>
      </c>
      <c r="AH206" s="47"/>
      <c r="AI206" s="48"/>
      <c r="AK206" s="50"/>
    </row>
    <row r="207" spans="1:37" x14ac:dyDescent="0.25">
      <c r="A207" s="116" t="s">
        <v>194</v>
      </c>
      <c r="B207" s="126"/>
      <c r="C207" s="127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9">
        <v>4</v>
      </c>
      <c r="AH207" s="47"/>
      <c r="AI207" s="48"/>
      <c r="AK207" s="50"/>
    </row>
    <row r="208" spans="1:37" x14ac:dyDescent="0.25">
      <c r="A208" s="116" t="s">
        <v>195</v>
      </c>
      <c r="B208" s="126"/>
      <c r="C208" s="127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9">
        <v>4</v>
      </c>
      <c r="AH208" s="47"/>
      <c r="AI208" s="48"/>
      <c r="AK208" s="50"/>
    </row>
    <row r="209" spans="1:37" x14ac:dyDescent="0.25">
      <c r="A209" s="116" t="s">
        <v>196</v>
      </c>
      <c r="B209" s="126"/>
      <c r="C209" s="127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9">
        <v>3.75</v>
      </c>
      <c r="AH209" s="47"/>
      <c r="AI209" s="48"/>
      <c r="AK209" s="50"/>
    </row>
    <row r="210" spans="1:37" x14ac:dyDescent="0.25">
      <c r="A210" s="116" t="s">
        <v>197</v>
      </c>
      <c r="B210" s="126"/>
      <c r="C210" s="127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9">
        <v>3.52</v>
      </c>
      <c r="AH210" s="47"/>
      <c r="AI210" s="48"/>
      <c r="AK210" s="50"/>
    </row>
    <row r="211" spans="1:37" x14ac:dyDescent="0.25">
      <c r="A211" s="116" t="s">
        <v>198</v>
      </c>
      <c r="B211" s="126"/>
      <c r="C211" s="127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9">
        <v>3.33</v>
      </c>
      <c r="AH211" s="47"/>
      <c r="AI211" s="48"/>
      <c r="AK211" s="50"/>
    </row>
    <row r="212" spans="1:37" x14ac:dyDescent="0.25">
      <c r="A212" s="116" t="s">
        <v>199</v>
      </c>
      <c r="B212" s="126"/>
      <c r="C212" s="127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9">
        <v>3.2</v>
      </c>
      <c r="AH212" s="47"/>
      <c r="AI212" s="48"/>
      <c r="AK212" s="50"/>
    </row>
    <row r="213" spans="1:37" x14ac:dyDescent="0.25">
      <c r="A213" s="116" t="s">
        <v>200</v>
      </c>
      <c r="B213" s="126"/>
      <c r="C213" s="127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9">
        <v>3</v>
      </c>
      <c r="AH213" s="47"/>
      <c r="AI213" s="48"/>
      <c r="AK213" s="50"/>
    </row>
    <row r="214" spans="1:37" x14ac:dyDescent="0.25">
      <c r="A214" s="116" t="s">
        <v>201</v>
      </c>
      <c r="B214" s="126"/>
      <c r="C214" s="127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9">
        <v>3</v>
      </c>
      <c r="AH214" s="47"/>
      <c r="AI214" s="48"/>
      <c r="AK214" s="50"/>
    </row>
    <row r="215" spans="1:37" x14ac:dyDescent="0.25">
      <c r="A215" s="116" t="s">
        <v>202</v>
      </c>
      <c r="B215" s="126"/>
      <c r="C215" s="127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9">
        <v>3</v>
      </c>
      <c r="AH215" s="47"/>
      <c r="AI215" s="48"/>
      <c r="AK215" s="50"/>
    </row>
    <row r="216" spans="1:37" x14ac:dyDescent="0.25">
      <c r="A216" s="116" t="s">
        <v>203</v>
      </c>
      <c r="B216" s="126"/>
      <c r="C216" s="127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9">
        <v>3</v>
      </c>
      <c r="AH216" s="47"/>
      <c r="AI216" s="48"/>
      <c r="AK216" s="50"/>
    </row>
    <row r="217" spans="1:37" x14ac:dyDescent="0.25">
      <c r="A217" s="116" t="s">
        <v>204</v>
      </c>
      <c r="B217" s="126"/>
      <c r="C217" s="127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9">
        <v>3</v>
      </c>
      <c r="AH217" s="47"/>
      <c r="AI217" s="48"/>
      <c r="AK217" s="50"/>
    </row>
    <row r="218" spans="1:37" x14ac:dyDescent="0.25">
      <c r="A218" s="116" t="s">
        <v>205</v>
      </c>
      <c r="B218" s="126"/>
      <c r="C218" s="127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9">
        <v>3</v>
      </c>
      <c r="AH218" s="47"/>
      <c r="AI218" s="48"/>
      <c r="AK218" s="50"/>
    </row>
    <row r="219" spans="1:37" x14ac:dyDescent="0.25">
      <c r="A219" s="116" t="s">
        <v>206</v>
      </c>
      <c r="B219" s="126"/>
      <c r="C219" s="127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9">
        <v>3</v>
      </c>
      <c r="AH219" s="47"/>
      <c r="AI219" s="48"/>
      <c r="AK219" s="50"/>
    </row>
    <row r="220" spans="1:37" x14ac:dyDescent="0.25">
      <c r="A220" s="116" t="s">
        <v>207</v>
      </c>
      <c r="B220" s="126"/>
      <c r="C220" s="127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9">
        <v>3</v>
      </c>
      <c r="AH220" s="47"/>
      <c r="AI220" s="48"/>
      <c r="AK220" s="50"/>
    </row>
    <row r="221" spans="1:37" x14ac:dyDescent="0.25">
      <c r="A221" s="116" t="s">
        <v>208</v>
      </c>
      <c r="B221" s="126"/>
      <c r="C221" s="127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9">
        <v>2.83</v>
      </c>
      <c r="AH221" s="47"/>
      <c r="AI221" s="48"/>
      <c r="AK221" s="50"/>
    </row>
    <row r="222" spans="1:37" x14ac:dyDescent="0.25">
      <c r="A222" s="116" t="s">
        <v>209</v>
      </c>
      <c r="B222" s="126"/>
      <c r="C222" s="127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9">
        <v>2.5</v>
      </c>
      <c r="AH222" s="47"/>
      <c r="AI222" s="48"/>
      <c r="AK222" s="50"/>
    </row>
    <row r="223" spans="1:37" x14ac:dyDescent="0.25">
      <c r="A223" s="116" t="s">
        <v>210</v>
      </c>
      <c r="B223" s="126"/>
      <c r="C223" s="127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9">
        <v>2.5</v>
      </c>
      <c r="AH223" s="47"/>
      <c r="AI223" s="48"/>
      <c r="AK223" s="50"/>
    </row>
    <row r="224" spans="1:37" x14ac:dyDescent="0.25">
      <c r="A224" s="116" t="s">
        <v>211</v>
      </c>
      <c r="B224" s="126"/>
      <c r="C224" s="127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9">
        <v>2.4</v>
      </c>
      <c r="AH224" s="47"/>
      <c r="AI224" s="48"/>
      <c r="AK224" s="50"/>
    </row>
    <row r="225" spans="1:37" x14ac:dyDescent="0.25">
      <c r="A225" s="116" t="s">
        <v>212</v>
      </c>
      <c r="B225" s="126"/>
      <c r="C225" s="127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9">
        <v>2.4</v>
      </c>
      <c r="AH225" s="47"/>
      <c r="AI225" s="48"/>
      <c r="AK225" s="50"/>
    </row>
    <row r="226" spans="1:37" x14ac:dyDescent="0.25">
      <c r="A226" s="116" t="s">
        <v>213</v>
      </c>
      <c r="B226" s="126"/>
      <c r="C226" s="127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9">
        <v>2.2000000000000002</v>
      </c>
      <c r="AH226" s="47"/>
      <c r="AI226" s="48"/>
      <c r="AK226" s="50"/>
    </row>
    <row r="227" spans="1:37" x14ac:dyDescent="0.25">
      <c r="A227" s="116" t="s">
        <v>214</v>
      </c>
      <c r="B227" s="126"/>
      <c r="C227" s="127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9">
        <v>2</v>
      </c>
      <c r="AH227" s="47"/>
      <c r="AI227" s="48"/>
      <c r="AK227" s="50"/>
    </row>
    <row r="228" spans="1:37" x14ac:dyDescent="0.25">
      <c r="A228" s="116" t="s">
        <v>215</v>
      </c>
      <c r="B228" s="126"/>
      <c r="C228" s="127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9">
        <v>2</v>
      </c>
      <c r="AH228" s="47"/>
      <c r="AI228" s="48"/>
      <c r="AK228" s="50"/>
    </row>
    <row r="229" spans="1:37" x14ac:dyDescent="0.25">
      <c r="A229" s="116" t="s">
        <v>216</v>
      </c>
      <c r="B229" s="126"/>
      <c r="C229" s="127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9">
        <v>2</v>
      </c>
      <c r="AH229" s="47"/>
      <c r="AI229" s="48"/>
      <c r="AK229" s="50"/>
    </row>
    <row r="230" spans="1:37" x14ac:dyDescent="0.25">
      <c r="A230" s="116" t="s">
        <v>217</v>
      </c>
      <c r="B230" s="126"/>
      <c r="C230" s="127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9">
        <v>1.8</v>
      </c>
      <c r="AH230" s="47"/>
      <c r="AI230" s="48"/>
      <c r="AK230" s="50"/>
    </row>
    <row r="231" spans="1:37" x14ac:dyDescent="0.25">
      <c r="A231" s="116" t="s">
        <v>218</v>
      </c>
      <c r="B231" s="126"/>
      <c r="C231" s="127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9">
        <v>1.8</v>
      </c>
      <c r="AH231" s="47"/>
      <c r="AI231" s="48"/>
      <c r="AK231" s="50"/>
    </row>
    <row r="232" spans="1:37" x14ac:dyDescent="0.25">
      <c r="A232" s="116" t="s">
        <v>219</v>
      </c>
      <c r="B232" s="126"/>
      <c r="C232" s="127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9">
        <v>1.65</v>
      </c>
      <c r="AH232" s="47"/>
      <c r="AI232" s="48"/>
      <c r="AK232" s="50"/>
    </row>
    <row r="233" spans="1:37" x14ac:dyDescent="0.25">
      <c r="A233" s="116" t="s">
        <v>220</v>
      </c>
      <c r="B233" s="126"/>
      <c r="C233" s="127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9">
        <v>1.5</v>
      </c>
      <c r="AH233" s="47"/>
      <c r="AI233" s="48"/>
      <c r="AK233" s="50"/>
    </row>
    <row r="234" spans="1:37" x14ac:dyDescent="0.25">
      <c r="A234" s="116" t="s">
        <v>221</v>
      </c>
      <c r="B234" s="126"/>
      <c r="C234" s="127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9">
        <v>0.998</v>
      </c>
      <c r="AH234" s="47"/>
      <c r="AI234" s="48"/>
      <c r="AK234" s="50"/>
    </row>
    <row r="235" spans="1:37" x14ac:dyDescent="0.25">
      <c r="A235" s="116" t="s">
        <v>222</v>
      </c>
      <c r="B235" s="126"/>
      <c r="C235" s="127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9">
        <v>0.997</v>
      </c>
      <c r="AH235" s="47"/>
      <c r="AI235" s="48"/>
      <c r="AK235" s="50"/>
    </row>
    <row r="236" spans="1:37" x14ac:dyDescent="0.25">
      <c r="A236" s="116" t="s">
        <v>223</v>
      </c>
      <c r="B236" s="126"/>
      <c r="C236" s="127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9">
        <v>0.997</v>
      </c>
      <c r="AH236" s="47"/>
      <c r="AI236" s="48"/>
      <c r="AK236" s="50"/>
    </row>
    <row r="237" spans="1:37" x14ac:dyDescent="0.25">
      <c r="A237" s="116" t="s">
        <v>224</v>
      </c>
      <c r="B237" s="126"/>
      <c r="C237" s="127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9">
        <v>0.996</v>
      </c>
      <c r="AH237" s="47"/>
      <c r="AI237" s="48"/>
      <c r="AK237" s="50"/>
    </row>
    <row r="238" spans="1:37" x14ac:dyDescent="0.25">
      <c r="A238" s="116" t="s">
        <v>225</v>
      </c>
      <c r="B238" s="126"/>
      <c r="C238" s="127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9">
        <v>0.996</v>
      </c>
      <c r="AH238" s="47"/>
      <c r="AI238" s="48"/>
      <c r="AK238" s="50"/>
    </row>
    <row r="239" spans="1:37" x14ac:dyDescent="0.25">
      <c r="A239" s="116" t="s">
        <v>226</v>
      </c>
      <c r="B239" s="126"/>
      <c r="C239" s="127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9">
        <v>0.996</v>
      </c>
      <c r="AH239" s="47"/>
      <c r="AI239" s="48"/>
      <c r="AK239" s="50"/>
    </row>
    <row r="240" spans="1:37" x14ac:dyDescent="0.25">
      <c r="A240" s="116" t="s">
        <v>227</v>
      </c>
      <c r="B240" s="126"/>
      <c r="C240" s="127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9">
        <v>0.995</v>
      </c>
      <c r="AH240" s="47"/>
      <c r="AI240" s="48"/>
      <c r="AK240" s="50"/>
    </row>
    <row r="241" spans="1:37" x14ac:dyDescent="0.25">
      <c r="A241" s="116" t="s">
        <v>228</v>
      </c>
      <c r="B241" s="126"/>
      <c r="C241" s="127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9">
        <v>0.99299999999999999</v>
      </c>
      <c r="AH241" s="47"/>
      <c r="AI241" s="48"/>
      <c r="AK241" s="50"/>
    </row>
    <row r="242" spans="1:37" x14ac:dyDescent="0.25">
      <c r="A242" s="116" t="s">
        <v>229</v>
      </c>
      <c r="B242" s="126"/>
      <c r="C242" s="124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9">
        <v>0.99</v>
      </c>
      <c r="AH242" s="47"/>
      <c r="AI242" s="48"/>
      <c r="AK242" s="50"/>
    </row>
    <row r="243" spans="1:37" ht="15.75" thickBot="1" x14ac:dyDescent="0.3">
      <c r="A243" s="116" t="s">
        <v>230</v>
      </c>
      <c r="B243" s="130"/>
      <c r="C243" s="131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29">
        <v>0.97899999999999998</v>
      </c>
      <c r="AH243" s="47"/>
      <c r="AI243" s="48"/>
      <c r="AK243" s="50"/>
    </row>
    <row r="244" spans="1:37" ht="15.75" thickBot="1" x14ac:dyDescent="0.3">
      <c r="A244" s="132" t="s">
        <v>231</v>
      </c>
      <c r="B244" s="133">
        <f t="shared" ref="B244:AG244" si="156">SUM(B139:B243)</f>
        <v>0</v>
      </c>
      <c r="C244" s="134">
        <f t="shared" si="156"/>
        <v>0</v>
      </c>
      <c r="D244" s="134">
        <f t="shared" si="156"/>
        <v>0</v>
      </c>
      <c r="E244" s="134">
        <f t="shared" si="156"/>
        <v>0</v>
      </c>
      <c r="F244" s="134">
        <f t="shared" si="156"/>
        <v>0</v>
      </c>
      <c r="G244" s="134">
        <f t="shared" si="156"/>
        <v>0</v>
      </c>
      <c r="H244" s="134">
        <f t="shared" si="156"/>
        <v>0</v>
      </c>
      <c r="I244" s="134">
        <f t="shared" si="156"/>
        <v>0</v>
      </c>
      <c r="J244" s="134">
        <f t="shared" si="156"/>
        <v>0</v>
      </c>
      <c r="K244" s="134">
        <f t="shared" si="156"/>
        <v>0</v>
      </c>
      <c r="L244" s="134">
        <f t="shared" si="156"/>
        <v>0</v>
      </c>
      <c r="M244" s="134">
        <f t="shared" si="156"/>
        <v>0</v>
      </c>
      <c r="N244" s="134">
        <f t="shared" si="156"/>
        <v>0</v>
      </c>
      <c r="O244" s="134">
        <f t="shared" si="156"/>
        <v>0</v>
      </c>
      <c r="P244" s="134">
        <f t="shared" si="156"/>
        <v>0</v>
      </c>
      <c r="Q244" s="134">
        <f t="shared" si="156"/>
        <v>0</v>
      </c>
      <c r="R244" s="134">
        <f t="shared" si="156"/>
        <v>0</v>
      </c>
      <c r="S244" s="134">
        <f t="shared" si="156"/>
        <v>0</v>
      </c>
      <c r="T244" s="134">
        <f t="shared" si="156"/>
        <v>0</v>
      </c>
      <c r="U244" s="134">
        <f t="shared" si="156"/>
        <v>0</v>
      </c>
      <c r="V244" s="134">
        <f t="shared" si="156"/>
        <v>0</v>
      </c>
      <c r="W244" s="134">
        <f t="shared" si="156"/>
        <v>0</v>
      </c>
      <c r="X244" s="134">
        <f t="shared" si="156"/>
        <v>0</v>
      </c>
      <c r="Y244" s="134">
        <f t="shared" si="156"/>
        <v>0</v>
      </c>
      <c r="Z244" s="134">
        <f t="shared" si="156"/>
        <v>0</v>
      </c>
      <c r="AA244" s="134">
        <f t="shared" si="156"/>
        <v>0</v>
      </c>
      <c r="AB244" s="134">
        <f t="shared" si="156"/>
        <v>0</v>
      </c>
      <c r="AC244" s="134">
        <f t="shared" si="156"/>
        <v>0</v>
      </c>
      <c r="AD244" s="134">
        <f t="shared" si="156"/>
        <v>0</v>
      </c>
      <c r="AE244" s="134">
        <f t="shared" si="156"/>
        <v>0</v>
      </c>
      <c r="AF244" s="135">
        <f t="shared" si="156"/>
        <v>0</v>
      </c>
      <c r="AG244" s="136">
        <f t="shared" si="156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19"/>
      <c r="AH245" s="47"/>
      <c r="AI245" s="48"/>
      <c r="AK245" s="50"/>
    </row>
    <row r="246" spans="1:37" x14ac:dyDescent="0.25">
      <c r="A246" s="100" t="s">
        <v>232</v>
      </c>
      <c r="B246" s="138">
        <f t="shared" ref="B246:B251" si="157">AF246</f>
        <v>0.3</v>
      </c>
      <c r="C246" s="138">
        <v>0.3</v>
      </c>
      <c r="D246" s="138">
        <f t="shared" ref="D246:S251" si="158">C246</f>
        <v>0.3</v>
      </c>
      <c r="E246" s="138">
        <f t="shared" si="158"/>
        <v>0.3</v>
      </c>
      <c r="F246" s="138">
        <f t="shared" si="158"/>
        <v>0.3</v>
      </c>
      <c r="G246" s="138">
        <f t="shared" si="158"/>
        <v>0.3</v>
      </c>
      <c r="H246" s="138">
        <f t="shared" si="158"/>
        <v>0.3</v>
      </c>
      <c r="I246" s="138">
        <f t="shared" si="158"/>
        <v>0.3</v>
      </c>
      <c r="J246" s="138">
        <f t="shared" si="158"/>
        <v>0.3</v>
      </c>
      <c r="K246" s="138">
        <f t="shared" si="158"/>
        <v>0.3</v>
      </c>
      <c r="L246" s="138">
        <f t="shared" si="158"/>
        <v>0.3</v>
      </c>
      <c r="M246" s="138">
        <f t="shared" si="158"/>
        <v>0.3</v>
      </c>
      <c r="N246" s="138">
        <f t="shared" si="158"/>
        <v>0.3</v>
      </c>
      <c r="O246" s="138">
        <f t="shared" si="158"/>
        <v>0.3</v>
      </c>
      <c r="P246" s="138">
        <f t="shared" si="158"/>
        <v>0.3</v>
      </c>
      <c r="Q246" s="138">
        <f t="shared" si="158"/>
        <v>0.3</v>
      </c>
      <c r="R246" s="138">
        <f t="shared" si="158"/>
        <v>0.3</v>
      </c>
      <c r="S246" s="138">
        <f t="shared" si="158"/>
        <v>0.3</v>
      </c>
      <c r="T246" s="138">
        <f t="shared" ref="T246:AF251" si="159">S246</f>
        <v>0.3</v>
      </c>
      <c r="U246" s="138">
        <f t="shared" si="159"/>
        <v>0.3</v>
      </c>
      <c r="V246" s="138">
        <f t="shared" si="159"/>
        <v>0.3</v>
      </c>
      <c r="W246" s="138">
        <f t="shared" si="159"/>
        <v>0.3</v>
      </c>
      <c r="X246" s="138">
        <f t="shared" si="159"/>
        <v>0.3</v>
      </c>
      <c r="Y246" s="138">
        <f t="shared" si="159"/>
        <v>0.3</v>
      </c>
      <c r="Z246" s="138">
        <f t="shared" si="159"/>
        <v>0.3</v>
      </c>
      <c r="AA246" s="138">
        <f t="shared" si="159"/>
        <v>0.3</v>
      </c>
      <c r="AB246" s="138">
        <f t="shared" si="159"/>
        <v>0.3</v>
      </c>
      <c r="AC246" s="138">
        <f t="shared" si="159"/>
        <v>0.3</v>
      </c>
      <c r="AD246" s="138">
        <f t="shared" si="159"/>
        <v>0.3</v>
      </c>
      <c r="AE246" s="138">
        <f t="shared" si="159"/>
        <v>0.3</v>
      </c>
      <c r="AF246" s="138">
        <f t="shared" si="159"/>
        <v>0.3</v>
      </c>
      <c r="AG246" s="139">
        <v>2.4</v>
      </c>
      <c r="AH246" s="47"/>
      <c r="AI246" s="48"/>
      <c r="AK246" s="50"/>
    </row>
    <row r="247" spans="1:37" x14ac:dyDescent="0.25">
      <c r="A247" s="103" t="s">
        <v>233</v>
      </c>
      <c r="B247" s="126">
        <f t="shared" si="157"/>
        <v>0.4</v>
      </c>
      <c r="C247" s="126">
        <v>0.4</v>
      </c>
      <c r="D247" s="126">
        <f t="shared" si="158"/>
        <v>0.4</v>
      </c>
      <c r="E247" s="126">
        <f t="shared" si="158"/>
        <v>0.4</v>
      </c>
      <c r="F247" s="126">
        <f t="shared" si="158"/>
        <v>0.4</v>
      </c>
      <c r="G247" s="126">
        <f t="shared" si="158"/>
        <v>0.4</v>
      </c>
      <c r="H247" s="126">
        <f t="shared" si="158"/>
        <v>0.4</v>
      </c>
      <c r="I247" s="126">
        <f t="shared" si="158"/>
        <v>0.4</v>
      </c>
      <c r="J247" s="126">
        <f t="shared" si="158"/>
        <v>0.4</v>
      </c>
      <c r="K247" s="126">
        <f t="shared" si="158"/>
        <v>0.4</v>
      </c>
      <c r="L247" s="126">
        <f t="shared" si="158"/>
        <v>0.4</v>
      </c>
      <c r="M247" s="126">
        <f t="shared" si="158"/>
        <v>0.4</v>
      </c>
      <c r="N247" s="126">
        <f t="shared" si="158"/>
        <v>0.4</v>
      </c>
      <c r="O247" s="126">
        <f t="shared" si="158"/>
        <v>0.4</v>
      </c>
      <c r="P247" s="126">
        <f t="shared" si="158"/>
        <v>0.4</v>
      </c>
      <c r="Q247" s="126">
        <f t="shared" si="158"/>
        <v>0.4</v>
      </c>
      <c r="R247" s="126">
        <f t="shared" si="158"/>
        <v>0.4</v>
      </c>
      <c r="S247" s="126">
        <f t="shared" si="158"/>
        <v>0.4</v>
      </c>
      <c r="T247" s="126">
        <f t="shared" si="159"/>
        <v>0.4</v>
      </c>
      <c r="U247" s="126">
        <f t="shared" si="159"/>
        <v>0.4</v>
      </c>
      <c r="V247" s="126">
        <f t="shared" si="159"/>
        <v>0.4</v>
      </c>
      <c r="W247" s="126">
        <f t="shared" si="159"/>
        <v>0.4</v>
      </c>
      <c r="X247" s="126">
        <f t="shared" si="159"/>
        <v>0.4</v>
      </c>
      <c r="Y247" s="126">
        <f t="shared" si="159"/>
        <v>0.4</v>
      </c>
      <c r="Z247" s="126">
        <f t="shared" si="159"/>
        <v>0.4</v>
      </c>
      <c r="AA247" s="126">
        <f t="shared" si="159"/>
        <v>0.4</v>
      </c>
      <c r="AB247" s="126">
        <f t="shared" si="159"/>
        <v>0.4</v>
      </c>
      <c r="AC247" s="126">
        <f t="shared" si="159"/>
        <v>0.4</v>
      </c>
      <c r="AD247" s="126">
        <f t="shared" si="159"/>
        <v>0.4</v>
      </c>
      <c r="AE247" s="126">
        <f t="shared" si="159"/>
        <v>0.4</v>
      </c>
      <c r="AF247" s="126">
        <f t="shared" si="159"/>
        <v>0.4</v>
      </c>
      <c r="AG247" s="140">
        <v>2</v>
      </c>
      <c r="AH247" s="47"/>
      <c r="AI247" s="48"/>
      <c r="AK247" s="50"/>
    </row>
    <row r="248" spans="1:37" x14ac:dyDescent="0.25">
      <c r="A248" s="103" t="s">
        <v>234</v>
      </c>
      <c r="B248" s="126">
        <f t="shared" si="157"/>
        <v>1.5</v>
      </c>
      <c r="C248" s="126">
        <v>1.5</v>
      </c>
      <c r="D248" s="126">
        <f t="shared" si="158"/>
        <v>1.5</v>
      </c>
      <c r="E248" s="126">
        <f t="shared" si="158"/>
        <v>1.5</v>
      </c>
      <c r="F248" s="126">
        <f t="shared" si="158"/>
        <v>1.5</v>
      </c>
      <c r="G248" s="126">
        <f t="shared" si="158"/>
        <v>1.5</v>
      </c>
      <c r="H248" s="126">
        <f t="shared" si="158"/>
        <v>1.5</v>
      </c>
      <c r="I248" s="126">
        <f t="shared" si="158"/>
        <v>1.5</v>
      </c>
      <c r="J248" s="126">
        <f t="shared" si="158"/>
        <v>1.5</v>
      </c>
      <c r="K248" s="126">
        <f t="shared" si="158"/>
        <v>1.5</v>
      </c>
      <c r="L248" s="126">
        <f t="shared" si="158"/>
        <v>1.5</v>
      </c>
      <c r="M248" s="126">
        <f t="shared" si="158"/>
        <v>1.5</v>
      </c>
      <c r="N248" s="126">
        <f t="shared" si="158"/>
        <v>1.5</v>
      </c>
      <c r="O248" s="126">
        <f t="shared" si="158"/>
        <v>1.5</v>
      </c>
      <c r="P248" s="126">
        <f t="shared" si="158"/>
        <v>1.5</v>
      </c>
      <c r="Q248" s="126">
        <f t="shared" si="158"/>
        <v>1.5</v>
      </c>
      <c r="R248" s="126">
        <f t="shared" si="158"/>
        <v>1.5</v>
      </c>
      <c r="S248" s="126">
        <f t="shared" si="158"/>
        <v>1.5</v>
      </c>
      <c r="T248" s="126">
        <f t="shared" si="159"/>
        <v>1.5</v>
      </c>
      <c r="U248" s="126">
        <f t="shared" si="159"/>
        <v>1.5</v>
      </c>
      <c r="V248" s="126">
        <f t="shared" si="159"/>
        <v>1.5</v>
      </c>
      <c r="W248" s="126">
        <f t="shared" si="159"/>
        <v>1.5</v>
      </c>
      <c r="X248" s="126">
        <f t="shared" si="159"/>
        <v>1.5</v>
      </c>
      <c r="Y248" s="126">
        <f t="shared" si="159"/>
        <v>1.5</v>
      </c>
      <c r="Z248" s="126">
        <f t="shared" si="159"/>
        <v>1.5</v>
      </c>
      <c r="AA248" s="126">
        <f t="shared" si="159"/>
        <v>1.5</v>
      </c>
      <c r="AB248" s="126">
        <f t="shared" si="159"/>
        <v>1.5</v>
      </c>
      <c r="AC248" s="126">
        <f t="shared" si="159"/>
        <v>1.5</v>
      </c>
      <c r="AD248" s="126">
        <f t="shared" si="159"/>
        <v>1.5</v>
      </c>
      <c r="AE248" s="126">
        <f t="shared" si="159"/>
        <v>1.5</v>
      </c>
      <c r="AF248" s="126">
        <f t="shared" si="159"/>
        <v>1.5</v>
      </c>
      <c r="AG248" s="140">
        <v>1.5</v>
      </c>
      <c r="AH248" s="47"/>
      <c r="AI248" s="48"/>
      <c r="AK248" s="50"/>
    </row>
    <row r="249" spans="1:37" x14ac:dyDescent="0.25">
      <c r="A249" s="103" t="s">
        <v>235</v>
      </c>
      <c r="B249" s="126">
        <f t="shared" si="157"/>
        <v>0.3</v>
      </c>
      <c r="C249" s="126">
        <v>0.3</v>
      </c>
      <c r="D249" s="126">
        <f t="shared" si="158"/>
        <v>0.3</v>
      </c>
      <c r="E249" s="126">
        <f t="shared" si="158"/>
        <v>0.3</v>
      </c>
      <c r="F249" s="126">
        <f t="shared" si="158"/>
        <v>0.3</v>
      </c>
      <c r="G249" s="126">
        <f t="shared" si="158"/>
        <v>0.3</v>
      </c>
      <c r="H249" s="126">
        <f t="shared" si="158"/>
        <v>0.3</v>
      </c>
      <c r="I249" s="126">
        <f t="shared" si="158"/>
        <v>0.3</v>
      </c>
      <c r="J249" s="126">
        <f t="shared" si="158"/>
        <v>0.3</v>
      </c>
      <c r="K249" s="126">
        <f t="shared" si="158"/>
        <v>0.3</v>
      </c>
      <c r="L249" s="126">
        <f t="shared" si="158"/>
        <v>0.3</v>
      </c>
      <c r="M249" s="126">
        <f t="shared" si="158"/>
        <v>0.3</v>
      </c>
      <c r="N249" s="126">
        <f t="shared" si="158"/>
        <v>0.3</v>
      </c>
      <c r="O249" s="126">
        <f t="shared" si="158"/>
        <v>0.3</v>
      </c>
      <c r="P249" s="126">
        <f t="shared" si="158"/>
        <v>0.3</v>
      </c>
      <c r="Q249" s="126">
        <f t="shared" si="158"/>
        <v>0.3</v>
      </c>
      <c r="R249" s="126">
        <f t="shared" si="158"/>
        <v>0.3</v>
      </c>
      <c r="S249" s="126">
        <f t="shared" si="158"/>
        <v>0.3</v>
      </c>
      <c r="T249" s="126">
        <f t="shared" si="159"/>
        <v>0.3</v>
      </c>
      <c r="U249" s="126">
        <f t="shared" si="159"/>
        <v>0.3</v>
      </c>
      <c r="V249" s="126">
        <f t="shared" si="159"/>
        <v>0.3</v>
      </c>
      <c r="W249" s="126">
        <f t="shared" si="159"/>
        <v>0.3</v>
      </c>
      <c r="X249" s="126">
        <f t="shared" si="159"/>
        <v>0.3</v>
      </c>
      <c r="Y249" s="126">
        <f t="shared" si="159"/>
        <v>0.3</v>
      </c>
      <c r="Z249" s="126">
        <f t="shared" si="159"/>
        <v>0.3</v>
      </c>
      <c r="AA249" s="126">
        <f t="shared" si="159"/>
        <v>0.3</v>
      </c>
      <c r="AB249" s="126">
        <f t="shared" si="159"/>
        <v>0.3</v>
      </c>
      <c r="AC249" s="126">
        <f t="shared" si="159"/>
        <v>0.3</v>
      </c>
      <c r="AD249" s="126">
        <f t="shared" si="159"/>
        <v>0.3</v>
      </c>
      <c r="AE249" s="126">
        <f t="shared" si="159"/>
        <v>0.3</v>
      </c>
      <c r="AF249" s="126">
        <f t="shared" si="159"/>
        <v>0.3</v>
      </c>
      <c r="AG249" s="140">
        <v>1</v>
      </c>
      <c r="AH249" s="47"/>
      <c r="AI249" s="48"/>
      <c r="AK249" s="50"/>
    </row>
    <row r="250" spans="1:37" x14ac:dyDescent="0.25">
      <c r="A250" s="103" t="s">
        <v>236</v>
      </c>
      <c r="B250" s="126">
        <f t="shared" si="157"/>
        <v>0.4</v>
      </c>
      <c r="C250" s="126">
        <v>0.4</v>
      </c>
      <c r="D250" s="126">
        <f t="shared" si="158"/>
        <v>0.4</v>
      </c>
      <c r="E250" s="126">
        <f t="shared" si="158"/>
        <v>0.4</v>
      </c>
      <c r="F250" s="126">
        <f t="shared" si="158"/>
        <v>0.4</v>
      </c>
      <c r="G250" s="126">
        <f t="shared" si="158"/>
        <v>0.4</v>
      </c>
      <c r="H250" s="126">
        <f t="shared" si="158"/>
        <v>0.4</v>
      </c>
      <c r="I250" s="126">
        <f t="shared" si="158"/>
        <v>0.4</v>
      </c>
      <c r="J250" s="126">
        <f t="shared" si="158"/>
        <v>0.4</v>
      </c>
      <c r="K250" s="126">
        <f t="shared" si="158"/>
        <v>0.4</v>
      </c>
      <c r="L250" s="126">
        <f t="shared" si="158"/>
        <v>0.4</v>
      </c>
      <c r="M250" s="126">
        <f t="shared" si="158"/>
        <v>0.4</v>
      </c>
      <c r="N250" s="126">
        <f t="shared" si="158"/>
        <v>0.4</v>
      </c>
      <c r="O250" s="126">
        <f t="shared" si="158"/>
        <v>0.4</v>
      </c>
      <c r="P250" s="126">
        <f t="shared" si="158"/>
        <v>0.4</v>
      </c>
      <c r="Q250" s="126">
        <f t="shared" si="158"/>
        <v>0.4</v>
      </c>
      <c r="R250" s="126">
        <f t="shared" si="158"/>
        <v>0.4</v>
      </c>
      <c r="S250" s="126">
        <f t="shared" si="158"/>
        <v>0.4</v>
      </c>
      <c r="T250" s="126">
        <f t="shared" si="159"/>
        <v>0.4</v>
      </c>
      <c r="U250" s="126">
        <f t="shared" si="159"/>
        <v>0.4</v>
      </c>
      <c r="V250" s="126">
        <f t="shared" si="159"/>
        <v>0.4</v>
      </c>
      <c r="W250" s="126">
        <f t="shared" si="159"/>
        <v>0.4</v>
      </c>
      <c r="X250" s="126">
        <f t="shared" si="159"/>
        <v>0.4</v>
      </c>
      <c r="Y250" s="126">
        <f t="shared" si="159"/>
        <v>0.4</v>
      </c>
      <c r="Z250" s="126">
        <f t="shared" si="159"/>
        <v>0.4</v>
      </c>
      <c r="AA250" s="126">
        <f t="shared" si="159"/>
        <v>0.4</v>
      </c>
      <c r="AB250" s="126">
        <f t="shared" si="159"/>
        <v>0.4</v>
      </c>
      <c r="AC250" s="126">
        <f t="shared" si="159"/>
        <v>0.4</v>
      </c>
      <c r="AD250" s="126">
        <f t="shared" si="159"/>
        <v>0.4</v>
      </c>
      <c r="AE250" s="126">
        <f t="shared" si="159"/>
        <v>0.4</v>
      </c>
      <c r="AF250" s="126">
        <f t="shared" si="159"/>
        <v>0.4</v>
      </c>
      <c r="AG250" s="140">
        <v>1</v>
      </c>
      <c r="AH250" s="47"/>
      <c r="AI250" s="48"/>
      <c r="AK250" s="50"/>
    </row>
    <row r="251" spans="1:37" ht="15.75" thickBot="1" x14ac:dyDescent="0.3">
      <c r="A251" s="116" t="s">
        <v>237</v>
      </c>
      <c r="B251" s="130">
        <f t="shared" si="157"/>
        <v>0.64</v>
      </c>
      <c r="C251" s="130">
        <v>0.64</v>
      </c>
      <c r="D251" s="130">
        <f t="shared" si="158"/>
        <v>0.64</v>
      </c>
      <c r="E251" s="130">
        <f t="shared" si="158"/>
        <v>0.64</v>
      </c>
      <c r="F251" s="130">
        <f t="shared" si="158"/>
        <v>0.64</v>
      </c>
      <c r="G251" s="130">
        <f t="shared" si="158"/>
        <v>0.64</v>
      </c>
      <c r="H251" s="130">
        <f t="shared" si="158"/>
        <v>0.64</v>
      </c>
      <c r="I251" s="130">
        <f t="shared" si="158"/>
        <v>0.64</v>
      </c>
      <c r="J251" s="130">
        <f t="shared" si="158"/>
        <v>0.64</v>
      </c>
      <c r="K251" s="130">
        <f t="shared" si="158"/>
        <v>0.64</v>
      </c>
      <c r="L251" s="130">
        <f t="shared" si="158"/>
        <v>0.64</v>
      </c>
      <c r="M251" s="130">
        <f t="shared" si="158"/>
        <v>0.64</v>
      </c>
      <c r="N251" s="130">
        <f t="shared" si="158"/>
        <v>0.64</v>
      </c>
      <c r="O251" s="130">
        <f t="shared" si="158"/>
        <v>0.64</v>
      </c>
      <c r="P251" s="130">
        <f t="shared" si="158"/>
        <v>0.64</v>
      </c>
      <c r="Q251" s="130">
        <f t="shared" si="158"/>
        <v>0.64</v>
      </c>
      <c r="R251" s="130">
        <f t="shared" si="158"/>
        <v>0.64</v>
      </c>
      <c r="S251" s="130">
        <f t="shared" si="158"/>
        <v>0.64</v>
      </c>
      <c r="T251" s="130">
        <f t="shared" si="159"/>
        <v>0.64</v>
      </c>
      <c r="U251" s="130">
        <f t="shared" si="159"/>
        <v>0.64</v>
      </c>
      <c r="V251" s="130">
        <f t="shared" si="159"/>
        <v>0.64</v>
      </c>
      <c r="W251" s="130">
        <f t="shared" si="159"/>
        <v>0.64</v>
      </c>
      <c r="X251" s="130">
        <f t="shared" si="159"/>
        <v>0.64</v>
      </c>
      <c r="Y251" s="130">
        <f t="shared" si="159"/>
        <v>0.64</v>
      </c>
      <c r="Z251" s="130">
        <f t="shared" si="159"/>
        <v>0.64</v>
      </c>
      <c r="AA251" s="130">
        <f t="shared" si="159"/>
        <v>0.64</v>
      </c>
      <c r="AB251" s="130">
        <f t="shared" si="159"/>
        <v>0.64</v>
      </c>
      <c r="AC251" s="130">
        <f t="shared" si="159"/>
        <v>0.64</v>
      </c>
      <c r="AD251" s="130">
        <f t="shared" si="159"/>
        <v>0.64</v>
      </c>
      <c r="AE251" s="130">
        <f t="shared" si="159"/>
        <v>0.64</v>
      </c>
      <c r="AF251" s="130">
        <f t="shared" si="159"/>
        <v>0.64</v>
      </c>
      <c r="AG251" s="141">
        <v>0.66</v>
      </c>
      <c r="AH251" s="47"/>
      <c r="AI251" s="48"/>
    </row>
    <row r="252" spans="1:37" ht="15.75" thickBot="1" x14ac:dyDescent="0.3">
      <c r="A252" s="142" t="s">
        <v>75</v>
      </c>
      <c r="B252" s="134">
        <f t="shared" ref="B252:AG252" si="160">SUM(B246:B251)</f>
        <v>3.54</v>
      </c>
      <c r="C252" s="134">
        <f t="shared" si="160"/>
        <v>3.54</v>
      </c>
      <c r="D252" s="134">
        <f t="shared" si="160"/>
        <v>3.54</v>
      </c>
      <c r="E252" s="134">
        <f t="shared" si="160"/>
        <v>3.54</v>
      </c>
      <c r="F252" s="134">
        <f t="shared" si="160"/>
        <v>3.54</v>
      </c>
      <c r="G252" s="134">
        <f t="shared" si="160"/>
        <v>3.54</v>
      </c>
      <c r="H252" s="134">
        <f t="shared" si="160"/>
        <v>3.54</v>
      </c>
      <c r="I252" s="134">
        <f t="shared" si="160"/>
        <v>3.54</v>
      </c>
      <c r="J252" s="134">
        <f t="shared" si="160"/>
        <v>3.54</v>
      </c>
      <c r="K252" s="134">
        <f t="shared" si="160"/>
        <v>3.54</v>
      </c>
      <c r="L252" s="134">
        <f t="shared" si="160"/>
        <v>3.54</v>
      </c>
      <c r="M252" s="134">
        <f t="shared" si="160"/>
        <v>3.54</v>
      </c>
      <c r="N252" s="134">
        <f t="shared" si="160"/>
        <v>3.54</v>
      </c>
      <c r="O252" s="134">
        <f t="shared" si="160"/>
        <v>3.54</v>
      </c>
      <c r="P252" s="134">
        <f t="shared" si="160"/>
        <v>3.54</v>
      </c>
      <c r="Q252" s="134">
        <f t="shared" si="160"/>
        <v>3.54</v>
      </c>
      <c r="R252" s="134">
        <f t="shared" si="160"/>
        <v>3.54</v>
      </c>
      <c r="S252" s="134">
        <f t="shared" si="160"/>
        <v>3.54</v>
      </c>
      <c r="T252" s="134">
        <f t="shared" si="160"/>
        <v>3.54</v>
      </c>
      <c r="U252" s="134">
        <f t="shared" si="160"/>
        <v>3.54</v>
      </c>
      <c r="V252" s="134">
        <f t="shared" si="160"/>
        <v>3.54</v>
      </c>
      <c r="W252" s="134">
        <f t="shared" si="160"/>
        <v>3.54</v>
      </c>
      <c r="X252" s="134">
        <f t="shared" si="160"/>
        <v>3.54</v>
      </c>
      <c r="Y252" s="134">
        <f t="shared" si="160"/>
        <v>3.54</v>
      </c>
      <c r="Z252" s="134">
        <f t="shared" si="160"/>
        <v>3.54</v>
      </c>
      <c r="AA252" s="134">
        <f t="shared" si="160"/>
        <v>3.54</v>
      </c>
      <c r="AB252" s="134">
        <f t="shared" si="160"/>
        <v>3.54</v>
      </c>
      <c r="AC252" s="134">
        <f t="shared" si="160"/>
        <v>3.54</v>
      </c>
      <c r="AD252" s="134">
        <f t="shared" si="160"/>
        <v>3.54</v>
      </c>
      <c r="AE252" s="134">
        <f t="shared" si="160"/>
        <v>3.54</v>
      </c>
      <c r="AF252" s="134">
        <f t="shared" si="160"/>
        <v>3.54</v>
      </c>
      <c r="AG252" s="143">
        <f t="shared" si="160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37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54" t="s">
        <v>243</v>
      </c>
      <c r="B256" s="155">
        <f>MAX(G99:N99)</f>
        <v>1565.74</v>
      </c>
      <c r="C256" s="156">
        <f>INDEX(G9:N9,1,MATCH(MAX(G99:N99),G99:N99,0))</f>
        <v>0.33333333333333331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50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157" t="str">
        <f ca="1">MID(CELL("filename",C7),FIND("]",CELL("filename",C7))+1,600)</f>
        <v>2</v>
      </c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50" x14ac:dyDescent="0.25">
      <c r="A258" s="257" t="s">
        <v>244</v>
      </c>
      <c r="B258" s="257"/>
      <c r="C258" s="43"/>
      <c r="D258" s="157" t="str">
        <f ca="1">"Pie Chart of Daily Peak Demand(Inclusive of Export) of Nepal ("&amp;A4&amp;" "&amp;B4&amp;")"</f>
        <v>Pie Chart of Daily Peak Demand(Inclusive of Export) of Nepal (Nepali Date: 2080/09/2)</v>
      </c>
      <c r="E258" s="43"/>
      <c r="F258" s="43"/>
      <c r="G258" s="157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157" t="str">
        <f ca="1">"Daily Load Curve(Excluding of Export) of Nepal ("&amp;A4&amp;" "&amp;B4&amp;")"</f>
        <v>Daily Load Curve(Excluding of Export) of Nepal (Nepali Date: 2080/09/2)</v>
      </c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50" ht="12.75" customHeight="1" thickBot="1" x14ac:dyDescent="0.3">
      <c r="A259" s="158" t="s">
        <v>7</v>
      </c>
      <c r="B259" s="159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50" ht="15.75" thickTop="1" x14ac:dyDescent="0.25">
      <c r="A260" s="158" t="s">
        <v>245</v>
      </c>
      <c r="B260" s="15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160" t="s">
        <v>246</v>
      </c>
      <c r="T260" s="161">
        <v>0</v>
      </c>
      <c r="U260" s="162">
        <v>4.1666666666666664E-2</v>
      </c>
      <c r="V260" s="163">
        <v>8.3333333333333301E-2</v>
      </c>
      <c r="W260" s="163">
        <v>0.125</v>
      </c>
      <c r="X260" s="163">
        <v>0.16666666666666699</v>
      </c>
      <c r="Y260" s="163">
        <v>0.20833333333333301</v>
      </c>
      <c r="Z260" s="163">
        <v>0.22916666666666666</v>
      </c>
      <c r="AA260" s="163">
        <v>0.25</v>
      </c>
      <c r="AB260" s="163">
        <v>0.27083333333333331</v>
      </c>
      <c r="AC260" s="163">
        <v>0.29166666666666669</v>
      </c>
      <c r="AD260" s="163">
        <v>0.3125</v>
      </c>
      <c r="AE260" s="164">
        <v>0.33333333333333331</v>
      </c>
      <c r="AF260" s="164">
        <v>0.375</v>
      </c>
      <c r="AG260" s="164">
        <v>0.41666666666666702</v>
      </c>
      <c r="AH260" s="164">
        <v>0.45833333333333298</v>
      </c>
      <c r="AI260" s="164">
        <v>0.5</v>
      </c>
      <c r="AJ260" s="164">
        <v>0.54166666666666696</v>
      </c>
      <c r="AK260" s="164">
        <v>0.58333333333333304</v>
      </c>
      <c r="AL260" s="164">
        <v>0.625</v>
      </c>
      <c r="AM260" s="164">
        <v>0.66666666666666696</v>
      </c>
      <c r="AN260" s="164">
        <v>0.70833333333333304</v>
      </c>
      <c r="AO260" s="164">
        <v>0.72916666666666663</v>
      </c>
      <c r="AP260" s="164">
        <v>0.75</v>
      </c>
      <c r="AQ260" s="164">
        <v>0.77083333333333337</v>
      </c>
      <c r="AR260" s="164">
        <v>0.79166666666666663</v>
      </c>
      <c r="AS260" s="164">
        <v>0.8125</v>
      </c>
      <c r="AT260" s="163">
        <v>0.83333333333333337</v>
      </c>
      <c r="AU260" s="163">
        <v>0.85416666666666663</v>
      </c>
      <c r="AV260" s="163">
        <v>0.875</v>
      </c>
      <c r="AW260" s="163">
        <v>0.91666666666666696</v>
      </c>
      <c r="AX260" s="163">
        <v>0.95833333333333304</v>
      </c>
    </row>
    <row r="261" spans="1:50" x14ac:dyDescent="0.25">
      <c r="A261" s="158" t="s">
        <v>247</v>
      </c>
      <c r="B261" s="15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 t="s">
        <v>248</v>
      </c>
      <c r="T261" s="165">
        <f t="shared" ref="T261:AX261" si="161">B99</f>
        <v>1028.44</v>
      </c>
      <c r="U261" s="165">
        <f t="shared" si="161"/>
        <v>1000.6400000000001</v>
      </c>
      <c r="V261" s="165">
        <f t="shared" si="161"/>
        <v>986.94</v>
      </c>
      <c r="W261" s="165">
        <f t="shared" si="161"/>
        <v>978.74000000000012</v>
      </c>
      <c r="X261" s="165">
        <f t="shared" si="161"/>
        <v>979.64000000000021</v>
      </c>
      <c r="Y261" s="165">
        <f t="shared" si="161"/>
        <v>1066.6400000000001</v>
      </c>
      <c r="Z261" s="165">
        <f t="shared" si="161"/>
        <v>1080.74</v>
      </c>
      <c r="AA261" s="165">
        <f t="shared" si="161"/>
        <v>1210.6400000000001</v>
      </c>
      <c r="AB261" s="165">
        <f t="shared" si="161"/>
        <v>1298.6399999999999</v>
      </c>
      <c r="AC261" s="165">
        <f t="shared" si="161"/>
        <v>1329.04</v>
      </c>
      <c r="AD261" s="165">
        <f t="shared" si="161"/>
        <v>1469.2400000000002</v>
      </c>
      <c r="AE261" s="165">
        <f t="shared" si="161"/>
        <v>1565.74</v>
      </c>
      <c r="AF261" s="165">
        <f t="shared" si="161"/>
        <v>1536.24</v>
      </c>
      <c r="AG261" s="165">
        <f t="shared" si="161"/>
        <v>1526.14</v>
      </c>
      <c r="AH261" s="165">
        <f t="shared" si="161"/>
        <v>1496.74</v>
      </c>
      <c r="AI261" s="165">
        <f t="shared" si="161"/>
        <v>1505.2400000000002</v>
      </c>
      <c r="AJ261" s="165">
        <f t="shared" si="161"/>
        <v>1510.04</v>
      </c>
      <c r="AK261" s="165">
        <f t="shared" si="161"/>
        <v>1452.64</v>
      </c>
      <c r="AL261" s="165">
        <f t="shared" si="161"/>
        <v>1383.44</v>
      </c>
      <c r="AM261" s="165">
        <f t="shared" si="161"/>
        <v>1509.74</v>
      </c>
      <c r="AN261" s="165">
        <f t="shared" si="161"/>
        <v>1402.64</v>
      </c>
      <c r="AO261" s="165">
        <f t="shared" si="161"/>
        <v>1419.94</v>
      </c>
      <c r="AP261" s="165">
        <f t="shared" si="161"/>
        <v>1836.2</v>
      </c>
      <c r="AQ261" s="165">
        <f t="shared" si="161"/>
        <v>1852.44</v>
      </c>
      <c r="AR261" s="165">
        <f t="shared" si="161"/>
        <v>1779.74</v>
      </c>
      <c r="AS261" s="165">
        <f t="shared" si="161"/>
        <v>1748.24</v>
      </c>
      <c r="AT261" s="165">
        <f t="shared" si="161"/>
        <v>1656.44</v>
      </c>
      <c r="AU261" s="165">
        <f t="shared" si="161"/>
        <v>1573.04</v>
      </c>
      <c r="AV261" s="165">
        <f t="shared" si="161"/>
        <v>1424.04</v>
      </c>
      <c r="AW261" s="165">
        <f t="shared" si="161"/>
        <v>1306.24</v>
      </c>
      <c r="AX261" s="165">
        <f t="shared" si="161"/>
        <v>1173.24</v>
      </c>
    </row>
    <row r="262" spans="1:50" x14ac:dyDescent="0.25">
      <c r="A262" s="158" t="s">
        <v>249</v>
      </c>
      <c r="B262" s="15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50" x14ac:dyDescent="0.25">
      <c r="A263" s="158" t="s">
        <v>250</v>
      </c>
      <c r="B263" s="15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50" x14ac:dyDescent="0.25">
      <c r="A264" s="158" t="s">
        <v>251</v>
      </c>
      <c r="B264" s="15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50" x14ac:dyDescent="0.25">
      <c r="A265" s="158" t="s">
        <v>252</v>
      </c>
      <c r="B265" s="166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50" x14ac:dyDescent="0.25">
      <c r="A266" s="158" t="s">
        <v>253</v>
      </c>
      <c r="B266" s="15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50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50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50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50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50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50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1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1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1:34" x14ac:dyDescent="0.25">
      <c r="A282" s="167" t="s">
        <v>238</v>
      </c>
      <c r="B282" s="168">
        <f t="shared" ref="B282:AE282" si="162">C251</f>
        <v>0.64</v>
      </c>
      <c r="C282" s="168">
        <f t="shared" si="162"/>
        <v>0.64</v>
      </c>
      <c r="D282" s="168">
        <f t="shared" si="162"/>
        <v>0.64</v>
      </c>
      <c r="E282" s="168">
        <f t="shared" si="162"/>
        <v>0.64</v>
      </c>
      <c r="F282" s="168">
        <f t="shared" si="162"/>
        <v>0.64</v>
      </c>
      <c r="G282" s="168">
        <f t="shared" si="162"/>
        <v>0.64</v>
      </c>
      <c r="H282" s="168">
        <f t="shared" si="162"/>
        <v>0.64</v>
      </c>
      <c r="I282" s="168">
        <f t="shared" si="162"/>
        <v>0.64</v>
      </c>
      <c r="J282" s="168">
        <f t="shared" si="162"/>
        <v>0.64</v>
      </c>
      <c r="K282" s="168">
        <f t="shared" si="162"/>
        <v>0.64</v>
      </c>
      <c r="L282" s="168">
        <f t="shared" si="162"/>
        <v>0.64</v>
      </c>
      <c r="M282" s="168">
        <f t="shared" si="162"/>
        <v>0.64</v>
      </c>
      <c r="N282" s="168">
        <f t="shared" si="162"/>
        <v>0.64</v>
      </c>
      <c r="O282" s="168">
        <f t="shared" si="162"/>
        <v>0.64</v>
      </c>
      <c r="P282" s="168">
        <f t="shared" si="162"/>
        <v>0.64</v>
      </c>
      <c r="Q282" s="168">
        <f t="shared" si="162"/>
        <v>0.64</v>
      </c>
      <c r="R282" s="168">
        <f t="shared" si="162"/>
        <v>0.64</v>
      </c>
      <c r="S282" s="168">
        <f t="shared" si="162"/>
        <v>0.64</v>
      </c>
      <c r="T282" s="168">
        <f t="shared" si="162"/>
        <v>0.64</v>
      </c>
      <c r="U282" s="168">
        <f t="shared" si="162"/>
        <v>0.64</v>
      </c>
      <c r="V282" s="168">
        <f t="shared" si="162"/>
        <v>0.64</v>
      </c>
      <c r="W282" s="168">
        <f t="shared" si="162"/>
        <v>0.64</v>
      </c>
      <c r="X282" s="168">
        <f t="shared" si="162"/>
        <v>0.64</v>
      </c>
      <c r="Y282" s="168">
        <f t="shared" si="162"/>
        <v>0.64</v>
      </c>
      <c r="Z282" s="168">
        <f t="shared" si="162"/>
        <v>0.64</v>
      </c>
      <c r="AA282" s="168">
        <f t="shared" si="162"/>
        <v>0.64</v>
      </c>
      <c r="AB282" s="168">
        <f t="shared" si="162"/>
        <v>0.64</v>
      </c>
      <c r="AC282" s="168">
        <f t="shared" si="162"/>
        <v>0.64</v>
      </c>
      <c r="AD282" s="168">
        <f t="shared" si="162"/>
        <v>0.64</v>
      </c>
      <c r="AE282" s="168">
        <f t="shared" si="162"/>
        <v>0.64</v>
      </c>
      <c r="AF282" s="168">
        <f>B251</f>
        <v>0.64</v>
      </c>
      <c r="AG282" s="43"/>
      <c r="AH282" s="43"/>
    </row>
    <row r="283" spans="1:34" x14ac:dyDescent="0.25">
      <c r="A283" s="169" t="e">
        <f>#REF!</f>
        <v>#REF!</v>
      </c>
      <c r="B283" s="169" t="e">
        <f>IF(#REF!&lt;100,"",#REF!-520)</f>
        <v>#REF!</v>
      </c>
      <c r="C283" s="169" t="e">
        <f>IF(#REF!&lt;100,"",#REF!-520)</f>
        <v>#REF!</v>
      </c>
      <c r="D283" s="169" t="e">
        <f>IF(#REF!&lt;100,"",#REF!-520)</f>
        <v>#REF!</v>
      </c>
      <c r="E283" s="169" t="e">
        <f>IF(#REF!&lt;100,"",#REF!-520)</f>
        <v>#REF!</v>
      </c>
      <c r="F283" s="169" t="e">
        <f>IF(#REF!&lt;100,"",#REF!-520)</f>
        <v>#REF!</v>
      </c>
      <c r="G283" s="169" t="e">
        <f>IF(#REF!&lt;100,"",#REF!-520)</f>
        <v>#REF!</v>
      </c>
      <c r="H283" s="169" t="e">
        <f>IF(#REF!&lt;100,"",#REF!-520)</f>
        <v>#REF!</v>
      </c>
      <c r="I283" s="169" t="e">
        <f>IF(#REF!&lt;100,"",#REF!-520)</f>
        <v>#REF!</v>
      </c>
      <c r="J283" s="169" t="e">
        <f>IF(#REF!&lt;100,"",#REF!-520)</f>
        <v>#REF!</v>
      </c>
      <c r="K283" s="169" t="e">
        <f>IF(#REF!&lt;100,"",#REF!-520)</f>
        <v>#REF!</v>
      </c>
      <c r="L283" s="169" t="e">
        <f>IF(#REF!&lt;100,"",#REF!-520)</f>
        <v>#REF!</v>
      </c>
      <c r="M283" s="169" t="e">
        <f>IF(#REF!&lt;100,"",#REF!-520)</f>
        <v>#REF!</v>
      </c>
      <c r="N283" s="169" t="e">
        <f>IF(#REF!&lt;100,"",#REF!-520)</f>
        <v>#REF!</v>
      </c>
      <c r="O283" s="169" t="e">
        <f>IF(#REF!&lt;100,"",#REF!-520)</f>
        <v>#REF!</v>
      </c>
      <c r="P283" s="169" t="e">
        <f>IF(#REF!&lt;100,"",#REF!-520)</f>
        <v>#REF!</v>
      </c>
      <c r="Q283" s="169" t="e">
        <f>IF(#REF!&lt;100,"",#REF!-520)</f>
        <v>#REF!</v>
      </c>
      <c r="R283" s="169" t="e">
        <f>IF(#REF!&lt;100,"",#REF!-520)</f>
        <v>#REF!</v>
      </c>
      <c r="S283" s="169" t="e">
        <f>IF(#REF!&lt;100,"",#REF!-520)</f>
        <v>#REF!</v>
      </c>
      <c r="T283" s="169" t="e">
        <f>IF(#REF!&lt;100,"",#REF!-520)</f>
        <v>#REF!</v>
      </c>
      <c r="U283" s="169" t="e">
        <f>IF(#REF!&lt;100,"",#REF!-520)</f>
        <v>#REF!</v>
      </c>
      <c r="V283" s="169" t="e">
        <f>IF(#REF!&lt;100,"",#REF!-520)</f>
        <v>#REF!</v>
      </c>
      <c r="W283" s="169" t="e">
        <f>IF(#REF!&lt;100,"",#REF!-520)</f>
        <v>#REF!</v>
      </c>
      <c r="X283" s="169" t="e">
        <f>IF(#REF!&lt;100,"",#REF!-520)</f>
        <v>#REF!</v>
      </c>
      <c r="Y283" s="169" t="e">
        <f>IF(#REF!&lt;100,"",#REF!-520)</f>
        <v>#REF!</v>
      </c>
      <c r="Z283" s="169" t="e">
        <f>IF(#REF!&lt;100,"",#REF!-520)</f>
        <v>#REF!</v>
      </c>
      <c r="AA283" s="169" t="e">
        <f>IF(#REF!&lt;100,"",#REF!-520)</f>
        <v>#REF!</v>
      </c>
      <c r="AB283" s="169" t="e">
        <f>IF(#REF!&lt;100,"",#REF!-520)</f>
        <v>#REF!</v>
      </c>
      <c r="AC283" s="169" t="e">
        <f>IF(#REF!&lt;100,"",#REF!-520)</f>
        <v>#REF!</v>
      </c>
      <c r="AD283" s="169" t="e">
        <f>IF(#REF!&lt;100,"",#REF!-520)</f>
        <v>#REF!</v>
      </c>
      <c r="AE283" s="169" t="e">
        <f>IF(#REF!&lt;100,"",#REF!-520)</f>
        <v>#REF!</v>
      </c>
      <c r="AF283" s="169" t="e">
        <f>IF(#REF!&lt;100,"",#REF!-520)</f>
        <v>#REF!</v>
      </c>
      <c r="AG283" s="43"/>
      <c r="AH283" s="43"/>
    </row>
    <row r="284" spans="1:34" x14ac:dyDescent="0.25">
      <c r="A284" s="169" t="e">
        <f>#REF!</f>
        <v>#REF!</v>
      </c>
      <c r="B284" s="169" t="e">
        <f>IF(#REF!&lt;100,"",#REF!-620)</f>
        <v>#REF!</v>
      </c>
      <c r="C284" s="169" t="e">
        <f>IF(#REF!&lt;100,"",#REF!-620)</f>
        <v>#REF!</v>
      </c>
      <c r="D284" s="169" t="e">
        <f>IF(#REF!&lt;100,"",#REF!-620)</f>
        <v>#REF!</v>
      </c>
      <c r="E284" s="169" t="e">
        <f>IF(#REF!&lt;100,"",#REF!-620)</f>
        <v>#REF!</v>
      </c>
      <c r="F284" s="169" t="e">
        <f>IF(#REF!&lt;100,"",#REF!-620)</f>
        <v>#REF!</v>
      </c>
      <c r="G284" s="169" t="e">
        <f>IF(#REF!&lt;100,"",#REF!-620)</f>
        <v>#REF!</v>
      </c>
      <c r="H284" s="169" t="e">
        <f>IF(#REF!&lt;100,"",#REF!-620)</f>
        <v>#REF!</v>
      </c>
      <c r="I284" s="169" t="e">
        <f>IF(#REF!&lt;100,"",#REF!-620)</f>
        <v>#REF!</v>
      </c>
      <c r="J284" s="169" t="e">
        <f>IF(#REF!&lt;100,"",#REF!-620)</f>
        <v>#REF!</v>
      </c>
      <c r="K284" s="169" t="e">
        <f>IF(#REF!&lt;100,"",#REF!-620)</f>
        <v>#REF!</v>
      </c>
      <c r="L284" s="169" t="e">
        <f>IF(#REF!&lt;100,"",#REF!-620)</f>
        <v>#REF!</v>
      </c>
      <c r="M284" s="169" t="e">
        <f>IF(#REF!&lt;100,"",#REF!-620)</f>
        <v>#REF!</v>
      </c>
      <c r="N284" s="169" t="e">
        <f>IF(#REF!&lt;100,"",#REF!-620)</f>
        <v>#REF!</v>
      </c>
      <c r="O284" s="169" t="e">
        <f>IF(#REF!&lt;100,"",#REF!-620)</f>
        <v>#REF!</v>
      </c>
      <c r="P284" s="169" t="e">
        <f>IF(#REF!&lt;100,"",#REF!-620)</f>
        <v>#REF!</v>
      </c>
      <c r="Q284" s="169" t="e">
        <f>IF(#REF!&lt;100,"",#REF!-620)</f>
        <v>#REF!</v>
      </c>
      <c r="R284" s="169" t="e">
        <f>IF(#REF!&lt;100,"",#REF!-620)</f>
        <v>#REF!</v>
      </c>
      <c r="S284" s="169" t="e">
        <f>IF(#REF!&lt;100,"",#REF!-620)</f>
        <v>#REF!</v>
      </c>
      <c r="T284" s="169" t="e">
        <f>IF(#REF!&lt;100,"",#REF!-620)</f>
        <v>#REF!</v>
      </c>
      <c r="U284" s="169" t="e">
        <f>IF(#REF!&lt;100,"",#REF!-620)</f>
        <v>#REF!</v>
      </c>
      <c r="V284" s="169" t="e">
        <f>IF(#REF!&lt;100,"",#REF!-620)</f>
        <v>#REF!</v>
      </c>
      <c r="W284" s="169" t="e">
        <f>IF(#REF!&lt;100,"",#REF!-620)</f>
        <v>#REF!</v>
      </c>
      <c r="X284" s="169" t="e">
        <f>IF(#REF!&lt;100,"",#REF!-620)</f>
        <v>#REF!</v>
      </c>
      <c r="Y284" s="169" t="e">
        <f>IF(#REF!&lt;100,"",#REF!-620)</f>
        <v>#REF!</v>
      </c>
      <c r="Z284" s="169" t="e">
        <f>IF(#REF!&lt;100,"",#REF!-620)</f>
        <v>#REF!</v>
      </c>
      <c r="AA284" s="169" t="e">
        <f>IF(#REF!&lt;100,"",#REF!-620)</f>
        <v>#REF!</v>
      </c>
      <c r="AB284" s="169" t="e">
        <f>IF(#REF!&lt;100,"",#REF!-620)</f>
        <v>#REF!</v>
      </c>
      <c r="AC284" s="169" t="e">
        <f>IF(#REF!&lt;100,"",#REF!-620)</f>
        <v>#REF!</v>
      </c>
      <c r="AD284" s="169" t="e">
        <f>IF(#REF!&lt;100,"",#REF!-620)</f>
        <v>#REF!</v>
      </c>
      <c r="AE284" s="169" t="e">
        <f>IF(#REF!&lt;100,"",#REF!-620)</f>
        <v>#REF!</v>
      </c>
      <c r="AF284" s="169" t="e">
        <f>IF(#REF!&lt;100,"",#REF!-620)</f>
        <v>#REF!</v>
      </c>
      <c r="AG284" s="43"/>
      <c r="AH284" s="43"/>
    </row>
    <row r="285" spans="1:34" x14ac:dyDescent="0.25">
      <c r="A285" s="169" t="e">
        <f>#REF!</f>
        <v>#REF!</v>
      </c>
      <c r="B285" s="169" t="e">
        <f>IF(#REF!&lt;100,"",#REF!-330)</f>
        <v>#REF!</v>
      </c>
      <c r="C285" s="169" t="e">
        <f>IF(#REF!&lt;100,"",#REF!-330)</f>
        <v>#REF!</v>
      </c>
      <c r="D285" s="169" t="e">
        <f>IF(#REF!&lt;100,"",#REF!-330)</f>
        <v>#REF!</v>
      </c>
      <c r="E285" s="169" t="e">
        <f>IF(#REF!&lt;100,"",#REF!-330)</f>
        <v>#REF!</v>
      </c>
      <c r="F285" s="169" t="e">
        <f>IF(#REF!&lt;100,"",#REF!-330)</f>
        <v>#REF!</v>
      </c>
      <c r="G285" s="169" t="e">
        <f>IF(#REF!&lt;100,"",#REF!-330)</f>
        <v>#REF!</v>
      </c>
      <c r="H285" s="169" t="e">
        <f>IF(#REF!&lt;100,"",#REF!-330)</f>
        <v>#REF!</v>
      </c>
      <c r="I285" s="169" t="e">
        <f>IF(#REF!&lt;100,"",#REF!-330)</f>
        <v>#REF!</v>
      </c>
      <c r="J285" s="169" t="e">
        <f>IF(#REF!&lt;100,"",#REF!-330)</f>
        <v>#REF!</v>
      </c>
      <c r="K285" s="169" t="e">
        <f>IF(#REF!&lt;100,"",#REF!-330)</f>
        <v>#REF!</v>
      </c>
      <c r="L285" s="169" t="e">
        <f>IF(#REF!&lt;100,"",#REF!-330)</f>
        <v>#REF!</v>
      </c>
      <c r="M285" s="169" t="e">
        <f>IF(#REF!&lt;100,"",#REF!-330)</f>
        <v>#REF!</v>
      </c>
      <c r="N285" s="169" t="e">
        <f>IF(#REF!&lt;100,"",#REF!-330)</f>
        <v>#REF!</v>
      </c>
      <c r="O285" s="169" t="e">
        <f>IF(#REF!&lt;100,"",#REF!-330)</f>
        <v>#REF!</v>
      </c>
      <c r="P285" s="169" t="e">
        <f>IF(#REF!&lt;100,"",#REF!-330)</f>
        <v>#REF!</v>
      </c>
      <c r="Q285" s="169" t="e">
        <f>IF(#REF!&lt;100,"",#REF!-330)</f>
        <v>#REF!</v>
      </c>
      <c r="R285" s="169" t="e">
        <f>IF(#REF!&lt;100,"",#REF!-330)</f>
        <v>#REF!</v>
      </c>
      <c r="S285" s="169" t="e">
        <f>IF(#REF!&lt;100,"",#REF!-330)</f>
        <v>#REF!</v>
      </c>
      <c r="T285" s="169" t="e">
        <f>IF(#REF!&lt;100,"",#REF!-330)</f>
        <v>#REF!</v>
      </c>
      <c r="U285" s="169" t="e">
        <f>IF(#REF!&lt;100,"",#REF!-330)</f>
        <v>#REF!</v>
      </c>
      <c r="V285" s="169" t="e">
        <f>IF(#REF!&lt;100,"",#REF!-330)</f>
        <v>#REF!</v>
      </c>
      <c r="W285" s="169" t="e">
        <f>IF(#REF!&lt;100,"",#REF!-330)</f>
        <v>#REF!</v>
      </c>
      <c r="X285" s="169" t="e">
        <f>IF(#REF!&lt;100,"",#REF!-330)</f>
        <v>#REF!</v>
      </c>
      <c r="Y285" s="169" t="e">
        <f>IF(#REF!&lt;100,"",#REF!-330)</f>
        <v>#REF!</v>
      </c>
      <c r="Z285" s="169" t="e">
        <f>IF(#REF!&lt;100,"",#REF!-330)</f>
        <v>#REF!</v>
      </c>
      <c r="AA285" s="169" t="e">
        <f>IF(#REF!&lt;100,"",#REF!-330)</f>
        <v>#REF!</v>
      </c>
      <c r="AB285" s="169" t="e">
        <f>IF(#REF!&lt;100,"",#REF!-330)</f>
        <v>#REF!</v>
      </c>
      <c r="AC285" s="169" t="e">
        <f>IF(#REF!&lt;100,"",#REF!-330)</f>
        <v>#REF!</v>
      </c>
      <c r="AD285" s="169" t="e">
        <f>IF(#REF!&lt;100,"",#REF!-330)</f>
        <v>#REF!</v>
      </c>
      <c r="AE285" s="169" t="e">
        <f>IF(#REF!&lt;100,"",#REF!-330)</f>
        <v>#REF!</v>
      </c>
      <c r="AF285" s="169" t="e">
        <f>IF(#REF!&lt;100,"",#REF!-330)</f>
        <v>#REF!</v>
      </c>
      <c r="AG285" s="43"/>
      <c r="AH285" s="43"/>
    </row>
    <row r="286" spans="1:34" x14ac:dyDescent="0.25">
      <c r="A286" s="169" t="e">
        <f>#REF!</f>
        <v>#REF!</v>
      </c>
      <c r="B286" s="169" t="e">
        <f>IF(#REF!&lt;100,"",#REF!-1500)</f>
        <v>#REF!</v>
      </c>
      <c r="C286" s="169" t="e">
        <f>IF(#REF!&lt;100,"",#REF!-1500)</f>
        <v>#REF!</v>
      </c>
      <c r="D286" s="169" t="e">
        <f>IF(#REF!&lt;100,"",#REF!-1500)</f>
        <v>#REF!</v>
      </c>
      <c r="E286" s="169" t="e">
        <f>IF(#REF!&lt;100,"",#REF!-1500)</f>
        <v>#REF!</v>
      </c>
      <c r="F286" s="169" t="e">
        <f>IF(#REF!&lt;100,"",#REF!-1500)</f>
        <v>#REF!</v>
      </c>
      <c r="G286" s="169" t="e">
        <f>IF(#REF!&lt;100,"",#REF!-1500)</f>
        <v>#REF!</v>
      </c>
      <c r="H286" s="169" t="e">
        <f>IF(#REF!&lt;100,"",#REF!-1500)</f>
        <v>#REF!</v>
      </c>
      <c r="I286" s="169" t="e">
        <f>IF(#REF!&lt;100,"",#REF!-1500)</f>
        <v>#REF!</v>
      </c>
      <c r="J286" s="169" t="e">
        <f>IF(#REF!&lt;100,"",#REF!-1500)</f>
        <v>#REF!</v>
      </c>
      <c r="K286" s="169" t="e">
        <f>IF(#REF!&lt;100,"",#REF!-1500)</f>
        <v>#REF!</v>
      </c>
      <c r="L286" s="169" t="e">
        <f>IF(#REF!&lt;100,"",#REF!-1500)</f>
        <v>#REF!</v>
      </c>
      <c r="M286" s="169" t="e">
        <f>IF(#REF!&lt;100,"",#REF!-1500)</f>
        <v>#REF!</v>
      </c>
      <c r="N286" s="169" t="e">
        <f>IF(#REF!&lt;100,"",#REF!-1500)</f>
        <v>#REF!</v>
      </c>
      <c r="O286" s="169" t="e">
        <f>IF(#REF!&lt;100,"",#REF!-1500)</f>
        <v>#REF!</v>
      </c>
      <c r="P286" s="169" t="e">
        <f>IF(#REF!&lt;100,"",#REF!-1500)</f>
        <v>#REF!</v>
      </c>
      <c r="Q286" s="169" t="e">
        <f>IF(#REF!&lt;100,"",#REF!-1500)</f>
        <v>#REF!</v>
      </c>
      <c r="R286" s="169" t="e">
        <f>IF(#REF!&lt;100,"",#REF!-1500)</f>
        <v>#REF!</v>
      </c>
      <c r="S286" s="169" t="e">
        <f>IF(#REF!&lt;100,"",#REF!-1500)</f>
        <v>#REF!</v>
      </c>
      <c r="T286" s="169" t="e">
        <f>IF(#REF!&lt;100,"",#REF!-1500)</f>
        <v>#REF!</v>
      </c>
      <c r="U286" s="169" t="e">
        <f>IF(#REF!&lt;100,"",#REF!-1500)</f>
        <v>#REF!</v>
      </c>
      <c r="V286" s="169" t="e">
        <f>IF(#REF!&lt;100,"",#REF!-1500)</f>
        <v>#REF!</v>
      </c>
      <c r="W286" s="169" t="e">
        <f>IF(#REF!&lt;100,"",#REF!-1500)</f>
        <v>#REF!</v>
      </c>
      <c r="X286" s="169" t="e">
        <f>IF(#REF!&lt;100,"",#REF!-1500)</f>
        <v>#REF!</v>
      </c>
      <c r="Y286" s="169" t="e">
        <f>IF(#REF!&lt;100,"",#REF!-1500)</f>
        <v>#REF!</v>
      </c>
      <c r="Z286" s="169" t="e">
        <f>IF(#REF!&lt;100,"",#REF!-1500)</f>
        <v>#REF!</v>
      </c>
      <c r="AA286" s="169" t="e">
        <f>IF(#REF!&lt;100,"",#REF!-1500)</f>
        <v>#REF!</v>
      </c>
      <c r="AB286" s="169" t="e">
        <f>IF(#REF!&lt;100,"",#REF!-1500)</f>
        <v>#REF!</v>
      </c>
      <c r="AC286" s="169" t="e">
        <f>IF(#REF!&lt;100,"",#REF!-1500)</f>
        <v>#REF!</v>
      </c>
      <c r="AD286" s="169" t="e">
        <f>IF(#REF!&lt;100,"",#REF!-1500)</f>
        <v>#REF!</v>
      </c>
      <c r="AE286" s="169" t="e">
        <f>IF(#REF!&lt;100,"",#REF!-1500)</f>
        <v>#REF!</v>
      </c>
      <c r="AF286" s="169" t="e">
        <f>IF(#REF!&lt;100,"",#REF!-1500)</f>
        <v>#REF!</v>
      </c>
      <c r="AG286" s="43"/>
      <c r="AH286" s="43"/>
    </row>
    <row r="287" spans="1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1:34" x14ac:dyDescent="0.25"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2:34" x14ac:dyDescent="0.25"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2:34" x14ac:dyDescent="0.25"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2:34" x14ac:dyDescent="0.25"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2:34" x14ac:dyDescent="0.25"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2:34" x14ac:dyDescent="0.25"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2888" priority="111">
      <formula>$AH11=0</formula>
    </cfRule>
  </conditionalFormatting>
  <conditionalFormatting sqref="A132:A253">
    <cfRule type="expression" dxfId="2887" priority="62">
      <formula>$AH132=0</formula>
    </cfRule>
  </conditionalFormatting>
  <conditionalFormatting sqref="B8 M8 S8 AB8">
    <cfRule type="expression" dxfId="2886" priority="173">
      <formula>C$9&lt;8/24</formula>
    </cfRule>
    <cfRule type="expression" dxfId="2885" priority="171">
      <formula>AND(C$9&gt;=14/24,C$9&lt;20/24)</formula>
    </cfRule>
    <cfRule type="expression" dxfId="2884" priority="172">
      <formula>AND(C$9&gt;=8/24,C$9&lt;14/24)</formula>
    </cfRule>
  </conditionalFormatting>
  <conditionalFormatting sqref="B63:I74 J68:K73 L69:M73">
    <cfRule type="expression" dxfId="2883" priority="18">
      <formula>B63&gt;$AG63</formula>
    </cfRule>
  </conditionalFormatting>
  <conditionalFormatting sqref="B63:I74 J69:M73">
    <cfRule type="expression" dxfId="2882" priority="49">
      <formula>B$9&gt;=20/24</formula>
    </cfRule>
    <cfRule type="expression" dxfId="2881" priority="50">
      <formula>AND(B$9&gt;=14/24,B$9&lt;20/24)</formula>
    </cfRule>
    <cfRule type="expression" dxfId="2880" priority="51">
      <formula>AND(B$9&gt;=8/24,B$9&lt;14/24)</formula>
    </cfRule>
    <cfRule type="expression" dxfId="2879" priority="52">
      <formula>B$9&lt;8/24</formula>
    </cfRule>
  </conditionalFormatting>
  <conditionalFormatting sqref="B11:W52">
    <cfRule type="expression" dxfId="2878" priority="20">
      <formula>B$9&gt;=20/24</formula>
    </cfRule>
    <cfRule type="expression" dxfId="2877" priority="21">
      <formula>AND(B$9&gt;=14/24,B$9&lt;20/24)</formula>
    </cfRule>
    <cfRule type="expression" dxfId="2876" priority="22">
      <formula>AND(B$9&gt;=8/24,B$9&lt;14/24)</formula>
    </cfRule>
    <cfRule type="expression" dxfId="2875" priority="23">
      <formula>B$9&lt;8/24</formula>
    </cfRule>
  </conditionalFormatting>
  <conditionalFormatting sqref="B11:W54">
    <cfRule type="expression" dxfId="2874" priority="13">
      <formula>B11&gt;$AG11</formula>
    </cfRule>
  </conditionalFormatting>
  <conditionalFormatting sqref="B53:W54">
    <cfRule type="expression" dxfId="2873" priority="12">
      <formula>B$9&lt;8/24</formula>
    </cfRule>
  </conditionalFormatting>
  <conditionalFormatting sqref="B55:W55">
    <cfRule type="expression" dxfId="2872" priority="29">
      <formula>B55&gt;$AG55</formula>
    </cfRule>
  </conditionalFormatting>
  <conditionalFormatting sqref="B55:W57">
    <cfRule type="expression" dxfId="2871" priority="28">
      <formula>B$9&lt;8/24</formula>
    </cfRule>
  </conditionalFormatting>
  <conditionalFormatting sqref="B9:AF10 X11:AF52">
    <cfRule type="expression" dxfId="2870" priority="83">
      <formula>AND(B$9&gt;=14/24,B$9&lt;20/24)</formula>
    </cfRule>
    <cfRule type="expression" dxfId="2869" priority="84">
      <formula>AND(B$9&gt;=8/24,B$9&lt;14/24)</formula>
    </cfRule>
  </conditionalFormatting>
  <conditionalFormatting sqref="B9:AF10 X11:AF57">
    <cfRule type="expression" dxfId="2868" priority="85">
      <formula>B$9&lt;8/24</formula>
    </cfRule>
  </conditionalFormatting>
  <conditionalFormatting sqref="B53:AF54">
    <cfRule type="expression" dxfId="2867" priority="9">
      <formula>B$9&gt;=20/24</formula>
    </cfRule>
    <cfRule type="expression" dxfId="2866" priority="10">
      <formula>AND(B$9&gt;=14/24,B$9&lt;20/24)</formula>
    </cfRule>
    <cfRule type="expression" dxfId="2865" priority="11">
      <formula>AND(B$9&gt;=8/24,B$9&lt;14/24)</formula>
    </cfRule>
  </conditionalFormatting>
  <conditionalFormatting sqref="B55:AF57">
    <cfRule type="expression" dxfId="2864" priority="25">
      <formula>B$9&gt;=20/24</formula>
    </cfRule>
    <cfRule type="expression" dxfId="2863" priority="26">
      <formula>AND(B$9&gt;=14/24,B$9&lt;20/24)</formula>
    </cfRule>
    <cfRule type="expression" dxfId="2862" priority="27">
      <formula>AND(B$9&gt;=8/24,B$9&lt;14/24)</formula>
    </cfRule>
  </conditionalFormatting>
  <conditionalFormatting sqref="B56:AF61">
    <cfRule type="expression" dxfId="2861" priority="24">
      <formula>B56&gt;$AG56</formula>
    </cfRule>
  </conditionalFormatting>
  <conditionalFormatting sqref="B59:AF61">
    <cfRule type="expression" dxfId="2860" priority="35">
      <formula>B$9&gt;=20/24</formula>
    </cfRule>
    <cfRule type="expression" dxfId="2859" priority="36">
      <formula>AND(B$9&gt;=14/24,B$9&lt;20/24)</formula>
    </cfRule>
    <cfRule type="expression" dxfId="2858" priority="37">
      <formula>AND(B$9&gt;=8/24,B$9&lt;14/24)</formula>
    </cfRule>
    <cfRule type="expression" dxfId="2857" priority="38">
      <formula>B$9&lt;8/24</formula>
    </cfRule>
  </conditionalFormatting>
  <conditionalFormatting sqref="B77:AF79">
    <cfRule type="expression" dxfId="2856" priority="39">
      <formula>B77&gt;$AG77</formula>
    </cfRule>
    <cfRule type="expression" dxfId="2855" priority="40">
      <formula>B$9&gt;=20/24</formula>
    </cfRule>
    <cfRule type="expression" dxfId="2854" priority="42">
      <formula>AND(B$9&gt;=8/24,B$9&lt;14/24)</formula>
    </cfRule>
    <cfRule type="expression" dxfId="2853" priority="43">
      <formula>B$9&lt;8/24</formula>
    </cfRule>
    <cfRule type="expression" dxfId="2852" priority="41">
      <formula>AND(B$9&gt;=14/24,B$9&lt;20/24)</formula>
    </cfRule>
  </conditionalFormatting>
  <conditionalFormatting sqref="B81:AF99">
    <cfRule type="expression" dxfId="2851" priority="15">
      <formula>AND(B$9&gt;=14/24,B$9&lt;20/24)</formula>
    </cfRule>
    <cfRule type="expression" dxfId="2850" priority="14">
      <formula>B$9&gt;=20/24</formula>
    </cfRule>
    <cfRule type="expression" dxfId="2849" priority="16">
      <formula>AND(B$9&gt;=8/24,B$9&lt;14/24)</formula>
    </cfRule>
    <cfRule type="expression" dxfId="2848" priority="17">
      <formula>B$9&lt;8/24</formula>
    </cfRule>
  </conditionalFormatting>
  <conditionalFormatting sqref="B101:AF117">
    <cfRule type="expression" dxfId="2847" priority="5">
      <formula>B$9&gt;=20/24</formula>
    </cfRule>
    <cfRule type="expression" dxfId="2846" priority="6">
      <formula>AND(B$9&gt;=14/24,B$9&lt;20/24)</formula>
    </cfRule>
    <cfRule type="expression" dxfId="2845" priority="7">
      <formula>AND(B$9&gt;=8/24,B$9&lt;14/24)</formula>
    </cfRule>
    <cfRule type="expression" dxfId="2844" priority="8">
      <formula>B$9&lt;8/24</formula>
    </cfRule>
  </conditionalFormatting>
  <conditionalFormatting sqref="B119:AF137">
    <cfRule type="expression" dxfId="2843" priority="3">
      <formula>AND(B$9&gt;=8/24,B$9&lt;14/24)</formula>
    </cfRule>
    <cfRule type="expression" dxfId="2842" priority="4">
      <formula>B$9&lt;8/24</formula>
    </cfRule>
    <cfRule type="expression" dxfId="2841" priority="2">
      <formula>AND(B$9&gt;=14/24,B$9&lt;20/24)</formula>
    </cfRule>
    <cfRule type="expression" dxfId="2840" priority="1">
      <formula>B$9&gt;=20/24</formula>
    </cfRule>
  </conditionalFormatting>
  <conditionalFormatting sqref="B244:AF244 B246:B252 D246:AF252 U260:AF260">
    <cfRule type="expression" dxfId="2839" priority="167">
      <formula>B$9&lt;8/24</formula>
    </cfRule>
    <cfRule type="expression" dxfId="2838" priority="166">
      <formula>AND(B$9&gt;=8/24,B$9&lt;14/24)</formula>
    </cfRule>
    <cfRule type="expression" dxfId="2837" priority="164">
      <formula>B$9&gt;=20/24</formula>
    </cfRule>
    <cfRule type="expression" dxfId="2836" priority="165">
      <formula>AND(B$9&gt;=14/24,B$9&lt;20/24)</formula>
    </cfRule>
  </conditionalFormatting>
  <conditionalFormatting sqref="B62:AG62">
    <cfRule type="expression" dxfId="2835" priority="46">
      <formula>AND(B$9&gt;=14/24,B$9&lt;20/24)</formula>
    </cfRule>
    <cfRule type="expression" dxfId="2834" priority="45">
      <formula>B$9&gt;=20/24</formula>
    </cfRule>
    <cfRule type="expression" dxfId="2833" priority="44">
      <formula>B62&gt;$AG62</formula>
    </cfRule>
    <cfRule type="expression" dxfId="2832" priority="48">
      <formula>B$9&lt;8/24</formula>
    </cfRule>
    <cfRule type="expression" dxfId="2831" priority="47">
      <formula>AND(B$9&gt;=8/24,B$9&lt;14/24)</formula>
    </cfRule>
  </conditionalFormatting>
  <conditionalFormatting sqref="B75:AG76 B80:AG80">
    <cfRule type="expression" dxfId="2830" priority="30">
      <formula>B75&gt;$AG75</formula>
    </cfRule>
  </conditionalFormatting>
  <conditionalFormatting sqref="B80:AG80">
    <cfRule type="expression" dxfId="2829" priority="31">
      <formula>B$9&gt;=20/24</formula>
    </cfRule>
    <cfRule type="expression" dxfId="2828" priority="32">
      <formula>AND(B$9&gt;=14/24,B$9&lt;20/24)</formula>
    </cfRule>
    <cfRule type="expression" dxfId="2827" priority="33">
      <formula>AND(B$9&gt;=8/24,B$9&lt;14/24)</formula>
    </cfRule>
    <cfRule type="expression" dxfId="2826" priority="34">
      <formula>B$9&lt;8/24</formula>
    </cfRule>
  </conditionalFormatting>
  <conditionalFormatting sqref="J64:J67 J74:M74">
    <cfRule type="expression" dxfId="2825" priority="80">
      <formula>J$9&lt;8/24</formula>
    </cfRule>
    <cfRule type="expression" dxfId="2824" priority="79">
      <formula>AND(J$9&gt;=8/24,J$9&lt;14/24)</formula>
    </cfRule>
    <cfRule type="expression" dxfId="2823" priority="78">
      <formula>AND(J$9&gt;=14/24,J$9&lt;20/24)</formula>
    </cfRule>
    <cfRule type="expression" dxfId="2822" priority="77">
      <formula>J$9&gt;=20/24</formula>
    </cfRule>
  </conditionalFormatting>
  <conditionalFormatting sqref="J68:K68">
    <cfRule type="expression" dxfId="2821" priority="54">
      <formula>AND(J$9&gt;=14/24,J$9&lt;20/24)</formula>
    </cfRule>
    <cfRule type="expression" dxfId="2820" priority="55">
      <formula>AND(J$9&gt;=8/24,J$9&lt;14/24)</formula>
    </cfRule>
    <cfRule type="expression" dxfId="2819" priority="56">
      <formula>J$9&lt;8/24</formula>
    </cfRule>
    <cfRule type="expression" dxfId="2818" priority="53">
      <formula>J$9&gt;=20/24</formula>
    </cfRule>
  </conditionalFormatting>
  <conditionalFormatting sqref="J63:L65">
    <cfRule type="expression" dxfId="2817" priority="145">
      <formula>J$9&gt;=20/24</formula>
    </cfRule>
    <cfRule type="expression" dxfId="2816" priority="148">
      <formula>J$9&lt;8/24</formula>
    </cfRule>
    <cfRule type="expression" dxfId="2815" priority="146">
      <formula>AND(J$9&gt;=14/24,J$9&lt;20/24)</formula>
    </cfRule>
    <cfRule type="expression" dxfId="2814" priority="147">
      <formula>AND(J$9&gt;=8/24,J$9&lt;14/24)</formula>
    </cfRule>
  </conditionalFormatting>
  <conditionalFormatting sqref="J74:M74 N69:AF74">
    <cfRule type="expression" dxfId="2813" priority="112">
      <formula>J$9&gt;=20/24</formula>
    </cfRule>
  </conditionalFormatting>
  <conditionalFormatting sqref="J63:R67 S63:AF74 L68:R68 N69:R74 J74:M74">
    <cfRule type="expression" dxfId="2812" priority="76">
      <formula>J63&gt;$AG63</formula>
    </cfRule>
  </conditionalFormatting>
  <conditionalFormatting sqref="L68:W68">
    <cfRule type="expression" dxfId="2811" priority="122">
      <formula>L$9&gt;=20/24</formula>
    </cfRule>
    <cfRule type="expression" dxfId="2810" priority="123">
      <formula>AND(L$9&gt;=14/24,L$9&lt;20/24)</formula>
    </cfRule>
    <cfRule type="expression" dxfId="2809" priority="124">
      <formula>AND(L$9&gt;=8/24,L$9&lt;14/24)</formula>
    </cfRule>
    <cfRule type="expression" dxfId="2808" priority="125">
      <formula>L$9&lt;8/24</formula>
    </cfRule>
  </conditionalFormatting>
  <conditionalFormatting sqref="M63:W67">
    <cfRule type="expression" dxfId="2807" priority="149">
      <formula>M$9&gt;=20/24</formula>
    </cfRule>
    <cfRule type="expression" dxfId="2806" priority="150">
      <formula>AND(M$9&gt;=14/24,M$9&lt;20/24)</formula>
    </cfRule>
    <cfRule type="expression" dxfId="2805" priority="151">
      <formula>AND(M$9&gt;=8/24,M$9&lt;14/24)</formula>
    </cfRule>
    <cfRule type="expression" dxfId="2804" priority="152">
      <formula>M$9&lt;8/24</formula>
    </cfRule>
  </conditionalFormatting>
  <conditionalFormatting sqref="N69:AF74 J74:M74">
    <cfRule type="expression" dxfId="2803" priority="115">
      <formula>J$9&lt;8/24</formula>
    </cfRule>
    <cfRule type="expression" dxfId="2802" priority="113">
      <formula>AND(J$9&gt;=14/24,J$9&lt;20/24)</formula>
    </cfRule>
    <cfRule type="expression" dxfId="2801" priority="114">
      <formula>AND(J$9&gt;=8/24,J$9&lt;14/24)</formula>
    </cfRule>
  </conditionalFormatting>
  <conditionalFormatting sqref="O3:P3">
    <cfRule type="iconSet" priority="168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2800" priority="170">
      <formula>C$9&gt;=20/24</formula>
    </cfRule>
  </conditionalFormatting>
  <conditionalFormatting sqref="S8">
    <cfRule type="expression" dxfId="2799" priority="160">
      <formula>U$9&lt;8/24</formula>
    </cfRule>
    <cfRule type="expression" dxfId="2798" priority="157">
      <formula>U$9&gt;=20/24</formula>
    </cfRule>
    <cfRule type="expression" dxfId="2797" priority="158">
      <formula>AND(U$9&gt;=14/24,U$9&lt;20/24)</formula>
    </cfRule>
    <cfRule type="expression" dxfId="2796" priority="159">
      <formula>AND(U$9&gt;=8/24,U$9&lt;14/24)</formula>
    </cfRule>
  </conditionalFormatting>
  <conditionalFormatting sqref="T260">
    <cfRule type="expression" dxfId="2795" priority="182">
      <formula>AX$9&gt;=20/24</formula>
    </cfRule>
    <cfRule type="expression" dxfId="2794" priority="183">
      <formula>AND(AX$9&gt;=14/24,AX$9&lt;20/24)</formula>
    </cfRule>
    <cfRule type="expression" dxfId="2793" priority="184">
      <formula>AND(AX$9&gt;=8/24,AX$9&lt;14/24)</formula>
    </cfRule>
    <cfRule type="expression" dxfId="2792" priority="185">
      <formula>AX$9&lt;8/24</formula>
    </cfRule>
  </conditionalFormatting>
  <conditionalFormatting sqref="V3 AB3">
    <cfRule type="iconSet" priority="169">
      <iconSet iconSet="3TrafficLights2" reverse="1">
        <cfvo type="percent" val="0"/>
        <cfvo type="num" val="1"/>
        <cfvo type="num" val="1"/>
      </iconSet>
    </cfRule>
  </conditionalFormatting>
  <conditionalFormatting sqref="X11:AF52 B9:AF10">
    <cfRule type="expression" dxfId="2791" priority="82">
      <formula>B$9&gt;=20/24</formula>
    </cfRule>
  </conditionalFormatting>
  <conditionalFormatting sqref="X11:AF52">
    <cfRule type="expression" dxfId="2790" priority="81">
      <formula>X11&gt;$AG11</formula>
    </cfRule>
  </conditionalFormatting>
  <conditionalFormatting sqref="X53:AF55">
    <cfRule type="expression" dxfId="2789" priority="121">
      <formula>X53&gt;$AG53</formula>
    </cfRule>
  </conditionalFormatting>
  <conditionalFormatting sqref="X63:AF68">
    <cfRule type="expression" dxfId="2788" priority="119">
      <formula>X$9&lt;8/24</formula>
    </cfRule>
    <cfRule type="expression" dxfId="2787" priority="116">
      <formula>X$9&gt;=20/24</formula>
    </cfRule>
    <cfRule type="expression" dxfId="2786" priority="117">
      <formula>AND(X$9&gt;=14/24,X$9&lt;20/24)</formula>
    </cfRule>
    <cfRule type="expression" dxfId="2785" priority="118">
      <formula>AND(X$9&gt;=8/24,X$9&lt;14/24)</formula>
    </cfRule>
  </conditionalFormatting>
  <conditionalFormatting sqref="AB8">
    <cfRule type="expression" dxfId="2784" priority="153">
      <formula>AD$9&gt;=20/24</formula>
    </cfRule>
    <cfRule type="expression" dxfId="2783" priority="155">
      <formula>AND(AD$9&gt;=8/24,AD$9&lt;14/24)</formula>
    </cfRule>
    <cfRule type="expression" dxfId="2782" priority="156">
      <formula>AD$9&lt;8/24</formula>
    </cfRule>
    <cfRule type="expression" dxfId="2781" priority="154">
      <formula>AND(AD$9&gt;=14/24,AD$9&lt;20/24)</formula>
    </cfRule>
  </conditionalFormatting>
  <conditionalFormatting sqref="AG58">
    <cfRule type="expression" dxfId="2780" priority="140">
      <formula>AG58&gt;$AG58</formula>
    </cfRule>
  </conditionalFormatting>
  <conditionalFormatting sqref="AG97">
    <cfRule type="expression" dxfId="2779" priority="141">
      <formula>AG$9&gt;=20/24</formula>
    </cfRule>
    <cfRule type="expression" dxfId="2778" priority="142">
      <formula>AND(AG$9&gt;=14/24,AG$9&lt;20/24)</formula>
    </cfRule>
    <cfRule type="expression" dxfId="2777" priority="143">
      <formula>AND(AG$9&gt;=8/24,AG$9&lt;14/24)</formula>
    </cfRule>
    <cfRule type="expression" dxfId="2776" priority="144">
      <formula>AG$9&lt;8/24</formula>
    </cfRule>
  </conditionalFormatting>
  <conditionalFormatting sqref="AG260">
    <cfRule type="expression" dxfId="2775" priority="174">
      <formula>B$9&gt;=20/24</formula>
    </cfRule>
    <cfRule type="expression" dxfId="2774" priority="175">
      <formula>AND(B$9&gt;=14/24,B$9&lt;20/24)</formula>
    </cfRule>
    <cfRule type="expression" dxfId="2773" priority="176">
      <formula>AND(B$9&gt;=8/24,B$9&lt;14/24)</formula>
    </cfRule>
    <cfRule type="expression" dxfId="2772" priority="177">
      <formula>B$9&lt;8/24</formula>
    </cfRule>
  </conditionalFormatting>
  <conditionalFormatting sqref="AH260:AX260">
    <cfRule type="expression" dxfId="2771" priority="178">
      <formula>AG$9&gt;=20/24</formula>
    </cfRule>
    <cfRule type="expression" dxfId="2770" priority="179">
      <formula>AND(AG$9&gt;=14/24,AG$9&lt;20/24)</formula>
    </cfRule>
    <cfRule type="expression" dxfId="2769" priority="180">
      <formula>AND(AG$9&gt;=8/24,AG$9&lt;14/24)</formula>
    </cfRule>
    <cfRule type="expression" dxfId="2768" priority="181">
      <formula>AG$9&lt;8/24</formula>
    </cfRule>
  </conditionalFormatting>
  <conditionalFormatting sqref="AL4:AL6">
    <cfRule type="iconSet" priority="163">
      <iconSet iconSet="3TrafficLights2" reverse="1">
        <cfvo type="percent" val="0"/>
        <cfvo type="num" val="1"/>
        <cfvo type="num" val="1"/>
      </iconSet>
    </cfRule>
  </conditionalFormatting>
  <conditionalFormatting sqref="AL19:AL20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38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37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39">
      <iconSet iconSet="3TrafficLights2" reverse="1">
        <cfvo type="percent" val="0"/>
        <cfvo type="num" val="1"/>
        <cfvo type="num" val="1"/>
      </iconSet>
    </cfRule>
  </conditionalFormatting>
  <conditionalFormatting sqref="AL48 AL45:AL46 AL21:AL24 AL7:AL18 AL26:AL37 AL39:AL43 AL54:AL55">
    <cfRule type="iconSet" priority="186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62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61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2767" priority="190">
      <formula>AJ$9&lt;8/24</formula>
    </cfRule>
    <cfRule type="expression" dxfId="2766" priority="187">
      <formula>AJ$9&gt;=20/24</formula>
    </cfRule>
    <cfRule type="expression" dxfId="2765" priority="188">
      <formula>AND(AJ$9&gt;=14/24,AJ$9&lt;20/24)</formula>
    </cfRule>
    <cfRule type="expression" dxfId="2764" priority="189">
      <formula>AND(AJ$9&gt;=8/24,AJ$9&lt;14/24)</formula>
    </cfRule>
  </conditionalFormatting>
  <conditionalFormatting sqref="AL88:AN88 AL94:AN94">
    <cfRule type="expression" dxfId="2763" priority="135">
      <formula>AND(AL$9&gt;=8/24,AL$9&lt;14/24)</formula>
    </cfRule>
    <cfRule type="expression" dxfId="2762" priority="134">
      <formula>AND(AL$9&gt;=14/24,AL$9&lt;20/24)</formula>
    </cfRule>
    <cfRule type="expression" dxfId="2761" priority="136">
      <formula>AL$9&lt;8/24</formula>
    </cfRule>
    <cfRule type="expression" dxfId="2760" priority="133">
      <formula>AL$9&gt;=20/24</formula>
    </cfRule>
  </conditionalFormatting>
  <conditionalFormatting sqref="AN89:AN92">
    <cfRule type="expression" dxfId="2759" priority="130">
      <formula>AND(AN$9&gt;=14/24,AN$9&lt;20/24)</formula>
    </cfRule>
    <cfRule type="expression" dxfId="2758" priority="131">
      <formula>AND(AN$9&gt;=8/24,AN$9&lt;14/24)</formula>
    </cfRule>
    <cfRule type="expression" dxfId="2757" priority="132">
      <formula>AN$9&lt;8/24</formula>
    </cfRule>
    <cfRule type="expression" dxfId="2756" priority="129">
      <formula>AN$9&gt;=20/24</formula>
    </cfRule>
  </conditionalFormatting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EF8BB-270E-4852-92F8-B42CD696D7EB}">
  <sheetPr codeName="Sheet3"/>
  <dimension ref="A1:CJ293"/>
  <sheetViews>
    <sheetView zoomScale="70" zoomScaleNormal="70" workbookViewId="0">
      <pane xSplit="1" ySplit="10" topLeftCell="B55" activePane="bottomRight" state="frozen"/>
      <selection activeCell="P118" sqref="P118"/>
      <selection pane="topRight" activeCell="P118" sqref="P118"/>
      <selection pane="bottomLeft" activeCell="P118" sqref="P118"/>
      <selection pane="bottomRight" activeCell="B81" sqref="B81:AF81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hidden="1" customHeight="1" thickBot="1" x14ac:dyDescent="0.3">
      <c r="A1" s="275" t="s">
        <v>0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  <c r="AD1" s="275"/>
      <c r="AE1" s="275"/>
      <c r="AF1" s="275"/>
      <c r="AG1" s="276" t="s">
        <v>1</v>
      </c>
      <c r="AH1" s="276"/>
      <c r="AI1" s="276"/>
      <c r="AL1" s="2"/>
    </row>
    <row r="2" spans="1:88" ht="20.25" hidden="1" x14ac:dyDescent="0.25">
      <c r="A2" s="3"/>
      <c r="B2" s="277" t="s">
        <v>2</v>
      </c>
      <c r="C2" s="4"/>
      <c r="D2" s="279" t="s">
        <v>3</v>
      </c>
      <c r="E2" s="4"/>
      <c r="F2" s="279" t="s">
        <v>4</v>
      </c>
      <c r="G2" s="4"/>
      <c r="H2" s="279" t="s">
        <v>5</v>
      </c>
      <c r="I2" s="5"/>
      <c r="J2" s="281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78"/>
      <c r="C3" s="16"/>
      <c r="D3" s="280"/>
      <c r="E3" s="16"/>
      <c r="F3" s="280"/>
      <c r="G3" s="16"/>
      <c r="H3" s="280"/>
      <c r="I3" s="17"/>
      <c r="J3" s="281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hidden="1" x14ac:dyDescent="0.25">
      <c r="A4" s="25" t="s">
        <v>11</v>
      </c>
      <c r="B4" s="270" t="str">
        <f ca="1">"2080/"&amp;"09/"&amp;INT(MID(CELL("filename",D6),FIND("]",CELL("filename",D6))+1,200))</f>
        <v>2080/09/3</v>
      </c>
      <c r="C4" s="270"/>
      <c r="D4" s="270"/>
      <c r="E4" s="271" t="str">
        <f ca="1">"2080/"&amp;"09/"&amp;INT(MID(CELL("filename",G6),FIND("]",CELL("filename",G6))+1,200))</f>
        <v>2080/09/3</v>
      </c>
      <c r="F4" s="271"/>
      <c r="G4" s="271"/>
      <c r="H4" s="271" t="str">
        <f ca="1">TEXT(E4,"dddd")</f>
        <v>Tuesday</v>
      </c>
      <c r="I4" s="271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C92</f>
        <v>366</v>
      </c>
      <c r="C5" s="30">
        <f t="shared" si="0"/>
        <v>370.2</v>
      </c>
      <c r="D5" s="30">
        <f t="shared" si="0"/>
        <v>371.1</v>
      </c>
      <c r="E5" s="30">
        <f t="shared" si="0"/>
        <v>376.5</v>
      </c>
      <c r="F5" s="30">
        <f t="shared" si="0"/>
        <v>420</v>
      </c>
      <c r="G5" s="30">
        <f t="shared" si="0"/>
        <v>489.5</v>
      </c>
      <c r="H5" s="30">
        <f t="shared" si="0"/>
        <v>477.5</v>
      </c>
      <c r="I5" s="30">
        <f t="shared" si="0"/>
        <v>472.2</v>
      </c>
      <c r="J5" s="30">
        <f t="shared" si="0"/>
        <v>411.8</v>
      </c>
      <c r="K5" s="30">
        <f t="shared" si="0"/>
        <v>197</v>
      </c>
      <c r="L5" s="30">
        <f t="shared" si="0"/>
        <v>147.5</v>
      </c>
      <c r="M5" s="30">
        <f t="shared" si="0"/>
        <v>149.10000000000002</v>
      </c>
      <c r="N5" s="30">
        <f t="shared" si="0"/>
        <v>212.39999999999998</v>
      </c>
      <c r="O5" s="30">
        <f t="shared" si="0"/>
        <v>243.2</v>
      </c>
      <c r="P5" s="30">
        <f t="shared" si="0"/>
        <v>483.8</v>
      </c>
      <c r="Q5" s="30">
        <f t="shared" si="0"/>
        <v>471.9</v>
      </c>
      <c r="R5" s="30">
        <f t="shared" si="0"/>
        <v>495.3</v>
      </c>
      <c r="S5" s="30">
        <f t="shared" si="0"/>
        <v>508.2</v>
      </c>
      <c r="T5" s="30">
        <f t="shared" si="0"/>
        <v>448.4</v>
      </c>
      <c r="U5" s="30">
        <f t="shared" si="0"/>
        <v>448.4</v>
      </c>
      <c r="V5" s="30">
        <f t="shared" si="0"/>
        <v>356.79999999999995</v>
      </c>
      <c r="W5" s="30">
        <f t="shared" si="0"/>
        <v>318.8</v>
      </c>
      <c r="X5" s="30">
        <f t="shared" si="0"/>
        <v>241.89999999999998</v>
      </c>
      <c r="Y5" s="30">
        <f t="shared" si="0"/>
        <v>265.7</v>
      </c>
      <c r="Z5" s="30">
        <f t="shared" si="0"/>
        <v>313</v>
      </c>
      <c r="AA5" s="30">
        <f t="shared" si="0"/>
        <v>337.6</v>
      </c>
      <c r="AB5" s="30">
        <f t="shared" si="0"/>
        <v>305.2</v>
      </c>
      <c r="AC5" s="30">
        <f t="shared" si="0"/>
        <v>342</v>
      </c>
      <c r="AD5" s="30">
        <f t="shared" si="0"/>
        <v>427.2</v>
      </c>
      <c r="AE5" s="30">
        <f t="shared" si="0"/>
        <v>401</v>
      </c>
      <c r="AF5" s="30">
        <f>B92</f>
        <v>396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hidden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1692MW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Load=1060</v>
      </c>
      <c r="B7" s="35">
        <f>B100</f>
        <v>1107.44</v>
      </c>
      <c r="C7" s="35">
        <f t="shared" ref="C7:AF7" si="1">C100</f>
        <v>1060.44</v>
      </c>
      <c r="D7" s="35">
        <f t="shared" si="1"/>
        <v>1067.3400000000001</v>
      </c>
      <c r="E7" s="35">
        <f t="shared" si="1"/>
        <v>1061.44</v>
      </c>
      <c r="F7" s="35">
        <f t="shared" si="1"/>
        <v>1065.24</v>
      </c>
      <c r="G7" s="35">
        <f t="shared" si="1"/>
        <v>1134.6399999999999</v>
      </c>
      <c r="H7" s="35">
        <f t="shared" si="1"/>
        <v>1215.1399999999999</v>
      </c>
      <c r="I7" s="35">
        <f t="shared" si="1"/>
        <v>1302.8400000000001</v>
      </c>
      <c r="J7" s="35">
        <f t="shared" si="1"/>
        <v>1394.24</v>
      </c>
      <c r="K7" s="35">
        <f t="shared" si="1"/>
        <v>1413.64</v>
      </c>
      <c r="L7" s="35">
        <f t="shared" si="1"/>
        <v>1534.24</v>
      </c>
      <c r="M7" s="35">
        <f t="shared" si="1"/>
        <v>1655.04</v>
      </c>
      <c r="N7" s="35">
        <f t="shared" si="1"/>
        <v>1691.7400000000002</v>
      </c>
      <c r="O7" s="35">
        <f t="shared" si="1"/>
        <v>1623.44</v>
      </c>
      <c r="P7" s="35">
        <f t="shared" si="1"/>
        <v>1497.74</v>
      </c>
      <c r="Q7" s="35">
        <f t="shared" si="1"/>
        <v>1504.8400000000001</v>
      </c>
      <c r="R7" s="35">
        <f t="shared" si="1"/>
        <v>1495.74</v>
      </c>
      <c r="S7" s="35">
        <f t="shared" si="1"/>
        <v>1414.54</v>
      </c>
      <c r="T7" s="35">
        <f t="shared" si="1"/>
        <v>1378.24</v>
      </c>
      <c r="U7" s="35">
        <f t="shared" si="1"/>
        <v>1327.3400000000001</v>
      </c>
      <c r="V7" s="35">
        <f t="shared" si="1"/>
        <v>1326.3400000000001</v>
      </c>
      <c r="W7" s="35">
        <f t="shared" si="1"/>
        <v>1476.6399999999999</v>
      </c>
      <c r="X7" s="35">
        <f t="shared" si="1"/>
        <v>1895.84</v>
      </c>
      <c r="Y7" s="35">
        <f t="shared" si="1"/>
        <v>1819.94</v>
      </c>
      <c r="Z7" s="35">
        <f t="shared" si="1"/>
        <v>1801.8400000000001</v>
      </c>
      <c r="AA7" s="35">
        <f t="shared" si="1"/>
        <v>1762.44</v>
      </c>
      <c r="AB7" s="35">
        <f t="shared" si="1"/>
        <v>1650.04</v>
      </c>
      <c r="AC7" s="35">
        <f t="shared" si="1"/>
        <v>1632.64</v>
      </c>
      <c r="AD7" s="35">
        <f t="shared" si="1"/>
        <v>1599.04</v>
      </c>
      <c r="AE7" s="35">
        <f t="shared" si="1"/>
        <v>1273.24</v>
      </c>
      <c r="AF7" s="35">
        <f t="shared" si="1"/>
        <v>1194.04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72" t="s">
        <v>14</v>
      </c>
      <c r="C8" s="273"/>
      <c r="D8" s="273"/>
      <c r="E8" s="273"/>
      <c r="F8" s="273"/>
      <c r="G8" s="273"/>
      <c r="H8" s="273"/>
      <c r="I8" s="273"/>
      <c r="J8" s="273"/>
      <c r="K8" s="273"/>
      <c r="L8" s="274"/>
      <c r="M8" s="265" t="s">
        <v>15</v>
      </c>
      <c r="N8" s="266"/>
      <c r="O8" s="266"/>
      <c r="P8" s="266"/>
      <c r="Q8" s="266"/>
      <c r="R8" s="267"/>
      <c r="S8" s="265" t="s">
        <v>16</v>
      </c>
      <c r="T8" s="266"/>
      <c r="U8" s="266"/>
      <c r="V8" s="266"/>
      <c r="W8" s="266"/>
      <c r="X8" s="266"/>
      <c r="Y8" s="266"/>
      <c r="Z8" s="266"/>
      <c r="AA8" s="267"/>
      <c r="AB8" s="265" t="s">
        <v>17</v>
      </c>
      <c r="AC8" s="266"/>
      <c r="AD8" s="266"/>
      <c r="AE8" s="266"/>
      <c r="AF8" s="267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68" t="s">
        <v>18</v>
      </c>
      <c r="B9" s="264">
        <v>0</v>
      </c>
      <c r="C9" s="264">
        <v>4.1666666666666664E-2</v>
      </c>
      <c r="D9" s="264">
        <v>8.3333333333333301E-2</v>
      </c>
      <c r="E9" s="264">
        <v>0.125</v>
      </c>
      <c r="F9" s="264">
        <v>0.16666666666666699</v>
      </c>
      <c r="G9" s="264">
        <v>0.20833333333333301</v>
      </c>
      <c r="H9" s="264">
        <v>0.22916666666666666</v>
      </c>
      <c r="I9" s="264">
        <v>0.25</v>
      </c>
      <c r="J9" s="264">
        <v>0.27083333333333331</v>
      </c>
      <c r="K9" s="264">
        <v>0.29166666666666669</v>
      </c>
      <c r="L9" s="264">
        <v>0.3125</v>
      </c>
      <c r="M9" s="262">
        <v>0.33333333333333331</v>
      </c>
      <c r="N9" s="262">
        <v>0.375</v>
      </c>
      <c r="O9" s="262">
        <v>0.41666666666666702</v>
      </c>
      <c r="P9" s="262">
        <v>0.45833333333333298</v>
      </c>
      <c r="Q9" s="262">
        <v>0.5</v>
      </c>
      <c r="R9" s="262">
        <v>0.54166666666666696</v>
      </c>
      <c r="S9" s="258">
        <v>0.58333333333333304</v>
      </c>
      <c r="T9" s="258">
        <v>0.625</v>
      </c>
      <c r="U9" s="258">
        <v>0.66666666666666696</v>
      </c>
      <c r="V9" s="258">
        <v>0.70833333333333304</v>
      </c>
      <c r="W9" s="258">
        <v>0.72916666666666663</v>
      </c>
      <c r="X9" s="258">
        <v>0.75</v>
      </c>
      <c r="Y9" s="258">
        <v>0.77083333333333337</v>
      </c>
      <c r="Z9" s="258">
        <v>0.79166666666666663</v>
      </c>
      <c r="AA9" s="258">
        <v>0.8125</v>
      </c>
      <c r="AB9" s="258">
        <v>0.83333333333333337</v>
      </c>
      <c r="AC9" s="258">
        <v>0.85416666666666663</v>
      </c>
      <c r="AD9" s="258">
        <v>0.875</v>
      </c>
      <c r="AE9" s="258">
        <v>0.91666666666666696</v>
      </c>
      <c r="AF9" s="258">
        <v>0.95833333333333304</v>
      </c>
      <c r="AG9" s="260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69"/>
      <c r="B10" s="259"/>
      <c r="C10" s="259"/>
      <c r="D10" s="259"/>
      <c r="E10" s="259"/>
      <c r="F10" s="259"/>
      <c r="G10" s="259"/>
      <c r="H10" s="259"/>
      <c r="I10" s="259"/>
      <c r="J10" s="259"/>
      <c r="K10" s="259"/>
      <c r="L10" s="259"/>
      <c r="M10" s="263"/>
      <c r="N10" s="263"/>
      <c r="O10" s="263"/>
      <c r="P10" s="263"/>
      <c r="Q10" s="263"/>
      <c r="R10" s="263"/>
      <c r="S10" s="259"/>
      <c r="T10" s="259"/>
      <c r="U10" s="259"/>
      <c r="V10" s="259"/>
      <c r="W10" s="259"/>
      <c r="X10" s="259"/>
      <c r="Y10" s="259"/>
      <c r="Z10" s="259"/>
      <c r="AA10" s="259"/>
      <c r="AB10" s="259"/>
      <c r="AC10" s="259"/>
      <c r="AD10" s="259"/>
      <c r="AE10" s="259"/>
      <c r="AF10" s="259"/>
      <c r="AG10" s="261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33.6</v>
      </c>
      <c r="C11" s="45">
        <v>33.6</v>
      </c>
      <c r="D11" s="45">
        <v>33.6</v>
      </c>
      <c r="E11" s="45">
        <v>35.1</v>
      </c>
      <c r="F11" s="45">
        <v>33.4</v>
      </c>
      <c r="G11" s="45">
        <v>33.4</v>
      </c>
      <c r="H11" s="45">
        <v>33.4</v>
      </c>
      <c r="I11" s="45">
        <v>33.4</v>
      </c>
      <c r="J11" s="45">
        <v>33.4</v>
      </c>
      <c r="K11" s="45">
        <v>33.4</v>
      </c>
      <c r="L11" s="45">
        <v>33.4</v>
      </c>
      <c r="M11" s="45">
        <v>33.4</v>
      </c>
      <c r="N11" s="45">
        <v>33.4</v>
      </c>
      <c r="O11" s="45">
        <v>32.4</v>
      </c>
      <c r="P11" s="45">
        <v>32.4</v>
      </c>
      <c r="Q11" s="45">
        <v>32.4</v>
      </c>
      <c r="R11" s="45">
        <v>32.4</v>
      </c>
      <c r="S11" s="45">
        <v>32.4</v>
      </c>
      <c r="T11" s="45">
        <v>32.4</v>
      </c>
      <c r="U11" s="45">
        <v>32.4</v>
      </c>
      <c r="V11" s="45">
        <v>32.4</v>
      </c>
      <c r="W11" s="45">
        <v>32.4</v>
      </c>
      <c r="X11" s="45">
        <v>32.4</v>
      </c>
      <c r="Y11" s="45">
        <v>32.4</v>
      </c>
      <c r="Z11" s="45">
        <v>32.4</v>
      </c>
      <c r="AA11" s="45">
        <v>32.4</v>
      </c>
      <c r="AB11" s="45">
        <v>32.4</v>
      </c>
      <c r="AC11" s="45">
        <v>32.4</v>
      </c>
      <c r="AD11" s="45">
        <v>32.4</v>
      </c>
      <c r="AE11" s="45">
        <v>32.4</v>
      </c>
      <c r="AF11" s="45">
        <v>32.4</v>
      </c>
      <c r="AG11" s="46">
        <v>86</v>
      </c>
      <c r="AH11" s="47">
        <f t="shared" ref="AH11:AH84" si="2">MAX(B11:AF11)</f>
        <v>35.1</v>
      </c>
      <c r="AI11" s="48">
        <f t="shared" ref="AI11:AI84" si="3">MIN(B11:AF11)</f>
        <v>32.4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262</v>
      </c>
      <c r="B12" s="45">
        <v>10.8</v>
      </c>
      <c r="C12" s="45">
        <v>10.8</v>
      </c>
      <c r="D12" s="45">
        <v>10.8</v>
      </c>
      <c r="E12" s="45">
        <v>10.8</v>
      </c>
      <c r="F12" s="45">
        <v>10.8</v>
      </c>
      <c r="G12" s="45">
        <v>10.8</v>
      </c>
      <c r="H12" s="45">
        <v>10.8</v>
      </c>
      <c r="I12" s="45">
        <v>10.8</v>
      </c>
      <c r="J12" s="45">
        <v>10.8</v>
      </c>
      <c r="K12" s="45">
        <v>10.8</v>
      </c>
      <c r="L12" s="45">
        <v>10.8</v>
      </c>
      <c r="M12" s="45">
        <v>10.8</v>
      </c>
      <c r="N12" s="45">
        <v>10.8</v>
      </c>
      <c r="O12" s="45">
        <v>10.8</v>
      </c>
      <c r="P12" s="45">
        <v>10.8</v>
      </c>
      <c r="Q12" s="45">
        <v>10.8</v>
      </c>
      <c r="R12" s="45">
        <v>10.8</v>
      </c>
      <c r="S12" s="45">
        <v>10.8</v>
      </c>
      <c r="T12" s="45">
        <v>10.8</v>
      </c>
      <c r="U12" s="45">
        <v>10.8</v>
      </c>
      <c r="V12" s="45">
        <v>10.8</v>
      </c>
      <c r="W12" s="45">
        <v>10.8</v>
      </c>
      <c r="X12" s="45">
        <v>10.8</v>
      </c>
      <c r="Y12" s="45">
        <v>10.8</v>
      </c>
      <c r="Z12" s="45">
        <v>10.8</v>
      </c>
      <c r="AA12" s="45">
        <v>10.8</v>
      </c>
      <c r="AB12" s="45">
        <v>10.8</v>
      </c>
      <c r="AC12" s="45">
        <v>10.8</v>
      </c>
      <c r="AD12" s="45">
        <v>10.8</v>
      </c>
      <c r="AE12" s="45">
        <v>10.8</v>
      </c>
      <c r="AF12" s="45">
        <v>10.8</v>
      </c>
      <c r="AG12" s="49">
        <v>54</v>
      </c>
      <c r="AH12" s="47">
        <f t="shared" si="2"/>
        <v>10.8</v>
      </c>
      <c r="AI12" s="48">
        <f t="shared" si="3"/>
        <v>10.8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15.5</v>
      </c>
      <c r="C13" s="45">
        <v>15.5</v>
      </c>
      <c r="D13" s="45">
        <v>15.5</v>
      </c>
      <c r="E13" s="45">
        <v>15.5</v>
      </c>
      <c r="F13" s="45">
        <v>15.5</v>
      </c>
      <c r="G13" s="45">
        <v>15.5</v>
      </c>
      <c r="H13" s="45">
        <v>15.5</v>
      </c>
      <c r="I13" s="45">
        <v>15.5</v>
      </c>
      <c r="J13" s="45">
        <v>15.5</v>
      </c>
      <c r="K13" s="45">
        <v>15.5</v>
      </c>
      <c r="L13" s="45">
        <v>15.5</v>
      </c>
      <c r="M13" s="45">
        <v>15.5</v>
      </c>
      <c r="N13" s="45">
        <v>15.5</v>
      </c>
      <c r="O13" s="45">
        <v>15.5</v>
      </c>
      <c r="P13" s="45">
        <v>15.5</v>
      </c>
      <c r="Q13" s="45">
        <v>15.5</v>
      </c>
      <c r="R13" s="45">
        <v>15.5</v>
      </c>
      <c r="S13" s="45">
        <v>15.5</v>
      </c>
      <c r="T13" s="45">
        <v>15.5</v>
      </c>
      <c r="U13" s="45">
        <v>15.5</v>
      </c>
      <c r="V13" s="45">
        <v>15.5</v>
      </c>
      <c r="W13" s="45">
        <v>15.5</v>
      </c>
      <c r="X13" s="45">
        <v>15.5</v>
      </c>
      <c r="Y13" s="45">
        <v>15.5</v>
      </c>
      <c r="Z13" s="45">
        <v>15.5</v>
      </c>
      <c r="AA13" s="45">
        <v>15.5</v>
      </c>
      <c r="AB13" s="45">
        <v>15.5</v>
      </c>
      <c r="AC13" s="45">
        <v>15.5</v>
      </c>
      <c r="AD13" s="45">
        <v>15.5</v>
      </c>
      <c r="AE13" s="45">
        <v>15.5</v>
      </c>
      <c r="AF13" s="45">
        <v>15.5</v>
      </c>
      <c r="AG13" s="49">
        <v>54</v>
      </c>
      <c r="AH13" s="47">
        <f t="shared" si="2"/>
        <v>15.5</v>
      </c>
      <c r="AI13" s="48">
        <f t="shared" si="3"/>
        <v>15.5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17.100000000000001</v>
      </c>
      <c r="C14" s="45">
        <v>17.100000000000001</v>
      </c>
      <c r="D14" s="45">
        <v>17.100000000000001</v>
      </c>
      <c r="E14" s="45">
        <v>10</v>
      </c>
      <c r="F14" s="45">
        <v>10</v>
      </c>
      <c r="G14" s="45">
        <v>10</v>
      </c>
      <c r="H14" s="45">
        <v>10</v>
      </c>
      <c r="I14" s="45">
        <v>10</v>
      </c>
      <c r="J14" s="45">
        <v>10</v>
      </c>
      <c r="K14" s="45">
        <v>10</v>
      </c>
      <c r="L14" s="45">
        <v>10</v>
      </c>
      <c r="M14" s="45">
        <v>17</v>
      </c>
      <c r="N14" s="45">
        <v>17</v>
      </c>
      <c r="O14" s="45">
        <v>16.5</v>
      </c>
      <c r="P14" s="45">
        <v>16.5</v>
      </c>
      <c r="Q14" s="45">
        <v>16.5</v>
      </c>
      <c r="R14" s="45">
        <v>16.5</v>
      </c>
      <c r="S14" s="45">
        <v>16.5</v>
      </c>
      <c r="T14" s="45">
        <v>16.5</v>
      </c>
      <c r="U14" s="45">
        <v>16.5</v>
      </c>
      <c r="V14" s="45">
        <v>16.5</v>
      </c>
      <c r="W14" s="45">
        <v>16.5</v>
      </c>
      <c r="X14" s="45">
        <v>16.5</v>
      </c>
      <c r="Y14" s="45">
        <v>16.5</v>
      </c>
      <c r="Z14" s="45">
        <v>16.5</v>
      </c>
      <c r="AA14" s="45">
        <v>16.5</v>
      </c>
      <c r="AB14" s="45">
        <v>16.5</v>
      </c>
      <c r="AC14" s="45">
        <v>16.5</v>
      </c>
      <c r="AD14" s="45">
        <v>16.5</v>
      </c>
      <c r="AE14" s="45">
        <v>16.5</v>
      </c>
      <c r="AF14" s="45">
        <v>16.5</v>
      </c>
      <c r="AG14" s="46">
        <v>52.4</v>
      </c>
      <c r="AH14" s="47">
        <f t="shared" si="2"/>
        <v>17.100000000000001</v>
      </c>
      <c r="AI14" s="48">
        <f t="shared" si="3"/>
        <v>10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36.4</v>
      </c>
      <c r="C15" s="45">
        <v>36.4</v>
      </c>
      <c r="D15" s="45">
        <v>36.4</v>
      </c>
      <c r="E15" s="45">
        <v>36.4</v>
      </c>
      <c r="F15" s="45">
        <v>36.4</v>
      </c>
      <c r="G15" s="45">
        <v>36.4</v>
      </c>
      <c r="H15" s="45">
        <v>36.4</v>
      </c>
      <c r="I15" s="45">
        <v>36.4</v>
      </c>
      <c r="J15" s="45">
        <v>36.4</v>
      </c>
      <c r="K15" s="45">
        <v>36.4</v>
      </c>
      <c r="L15" s="45">
        <v>36.4</v>
      </c>
      <c r="M15" s="45">
        <v>36.4</v>
      </c>
      <c r="N15" s="45">
        <v>36.4</v>
      </c>
      <c r="O15" s="45">
        <v>35.5</v>
      </c>
      <c r="P15" s="45">
        <v>35.5</v>
      </c>
      <c r="Q15" s="45">
        <v>35.5</v>
      </c>
      <c r="R15" s="45">
        <v>35.5</v>
      </c>
      <c r="S15" s="45">
        <v>35.5</v>
      </c>
      <c r="T15" s="45">
        <v>35.5</v>
      </c>
      <c r="U15" s="45">
        <v>35.5</v>
      </c>
      <c r="V15" s="45">
        <v>35.5</v>
      </c>
      <c r="W15" s="45">
        <v>35.5</v>
      </c>
      <c r="X15" s="51">
        <v>35.5</v>
      </c>
      <c r="Y15" s="51">
        <v>35.5</v>
      </c>
      <c r="Z15" s="51">
        <v>35.5</v>
      </c>
      <c r="AA15" s="51">
        <v>35.5</v>
      </c>
      <c r="AB15" s="51">
        <v>35.5</v>
      </c>
      <c r="AC15" s="51">
        <v>35.5</v>
      </c>
      <c r="AD15" s="51">
        <v>35.5</v>
      </c>
      <c r="AE15" s="51">
        <v>35.5</v>
      </c>
      <c r="AF15" s="51">
        <v>35.5</v>
      </c>
      <c r="AG15" s="49">
        <v>50</v>
      </c>
      <c r="AH15" s="47">
        <f t="shared" si="2"/>
        <v>36.4</v>
      </c>
      <c r="AI15" s="48">
        <f t="shared" si="3"/>
        <v>35.5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19.8</v>
      </c>
      <c r="C16" s="45">
        <v>19.8</v>
      </c>
      <c r="D16" s="45">
        <v>19.8</v>
      </c>
      <c r="E16" s="45">
        <v>19.399999999999999</v>
      </c>
      <c r="F16" s="45">
        <v>19.399999999999999</v>
      </c>
      <c r="G16" s="45">
        <v>19.399999999999999</v>
      </c>
      <c r="H16" s="45">
        <v>19.399999999999999</v>
      </c>
      <c r="I16" s="45">
        <v>19.399999999999999</v>
      </c>
      <c r="J16" s="45">
        <v>19.399999999999999</v>
      </c>
      <c r="K16" s="45">
        <v>19.399999999999999</v>
      </c>
      <c r="L16" s="45">
        <v>19.399999999999999</v>
      </c>
      <c r="M16" s="45">
        <v>19.399999999999999</v>
      </c>
      <c r="N16" s="45">
        <v>19.399999999999999</v>
      </c>
      <c r="O16" s="45">
        <v>18.3</v>
      </c>
      <c r="P16" s="45">
        <v>18.3</v>
      </c>
      <c r="Q16" s="45">
        <v>18.3</v>
      </c>
      <c r="R16" s="45">
        <v>18.3</v>
      </c>
      <c r="S16" s="45">
        <v>18.3</v>
      </c>
      <c r="T16" s="45">
        <v>18.3</v>
      </c>
      <c r="U16" s="45">
        <v>18.3</v>
      </c>
      <c r="V16" s="45">
        <v>18.3</v>
      </c>
      <c r="W16" s="45">
        <v>18.3</v>
      </c>
      <c r="X16" s="45">
        <v>18.3</v>
      </c>
      <c r="Y16" s="45">
        <v>18.3</v>
      </c>
      <c r="Z16" s="45">
        <v>18.3</v>
      </c>
      <c r="AA16" s="45">
        <v>18.3</v>
      </c>
      <c r="AB16" s="45">
        <v>18.3</v>
      </c>
      <c r="AC16" s="45">
        <v>18.3</v>
      </c>
      <c r="AD16" s="45">
        <v>18.3</v>
      </c>
      <c r="AE16" s="45">
        <v>18.3</v>
      </c>
      <c r="AF16" s="45">
        <v>18.3</v>
      </c>
      <c r="AG16" s="49">
        <v>45</v>
      </c>
      <c r="AH16" s="47">
        <f t="shared" si="2"/>
        <v>19.8</v>
      </c>
      <c r="AI16" s="48">
        <f t="shared" si="3"/>
        <v>18.3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16.5</v>
      </c>
      <c r="C17" s="45">
        <v>16.5</v>
      </c>
      <c r="D17" s="45">
        <v>16.5</v>
      </c>
      <c r="E17" s="45">
        <v>16.5</v>
      </c>
      <c r="F17" s="45">
        <v>16.5</v>
      </c>
      <c r="G17" s="45">
        <v>16.5</v>
      </c>
      <c r="H17" s="45">
        <v>16.5</v>
      </c>
      <c r="I17" s="45">
        <v>16.5</v>
      </c>
      <c r="J17" s="45">
        <v>16.5</v>
      </c>
      <c r="K17" s="45">
        <v>16.5</v>
      </c>
      <c r="L17" s="45">
        <v>16.5</v>
      </c>
      <c r="M17" s="45">
        <v>16.5</v>
      </c>
      <c r="N17" s="45">
        <v>16.5</v>
      </c>
      <c r="O17" s="45">
        <v>16.5</v>
      </c>
      <c r="P17" s="45">
        <v>16.5</v>
      </c>
      <c r="Q17" s="45">
        <v>16.5</v>
      </c>
      <c r="R17" s="45">
        <v>16.5</v>
      </c>
      <c r="S17" s="45">
        <v>16.5</v>
      </c>
      <c r="T17" s="45">
        <v>16.5</v>
      </c>
      <c r="U17" s="45">
        <v>16.5</v>
      </c>
      <c r="V17" s="45">
        <v>16.5</v>
      </c>
      <c r="W17" s="45">
        <v>16.5</v>
      </c>
      <c r="X17" s="45">
        <v>16.5</v>
      </c>
      <c r="Y17" s="45">
        <v>16.5</v>
      </c>
      <c r="Z17" s="45">
        <v>16.5</v>
      </c>
      <c r="AA17" s="45">
        <v>16.5</v>
      </c>
      <c r="AB17" s="45">
        <v>16.5</v>
      </c>
      <c r="AC17" s="45">
        <v>16.5</v>
      </c>
      <c r="AD17" s="45">
        <v>16.5</v>
      </c>
      <c r="AE17" s="45">
        <v>16.5</v>
      </c>
      <c r="AF17" s="45">
        <v>16.5</v>
      </c>
      <c r="AG17" s="49">
        <v>44</v>
      </c>
      <c r="AH17" s="47">
        <f>MAX(B17:AG17)</f>
        <v>44</v>
      </c>
      <c r="AI17" s="48">
        <f>MIN(B17:AG17)</f>
        <v>16.5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10.5</v>
      </c>
      <c r="C18" s="45">
        <v>10.5</v>
      </c>
      <c r="D18" s="45">
        <v>10.5</v>
      </c>
      <c r="E18" s="45">
        <v>10.5</v>
      </c>
      <c r="F18" s="45">
        <v>10.5</v>
      </c>
      <c r="G18" s="45">
        <v>10.5</v>
      </c>
      <c r="H18" s="45">
        <v>10.5</v>
      </c>
      <c r="I18" s="45">
        <v>10.5</v>
      </c>
      <c r="J18" s="45">
        <v>10.5</v>
      </c>
      <c r="K18" s="45">
        <v>10.5</v>
      </c>
      <c r="L18" s="45">
        <v>10.5</v>
      </c>
      <c r="M18" s="45">
        <v>10.5</v>
      </c>
      <c r="N18" s="45">
        <v>10.5</v>
      </c>
      <c r="O18" s="45">
        <v>9.5</v>
      </c>
      <c r="P18" s="45">
        <v>9.5</v>
      </c>
      <c r="Q18" s="45">
        <v>9.5</v>
      </c>
      <c r="R18" s="45">
        <v>9.5</v>
      </c>
      <c r="S18" s="45">
        <v>9.5</v>
      </c>
      <c r="T18" s="45">
        <v>9.5</v>
      </c>
      <c r="U18" s="45">
        <v>9.5</v>
      </c>
      <c r="V18" s="45">
        <v>9.5</v>
      </c>
      <c r="W18" s="45">
        <v>9.5</v>
      </c>
      <c r="X18" s="45">
        <v>9.5</v>
      </c>
      <c r="Y18" s="45">
        <v>9.5</v>
      </c>
      <c r="Z18" s="45">
        <v>9.5</v>
      </c>
      <c r="AA18" s="45">
        <v>9.5</v>
      </c>
      <c r="AB18" s="45">
        <v>9.5</v>
      </c>
      <c r="AC18" s="45">
        <v>9.5</v>
      </c>
      <c r="AD18" s="45">
        <v>9.5</v>
      </c>
      <c r="AE18" s="45">
        <v>9.5</v>
      </c>
      <c r="AF18" s="45">
        <v>9.5</v>
      </c>
      <c r="AG18" s="49">
        <v>42</v>
      </c>
      <c r="AH18" s="47">
        <f t="shared" si="2"/>
        <v>10.5</v>
      </c>
      <c r="AI18" s="48">
        <f t="shared" si="3"/>
        <v>9.5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263</v>
      </c>
      <c r="B19" s="45">
        <v>15.4</v>
      </c>
      <c r="C19" s="45">
        <v>15.4</v>
      </c>
      <c r="D19" s="45">
        <v>15.4</v>
      </c>
      <c r="E19" s="45">
        <v>15.4</v>
      </c>
      <c r="F19" s="45">
        <v>15.4</v>
      </c>
      <c r="G19" s="45">
        <v>15.4</v>
      </c>
      <c r="H19" s="45">
        <v>15.4</v>
      </c>
      <c r="I19" s="45">
        <v>15.4</v>
      </c>
      <c r="J19" s="45">
        <v>15.4</v>
      </c>
      <c r="K19" s="45">
        <v>15.4</v>
      </c>
      <c r="L19" s="45">
        <v>15.4</v>
      </c>
      <c r="M19" s="45">
        <v>15.4</v>
      </c>
      <c r="N19" s="45">
        <v>15.4</v>
      </c>
      <c r="O19" s="45">
        <v>15.4</v>
      </c>
      <c r="P19" s="45">
        <v>15.4</v>
      </c>
      <c r="Q19" s="45">
        <v>15.4</v>
      </c>
      <c r="R19" s="45">
        <v>15.4</v>
      </c>
      <c r="S19" s="45">
        <v>15.4</v>
      </c>
      <c r="T19" s="45">
        <v>15.4</v>
      </c>
      <c r="U19" s="45">
        <v>15.4</v>
      </c>
      <c r="V19" s="45">
        <v>15.4</v>
      </c>
      <c r="W19" s="45">
        <v>15.4</v>
      </c>
      <c r="X19" s="45">
        <v>15.4</v>
      </c>
      <c r="Y19" s="45">
        <v>15.4</v>
      </c>
      <c r="Z19" s="45">
        <v>15.4</v>
      </c>
      <c r="AA19" s="45">
        <v>15.4</v>
      </c>
      <c r="AB19" s="45">
        <v>15.4</v>
      </c>
      <c r="AC19" s="45">
        <v>15.4</v>
      </c>
      <c r="AD19" s="45">
        <v>15.4</v>
      </c>
      <c r="AE19" s="45">
        <v>15.4</v>
      </c>
      <c r="AF19" s="45">
        <v>15.4</v>
      </c>
      <c r="AG19" s="49">
        <v>38.46</v>
      </c>
      <c r="AH19" s="47">
        <f t="shared" si="2"/>
        <v>15.4</v>
      </c>
      <c r="AI19" s="48">
        <f t="shared" si="3"/>
        <v>15.4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10.199999999999999</v>
      </c>
      <c r="C20" s="45">
        <v>10.199999999999999</v>
      </c>
      <c r="D20" s="45">
        <v>10.199999999999999</v>
      </c>
      <c r="E20" s="45">
        <v>10.199999999999999</v>
      </c>
      <c r="F20" s="45">
        <v>10.199999999999999</v>
      </c>
      <c r="G20" s="45">
        <v>10.199999999999999</v>
      </c>
      <c r="H20" s="45">
        <v>10.199999999999999</v>
      </c>
      <c r="I20" s="45">
        <v>10.199999999999999</v>
      </c>
      <c r="J20" s="45">
        <v>10.199999999999999</v>
      </c>
      <c r="K20" s="45">
        <v>10.199999999999999</v>
      </c>
      <c r="L20" s="45">
        <v>10.199999999999999</v>
      </c>
      <c r="M20" s="45">
        <v>10.199999999999999</v>
      </c>
      <c r="N20" s="45">
        <v>10.199999999999999</v>
      </c>
      <c r="O20" s="45">
        <v>10.199999999999999</v>
      </c>
      <c r="P20" s="45">
        <v>10.199999999999999</v>
      </c>
      <c r="Q20" s="45">
        <v>10.199999999999999</v>
      </c>
      <c r="R20" s="45">
        <v>10.199999999999999</v>
      </c>
      <c r="S20" s="45">
        <v>10.199999999999999</v>
      </c>
      <c r="T20" s="45">
        <v>10.199999999999999</v>
      </c>
      <c r="U20" s="45">
        <v>10.199999999999999</v>
      </c>
      <c r="V20" s="45">
        <v>10.199999999999999</v>
      </c>
      <c r="W20" s="45">
        <v>10.199999999999999</v>
      </c>
      <c r="X20" s="45">
        <v>10.199999999999999</v>
      </c>
      <c r="Y20" s="45">
        <v>10.199999999999999</v>
      </c>
      <c r="Z20" s="45">
        <v>10.199999999999999</v>
      </c>
      <c r="AA20" s="45">
        <v>10.199999999999999</v>
      </c>
      <c r="AB20" s="45">
        <v>10.199999999999999</v>
      </c>
      <c r="AC20" s="45">
        <v>10.199999999999999</v>
      </c>
      <c r="AD20" s="45">
        <v>10.199999999999999</v>
      </c>
      <c r="AE20" s="45">
        <v>10.199999999999999</v>
      </c>
      <c r="AF20" s="45">
        <v>10.199999999999999</v>
      </c>
      <c r="AG20" s="49">
        <v>38.46</v>
      </c>
      <c r="AH20" s="47">
        <f t="shared" si="2"/>
        <v>10.199999999999999</v>
      </c>
      <c r="AI20" s="48">
        <f t="shared" si="3"/>
        <v>10.199999999999999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13.6</v>
      </c>
      <c r="C21" s="45">
        <v>13.6</v>
      </c>
      <c r="D21" s="45">
        <v>13.6</v>
      </c>
      <c r="E21" s="45">
        <v>13.6</v>
      </c>
      <c r="F21" s="45">
        <v>13.6</v>
      </c>
      <c r="G21" s="45">
        <v>13.6</v>
      </c>
      <c r="H21" s="45">
        <v>13.6</v>
      </c>
      <c r="I21" s="45">
        <v>13.6</v>
      </c>
      <c r="J21" s="45">
        <v>13.6</v>
      </c>
      <c r="K21" s="45">
        <v>13.6</v>
      </c>
      <c r="L21" s="45">
        <v>13.6</v>
      </c>
      <c r="M21" s="45">
        <v>13.6</v>
      </c>
      <c r="N21" s="45">
        <v>13.6</v>
      </c>
      <c r="O21" s="45">
        <v>13.6</v>
      </c>
      <c r="P21" s="45">
        <v>13.6</v>
      </c>
      <c r="Q21" s="45">
        <v>13.6</v>
      </c>
      <c r="R21" s="45">
        <v>13.6</v>
      </c>
      <c r="S21" s="45">
        <v>13.6</v>
      </c>
      <c r="T21" s="45">
        <v>13.6</v>
      </c>
      <c r="U21" s="45">
        <v>13.6</v>
      </c>
      <c r="V21" s="45">
        <v>13.6</v>
      </c>
      <c r="W21" s="45">
        <v>13.6</v>
      </c>
      <c r="X21" s="45">
        <v>13.6</v>
      </c>
      <c r="Y21" s="45">
        <v>13.6</v>
      </c>
      <c r="Z21" s="45">
        <v>13.6</v>
      </c>
      <c r="AA21" s="45">
        <v>13.6</v>
      </c>
      <c r="AB21" s="45">
        <v>13.6</v>
      </c>
      <c r="AC21" s="45">
        <v>13.6</v>
      </c>
      <c r="AD21" s="45">
        <v>13.6</v>
      </c>
      <c r="AE21" s="45">
        <v>13.6</v>
      </c>
      <c r="AF21" s="45">
        <v>13.6</v>
      </c>
      <c r="AG21" s="49">
        <v>36</v>
      </c>
      <c r="AH21" s="47">
        <f t="shared" si="2"/>
        <v>13.6</v>
      </c>
      <c r="AI21" s="48">
        <f t="shared" si="3"/>
        <v>13.6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9.9</v>
      </c>
      <c r="C22" s="45">
        <v>9.9</v>
      </c>
      <c r="D22" s="45">
        <v>9.9</v>
      </c>
      <c r="E22" s="45">
        <v>9.9</v>
      </c>
      <c r="F22" s="45">
        <v>9.9</v>
      </c>
      <c r="G22" s="45">
        <v>9.9</v>
      </c>
      <c r="H22" s="45">
        <v>9.9</v>
      </c>
      <c r="I22" s="45">
        <v>9.9</v>
      </c>
      <c r="J22" s="45">
        <v>9.9</v>
      </c>
      <c r="K22" s="45">
        <v>9.9</v>
      </c>
      <c r="L22" s="45">
        <v>9.9</v>
      </c>
      <c r="M22" s="45">
        <v>9.9</v>
      </c>
      <c r="N22" s="45">
        <v>9.9</v>
      </c>
      <c r="O22" s="45">
        <v>9.4</v>
      </c>
      <c r="P22" s="45">
        <v>9.4</v>
      </c>
      <c r="Q22" s="45">
        <v>9.4</v>
      </c>
      <c r="R22" s="45">
        <v>9.4</v>
      </c>
      <c r="S22" s="45">
        <v>9.4</v>
      </c>
      <c r="T22" s="45">
        <v>9.4</v>
      </c>
      <c r="U22" s="45">
        <v>9.4</v>
      </c>
      <c r="V22" s="45">
        <v>9.4</v>
      </c>
      <c r="W22" s="45">
        <v>9.4</v>
      </c>
      <c r="X22" s="45">
        <v>9.4</v>
      </c>
      <c r="Y22" s="45">
        <v>9.4</v>
      </c>
      <c r="Z22" s="45">
        <v>9.4</v>
      </c>
      <c r="AA22" s="45">
        <v>9.4</v>
      </c>
      <c r="AB22" s="45">
        <v>9.4</v>
      </c>
      <c r="AC22" s="45">
        <v>9.4</v>
      </c>
      <c r="AD22" s="45">
        <v>9.4</v>
      </c>
      <c r="AE22" s="45">
        <v>9.4</v>
      </c>
      <c r="AF22" s="45">
        <v>9.4</v>
      </c>
      <c r="AG22" s="52">
        <v>30</v>
      </c>
      <c r="AH22" s="47">
        <f t="shared" si="2"/>
        <v>9.9</v>
      </c>
      <c r="AI22" s="48">
        <f t="shared" si="3"/>
        <v>9.4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9</v>
      </c>
      <c r="C23" s="45">
        <v>9</v>
      </c>
      <c r="D23" s="45">
        <v>9</v>
      </c>
      <c r="E23" s="45">
        <v>9</v>
      </c>
      <c r="F23" s="45">
        <v>9</v>
      </c>
      <c r="G23" s="45">
        <v>9</v>
      </c>
      <c r="H23" s="45">
        <v>9</v>
      </c>
      <c r="I23" s="45">
        <v>9</v>
      </c>
      <c r="J23" s="45">
        <v>9</v>
      </c>
      <c r="K23" s="45">
        <v>9</v>
      </c>
      <c r="L23" s="45">
        <v>9</v>
      </c>
      <c r="M23" s="45">
        <v>9</v>
      </c>
      <c r="N23" s="45">
        <v>9</v>
      </c>
      <c r="O23" s="45">
        <v>9</v>
      </c>
      <c r="P23" s="45">
        <v>9</v>
      </c>
      <c r="Q23" s="45">
        <v>9</v>
      </c>
      <c r="R23" s="45">
        <v>9</v>
      </c>
      <c r="S23" s="45">
        <v>9</v>
      </c>
      <c r="T23" s="45">
        <v>9</v>
      </c>
      <c r="U23" s="45">
        <v>9</v>
      </c>
      <c r="V23" s="45">
        <v>9</v>
      </c>
      <c r="W23" s="45">
        <v>9</v>
      </c>
      <c r="X23" s="45">
        <v>9</v>
      </c>
      <c r="Y23" s="45">
        <v>9</v>
      </c>
      <c r="Z23" s="45">
        <v>9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9</v>
      </c>
      <c r="AG23" s="49">
        <v>24.2</v>
      </c>
      <c r="AH23" s="47">
        <f t="shared" si="2"/>
        <v>9</v>
      </c>
      <c r="AI23" s="48">
        <f t="shared" si="3"/>
        <v>9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10.6</v>
      </c>
      <c r="C24" s="45">
        <v>10.6</v>
      </c>
      <c r="D24" s="45">
        <v>10.6</v>
      </c>
      <c r="E24" s="45">
        <v>10.6</v>
      </c>
      <c r="F24" s="45">
        <v>10.6</v>
      </c>
      <c r="G24" s="45">
        <v>10.6</v>
      </c>
      <c r="H24" s="45">
        <v>10.6</v>
      </c>
      <c r="I24" s="45">
        <v>10.6</v>
      </c>
      <c r="J24" s="45">
        <v>10.6</v>
      </c>
      <c r="K24" s="45">
        <v>10.6</v>
      </c>
      <c r="L24" s="45">
        <v>10.6</v>
      </c>
      <c r="M24" s="45">
        <v>10.6</v>
      </c>
      <c r="N24" s="45">
        <v>10.6</v>
      </c>
      <c r="O24" s="45">
        <v>10.5</v>
      </c>
      <c r="P24" s="45">
        <v>10.5</v>
      </c>
      <c r="Q24" s="45">
        <v>10.5</v>
      </c>
      <c r="R24" s="45">
        <v>10.5</v>
      </c>
      <c r="S24" s="45">
        <v>10.5</v>
      </c>
      <c r="T24" s="45">
        <v>10.5</v>
      </c>
      <c r="U24" s="45">
        <v>10.5</v>
      </c>
      <c r="V24" s="45">
        <v>10.5</v>
      </c>
      <c r="W24" s="45">
        <v>10.5</v>
      </c>
      <c r="X24" s="45">
        <v>10.5</v>
      </c>
      <c r="Y24" s="45">
        <v>10.5</v>
      </c>
      <c r="Z24" s="45">
        <v>10.5</v>
      </c>
      <c r="AA24" s="45">
        <v>10.5</v>
      </c>
      <c r="AB24" s="45">
        <v>10.5</v>
      </c>
      <c r="AC24" s="45">
        <v>10.5</v>
      </c>
      <c r="AD24" s="45">
        <v>10.5</v>
      </c>
      <c r="AE24" s="45">
        <v>10.5</v>
      </c>
      <c r="AF24" s="45">
        <v>10.5</v>
      </c>
      <c r="AG24" s="49">
        <v>28</v>
      </c>
      <c r="AH24" s="47">
        <f t="shared" si="2"/>
        <v>10.6</v>
      </c>
      <c r="AI24" s="48">
        <f t="shared" si="3"/>
        <v>10.5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8.4</v>
      </c>
      <c r="C25" s="45">
        <v>8.4</v>
      </c>
      <c r="D25" s="45">
        <v>8.4</v>
      </c>
      <c r="E25" s="45">
        <v>8.4</v>
      </c>
      <c r="F25" s="45">
        <v>8.4</v>
      </c>
      <c r="G25" s="45">
        <v>8.4</v>
      </c>
      <c r="H25" s="45">
        <v>8.4</v>
      </c>
      <c r="I25" s="45">
        <v>8.4</v>
      </c>
      <c r="J25" s="45">
        <v>8.4</v>
      </c>
      <c r="K25" s="45">
        <v>8.4</v>
      </c>
      <c r="L25" s="45">
        <v>8.4</v>
      </c>
      <c r="M25" s="45">
        <v>8.4</v>
      </c>
      <c r="N25" s="45">
        <v>8.4</v>
      </c>
      <c r="O25" s="45">
        <v>8.4</v>
      </c>
      <c r="P25" s="45">
        <v>8.4</v>
      </c>
      <c r="Q25" s="45">
        <v>8.4</v>
      </c>
      <c r="R25" s="45">
        <v>8.4</v>
      </c>
      <c r="S25" s="45">
        <v>8.4</v>
      </c>
      <c r="T25" s="45">
        <v>8.4</v>
      </c>
      <c r="U25" s="45">
        <v>8.4</v>
      </c>
      <c r="V25" s="45">
        <v>8.4</v>
      </c>
      <c r="W25" s="45">
        <v>8.4</v>
      </c>
      <c r="X25" s="45">
        <v>8.4</v>
      </c>
      <c r="Y25" s="45">
        <v>8.4</v>
      </c>
      <c r="Z25" s="45">
        <v>8.4</v>
      </c>
      <c r="AA25" s="45">
        <v>8.4</v>
      </c>
      <c r="AB25" s="45">
        <v>8.4</v>
      </c>
      <c r="AC25" s="45">
        <v>8.4</v>
      </c>
      <c r="AD25" s="45">
        <v>8.4</v>
      </c>
      <c r="AE25" s="45">
        <v>8.4</v>
      </c>
      <c r="AF25" s="45">
        <v>8.4</v>
      </c>
      <c r="AG25" s="52">
        <v>30</v>
      </c>
      <c r="AH25" s="47">
        <f t="shared" si="2"/>
        <v>8.4</v>
      </c>
      <c r="AI25" s="48">
        <f t="shared" si="3"/>
        <v>8.4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10</v>
      </c>
      <c r="C26" s="45">
        <v>10</v>
      </c>
      <c r="D26" s="45">
        <v>10</v>
      </c>
      <c r="E26" s="45">
        <v>10</v>
      </c>
      <c r="F26" s="45">
        <v>10</v>
      </c>
      <c r="G26" s="45">
        <v>10</v>
      </c>
      <c r="H26" s="45">
        <v>10</v>
      </c>
      <c r="I26" s="45">
        <v>10</v>
      </c>
      <c r="J26" s="45">
        <v>10</v>
      </c>
      <c r="K26" s="45">
        <v>10</v>
      </c>
      <c r="L26" s="45">
        <v>10</v>
      </c>
      <c r="M26" s="45">
        <v>10</v>
      </c>
      <c r="N26" s="45">
        <v>10</v>
      </c>
      <c r="O26" s="45">
        <v>10</v>
      </c>
      <c r="P26" s="45">
        <v>10</v>
      </c>
      <c r="Q26" s="45">
        <v>10</v>
      </c>
      <c r="R26" s="45">
        <v>10</v>
      </c>
      <c r="S26" s="45">
        <v>10</v>
      </c>
      <c r="T26" s="45">
        <v>10</v>
      </c>
      <c r="U26" s="45">
        <v>10</v>
      </c>
      <c r="V26" s="45">
        <v>10</v>
      </c>
      <c r="W26" s="45">
        <v>10</v>
      </c>
      <c r="X26" s="45">
        <v>10</v>
      </c>
      <c r="Y26" s="45">
        <v>10</v>
      </c>
      <c r="Z26" s="45">
        <v>10</v>
      </c>
      <c r="AA26" s="45">
        <v>10</v>
      </c>
      <c r="AB26" s="45">
        <v>10</v>
      </c>
      <c r="AC26" s="45">
        <v>10</v>
      </c>
      <c r="AD26" s="45">
        <v>10</v>
      </c>
      <c r="AE26" s="45">
        <v>10</v>
      </c>
      <c r="AF26" s="45">
        <v>10</v>
      </c>
      <c r="AG26" s="49">
        <v>25</v>
      </c>
      <c r="AH26" s="47">
        <f t="shared" si="2"/>
        <v>10</v>
      </c>
      <c r="AI26" s="48">
        <f t="shared" si="3"/>
        <v>10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0</v>
      </c>
      <c r="C27" s="45">
        <v>0</v>
      </c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9">
        <v>25</v>
      </c>
      <c r="AH27" s="47">
        <f t="shared" si="2"/>
        <v>0</v>
      </c>
      <c r="AI27" s="48">
        <f t="shared" si="3"/>
        <v>0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7.5</v>
      </c>
      <c r="C28" s="45">
        <v>7.5</v>
      </c>
      <c r="D28" s="45">
        <v>7.5</v>
      </c>
      <c r="E28" s="45">
        <v>7.5</v>
      </c>
      <c r="F28" s="45">
        <v>7.5</v>
      </c>
      <c r="G28" s="45">
        <v>7.5</v>
      </c>
      <c r="H28" s="45">
        <v>7.5</v>
      </c>
      <c r="I28" s="45">
        <v>7.5</v>
      </c>
      <c r="J28" s="45">
        <v>7.5</v>
      </c>
      <c r="K28" s="45">
        <v>7.5</v>
      </c>
      <c r="L28" s="45">
        <v>7.5</v>
      </c>
      <c r="M28" s="45">
        <v>7.5</v>
      </c>
      <c r="N28" s="45">
        <v>7.5</v>
      </c>
      <c r="O28" s="45">
        <v>7.5</v>
      </c>
      <c r="P28" s="45">
        <v>7.5</v>
      </c>
      <c r="Q28" s="45">
        <v>7.5</v>
      </c>
      <c r="R28" s="45">
        <v>7.5</v>
      </c>
      <c r="S28" s="45">
        <v>7.5</v>
      </c>
      <c r="T28" s="45">
        <v>7.5</v>
      </c>
      <c r="U28" s="45">
        <v>7.5</v>
      </c>
      <c r="V28" s="45">
        <v>7.5</v>
      </c>
      <c r="W28" s="45">
        <v>7.5</v>
      </c>
      <c r="X28" s="45">
        <v>7.5</v>
      </c>
      <c r="Y28" s="45">
        <v>7.5</v>
      </c>
      <c r="Z28" s="45">
        <v>7.5</v>
      </c>
      <c r="AA28" s="45">
        <v>7.5</v>
      </c>
      <c r="AB28" s="45">
        <v>7.5</v>
      </c>
      <c r="AC28" s="45">
        <v>7.5</v>
      </c>
      <c r="AD28" s="45">
        <v>7.5</v>
      </c>
      <c r="AE28" s="45">
        <v>7.5</v>
      </c>
      <c r="AF28" s="45">
        <v>7.5</v>
      </c>
      <c r="AG28" s="49">
        <v>25</v>
      </c>
      <c r="AH28" s="47">
        <f t="shared" si="2"/>
        <v>7.5</v>
      </c>
      <c r="AI28" s="48">
        <f t="shared" si="3"/>
        <v>7.5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9.6999999999999993</v>
      </c>
      <c r="C29" s="45">
        <v>9.6999999999999993</v>
      </c>
      <c r="D29" s="45">
        <v>9.6999999999999993</v>
      </c>
      <c r="E29" s="45">
        <v>9.6999999999999993</v>
      </c>
      <c r="F29" s="45">
        <v>9.6999999999999993</v>
      </c>
      <c r="G29" s="45">
        <v>9.6999999999999993</v>
      </c>
      <c r="H29" s="45">
        <v>9.6999999999999993</v>
      </c>
      <c r="I29" s="45">
        <v>9.6999999999999993</v>
      </c>
      <c r="J29" s="45">
        <v>9.6999999999999993</v>
      </c>
      <c r="K29" s="45">
        <v>9.6999999999999993</v>
      </c>
      <c r="L29" s="45">
        <v>9.6999999999999993</v>
      </c>
      <c r="M29" s="45">
        <v>9.6999999999999993</v>
      </c>
      <c r="N29" s="45">
        <v>9.6999999999999993</v>
      </c>
      <c r="O29" s="45">
        <v>9</v>
      </c>
      <c r="P29" s="45">
        <v>9</v>
      </c>
      <c r="Q29" s="45">
        <v>9</v>
      </c>
      <c r="R29" s="45">
        <v>9</v>
      </c>
      <c r="S29" s="45">
        <v>9</v>
      </c>
      <c r="T29" s="45">
        <v>9</v>
      </c>
      <c r="U29" s="45">
        <v>9</v>
      </c>
      <c r="V29" s="45">
        <v>9</v>
      </c>
      <c r="W29" s="45">
        <v>9</v>
      </c>
      <c r="X29" s="45">
        <v>9</v>
      </c>
      <c r="Y29" s="45">
        <v>9</v>
      </c>
      <c r="Z29" s="45">
        <v>9</v>
      </c>
      <c r="AA29" s="45">
        <v>9</v>
      </c>
      <c r="AB29" s="45">
        <v>9</v>
      </c>
      <c r="AC29" s="45">
        <v>9</v>
      </c>
      <c r="AD29" s="45">
        <v>9</v>
      </c>
      <c r="AE29" s="45">
        <v>9</v>
      </c>
      <c r="AF29" s="45">
        <v>9</v>
      </c>
      <c r="AG29" s="49">
        <v>25</v>
      </c>
      <c r="AH29" s="47">
        <f t="shared" si="2"/>
        <v>9.6999999999999993</v>
      </c>
      <c r="AI29" s="48">
        <f t="shared" si="3"/>
        <v>9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9.3000000000000007</v>
      </c>
      <c r="C30" s="45">
        <v>9.3000000000000007</v>
      </c>
      <c r="D30" s="45">
        <v>9.3000000000000007</v>
      </c>
      <c r="E30" s="45">
        <v>9.3000000000000007</v>
      </c>
      <c r="F30" s="45">
        <v>9.3000000000000007</v>
      </c>
      <c r="G30" s="45">
        <v>9.3000000000000007</v>
      </c>
      <c r="H30" s="45">
        <v>9.3000000000000007</v>
      </c>
      <c r="I30" s="45">
        <v>9.3000000000000007</v>
      </c>
      <c r="J30" s="45">
        <v>9.3000000000000007</v>
      </c>
      <c r="K30" s="45">
        <v>9.3000000000000007</v>
      </c>
      <c r="L30" s="45">
        <v>9.3000000000000007</v>
      </c>
      <c r="M30" s="45">
        <v>9.3000000000000007</v>
      </c>
      <c r="N30" s="45">
        <v>9.3000000000000007</v>
      </c>
      <c r="O30" s="45">
        <v>8.8000000000000007</v>
      </c>
      <c r="P30" s="45">
        <v>8.8000000000000007</v>
      </c>
      <c r="Q30" s="45">
        <v>8.8000000000000007</v>
      </c>
      <c r="R30" s="45">
        <v>8.8000000000000007</v>
      </c>
      <c r="S30" s="45">
        <v>8.8000000000000007</v>
      </c>
      <c r="T30" s="45">
        <v>8.8000000000000007</v>
      </c>
      <c r="U30" s="45">
        <v>8.8000000000000007</v>
      </c>
      <c r="V30" s="45">
        <v>8.8000000000000007</v>
      </c>
      <c r="W30" s="45">
        <v>8.8000000000000007</v>
      </c>
      <c r="X30" s="45">
        <v>8.8000000000000007</v>
      </c>
      <c r="Y30" s="45">
        <v>8.8000000000000007</v>
      </c>
      <c r="Z30" s="45">
        <v>8.8000000000000007</v>
      </c>
      <c r="AA30" s="45">
        <v>8.8000000000000007</v>
      </c>
      <c r="AB30" s="45">
        <v>8.8000000000000007</v>
      </c>
      <c r="AC30" s="45">
        <v>8.8000000000000007</v>
      </c>
      <c r="AD30" s="45">
        <v>8.8000000000000007</v>
      </c>
      <c r="AE30" s="45">
        <v>8.8000000000000007</v>
      </c>
      <c r="AF30" s="45">
        <v>8.8000000000000007</v>
      </c>
      <c r="AG30" s="49">
        <v>23.5</v>
      </c>
      <c r="AH30" s="47">
        <f t="shared" si="2"/>
        <v>9.3000000000000007</v>
      </c>
      <c r="AI30" s="48">
        <f t="shared" si="3"/>
        <v>8.8000000000000007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4.5</v>
      </c>
      <c r="C31" s="45">
        <v>4.5</v>
      </c>
      <c r="D31" s="45">
        <v>4.5</v>
      </c>
      <c r="E31" s="45">
        <v>4.5</v>
      </c>
      <c r="F31" s="45">
        <v>4.5</v>
      </c>
      <c r="G31" s="45">
        <v>4.5</v>
      </c>
      <c r="H31" s="45">
        <v>4.5</v>
      </c>
      <c r="I31" s="45">
        <v>4.5</v>
      </c>
      <c r="J31" s="45">
        <v>4.5</v>
      </c>
      <c r="K31" s="45">
        <v>4.5</v>
      </c>
      <c r="L31" s="45">
        <v>4.5</v>
      </c>
      <c r="M31" s="45">
        <v>4.5</v>
      </c>
      <c r="N31" s="45">
        <v>4.5</v>
      </c>
      <c r="O31" s="45">
        <v>4.5</v>
      </c>
      <c r="P31" s="45">
        <v>4.5</v>
      </c>
      <c r="Q31" s="45">
        <v>4.5</v>
      </c>
      <c r="R31" s="45">
        <v>4.5</v>
      </c>
      <c r="S31" s="45">
        <v>4.5</v>
      </c>
      <c r="T31" s="45">
        <v>4.5</v>
      </c>
      <c r="U31" s="45">
        <v>4.5</v>
      </c>
      <c r="V31" s="45">
        <v>4.5</v>
      </c>
      <c r="W31" s="45">
        <v>4.5</v>
      </c>
      <c r="X31" s="45">
        <v>4.5</v>
      </c>
      <c r="Y31" s="45">
        <v>4.5</v>
      </c>
      <c r="Z31" s="45">
        <v>4.5</v>
      </c>
      <c r="AA31" s="45">
        <v>4.5</v>
      </c>
      <c r="AB31" s="45">
        <v>4.5</v>
      </c>
      <c r="AC31" s="45">
        <v>4.5</v>
      </c>
      <c r="AD31" s="45">
        <v>4.5</v>
      </c>
      <c r="AE31" s="45">
        <v>4.5</v>
      </c>
      <c r="AF31" s="45">
        <v>4.5</v>
      </c>
      <c r="AG31" s="49">
        <v>22.2</v>
      </c>
      <c r="AH31" s="47">
        <f t="shared" si="2"/>
        <v>4.5</v>
      </c>
      <c r="AI31" s="48">
        <f t="shared" si="3"/>
        <v>4.5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>
        <v>5.5</v>
      </c>
      <c r="N32" s="45">
        <v>5.5</v>
      </c>
      <c r="O32" s="45">
        <v>5.5</v>
      </c>
      <c r="P32" s="45">
        <v>5.5</v>
      </c>
      <c r="Q32" s="45">
        <v>5.5</v>
      </c>
      <c r="R32" s="45">
        <v>5.5</v>
      </c>
      <c r="S32" s="45">
        <v>5.5</v>
      </c>
      <c r="T32" s="45">
        <v>5.5</v>
      </c>
      <c r="U32" s="45">
        <v>5.5</v>
      </c>
      <c r="V32" s="45">
        <v>5.5</v>
      </c>
      <c r="W32" s="45">
        <v>5.5</v>
      </c>
      <c r="X32" s="45">
        <v>5.5</v>
      </c>
      <c r="Y32" s="45">
        <v>5.5</v>
      </c>
      <c r="Z32" s="45">
        <v>5.5</v>
      </c>
      <c r="AA32" s="45">
        <v>5.5</v>
      </c>
      <c r="AB32" s="45">
        <v>5.5</v>
      </c>
      <c r="AC32" s="45">
        <v>5.5</v>
      </c>
      <c r="AD32" s="45">
        <v>5.5</v>
      </c>
      <c r="AE32" s="45">
        <v>5.5</v>
      </c>
      <c r="AF32" s="45">
        <v>5.5</v>
      </c>
      <c r="AG32" s="49">
        <v>22.1</v>
      </c>
      <c r="AH32" s="47">
        <f t="shared" si="2"/>
        <v>5.5</v>
      </c>
      <c r="AI32" s="48">
        <f t="shared" si="3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22</v>
      </c>
      <c r="AH33" s="47">
        <f t="shared" si="2"/>
        <v>6</v>
      </c>
      <c r="AI33" s="48">
        <f t="shared" si="3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11.3</v>
      </c>
      <c r="C34" s="45">
        <v>11.3</v>
      </c>
      <c r="D34" s="45">
        <v>11.3</v>
      </c>
      <c r="E34" s="45">
        <v>11.3</v>
      </c>
      <c r="F34" s="45">
        <v>11.3</v>
      </c>
      <c r="G34" s="45">
        <v>11.3</v>
      </c>
      <c r="H34" s="45">
        <v>11.3</v>
      </c>
      <c r="I34" s="45">
        <v>11.3</v>
      </c>
      <c r="J34" s="45">
        <v>11.3</v>
      </c>
      <c r="K34" s="45">
        <v>11.3</v>
      </c>
      <c r="L34" s="45">
        <v>11.3</v>
      </c>
      <c r="M34" s="45">
        <v>11.3</v>
      </c>
      <c r="N34" s="45">
        <v>11.3</v>
      </c>
      <c r="O34" s="45">
        <v>8.6999999999999993</v>
      </c>
      <c r="P34" s="45">
        <v>8.6999999999999993</v>
      </c>
      <c r="Q34" s="45">
        <v>8.6999999999999993</v>
      </c>
      <c r="R34" s="45">
        <v>8.6999999999999993</v>
      </c>
      <c r="S34" s="45">
        <v>8.6999999999999993</v>
      </c>
      <c r="T34" s="45">
        <v>8.6999999999999993</v>
      </c>
      <c r="U34" s="45">
        <v>8.6999999999999993</v>
      </c>
      <c r="V34" s="45">
        <v>8.6999999999999993</v>
      </c>
      <c r="W34" s="45">
        <v>8.6999999999999993</v>
      </c>
      <c r="X34" s="45">
        <v>8.6999999999999993</v>
      </c>
      <c r="Y34" s="45">
        <v>8.6999999999999993</v>
      </c>
      <c r="Z34" s="45">
        <v>8.6999999999999993</v>
      </c>
      <c r="AA34" s="45">
        <v>8.6999999999999993</v>
      </c>
      <c r="AB34" s="45">
        <v>8.6999999999999993</v>
      </c>
      <c r="AC34" s="45">
        <v>8.6999999999999993</v>
      </c>
      <c r="AD34" s="45">
        <v>8.6999999999999993</v>
      </c>
      <c r="AE34" s="45">
        <v>8.6999999999999993</v>
      </c>
      <c r="AF34" s="45">
        <v>8.6999999999999993</v>
      </c>
      <c r="AG34" s="49">
        <v>22</v>
      </c>
      <c r="AH34" s="47">
        <f t="shared" si="2"/>
        <v>11.3</v>
      </c>
      <c r="AI34" s="48">
        <f t="shared" si="3"/>
        <v>8.6999999999999993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6.5</v>
      </c>
      <c r="C35" s="45">
        <v>6.5</v>
      </c>
      <c r="D35" s="45">
        <v>6.5</v>
      </c>
      <c r="E35" s="45">
        <v>6.5</v>
      </c>
      <c r="F35" s="45">
        <v>6.5</v>
      </c>
      <c r="G35" s="45">
        <v>6.5</v>
      </c>
      <c r="H35" s="45">
        <v>6.5</v>
      </c>
      <c r="I35" s="45">
        <v>6.5</v>
      </c>
      <c r="J35" s="45">
        <v>6.5</v>
      </c>
      <c r="K35" s="45">
        <v>6.5</v>
      </c>
      <c r="L35" s="45">
        <v>6.5</v>
      </c>
      <c r="M35" s="45">
        <v>6.5</v>
      </c>
      <c r="N35" s="45">
        <v>6.5</v>
      </c>
      <c r="O35" s="45">
        <v>6.5</v>
      </c>
      <c r="P35" s="45">
        <v>6.5</v>
      </c>
      <c r="Q35" s="45">
        <v>6.5</v>
      </c>
      <c r="R35" s="45">
        <v>6.5</v>
      </c>
      <c r="S35" s="45">
        <v>6.5</v>
      </c>
      <c r="T35" s="45">
        <v>6.5</v>
      </c>
      <c r="U35" s="45">
        <v>6.5</v>
      </c>
      <c r="V35" s="45">
        <v>6.5</v>
      </c>
      <c r="W35" s="45">
        <v>6.5</v>
      </c>
      <c r="X35" s="45">
        <v>6.5</v>
      </c>
      <c r="Y35" s="45">
        <v>6.5</v>
      </c>
      <c r="Z35" s="45">
        <v>6.5</v>
      </c>
      <c r="AA35" s="45">
        <v>6.5</v>
      </c>
      <c r="AB35" s="45">
        <v>6.5</v>
      </c>
      <c r="AC35" s="45">
        <v>6.5</v>
      </c>
      <c r="AD35" s="45">
        <v>6.5</v>
      </c>
      <c r="AE35" s="45">
        <v>6.5</v>
      </c>
      <c r="AF35" s="45">
        <v>6.5</v>
      </c>
      <c r="AG35" s="49">
        <v>20</v>
      </c>
      <c r="AH35" s="47">
        <f t="shared" si="2"/>
        <v>6.5</v>
      </c>
      <c r="AI35" s="48">
        <f t="shared" si="3"/>
        <v>6.5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264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2"/>
        <v>4</v>
      </c>
      <c r="AI36" s="48">
        <f t="shared" si="3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5.5</v>
      </c>
      <c r="C37" s="45">
        <v>5.5</v>
      </c>
      <c r="D37" s="45">
        <v>5.5</v>
      </c>
      <c r="E37" s="45">
        <v>5.5</v>
      </c>
      <c r="F37" s="45">
        <v>5.5</v>
      </c>
      <c r="G37" s="45">
        <v>5.5</v>
      </c>
      <c r="H37" s="45">
        <v>5.5</v>
      </c>
      <c r="I37" s="45">
        <v>5.5</v>
      </c>
      <c r="J37" s="45">
        <v>5.5</v>
      </c>
      <c r="K37" s="45">
        <v>5.5</v>
      </c>
      <c r="L37" s="45">
        <v>5.5</v>
      </c>
      <c r="M37" s="45">
        <v>5.5</v>
      </c>
      <c r="N37" s="45">
        <v>5.5</v>
      </c>
      <c r="O37" s="45">
        <v>5.5</v>
      </c>
      <c r="P37" s="45">
        <v>5.5</v>
      </c>
      <c r="Q37" s="45">
        <v>5.5</v>
      </c>
      <c r="R37" s="45">
        <v>5.5</v>
      </c>
      <c r="S37" s="45">
        <v>5.5</v>
      </c>
      <c r="T37" s="45">
        <v>5.5</v>
      </c>
      <c r="U37" s="45">
        <v>5.5</v>
      </c>
      <c r="V37" s="45">
        <v>5.5</v>
      </c>
      <c r="W37" s="45">
        <v>5.5</v>
      </c>
      <c r="X37" s="45">
        <v>5.5</v>
      </c>
      <c r="Y37" s="45">
        <v>5.5</v>
      </c>
      <c r="Z37" s="45">
        <v>5.5</v>
      </c>
      <c r="AA37" s="45">
        <v>5.5</v>
      </c>
      <c r="AB37" s="45">
        <v>5.5</v>
      </c>
      <c r="AC37" s="45">
        <v>5.5</v>
      </c>
      <c r="AD37" s="45">
        <v>5.5</v>
      </c>
      <c r="AE37" s="45">
        <v>5.5</v>
      </c>
      <c r="AF37" s="45">
        <v>5.5</v>
      </c>
      <c r="AG37" s="49">
        <v>18</v>
      </c>
      <c r="AH37" s="47">
        <f t="shared" si="2"/>
        <v>5.5</v>
      </c>
      <c r="AI37" s="48">
        <f t="shared" si="3"/>
        <v>5.5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>
        <v>7.2</v>
      </c>
      <c r="N38" s="45">
        <v>7.2</v>
      </c>
      <c r="O38" s="45">
        <v>7.2</v>
      </c>
      <c r="P38" s="45">
        <v>7.2</v>
      </c>
      <c r="Q38" s="45">
        <v>7.2</v>
      </c>
      <c r="R38" s="45">
        <v>7.2</v>
      </c>
      <c r="S38" s="45">
        <v>7.2</v>
      </c>
      <c r="T38" s="45">
        <v>7.2</v>
      </c>
      <c r="U38" s="45">
        <v>7.2</v>
      </c>
      <c r="V38" s="45">
        <v>7.2</v>
      </c>
      <c r="W38" s="45">
        <v>7.2</v>
      </c>
      <c r="X38" s="45">
        <v>7.2</v>
      </c>
      <c r="Y38" s="45">
        <v>7.2</v>
      </c>
      <c r="Z38" s="45">
        <v>7.2</v>
      </c>
      <c r="AA38" s="45">
        <v>7.2</v>
      </c>
      <c r="AB38" s="45">
        <v>7.2</v>
      </c>
      <c r="AC38" s="45">
        <v>7.2</v>
      </c>
      <c r="AD38" s="45">
        <v>7.2</v>
      </c>
      <c r="AE38" s="45">
        <v>7.2</v>
      </c>
      <c r="AF38" s="45">
        <v>7.2</v>
      </c>
      <c r="AG38" s="49">
        <v>14.9</v>
      </c>
      <c r="AH38" s="47">
        <f t="shared" si="2"/>
        <v>7.2</v>
      </c>
      <c r="AI38" s="48">
        <f t="shared" si="3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265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2"/>
        <v>5</v>
      </c>
      <c r="AI40" s="48">
        <f t="shared" si="3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266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>
        <v>4</v>
      </c>
      <c r="N41" s="45">
        <v>4</v>
      </c>
      <c r="O41" s="45">
        <v>4</v>
      </c>
      <c r="P41" s="45">
        <v>4</v>
      </c>
      <c r="Q41" s="45">
        <v>4</v>
      </c>
      <c r="R41" s="45">
        <v>4</v>
      </c>
      <c r="S41" s="45">
        <v>4</v>
      </c>
      <c r="T41" s="45">
        <v>4</v>
      </c>
      <c r="U41" s="45">
        <v>4</v>
      </c>
      <c r="V41" s="45">
        <v>4</v>
      </c>
      <c r="W41" s="45">
        <v>4</v>
      </c>
      <c r="X41" s="45">
        <v>4</v>
      </c>
      <c r="Y41" s="45">
        <v>4</v>
      </c>
      <c r="Z41" s="45">
        <v>4</v>
      </c>
      <c r="AA41" s="45">
        <v>4</v>
      </c>
      <c r="AB41" s="45">
        <v>4</v>
      </c>
      <c r="AC41" s="45">
        <v>4</v>
      </c>
      <c r="AD41" s="45">
        <v>4</v>
      </c>
      <c r="AE41" s="45">
        <v>4</v>
      </c>
      <c r="AF41" s="45">
        <v>4</v>
      </c>
      <c r="AG41" s="49">
        <v>14.9</v>
      </c>
      <c r="AH41" s="47">
        <f t="shared" si="2"/>
        <v>4</v>
      </c>
      <c r="AI41" s="48">
        <f t="shared" si="3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2"/>
        <v>1.8</v>
      </c>
      <c r="AI42" s="48">
        <f t="shared" si="3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2"/>
        <v>3.8</v>
      </c>
      <c r="AI43" s="48">
        <f t="shared" si="3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4</v>
      </c>
      <c r="C44" s="45">
        <v>4</v>
      </c>
      <c r="D44" s="45">
        <v>4</v>
      </c>
      <c r="E44" s="45">
        <v>4</v>
      </c>
      <c r="F44" s="45">
        <v>4</v>
      </c>
      <c r="G44" s="45">
        <v>4</v>
      </c>
      <c r="H44" s="45">
        <v>4</v>
      </c>
      <c r="I44" s="45">
        <v>4</v>
      </c>
      <c r="J44" s="45">
        <v>4</v>
      </c>
      <c r="K44" s="45">
        <v>4</v>
      </c>
      <c r="L44" s="45">
        <v>4</v>
      </c>
      <c r="M44" s="45">
        <v>4</v>
      </c>
      <c r="N44" s="45">
        <v>4</v>
      </c>
      <c r="O44" s="45">
        <v>4</v>
      </c>
      <c r="P44" s="45">
        <v>4</v>
      </c>
      <c r="Q44" s="45">
        <v>4</v>
      </c>
      <c r="R44" s="45">
        <v>4</v>
      </c>
      <c r="S44" s="45">
        <v>4</v>
      </c>
      <c r="T44" s="45">
        <v>4</v>
      </c>
      <c r="U44" s="45">
        <v>4</v>
      </c>
      <c r="V44" s="45">
        <v>4</v>
      </c>
      <c r="W44" s="45">
        <v>4</v>
      </c>
      <c r="X44" s="45">
        <v>4</v>
      </c>
      <c r="Y44" s="45">
        <v>4</v>
      </c>
      <c r="Z44" s="45">
        <v>4</v>
      </c>
      <c r="AA44" s="45">
        <v>4</v>
      </c>
      <c r="AB44" s="45">
        <v>4</v>
      </c>
      <c r="AC44" s="45">
        <v>4</v>
      </c>
      <c r="AD44" s="45">
        <v>4</v>
      </c>
      <c r="AE44" s="45">
        <v>4</v>
      </c>
      <c r="AF44" s="45">
        <v>4</v>
      </c>
      <c r="AG44" s="49">
        <v>12</v>
      </c>
      <c r="AH44" s="47">
        <f t="shared" si="2"/>
        <v>4</v>
      </c>
      <c r="AI44" s="48">
        <f t="shared" si="3"/>
        <v>4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49">
        <v>12</v>
      </c>
      <c r="AH45" s="47">
        <f t="shared" si="2"/>
        <v>9</v>
      </c>
      <c r="AI45" s="48">
        <f t="shared" si="3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2"/>
        <v>3</v>
      </c>
      <c r="AI46" s="48">
        <f t="shared" si="3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2"/>
        <v>3.5</v>
      </c>
      <c r="AI47" s="48">
        <f t="shared" si="3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>
        <v>5</v>
      </c>
      <c r="N48" s="45">
        <v>5</v>
      </c>
      <c r="O48" s="45">
        <v>5</v>
      </c>
      <c r="P48" s="45">
        <v>5</v>
      </c>
      <c r="Q48" s="45">
        <v>5</v>
      </c>
      <c r="R48" s="45">
        <v>5</v>
      </c>
      <c r="S48" s="45">
        <v>5</v>
      </c>
      <c r="T48" s="45">
        <v>5</v>
      </c>
      <c r="U48" s="45">
        <v>5</v>
      </c>
      <c r="V48" s="45">
        <v>5</v>
      </c>
      <c r="W48" s="45">
        <v>5</v>
      </c>
      <c r="X48" s="45">
        <v>5</v>
      </c>
      <c r="Y48" s="45">
        <v>5</v>
      </c>
      <c r="Z48" s="45">
        <v>5</v>
      </c>
      <c r="AA48" s="45">
        <v>5</v>
      </c>
      <c r="AB48" s="45">
        <v>5</v>
      </c>
      <c r="AC48" s="45">
        <v>5</v>
      </c>
      <c r="AD48" s="45">
        <v>5</v>
      </c>
      <c r="AE48" s="45">
        <v>5</v>
      </c>
      <c r="AF48" s="45">
        <v>5</v>
      </c>
      <c r="AG48" s="52">
        <v>11.88</v>
      </c>
      <c r="AH48" s="47">
        <f t="shared" si="2"/>
        <v>5</v>
      </c>
      <c r="AI48" s="48">
        <f t="shared" si="3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>
        <v>3</v>
      </c>
      <c r="N49" s="45">
        <v>3</v>
      </c>
      <c r="O49" s="45">
        <v>3</v>
      </c>
      <c r="P49" s="45">
        <v>3</v>
      </c>
      <c r="Q49" s="45">
        <v>3</v>
      </c>
      <c r="R49" s="45">
        <v>3</v>
      </c>
      <c r="S49" s="45">
        <v>3</v>
      </c>
      <c r="T49" s="45">
        <v>3</v>
      </c>
      <c r="U49" s="45">
        <v>3</v>
      </c>
      <c r="V49" s="45">
        <v>3</v>
      </c>
      <c r="W49" s="45">
        <v>3</v>
      </c>
      <c r="X49" s="45">
        <v>3</v>
      </c>
      <c r="Y49" s="45">
        <v>3</v>
      </c>
      <c r="Z49" s="45">
        <v>3</v>
      </c>
      <c r="AA49" s="45">
        <v>3</v>
      </c>
      <c r="AB49" s="45">
        <v>3</v>
      </c>
      <c r="AC49" s="45">
        <v>3</v>
      </c>
      <c r="AD49" s="45">
        <v>3</v>
      </c>
      <c r="AE49" s="45">
        <v>3</v>
      </c>
      <c r="AF49" s="45">
        <v>3</v>
      </c>
      <c r="AG49" s="55">
        <v>11</v>
      </c>
      <c r="AH49" s="47">
        <f t="shared" si="2"/>
        <v>3</v>
      </c>
      <c r="AI49" s="48">
        <f t="shared" si="3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267</v>
      </c>
      <c r="B50" s="45">
        <v>3.3</v>
      </c>
      <c r="C50" s="45">
        <v>3.3</v>
      </c>
      <c r="D50" s="45">
        <v>3.3</v>
      </c>
      <c r="E50" s="45">
        <v>3.3</v>
      </c>
      <c r="F50" s="45">
        <v>3.3</v>
      </c>
      <c r="G50" s="45">
        <v>3.3</v>
      </c>
      <c r="H50" s="45">
        <v>3.3</v>
      </c>
      <c r="I50" s="45">
        <v>3.3</v>
      </c>
      <c r="J50" s="45">
        <v>3.3</v>
      </c>
      <c r="K50" s="45">
        <v>3.3</v>
      </c>
      <c r="L50" s="45">
        <v>3.3</v>
      </c>
      <c r="M50" s="45">
        <v>3.3</v>
      </c>
      <c r="N50" s="45">
        <v>3.3</v>
      </c>
      <c r="O50" s="45">
        <v>3.3</v>
      </c>
      <c r="P50" s="45">
        <v>3.3</v>
      </c>
      <c r="Q50" s="45">
        <v>3.3</v>
      </c>
      <c r="R50" s="45">
        <v>3.3</v>
      </c>
      <c r="S50" s="45">
        <v>3.3</v>
      </c>
      <c r="T50" s="45">
        <v>3.3</v>
      </c>
      <c r="U50" s="45">
        <v>3.3</v>
      </c>
      <c r="V50" s="45">
        <v>3.3</v>
      </c>
      <c r="W50" s="45">
        <v>3.3</v>
      </c>
      <c r="X50" s="45">
        <v>3.3</v>
      </c>
      <c r="Y50" s="45">
        <v>3.3</v>
      </c>
      <c r="Z50" s="45">
        <v>3.3</v>
      </c>
      <c r="AA50" s="45">
        <v>3.3</v>
      </c>
      <c r="AB50" s="45">
        <v>3.3</v>
      </c>
      <c r="AC50" s="45">
        <v>3.3</v>
      </c>
      <c r="AD50" s="45">
        <v>3.3</v>
      </c>
      <c r="AE50" s="45">
        <v>3.3</v>
      </c>
      <c r="AF50" s="45">
        <v>3.3</v>
      </c>
      <c r="AG50" s="55">
        <v>11</v>
      </c>
      <c r="AH50" s="47">
        <f t="shared" si="2"/>
        <v>3.3</v>
      </c>
      <c r="AI50" s="48">
        <f t="shared" si="3"/>
        <v>3.3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268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"/>
        <v>3</v>
      </c>
      <c r="AI51" s="48">
        <f t="shared" si="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2"/>
        <v>4</v>
      </c>
      <c r="AI52" s="48">
        <f t="shared" si="3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"/>
        <v>4.5</v>
      </c>
      <c r="AI53" s="48">
        <f t="shared" si="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269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"/>
        <v>0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175</v>
      </c>
      <c r="C56" s="57">
        <v>175</v>
      </c>
      <c r="D56" s="57">
        <v>175</v>
      </c>
      <c r="E56" s="57">
        <v>175</v>
      </c>
      <c r="F56" s="57">
        <v>175</v>
      </c>
      <c r="G56" s="57">
        <v>175</v>
      </c>
      <c r="H56" s="57">
        <v>175</v>
      </c>
      <c r="I56" s="57">
        <v>175</v>
      </c>
      <c r="J56" s="57">
        <v>175</v>
      </c>
      <c r="K56" s="57">
        <v>175</v>
      </c>
      <c r="L56" s="57">
        <v>175</v>
      </c>
      <c r="M56" s="57">
        <v>175</v>
      </c>
      <c r="N56" s="57">
        <v>175</v>
      </c>
      <c r="O56" s="57">
        <v>175</v>
      </c>
      <c r="P56" s="57">
        <v>175</v>
      </c>
      <c r="Q56" s="57">
        <v>175</v>
      </c>
      <c r="R56" s="57">
        <v>175</v>
      </c>
      <c r="S56" s="57">
        <v>175</v>
      </c>
      <c r="T56" s="57">
        <v>175</v>
      </c>
      <c r="U56" s="57">
        <v>175</v>
      </c>
      <c r="V56" s="57">
        <v>175</v>
      </c>
      <c r="W56" s="57">
        <v>175</v>
      </c>
      <c r="X56" s="57">
        <v>175</v>
      </c>
      <c r="Y56" s="57">
        <v>175</v>
      </c>
      <c r="Z56" s="57">
        <v>175</v>
      </c>
      <c r="AA56" s="57">
        <v>175</v>
      </c>
      <c r="AB56" s="57">
        <v>175</v>
      </c>
      <c r="AC56" s="57">
        <v>175</v>
      </c>
      <c r="AD56" s="57">
        <v>175</v>
      </c>
      <c r="AE56" s="57">
        <v>175</v>
      </c>
      <c r="AF56" s="57">
        <v>175</v>
      </c>
      <c r="AG56" s="55">
        <v>85</v>
      </c>
      <c r="AH56" s="47">
        <f t="shared" si="2"/>
        <v>175</v>
      </c>
      <c r="AI56" s="48">
        <f t="shared" si="3"/>
        <v>175</v>
      </c>
      <c r="AK56" s="50"/>
    </row>
    <row r="57" spans="1:88" ht="15.75" thickBot="1" x14ac:dyDescent="0.3">
      <c r="A57" s="58" t="s">
        <v>57</v>
      </c>
      <c r="B57" s="57"/>
      <c r="C57" s="57"/>
      <c r="D57" s="57"/>
      <c r="E57" s="57"/>
      <c r="F57" s="57"/>
      <c r="G57" s="57"/>
      <c r="H57" s="57"/>
      <c r="I57" s="57"/>
      <c r="J57" s="57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7"/>
      <c r="Y57" s="57"/>
      <c r="Z57" s="57"/>
      <c r="AA57" s="57"/>
      <c r="AB57" s="57"/>
      <c r="AC57" s="57"/>
      <c r="AD57" s="57"/>
      <c r="AE57" s="57"/>
      <c r="AF57" s="57"/>
      <c r="AG57" s="55">
        <v>240</v>
      </c>
      <c r="AH57" s="47">
        <f t="shared" si="2"/>
        <v>0</v>
      </c>
      <c r="AI57" s="48">
        <f t="shared" si="3"/>
        <v>0</v>
      </c>
      <c r="AK57" s="50"/>
    </row>
    <row r="58" spans="1:88" ht="15.75" thickBot="1" x14ac:dyDescent="0.3">
      <c r="A58" s="59" t="s">
        <v>58</v>
      </c>
      <c r="B58" s="60">
        <f t="shared" ref="B58:C58" si="4">SUM(B11:B56)</f>
        <v>556.20000000000005</v>
      </c>
      <c r="C58" s="60">
        <f t="shared" si="4"/>
        <v>556.20000000000005</v>
      </c>
      <c r="D58" s="60">
        <f t="shared" ref="D58:AF58" si="5">SUM(D11:D56)</f>
        <v>556.20000000000005</v>
      </c>
      <c r="E58" s="60">
        <f t="shared" si="5"/>
        <v>550.20000000000005</v>
      </c>
      <c r="F58" s="60">
        <f t="shared" si="5"/>
        <v>548.5</v>
      </c>
      <c r="G58" s="60">
        <f t="shared" si="5"/>
        <v>548.5</v>
      </c>
      <c r="H58" s="60">
        <f t="shared" si="5"/>
        <v>548.5</v>
      </c>
      <c r="I58" s="60">
        <f t="shared" si="5"/>
        <v>548.5</v>
      </c>
      <c r="J58" s="60">
        <f t="shared" si="5"/>
        <v>548.5</v>
      </c>
      <c r="K58" s="60">
        <f t="shared" si="5"/>
        <v>548.5</v>
      </c>
      <c r="L58" s="60">
        <f t="shared" si="5"/>
        <v>548.5</v>
      </c>
      <c r="M58" s="60">
        <f t="shared" ref="M58:N58" si="6">SUM(M11:M56)</f>
        <v>555.5</v>
      </c>
      <c r="N58" s="60">
        <f t="shared" si="6"/>
        <v>555.5</v>
      </c>
      <c r="O58" s="60">
        <f t="shared" ref="O58" si="7">SUM(O11:O56)</f>
        <v>546.6</v>
      </c>
      <c r="P58" s="60">
        <f t="shared" si="5"/>
        <v>546.6</v>
      </c>
      <c r="Q58" s="60">
        <f t="shared" si="5"/>
        <v>546.6</v>
      </c>
      <c r="R58" s="60">
        <f t="shared" ref="R58:AA58" si="8">SUM(R11:R56)</f>
        <v>546.6</v>
      </c>
      <c r="S58" s="60">
        <f t="shared" si="8"/>
        <v>546.6</v>
      </c>
      <c r="T58" s="60">
        <f t="shared" si="8"/>
        <v>546.6</v>
      </c>
      <c r="U58" s="60">
        <f t="shared" si="8"/>
        <v>546.6</v>
      </c>
      <c r="V58" s="60">
        <f t="shared" si="8"/>
        <v>546.6</v>
      </c>
      <c r="W58" s="60">
        <f t="shared" si="8"/>
        <v>546.6</v>
      </c>
      <c r="X58" s="60">
        <f t="shared" si="8"/>
        <v>546.6</v>
      </c>
      <c r="Y58" s="60">
        <f t="shared" si="8"/>
        <v>546.6</v>
      </c>
      <c r="Z58" s="60">
        <f t="shared" si="8"/>
        <v>546.6</v>
      </c>
      <c r="AA58" s="60">
        <f t="shared" si="8"/>
        <v>546.6</v>
      </c>
      <c r="AB58" s="60">
        <f t="shared" si="5"/>
        <v>546.6</v>
      </c>
      <c r="AC58" s="60">
        <f t="shared" si="5"/>
        <v>546.6</v>
      </c>
      <c r="AD58" s="60">
        <f t="shared" si="5"/>
        <v>546.6</v>
      </c>
      <c r="AE58" s="60">
        <f t="shared" si="5"/>
        <v>546.6</v>
      </c>
      <c r="AF58" s="60">
        <f t="shared" si="5"/>
        <v>546.6</v>
      </c>
      <c r="AG58" s="61">
        <f>SUM(AG14:AG56)</f>
        <v>1042.4000000000001</v>
      </c>
      <c r="AH58" s="47">
        <f t="shared" si="2"/>
        <v>556.20000000000005</v>
      </c>
      <c r="AI58" s="48">
        <f t="shared" si="3"/>
        <v>546.6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30</v>
      </c>
      <c r="K59" s="45">
        <v>45</v>
      </c>
      <c r="L59" s="45">
        <v>330</v>
      </c>
      <c r="M59" s="45">
        <v>400</v>
      </c>
      <c r="N59" s="45">
        <v>380</v>
      </c>
      <c r="O59" s="45">
        <v>270</v>
      </c>
      <c r="P59" s="63">
        <v>260</v>
      </c>
      <c r="Q59" s="63">
        <v>30</v>
      </c>
      <c r="R59" s="63">
        <v>15</v>
      </c>
      <c r="S59" s="63">
        <v>0</v>
      </c>
      <c r="T59" s="63">
        <v>0</v>
      </c>
      <c r="U59" s="63">
        <v>0</v>
      </c>
      <c r="V59" s="63">
        <v>0</v>
      </c>
      <c r="W59" s="63">
        <v>190</v>
      </c>
      <c r="X59" s="45">
        <v>310</v>
      </c>
      <c r="Y59" s="45">
        <v>310</v>
      </c>
      <c r="Z59" s="45">
        <v>270</v>
      </c>
      <c r="AA59" s="45">
        <v>220</v>
      </c>
      <c r="AB59" s="45">
        <v>90</v>
      </c>
      <c r="AC59" s="45">
        <v>90</v>
      </c>
      <c r="AD59" s="45">
        <v>90</v>
      </c>
      <c r="AE59" s="45">
        <v>0</v>
      </c>
      <c r="AF59" s="45">
        <v>0</v>
      </c>
      <c r="AG59" s="52">
        <v>456</v>
      </c>
      <c r="AH59" s="47">
        <f t="shared" si="2"/>
        <v>400</v>
      </c>
      <c r="AI59" s="48">
        <f t="shared" si="3"/>
        <v>0</v>
      </c>
      <c r="AK59" s="50"/>
    </row>
    <row r="60" spans="1:88" x14ac:dyDescent="0.25">
      <c r="A60" s="64" t="s">
        <v>60</v>
      </c>
      <c r="B60" s="65">
        <v>34</v>
      </c>
      <c r="C60" s="65">
        <v>34</v>
      </c>
      <c r="D60" s="65">
        <v>34</v>
      </c>
      <c r="E60" s="65">
        <v>34</v>
      </c>
      <c r="F60" s="65">
        <v>34</v>
      </c>
      <c r="G60" s="65">
        <v>34</v>
      </c>
      <c r="H60" s="65">
        <v>34</v>
      </c>
      <c r="I60" s="65">
        <v>36</v>
      </c>
      <c r="J60" s="65">
        <v>36</v>
      </c>
      <c r="K60" s="65">
        <v>36</v>
      </c>
      <c r="L60" s="65">
        <v>36</v>
      </c>
      <c r="M60" s="65">
        <v>36</v>
      </c>
      <c r="N60" s="65">
        <v>36</v>
      </c>
      <c r="O60" s="65">
        <v>36</v>
      </c>
      <c r="P60" s="65">
        <v>36</v>
      </c>
      <c r="Q60" s="65">
        <v>36</v>
      </c>
      <c r="R60" s="65">
        <v>36</v>
      </c>
      <c r="S60" s="65">
        <v>36</v>
      </c>
      <c r="T60" s="65">
        <v>36</v>
      </c>
      <c r="U60" s="65">
        <v>36</v>
      </c>
      <c r="V60" s="65">
        <v>36</v>
      </c>
      <c r="W60" s="65">
        <v>36</v>
      </c>
      <c r="X60" s="65">
        <v>36</v>
      </c>
      <c r="Y60" s="65">
        <v>36</v>
      </c>
      <c r="Z60" s="65">
        <v>36</v>
      </c>
      <c r="AA60" s="65">
        <v>36</v>
      </c>
      <c r="AB60" s="65">
        <v>36</v>
      </c>
      <c r="AC60" s="65">
        <v>36</v>
      </c>
      <c r="AD60" s="65">
        <v>36</v>
      </c>
      <c r="AE60" s="65">
        <v>36</v>
      </c>
      <c r="AF60" s="65">
        <v>36</v>
      </c>
      <c r="AG60" s="55">
        <v>60</v>
      </c>
      <c r="AH60" s="47">
        <f t="shared" si="2"/>
        <v>36</v>
      </c>
      <c r="AI60" s="48">
        <f t="shared" si="3"/>
        <v>34</v>
      </c>
      <c r="AK60" s="50"/>
    </row>
    <row r="61" spans="1:88" ht="15.75" thickBot="1" x14ac:dyDescent="0.3">
      <c r="A61" s="66" t="s">
        <v>61</v>
      </c>
      <c r="B61" s="67">
        <v>12.2</v>
      </c>
      <c r="C61" s="67">
        <v>12.2</v>
      </c>
      <c r="D61" s="67">
        <v>12.2</v>
      </c>
      <c r="E61" s="67">
        <v>12.1</v>
      </c>
      <c r="F61" s="67">
        <v>12.2</v>
      </c>
      <c r="G61" s="67">
        <v>12.1</v>
      </c>
      <c r="H61" s="67">
        <v>12.1</v>
      </c>
      <c r="I61" s="67">
        <v>12.1</v>
      </c>
      <c r="J61" s="67">
        <v>12.2</v>
      </c>
      <c r="K61" s="67">
        <v>12.2</v>
      </c>
      <c r="L61" s="67">
        <v>12.2</v>
      </c>
      <c r="M61" s="67">
        <v>12.2</v>
      </c>
      <c r="N61" s="67">
        <v>12.2</v>
      </c>
      <c r="O61" s="67">
        <v>12.2</v>
      </c>
      <c r="P61" s="67">
        <v>12.2</v>
      </c>
      <c r="Q61" s="67">
        <v>12.1</v>
      </c>
      <c r="R61" s="67">
        <v>7.1</v>
      </c>
      <c r="S61" s="67">
        <v>7.1</v>
      </c>
      <c r="T61" s="67">
        <v>7.1</v>
      </c>
      <c r="U61" s="67">
        <v>7.1</v>
      </c>
      <c r="V61" s="67">
        <v>7.1</v>
      </c>
      <c r="W61" s="67">
        <v>7.1</v>
      </c>
      <c r="X61" s="67">
        <v>7.1</v>
      </c>
      <c r="Y61" s="67">
        <v>7.1</v>
      </c>
      <c r="Z61" s="67">
        <v>7.1</v>
      </c>
      <c r="AA61" s="67">
        <v>7.1</v>
      </c>
      <c r="AB61" s="67">
        <v>7.1</v>
      </c>
      <c r="AC61" s="67">
        <v>7.1</v>
      </c>
      <c r="AD61" s="67">
        <v>7.1</v>
      </c>
      <c r="AE61" s="67">
        <v>7.1</v>
      </c>
      <c r="AF61" s="67">
        <v>7.1</v>
      </c>
      <c r="AG61" s="68">
        <v>22.1</v>
      </c>
      <c r="AH61" s="47">
        <f t="shared" si="2"/>
        <v>12.2</v>
      </c>
      <c r="AI61" s="48">
        <f t="shared" si="3"/>
        <v>7.1</v>
      </c>
      <c r="AK61" s="50"/>
    </row>
    <row r="62" spans="1:88" ht="15.75" thickBot="1" x14ac:dyDescent="0.3">
      <c r="A62" s="69" t="s">
        <v>62</v>
      </c>
      <c r="B62" s="60">
        <f t="shared" ref="B62:C62" si="9">SUM(B59:B61)</f>
        <v>46.2</v>
      </c>
      <c r="C62" s="60">
        <f t="shared" si="9"/>
        <v>46.2</v>
      </c>
      <c r="D62" s="60">
        <f t="shared" ref="D62:AG62" si="10">SUM(D59:D61)</f>
        <v>46.2</v>
      </c>
      <c r="E62" s="60">
        <f t="shared" si="10"/>
        <v>46.1</v>
      </c>
      <c r="F62" s="60">
        <f t="shared" si="10"/>
        <v>46.2</v>
      </c>
      <c r="G62" s="60">
        <f t="shared" si="10"/>
        <v>46.1</v>
      </c>
      <c r="H62" s="60">
        <f t="shared" si="10"/>
        <v>46.1</v>
      </c>
      <c r="I62" s="60">
        <f t="shared" si="10"/>
        <v>48.1</v>
      </c>
      <c r="J62" s="60">
        <f t="shared" si="10"/>
        <v>78.2</v>
      </c>
      <c r="K62" s="60">
        <f t="shared" si="10"/>
        <v>93.2</v>
      </c>
      <c r="L62" s="60">
        <f t="shared" si="10"/>
        <v>378.2</v>
      </c>
      <c r="M62" s="60">
        <f t="shared" ref="M62:N62" si="11">SUM(M59:M61)</f>
        <v>448.2</v>
      </c>
      <c r="N62" s="60">
        <f t="shared" si="11"/>
        <v>428.2</v>
      </c>
      <c r="O62" s="60">
        <f t="shared" ref="O62" si="12">SUM(O59:O61)</f>
        <v>318.2</v>
      </c>
      <c r="P62" s="60">
        <f t="shared" si="10"/>
        <v>308.2</v>
      </c>
      <c r="Q62" s="60">
        <f t="shared" si="10"/>
        <v>78.099999999999994</v>
      </c>
      <c r="R62" s="60">
        <f t="shared" ref="R62:AA62" si="13">SUM(R59:R61)</f>
        <v>58.1</v>
      </c>
      <c r="S62" s="60">
        <f t="shared" si="13"/>
        <v>43.1</v>
      </c>
      <c r="T62" s="60">
        <f t="shared" si="13"/>
        <v>43.1</v>
      </c>
      <c r="U62" s="60">
        <f t="shared" si="13"/>
        <v>43.1</v>
      </c>
      <c r="V62" s="60">
        <f t="shared" si="13"/>
        <v>43.1</v>
      </c>
      <c r="W62" s="60">
        <f t="shared" si="13"/>
        <v>233.1</v>
      </c>
      <c r="X62" s="60">
        <f t="shared" si="13"/>
        <v>353.1</v>
      </c>
      <c r="Y62" s="60">
        <f t="shared" si="13"/>
        <v>353.1</v>
      </c>
      <c r="Z62" s="60">
        <f t="shared" si="13"/>
        <v>313.10000000000002</v>
      </c>
      <c r="AA62" s="60">
        <f t="shared" si="13"/>
        <v>263.10000000000002</v>
      </c>
      <c r="AB62" s="60">
        <f t="shared" si="10"/>
        <v>133.1</v>
      </c>
      <c r="AC62" s="60">
        <f t="shared" si="10"/>
        <v>133.1</v>
      </c>
      <c r="AD62" s="60">
        <f t="shared" si="10"/>
        <v>133.1</v>
      </c>
      <c r="AE62" s="60">
        <f t="shared" si="10"/>
        <v>43.1</v>
      </c>
      <c r="AF62" s="60">
        <f t="shared" si="10"/>
        <v>43.1</v>
      </c>
      <c r="AG62" s="61">
        <f t="shared" si="10"/>
        <v>538.1</v>
      </c>
      <c r="AH62" s="47">
        <f t="shared" si="2"/>
        <v>448.2</v>
      </c>
      <c r="AI62" s="48">
        <f t="shared" si="3"/>
        <v>43.1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46</v>
      </c>
      <c r="J63" s="45">
        <v>80</v>
      </c>
      <c r="K63" s="45">
        <v>113.6</v>
      </c>
      <c r="L63" s="45">
        <v>120</v>
      </c>
      <c r="M63" s="45">
        <v>120</v>
      </c>
      <c r="N63" s="45">
        <v>144</v>
      </c>
      <c r="O63" s="45">
        <v>143.5</v>
      </c>
      <c r="P63" s="45">
        <v>143.5</v>
      </c>
      <c r="Q63" s="45">
        <v>140.5</v>
      </c>
      <c r="R63" s="45">
        <v>120</v>
      </c>
      <c r="S63" s="45">
        <v>61.1</v>
      </c>
      <c r="T63" s="45">
        <v>35.5</v>
      </c>
      <c r="U63" s="45">
        <v>0</v>
      </c>
      <c r="V63" s="45">
        <v>0</v>
      </c>
      <c r="W63" s="45">
        <v>24.8</v>
      </c>
      <c r="X63" s="45">
        <v>81</v>
      </c>
      <c r="Y63" s="45">
        <v>90</v>
      </c>
      <c r="Z63" s="45">
        <v>97.6</v>
      </c>
      <c r="AA63" s="45">
        <v>97.6</v>
      </c>
      <c r="AB63" s="45">
        <v>97.6</v>
      </c>
      <c r="AC63" s="45">
        <v>97.6</v>
      </c>
      <c r="AD63" s="45">
        <v>61.7</v>
      </c>
      <c r="AE63" s="45">
        <v>61.7</v>
      </c>
      <c r="AF63" s="45">
        <v>32.4</v>
      </c>
      <c r="AG63" s="52">
        <v>144</v>
      </c>
      <c r="AH63" s="47">
        <f t="shared" si="2"/>
        <v>144</v>
      </c>
      <c r="AI63" s="48">
        <f t="shared" si="3"/>
        <v>0</v>
      </c>
      <c r="AK63" s="50"/>
    </row>
    <row r="64" spans="1:88" x14ac:dyDescent="0.25">
      <c r="A64" s="54" t="s">
        <v>64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25</v>
      </c>
      <c r="J64" s="65">
        <v>0</v>
      </c>
      <c r="K64" s="65">
        <v>50</v>
      </c>
      <c r="L64" s="65">
        <v>57</v>
      </c>
      <c r="M64" s="65">
        <v>57</v>
      </c>
      <c r="N64" s="65">
        <v>70.900000000000006</v>
      </c>
      <c r="O64" s="65">
        <v>71.099999999999994</v>
      </c>
      <c r="P64" s="65">
        <v>70.400000000000006</v>
      </c>
      <c r="Q64" s="65">
        <v>70</v>
      </c>
      <c r="R64" s="65">
        <v>49</v>
      </c>
      <c r="S64" s="65">
        <v>34.799999999999997</v>
      </c>
      <c r="T64" s="65">
        <v>24.9</v>
      </c>
      <c r="U64" s="65">
        <v>24.9</v>
      </c>
      <c r="V64" s="65">
        <v>24.9</v>
      </c>
      <c r="W64" s="65">
        <v>34.5</v>
      </c>
      <c r="X64" s="45">
        <v>62.7</v>
      </c>
      <c r="Y64" s="45">
        <v>55.7</v>
      </c>
      <c r="Z64" s="45">
        <v>47.2</v>
      </c>
      <c r="AA64" s="45">
        <v>26.4</v>
      </c>
      <c r="AB64" s="45">
        <v>26.4</v>
      </c>
      <c r="AC64" s="45">
        <v>26.4</v>
      </c>
      <c r="AD64" s="45">
        <v>26.4</v>
      </c>
      <c r="AE64" s="45">
        <v>26.4</v>
      </c>
      <c r="AF64" s="45">
        <v>27</v>
      </c>
      <c r="AG64" s="55">
        <v>70</v>
      </c>
      <c r="AH64" s="47">
        <f t="shared" si="2"/>
        <v>71.099999999999994</v>
      </c>
      <c r="AI64" s="48">
        <f t="shared" si="3"/>
        <v>0</v>
      </c>
      <c r="AK64" s="50"/>
    </row>
    <row r="65" spans="1:41" x14ac:dyDescent="0.25">
      <c r="A65" s="54" t="s">
        <v>65</v>
      </c>
      <c r="B65" s="65">
        <v>16</v>
      </c>
      <c r="C65" s="65">
        <v>0</v>
      </c>
      <c r="D65" s="65">
        <v>0</v>
      </c>
      <c r="E65" s="65">
        <v>0</v>
      </c>
      <c r="F65" s="65">
        <v>0</v>
      </c>
      <c r="G65" s="65">
        <v>16</v>
      </c>
      <c r="H65" s="65">
        <v>22</v>
      </c>
      <c r="I65" s="65">
        <v>47.4</v>
      </c>
      <c r="J65" s="65">
        <v>60.5</v>
      </c>
      <c r="K65" s="65">
        <v>51.9</v>
      </c>
      <c r="L65" s="65">
        <v>51.9</v>
      </c>
      <c r="M65" s="65">
        <v>51.9</v>
      </c>
      <c r="N65" s="65">
        <v>68.2</v>
      </c>
      <c r="O65" s="65">
        <v>67.2</v>
      </c>
      <c r="P65" s="65">
        <v>66.099999999999994</v>
      </c>
      <c r="Q65" s="65">
        <v>65.599999999999994</v>
      </c>
      <c r="R65" s="65">
        <v>33.1</v>
      </c>
      <c r="S65" s="65">
        <v>21.5</v>
      </c>
      <c r="T65" s="65">
        <v>22.5</v>
      </c>
      <c r="U65" s="65">
        <v>22.5</v>
      </c>
      <c r="V65" s="65">
        <v>22.5</v>
      </c>
      <c r="W65" s="65">
        <v>28.2</v>
      </c>
      <c r="X65" s="45">
        <v>68</v>
      </c>
      <c r="Y65" s="45">
        <v>68</v>
      </c>
      <c r="Z65" s="45">
        <v>68</v>
      </c>
      <c r="AA65" s="45">
        <v>67.099999999999994</v>
      </c>
      <c r="AB65" s="45">
        <v>67.099999999999994</v>
      </c>
      <c r="AC65" s="45">
        <v>67.099999999999994</v>
      </c>
      <c r="AD65" s="45">
        <v>67.099999999999994</v>
      </c>
      <c r="AE65" s="45">
        <v>56</v>
      </c>
      <c r="AF65" s="45">
        <v>50.2</v>
      </c>
      <c r="AG65" s="55">
        <v>69</v>
      </c>
      <c r="AH65" s="47">
        <f t="shared" si="2"/>
        <v>68.2</v>
      </c>
      <c r="AI65" s="48">
        <f t="shared" si="3"/>
        <v>0</v>
      </c>
      <c r="AK65" s="50"/>
    </row>
    <row r="66" spans="1:41" x14ac:dyDescent="0.25">
      <c r="A66" s="54" t="s">
        <v>66</v>
      </c>
      <c r="B66" s="65">
        <v>50.4</v>
      </c>
      <c r="C66" s="65">
        <v>50.4</v>
      </c>
      <c r="D66" s="65">
        <v>49.1</v>
      </c>
      <c r="E66" s="65">
        <v>48.1</v>
      </c>
      <c r="F66" s="65">
        <v>48.1</v>
      </c>
      <c r="G66" s="65">
        <v>48.1</v>
      </c>
      <c r="H66" s="65">
        <v>48.1</v>
      </c>
      <c r="I66" s="65">
        <v>49.4</v>
      </c>
      <c r="J66" s="65">
        <v>49.4</v>
      </c>
      <c r="K66" s="57">
        <v>49.1</v>
      </c>
      <c r="L66" s="57">
        <v>49.4</v>
      </c>
      <c r="M66" s="65">
        <v>49.4</v>
      </c>
      <c r="N66" s="65">
        <v>47.8</v>
      </c>
      <c r="O66" s="65">
        <v>47.1</v>
      </c>
      <c r="P66" s="65">
        <v>48.1</v>
      </c>
      <c r="Q66" s="65">
        <v>48.1</v>
      </c>
      <c r="R66" s="65">
        <v>48.1</v>
      </c>
      <c r="S66" s="65">
        <v>48.1</v>
      </c>
      <c r="T66" s="65">
        <v>48.1</v>
      </c>
      <c r="U66" s="65">
        <v>48.1</v>
      </c>
      <c r="V66" s="65">
        <v>48.1</v>
      </c>
      <c r="W66" s="65">
        <v>48.1</v>
      </c>
      <c r="X66" s="45">
        <v>48.1</v>
      </c>
      <c r="Y66" s="45">
        <v>48.1</v>
      </c>
      <c r="Z66" s="45">
        <v>48.1</v>
      </c>
      <c r="AA66" s="45">
        <v>48.1</v>
      </c>
      <c r="AB66" s="45">
        <v>48.1</v>
      </c>
      <c r="AC66" s="45">
        <v>48.1</v>
      </c>
      <c r="AD66" s="45">
        <v>51.4</v>
      </c>
      <c r="AE66" s="45">
        <v>51.4</v>
      </c>
      <c r="AF66" s="45">
        <v>48.1</v>
      </c>
      <c r="AG66" s="55">
        <v>60</v>
      </c>
      <c r="AH66" s="47">
        <f t="shared" si="2"/>
        <v>51.4</v>
      </c>
      <c r="AI66" s="48">
        <f t="shared" si="3"/>
        <v>47.1</v>
      </c>
      <c r="AK66" s="50"/>
    </row>
    <row r="67" spans="1:41" x14ac:dyDescent="0.25">
      <c r="A67" s="54" t="s">
        <v>67</v>
      </c>
      <c r="B67" s="65">
        <v>0</v>
      </c>
      <c r="C67" s="65">
        <v>0</v>
      </c>
      <c r="D67" s="65">
        <v>0</v>
      </c>
      <c r="E67" s="65">
        <v>0</v>
      </c>
      <c r="F67" s="65">
        <v>0</v>
      </c>
      <c r="G67" s="65">
        <v>10</v>
      </c>
      <c r="H67" s="65">
        <v>15</v>
      </c>
      <c r="I67" s="65">
        <v>15</v>
      </c>
      <c r="J67" s="65">
        <v>29</v>
      </c>
      <c r="K67" s="57">
        <v>29</v>
      </c>
      <c r="L67" s="57">
        <v>29</v>
      </c>
      <c r="M67" s="65">
        <v>29</v>
      </c>
      <c r="N67" s="65">
        <v>28</v>
      </c>
      <c r="O67" s="65">
        <v>10</v>
      </c>
      <c r="P67" s="65">
        <v>10</v>
      </c>
      <c r="Q67" s="65">
        <v>10</v>
      </c>
      <c r="R67" s="65">
        <v>10</v>
      </c>
      <c r="S67" s="65">
        <v>10</v>
      </c>
      <c r="T67" s="65">
        <v>0</v>
      </c>
      <c r="U67" s="65">
        <v>0</v>
      </c>
      <c r="V67" s="65">
        <v>0</v>
      </c>
      <c r="W67" s="65">
        <v>15</v>
      </c>
      <c r="X67" s="45">
        <v>29</v>
      </c>
      <c r="Y67" s="45">
        <v>29</v>
      </c>
      <c r="Z67" s="45">
        <v>29</v>
      </c>
      <c r="AA67" s="45">
        <v>15</v>
      </c>
      <c r="AB67" s="45">
        <v>0</v>
      </c>
      <c r="AC67" s="45">
        <v>15</v>
      </c>
      <c r="AD67" s="45">
        <v>10</v>
      </c>
      <c r="AE67" s="45">
        <v>10</v>
      </c>
      <c r="AF67" s="45">
        <v>0</v>
      </c>
      <c r="AG67" s="55">
        <v>30</v>
      </c>
      <c r="AH67" s="47">
        <f t="shared" si="2"/>
        <v>29</v>
      </c>
      <c r="AI67" s="48">
        <f t="shared" si="3"/>
        <v>0</v>
      </c>
      <c r="AK67" s="50"/>
    </row>
    <row r="68" spans="1:41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65">
        <v>0</v>
      </c>
      <c r="L68" s="65">
        <v>0.4</v>
      </c>
      <c r="M68" s="65">
        <v>0.4</v>
      </c>
      <c r="N68" s="65">
        <v>3.9</v>
      </c>
      <c r="O68" s="65">
        <v>12.7</v>
      </c>
      <c r="P68" s="65">
        <v>16</v>
      </c>
      <c r="Q68" s="65">
        <v>16.5</v>
      </c>
      <c r="R68" s="65">
        <v>15.4</v>
      </c>
      <c r="S68" s="65">
        <v>11.5</v>
      </c>
      <c r="T68" s="65">
        <v>7.8</v>
      </c>
      <c r="U68" s="65">
        <v>3.2</v>
      </c>
      <c r="V68" s="65">
        <v>3.2</v>
      </c>
      <c r="W68" s="65">
        <v>0</v>
      </c>
      <c r="X68" s="45">
        <v>0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55">
        <v>25</v>
      </c>
      <c r="AH68" s="47">
        <f t="shared" si="2"/>
        <v>16.5</v>
      </c>
      <c r="AI68" s="48">
        <f t="shared" si="3"/>
        <v>0</v>
      </c>
      <c r="AK68" s="50"/>
    </row>
    <row r="69" spans="1:41" x14ac:dyDescent="0.25">
      <c r="A69" s="54" t="s">
        <v>69</v>
      </c>
      <c r="B69" s="65">
        <v>15</v>
      </c>
      <c r="C69" s="65">
        <v>15</v>
      </c>
      <c r="D69" s="65">
        <v>15</v>
      </c>
      <c r="E69" s="65">
        <v>15</v>
      </c>
      <c r="F69" s="65">
        <v>15</v>
      </c>
      <c r="G69" s="65">
        <v>15</v>
      </c>
      <c r="H69" s="65">
        <v>15</v>
      </c>
      <c r="I69" s="65">
        <v>15</v>
      </c>
      <c r="J69" s="65">
        <v>15</v>
      </c>
      <c r="K69" s="65">
        <v>15</v>
      </c>
      <c r="L69" s="65">
        <v>15</v>
      </c>
      <c r="M69" s="65">
        <v>15</v>
      </c>
      <c r="N69" s="65">
        <v>15</v>
      </c>
      <c r="O69" s="65">
        <v>15</v>
      </c>
      <c r="P69" s="65">
        <v>15</v>
      </c>
      <c r="Q69" s="65">
        <v>15</v>
      </c>
      <c r="R69" s="65">
        <v>15</v>
      </c>
      <c r="S69" s="65">
        <v>15</v>
      </c>
      <c r="T69" s="65">
        <v>15</v>
      </c>
      <c r="U69" s="65">
        <v>15</v>
      </c>
      <c r="V69" s="65">
        <v>15</v>
      </c>
      <c r="W69" s="65">
        <v>15</v>
      </c>
      <c r="X69" s="65">
        <v>15</v>
      </c>
      <c r="Y69" s="65">
        <v>15</v>
      </c>
      <c r="Z69" s="65">
        <v>15</v>
      </c>
      <c r="AA69" s="65">
        <v>15</v>
      </c>
      <c r="AB69" s="65">
        <v>15</v>
      </c>
      <c r="AC69" s="65">
        <v>15</v>
      </c>
      <c r="AD69" s="65">
        <v>15</v>
      </c>
      <c r="AE69" s="65">
        <v>15</v>
      </c>
      <c r="AF69" s="65">
        <v>15</v>
      </c>
      <c r="AG69" s="55">
        <v>24</v>
      </c>
      <c r="AH69" s="47">
        <f t="shared" si="2"/>
        <v>15</v>
      </c>
      <c r="AI69" s="48">
        <f t="shared" si="3"/>
        <v>15</v>
      </c>
      <c r="AK69" s="50"/>
    </row>
    <row r="70" spans="1:41" x14ac:dyDescent="0.25">
      <c r="A70" s="54" t="s">
        <v>70</v>
      </c>
      <c r="B70" s="65">
        <v>4.5</v>
      </c>
      <c r="C70" s="65">
        <v>4.5</v>
      </c>
      <c r="D70" s="65">
        <v>4.5</v>
      </c>
      <c r="E70" s="65">
        <v>4.5</v>
      </c>
      <c r="F70" s="65">
        <v>4.5</v>
      </c>
      <c r="G70" s="65">
        <v>4.5</v>
      </c>
      <c r="H70" s="65">
        <v>4.5</v>
      </c>
      <c r="I70" s="65">
        <v>4.5</v>
      </c>
      <c r="J70" s="65">
        <v>4.5</v>
      </c>
      <c r="K70" s="65">
        <v>4.5</v>
      </c>
      <c r="L70" s="65">
        <v>4.5</v>
      </c>
      <c r="M70" s="65">
        <v>4.5</v>
      </c>
      <c r="N70" s="65">
        <v>4.5</v>
      </c>
      <c r="O70" s="65">
        <v>4.5</v>
      </c>
      <c r="P70" s="65">
        <v>4.5</v>
      </c>
      <c r="Q70" s="65">
        <v>4.5</v>
      </c>
      <c r="R70" s="65">
        <v>4.5</v>
      </c>
      <c r="S70" s="65">
        <v>4.5</v>
      </c>
      <c r="T70" s="65">
        <v>4.5</v>
      </c>
      <c r="U70" s="65">
        <v>4.5</v>
      </c>
      <c r="V70" s="65">
        <v>4.5</v>
      </c>
      <c r="W70" s="65">
        <v>4.5</v>
      </c>
      <c r="X70" s="65">
        <v>4.5</v>
      </c>
      <c r="Y70" s="65">
        <v>4.5</v>
      </c>
      <c r="Z70" s="65">
        <v>4.5</v>
      </c>
      <c r="AA70" s="65">
        <v>4.5</v>
      </c>
      <c r="AB70" s="65">
        <v>4.5</v>
      </c>
      <c r="AC70" s="65">
        <v>4.5</v>
      </c>
      <c r="AD70" s="65">
        <v>4.5</v>
      </c>
      <c r="AE70" s="65">
        <v>4.5</v>
      </c>
      <c r="AF70" s="65">
        <v>4.5</v>
      </c>
      <c r="AG70" s="55">
        <v>15</v>
      </c>
      <c r="AH70" s="47">
        <f t="shared" si="2"/>
        <v>4.5</v>
      </c>
      <c r="AI70" s="48">
        <f t="shared" si="3"/>
        <v>4.5</v>
      </c>
      <c r="AK70" s="50"/>
      <c r="AL70" s="70"/>
      <c r="AO70" s="70"/>
    </row>
    <row r="71" spans="1:41" s="70" customFormat="1" x14ac:dyDescent="0.25">
      <c r="A71" s="54" t="s">
        <v>71</v>
      </c>
      <c r="B71" s="65">
        <v>9.9</v>
      </c>
      <c r="C71" s="65">
        <v>9.9</v>
      </c>
      <c r="D71" s="65">
        <v>9.9</v>
      </c>
      <c r="E71" s="65">
        <v>9.9</v>
      </c>
      <c r="F71" s="65">
        <v>9.9</v>
      </c>
      <c r="G71" s="65">
        <v>9.9</v>
      </c>
      <c r="H71" s="65">
        <v>9.9</v>
      </c>
      <c r="I71" s="65">
        <v>9.9</v>
      </c>
      <c r="J71" s="65">
        <v>9.9</v>
      </c>
      <c r="K71" s="65">
        <v>9.9</v>
      </c>
      <c r="L71" s="65">
        <v>9.9</v>
      </c>
      <c r="M71" s="65">
        <v>9.9</v>
      </c>
      <c r="N71" s="65">
        <v>9.9</v>
      </c>
      <c r="O71" s="65">
        <v>10</v>
      </c>
      <c r="P71" s="65">
        <v>10</v>
      </c>
      <c r="Q71" s="65">
        <v>10</v>
      </c>
      <c r="R71" s="65">
        <v>10</v>
      </c>
      <c r="S71" s="65">
        <v>10</v>
      </c>
      <c r="T71" s="65">
        <v>10</v>
      </c>
      <c r="U71" s="65">
        <v>10</v>
      </c>
      <c r="V71" s="65">
        <v>10</v>
      </c>
      <c r="W71" s="65">
        <v>10</v>
      </c>
      <c r="X71" s="65">
        <v>10</v>
      </c>
      <c r="Y71" s="65">
        <v>10</v>
      </c>
      <c r="Z71" s="65">
        <v>10</v>
      </c>
      <c r="AA71" s="65">
        <v>10</v>
      </c>
      <c r="AB71" s="65">
        <v>10</v>
      </c>
      <c r="AC71" s="65">
        <v>10</v>
      </c>
      <c r="AD71" s="65">
        <v>10</v>
      </c>
      <c r="AE71" s="65">
        <v>10</v>
      </c>
      <c r="AF71" s="65">
        <v>10</v>
      </c>
      <c r="AG71" s="55">
        <v>14.1</v>
      </c>
      <c r="AH71" s="47">
        <f t="shared" si="2"/>
        <v>10</v>
      </c>
      <c r="AI71" s="48">
        <f t="shared" si="3"/>
        <v>9.9</v>
      </c>
      <c r="AJ71" s="1"/>
      <c r="AK71" s="50"/>
      <c r="AL71" s="1"/>
      <c r="AM71" s="1"/>
      <c r="AN71" s="1"/>
      <c r="AO71" s="1"/>
    </row>
    <row r="72" spans="1:41" x14ac:dyDescent="0.25">
      <c r="A72" s="71" t="s">
        <v>72</v>
      </c>
      <c r="B72" s="65">
        <v>4.7</v>
      </c>
      <c r="C72" s="65">
        <v>4.7</v>
      </c>
      <c r="D72" s="65">
        <v>4.7</v>
      </c>
      <c r="E72" s="65">
        <v>5</v>
      </c>
      <c r="F72" s="65">
        <v>5</v>
      </c>
      <c r="G72" s="65">
        <v>5</v>
      </c>
      <c r="H72" s="65">
        <v>5</v>
      </c>
      <c r="I72" s="65">
        <v>5</v>
      </c>
      <c r="J72" s="65">
        <v>5</v>
      </c>
      <c r="K72" s="65">
        <v>5.2</v>
      </c>
      <c r="L72" s="65">
        <v>5.2</v>
      </c>
      <c r="M72" s="65">
        <v>5.2</v>
      </c>
      <c r="N72" s="65">
        <v>5.2</v>
      </c>
      <c r="O72" s="65">
        <v>4.5999999999999996</v>
      </c>
      <c r="P72" s="65">
        <v>4.5999999999999996</v>
      </c>
      <c r="Q72" s="65">
        <v>4.5999999999999996</v>
      </c>
      <c r="R72" s="65">
        <v>4.5999999999999996</v>
      </c>
      <c r="S72" s="65">
        <v>4.5999999999999996</v>
      </c>
      <c r="T72" s="65">
        <v>4.5999999999999996</v>
      </c>
      <c r="U72" s="65">
        <v>4.5999999999999996</v>
      </c>
      <c r="V72" s="65">
        <v>4.5999999999999996</v>
      </c>
      <c r="W72" s="65">
        <v>4.5999999999999996</v>
      </c>
      <c r="X72" s="65">
        <v>4.5999999999999996</v>
      </c>
      <c r="Y72" s="65">
        <v>4.5999999999999996</v>
      </c>
      <c r="Z72" s="65">
        <v>4.5999999999999996</v>
      </c>
      <c r="AA72" s="65">
        <v>4.5999999999999996</v>
      </c>
      <c r="AB72" s="65">
        <v>4.5999999999999996</v>
      </c>
      <c r="AC72" s="65">
        <v>4.5999999999999996</v>
      </c>
      <c r="AD72" s="65">
        <v>4.5999999999999996</v>
      </c>
      <c r="AE72" s="65">
        <v>4.5999999999999996</v>
      </c>
      <c r="AF72" s="65">
        <v>4.5999999999999996</v>
      </c>
      <c r="AG72" s="55">
        <v>14</v>
      </c>
      <c r="AH72" s="47">
        <f t="shared" si="2"/>
        <v>5.2</v>
      </c>
      <c r="AI72" s="48">
        <f t="shared" si="3"/>
        <v>4.5999999999999996</v>
      </c>
      <c r="AK72" s="50"/>
    </row>
    <row r="73" spans="1:41" x14ac:dyDescent="0.25">
      <c r="A73" s="54" t="s">
        <v>73</v>
      </c>
      <c r="B73" s="65">
        <v>5</v>
      </c>
      <c r="C73" s="65">
        <v>5</v>
      </c>
      <c r="D73" s="65">
        <v>5</v>
      </c>
      <c r="E73" s="65">
        <v>5</v>
      </c>
      <c r="F73" s="65">
        <v>5</v>
      </c>
      <c r="G73" s="65">
        <v>5</v>
      </c>
      <c r="H73" s="65">
        <v>5</v>
      </c>
      <c r="I73" s="65">
        <v>5</v>
      </c>
      <c r="J73" s="65">
        <v>5</v>
      </c>
      <c r="K73" s="65">
        <v>5</v>
      </c>
      <c r="L73" s="65">
        <v>5</v>
      </c>
      <c r="M73" s="65">
        <v>5</v>
      </c>
      <c r="N73" s="65">
        <v>5</v>
      </c>
      <c r="O73" s="65">
        <v>5</v>
      </c>
      <c r="P73" s="65">
        <v>5</v>
      </c>
      <c r="Q73" s="65">
        <v>5</v>
      </c>
      <c r="R73" s="65">
        <v>5</v>
      </c>
      <c r="S73" s="65">
        <v>5</v>
      </c>
      <c r="T73" s="65">
        <v>5</v>
      </c>
      <c r="U73" s="65">
        <v>5</v>
      </c>
      <c r="V73" s="65">
        <v>5</v>
      </c>
      <c r="W73" s="65">
        <v>5</v>
      </c>
      <c r="X73" s="65">
        <v>5</v>
      </c>
      <c r="Y73" s="65">
        <v>5</v>
      </c>
      <c r="Z73" s="65">
        <v>5</v>
      </c>
      <c r="AA73" s="65">
        <v>5</v>
      </c>
      <c r="AB73" s="65">
        <v>5</v>
      </c>
      <c r="AC73" s="65">
        <v>5</v>
      </c>
      <c r="AD73" s="65">
        <v>5</v>
      </c>
      <c r="AE73" s="65">
        <v>5</v>
      </c>
      <c r="AF73" s="65">
        <v>5</v>
      </c>
      <c r="AG73" s="55">
        <v>10.050000000000001</v>
      </c>
      <c r="AH73" s="47">
        <f t="shared" si="2"/>
        <v>5</v>
      </c>
      <c r="AI73" s="48">
        <f t="shared" si="3"/>
        <v>5</v>
      </c>
      <c r="AK73" s="50"/>
    </row>
    <row r="74" spans="1:41" x14ac:dyDescent="0.25">
      <c r="A74" s="54" t="s">
        <v>74</v>
      </c>
      <c r="B74" s="65">
        <v>3</v>
      </c>
      <c r="C74" s="65">
        <v>3</v>
      </c>
      <c r="D74" s="65">
        <v>3</v>
      </c>
      <c r="E74" s="65">
        <v>3</v>
      </c>
      <c r="F74" s="65">
        <v>3</v>
      </c>
      <c r="G74" s="65">
        <v>3</v>
      </c>
      <c r="H74" s="65">
        <v>3</v>
      </c>
      <c r="I74" s="65">
        <v>3</v>
      </c>
      <c r="J74" s="65">
        <v>3</v>
      </c>
      <c r="K74" s="65">
        <v>3</v>
      </c>
      <c r="L74" s="65">
        <v>3</v>
      </c>
      <c r="M74" s="65">
        <v>3</v>
      </c>
      <c r="N74" s="65">
        <v>3</v>
      </c>
      <c r="O74" s="65">
        <v>3</v>
      </c>
      <c r="P74" s="65">
        <v>3</v>
      </c>
      <c r="Q74" s="65">
        <v>3</v>
      </c>
      <c r="R74" s="65">
        <v>3</v>
      </c>
      <c r="S74" s="65">
        <v>3</v>
      </c>
      <c r="T74" s="65">
        <v>3</v>
      </c>
      <c r="U74" s="65">
        <v>3</v>
      </c>
      <c r="V74" s="65">
        <v>3</v>
      </c>
      <c r="W74" s="65">
        <v>3</v>
      </c>
      <c r="X74" s="65">
        <v>3</v>
      </c>
      <c r="Y74" s="65">
        <v>3</v>
      </c>
      <c r="Z74" s="65">
        <v>3</v>
      </c>
      <c r="AA74" s="65">
        <v>3</v>
      </c>
      <c r="AB74" s="65">
        <v>3</v>
      </c>
      <c r="AC74" s="65">
        <v>3</v>
      </c>
      <c r="AD74" s="65">
        <v>3</v>
      </c>
      <c r="AE74" s="65">
        <v>3</v>
      </c>
      <c r="AF74" s="65">
        <v>3</v>
      </c>
      <c r="AG74" s="55">
        <v>6.2</v>
      </c>
      <c r="AH74" s="47">
        <f t="shared" si="2"/>
        <v>3</v>
      </c>
      <c r="AI74" s="48">
        <f t="shared" si="3"/>
        <v>3</v>
      </c>
      <c r="AK74" s="50"/>
    </row>
    <row r="75" spans="1:41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3.54</v>
      </c>
      <c r="Z75" s="72">
        <v>3.54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2"/>
        <v>3.54</v>
      </c>
      <c r="AI75" s="48">
        <f t="shared" si="3"/>
        <v>3.54</v>
      </c>
      <c r="AK75" s="50"/>
    </row>
    <row r="76" spans="1:41" ht="15.75" thickBot="1" x14ac:dyDescent="0.3">
      <c r="A76" s="74" t="s">
        <v>76</v>
      </c>
      <c r="B76" s="60">
        <f t="shared" ref="B76:C76" si="14">SUM(B63:B75)</f>
        <v>112.04000000000002</v>
      </c>
      <c r="C76" s="60">
        <f t="shared" si="14"/>
        <v>96.04000000000002</v>
      </c>
      <c r="D76" s="60">
        <f t="shared" ref="D76:AG76" si="15">SUM(D63:D75)</f>
        <v>94.740000000000009</v>
      </c>
      <c r="E76" s="60">
        <f t="shared" si="15"/>
        <v>94.04</v>
      </c>
      <c r="F76" s="60">
        <f t="shared" si="15"/>
        <v>94.04</v>
      </c>
      <c r="G76" s="60">
        <f t="shared" si="15"/>
        <v>120.04</v>
      </c>
      <c r="H76" s="60">
        <f t="shared" si="15"/>
        <v>131.04</v>
      </c>
      <c r="I76" s="60">
        <f t="shared" si="15"/>
        <v>228.74</v>
      </c>
      <c r="J76" s="60">
        <f t="shared" si="15"/>
        <v>264.84000000000003</v>
      </c>
      <c r="K76" s="60">
        <f t="shared" si="15"/>
        <v>339.74</v>
      </c>
      <c r="L76" s="60">
        <f t="shared" si="15"/>
        <v>353.84</v>
      </c>
      <c r="M76" s="60">
        <f t="shared" si="15"/>
        <v>353.84</v>
      </c>
      <c r="N76" s="60">
        <f t="shared" ref="N76:O76" si="16">SUM(N63:N75)</f>
        <v>408.94</v>
      </c>
      <c r="O76" s="60">
        <f t="shared" si="16"/>
        <v>397.24000000000007</v>
      </c>
      <c r="P76" s="60">
        <f t="shared" si="15"/>
        <v>399.74000000000007</v>
      </c>
      <c r="Q76" s="60">
        <f t="shared" si="15"/>
        <v>396.34000000000009</v>
      </c>
      <c r="R76" s="60">
        <f t="shared" ref="R76:AA76" si="17">SUM(R63:R75)</f>
        <v>321.24</v>
      </c>
      <c r="S76" s="60">
        <f t="shared" si="17"/>
        <v>232.64</v>
      </c>
      <c r="T76" s="60">
        <f t="shared" si="17"/>
        <v>184.44</v>
      </c>
      <c r="U76" s="60">
        <f t="shared" si="17"/>
        <v>144.33999999999997</v>
      </c>
      <c r="V76" s="60">
        <f t="shared" si="17"/>
        <v>144.33999999999997</v>
      </c>
      <c r="W76" s="60">
        <f t="shared" si="17"/>
        <v>196.23999999999998</v>
      </c>
      <c r="X76" s="60">
        <f t="shared" si="17"/>
        <v>334.44000000000005</v>
      </c>
      <c r="Y76" s="60">
        <f t="shared" si="17"/>
        <v>336.44000000000005</v>
      </c>
      <c r="Z76" s="60">
        <f t="shared" si="17"/>
        <v>335.54000000000008</v>
      </c>
      <c r="AA76" s="60">
        <f t="shared" si="17"/>
        <v>299.84000000000003</v>
      </c>
      <c r="AB76" s="60">
        <f t="shared" si="15"/>
        <v>284.84000000000003</v>
      </c>
      <c r="AC76" s="60">
        <f t="shared" si="15"/>
        <v>299.84000000000003</v>
      </c>
      <c r="AD76" s="60">
        <f t="shared" si="15"/>
        <v>262.24</v>
      </c>
      <c r="AE76" s="60">
        <f t="shared" si="15"/>
        <v>251.14</v>
      </c>
      <c r="AF76" s="60">
        <f t="shared" si="15"/>
        <v>203.33999999999997</v>
      </c>
      <c r="AG76" s="61">
        <f t="shared" si="15"/>
        <v>489.91</v>
      </c>
      <c r="AH76" s="47">
        <f t="shared" si="2"/>
        <v>408.94</v>
      </c>
      <c r="AI76" s="48">
        <f t="shared" si="3"/>
        <v>94.04</v>
      </c>
      <c r="AK76" s="50"/>
    </row>
    <row r="77" spans="1:41" x14ac:dyDescent="0.25">
      <c r="A77" s="44" t="s">
        <v>77</v>
      </c>
      <c r="B77" s="45">
        <v>0</v>
      </c>
      <c r="C77" s="45">
        <v>0</v>
      </c>
      <c r="D77" s="4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20</v>
      </c>
      <c r="K77" s="45">
        <v>13.7</v>
      </c>
      <c r="L77" s="45">
        <v>0</v>
      </c>
      <c r="M77" s="45">
        <v>0</v>
      </c>
      <c r="N77" s="45">
        <v>0</v>
      </c>
      <c r="O77" s="45">
        <v>0</v>
      </c>
      <c r="P77" s="45"/>
      <c r="Q77" s="45"/>
      <c r="R77" s="45">
        <v>59.8</v>
      </c>
      <c r="S77" s="45">
        <v>59.8</v>
      </c>
      <c r="T77" s="45">
        <v>59.8</v>
      </c>
      <c r="U77" s="45">
        <v>59.8</v>
      </c>
      <c r="V77" s="45">
        <v>59.8</v>
      </c>
      <c r="W77" s="45">
        <v>59.8</v>
      </c>
      <c r="X77" s="45">
        <v>59.8</v>
      </c>
      <c r="Y77" s="45">
        <v>59.8</v>
      </c>
      <c r="Z77" s="45">
        <v>59.8</v>
      </c>
      <c r="AA77" s="45">
        <v>59.8</v>
      </c>
      <c r="AB77" s="45">
        <v>59.8</v>
      </c>
      <c r="AC77" s="45">
        <v>59.8</v>
      </c>
      <c r="AD77" s="45">
        <v>40.200000000000003</v>
      </c>
      <c r="AE77" s="45">
        <v>0</v>
      </c>
      <c r="AF77" s="45">
        <v>0</v>
      </c>
      <c r="AG77" s="52">
        <v>60</v>
      </c>
      <c r="AH77" s="47">
        <f t="shared" si="2"/>
        <v>59.8</v>
      </c>
      <c r="AI77" s="48">
        <f t="shared" si="3"/>
        <v>0</v>
      </c>
      <c r="AK77" s="50"/>
    </row>
    <row r="78" spans="1:41" x14ac:dyDescent="0.25">
      <c r="A78" s="54" t="s">
        <v>78</v>
      </c>
      <c r="B78" s="65">
        <v>0</v>
      </c>
      <c r="C78" s="65">
        <v>0</v>
      </c>
      <c r="D78" s="65">
        <v>0</v>
      </c>
      <c r="E78" s="65">
        <v>0</v>
      </c>
      <c r="F78" s="65">
        <v>0</v>
      </c>
      <c r="G78" s="65">
        <v>0</v>
      </c>
      <c r="H78" s="65">
        <v>0</v>
      </c>
      <c r="I78" s="65">
        <v>0</v>
      </c>
      <c r="J78" s="65">
        <v>7.7</v>
      </c>
      <c r="K78" s="65">
        <v>4.9000000000000004</v>
      </c>
      <c r="L78" s="65">
        <v>4.9000000000000004</v>
      </c>
      <c r="M78" s="65">
        <v>0</v>
      </c>
      <c r="N78" s="65">
        <v>0</v>
      </c>
      <c r="O78" s="65">
        <v>0</v>
      </c>
      <c r="P78" s="65"/>
      <c r="Q78" s="65"/>
      <c r="R78" s="65">
        <v>27.8</v>
      </c>
      <c r="S78" s="65">
        <v>27.8</v>
      </c>
      <c r="T78" s="65">
        <v>27.8</v>
      </c>
      <c r="U78" s="65">
        <v>27.8</v>
      </c>
      <c r="V78" s="65">
        <v>27.8</v>
      </c>
      <c r="W78" s="65">
        <v>27.8</v>
      </c>
      <c r="X78" s="65">
        <v>27.8</v>
      </c>
      <c r="Y78" s="65">
        <v>27.8</v>
      </c>
      <c r="Z78" s="65">
        <v>27.8</v>
      </c>
      <c r="AA78" s="65">
        <v>27.8</v>
      </c>
      <c r="AB78" s="65">
        <v>27.8</v>
      </c>
      <c r="AC78" s="65">
        <v>27.8</v>
      </c>
      <c r="AD78" s="65">
        <v>18.3</v>
      </c>
      <c r="AE78" s="65">
        <v>3.8</v>
      </c>
      <c r="AF78" s="65">
        <v>0</v>
      </c>
      <c r="AG78" s="55">
        <v>32</v>
      </c>
      <c r="AH78" s="47">
        <f t="shared" si="2"/>
        <v>27.8</v>
      </c>
      <c r="AI78" s="48">
        <f t="shared" si="3"/>
        <v>0</v>
      </c>
      <c r="AK78" s="50"/>
    </row>
    <row r="79" spans="1:41" ht="15.75" thickBot="1" x14ac:dyDescent="0.3">
      <c r="A79" s="71" t="s">
        <v>79</v>
      </c>
      <c r="B79" s="67">
        <v>0</v>
      </c>
      <c r="C79" s="67">
        <v>0</v>
      </c>
      <c r="D79" s="67">
        <v>0</v>
      </c>
      <c r="E79" s="67">
        <v>0</v>
      </c>
      <c r="F79" s="67">
        <v>0</v>
      </c>
      <c r="G79" s="67">
        <v>0</v>
      </c>
      <c r="H79" s="67">
        <v>0</v>
      </c>
      <c r="I79" s="67">
        <v>0</v>
      </c>
      <c r="J79" s="67">
        <v>2.8</v>
      </c>
      <c r="K79" s="67">
        <v>1.8</v>
      </c>
      <c r="L79" s="67">
        <v>1.8</v>
      </c>
      <c r="M79" s="67">
        <v>0</v>
      </c>
      <c r="N79" s="67">
        <v>0</v>
      </c>
      <c r="O79" s="67">
        <v>0</v>
      </c>
      <c r="P79" s="67"/>
      <c r="Q79" s="67"/>
      <c r="R79" s="67">
        <v>10.3</v>
      </c>
      <c r="S79" s="67">
        <v>10.3</v>
      </c>
      <c r="T79" s="67">
        <v>10.3</v>
      </c>
      <c r="U79" s="67">
        <v>10.3</v>
      </c>
      <c r="V79" s="67">
        <v>10.3</v>
      </c>
      <c r="W79" s="67">
        <v>10.3</v>
      </c>
      <c r="X79" s="67">
        <v>10.3</v>
      </c>
      <c r="Y79" s="67">
        <v>10.3</v>
      </c>
      <c r="Z79" s="67">
        <v>10.3</v>
      </c>
      <c r="AA79" s="67">
        <v>10.3</v>
      </c>
      <c r="AB79" s="67">
        <v>10.3</v>
      </c>
      <c r="AC79" s="67">
        <v>10.3</v>
      </c>
      <c r="AD79" s="67">
        <v>6.6</v>
      </c>
      <c r="AE79" s="67">
        <v>1.4</v>
      </c>
      <c r="AF79" s="67">
        <v>0</v>
      </c>
      <c r="AG79" s="68">
        <v>14</v>
      </c>
      <c r="AH79" s="47">
        <f t="shared" si="2"/>
        <v>10.3</v>
      </c>
      <c r="AI79" s="48">
        <f t="shared" si="3"/>
        <v>0</v>
      </c>
      <c r="AK79" s="50"/>
    </row>
    <row r="80" spans="1:41" ht="15.75" thickBot="1" x14ac:dyDescent="0.3">
      <c r="A80" s="74" t="s">
        <v>80</v>
      </c>
      <c r="B80" s="60">
        <f t="shared" ref="B80:C80" si="18">B77+B78+B79</f>
        <v>0</v>
      </c>
      <c r="C80" s="60">
        <f t="shared" si="18"/>
        <v>0</v>
      </c>
      <c r="D80" s="60">
        <f t="shared" ref="D80:AF80" si="19">D77+D78+D79</f>
        <v>0</v>
      </c>
      <c r="E80" s="60">
        <f t="shared" si="19"/>
        <v>0</v>
      </c>
      <c r="F80" s="60">
        <f t="shared" si="19"/>
        <v>0</v>
      </c>
      <c r="G80" s="60">
        <f t="shared" si="19"/>
        <v>0</v>
      </c>
      <c r="H80" s="60">
        <f t="shared" si="19"/>
        <v>0</v>
      </c>
      <c r="I80" s="60">
        <f t="shared" si="19"/>
        <v>0</v>
      </c>
      <c r="J80" s="60">
        <f t="shared" si="19"/>
        <v>30.5</v>
      </c>
      <c r="K80" s="60">
        <f t="shared" si="19"/>
        <v>20.400000000000002</v>
      </c>
      <c r="L80" s="60">
        <f t="shared" si="19"/>
        <v>6.7</v>
      </c>
      <c r="M80" s="60">
        <f t="shared" si="19"/>
        <v>0</v>
      </c>
      <c r="N80" s="60">
        <f t="shared" ref="N80:O80" si="20">N77+N78+N79</f>
        <v>0</v>
      </c>
      <c r="O80" s="60">
        <f t="shared" si="20"/>
        <v>0</v>
      </c>
      <c r="P80" s="60">
        <f t="shared" si="19"/>
        <v>0</v>
      </c>
      <c r="Q80" s="60">
        <f t="shared" si="19"/>
        <v>0</v>
      </c>
      <c r="R80" s="60">
        <f t="shared" si="19"/>
        <v>97.899999999999991</v>
      </c>
      <c r="S80" s="60">
        <f t="shared" ref="S80:T80" si="21">S77+S78+S79</f>
        <v>97.899999999999991</v>
      </c>
      <c r="T80" s="60">
        <f t="shared" si="21"/>
        <v>97.899999999999991</v>
      </c>
      <c r="U80" s="60">
        <f t="shared" ref="U80:V80" si="22">U77+U78+U79</f>
        <v>97.899999999999991</v>
      </c>
      <c r="V80" s="60">
        <f t="shared" si="22"/>
        <v>97.899999999999991</v>
      </c>
      <c r="W80" s="60">
        <f t="shared" ref="W80:X80" si="23">W77+W78+W79</f>
        <v>97.899999999999991</v>
      </c>
      <c r="X80" s="60">
        <f t="shared" si="23"/>
        <v>97.899999999999991</v>
      </c>
      <c r="Y80" s="60">
        <f t="shared" ref="Y80:Z80" si="24">Y77+Y78+Y79</f>
        <v>97.899999999999991</v>
      </c>
      <c r="Z80" s="60">
        <f t="shared" si="24"/>
        <v>97.899999999999991</v>
      </c>
      <c r="AA80" s="60">
        <f t="shared" ref="AA80" si="25">AA77+AA78+AA79</f>
        <v>97.899999999999991</v>
      </c>
      <c r="AB80" s="60">
        <f t="shared" si="19"/>
        <v>97.899999999999991</v>
      </c>
      <c r="AC80" s="60">
        <f t="shared" si="19"/>
        <v>97.899999999999991</v>
      </c>
      <c r="AD80" s="60">
        <f t="shared" si="19"/>
        <v>65.099999999999994</v>
      </c>
      <c r="AE80" s="60">
        <f t="shared" si="19"/>
        <v>5.1999999999999993</v>
      </c>
      <c r="AF80" s="60">
        <f t="shared" si="19"/>
        <v>0</v>
      </c>
      <c r="AG80" s="61">
        <f>SUM(AG77:AG79)</f>
        <v>106</v>
      </c>
      <c r="AH80" s="47">
        <f t="shared" si="2"/>
        <v>97.899999999999991</v>
      </c>
      <c r="AI80" s="48">
        <f t="shared" si="3"/>
        <v>0</v>
      </c>
      <c r="AK80" s="50"/>
    </row>
    <row r="81" spans="1:40" x14ac:dyDescent="0.25">
      <c r="A81" s="44" t="s">
        <v>81</v>
      </c>
      <c r="B81" s="45">
        <v>59</v>
      </c>
      <c r="C81" s="45">
        <v>58</v>
      </c>
      <c r="D81" s="45">
        <v>59.2</v>
      </c>
      <c r="E81" s="45">
        <v>62.5</v>
      </c>
      <c r="F81" s="45">
        <v>62.3</v>
      </c>
      <c r="G81" s="45">
        <v>70</v>
      </c>
      <c r="H81" s="45">
        <v>71</v>
      </c>
      <c r="I81" s="45">
        <v>71.2</v>
      </c>
      <c r="J81" s="45">
        <v>68.2</v>
      </c>
      <c r="K81" s="45">
        <v>51.8</v>
      </c>
      <c r="L81" s="45">
        <v>44</v>
      </c>
      <c r="M81" s="45">
        <v>37.5</v>
      </c>
      <c r="N81" s="45">
        <v>32.700000000000003</v>
      </c>
      <c r="O81" s="45">
        <v>49.2</v>
      </c>
      <c r="P81" s="45">
        <v>50.2</v>
      </c>
      <c r="Q81" s="45">
        <v>67.8</v>
      </c>
      <c r="R81" s="45">
        <v>66.900000000000006</v>
      </c>
      <c r="S81" s="45">
        <v>65.5</v>
      </c>
      <c r="T81" s="45">
        <v>63.7</v>
      </c>
      <c r="U81" s="45">
        <v>0</v>
      </c>
      <c r="V81" s="45">
        <v>0</v>
      </c>
      <c r="W81" s="45">
        <v>68.900000000000006</v>
      </c>
      <c r="X81" s="45">
        <v>76.7</v>
      </c>
      <c r="Y81" s="45">
        <v>63.8</v>
      </c>
      <c r="Z81" s="45">
        <v>71.5</v>
      </c>
      <c r="AA81" s="45">
        <v>75.400000000000006</v>
      </c>
      <c r="AB81" s="45">
        <v>51.6</v>
      </c>
      <c r="AC81" s="45">
        <v>51.2</v>
      </c>
      <c r="AD81" s="45">
        <v>58</v>
      </c>
      <c r="AE81" s="45">
        <v>59.2</v>
      </c>
      <c r="AF81" s="45">
        <v>54</v>
      </c>
      <c r="AG81" s="52"/>
      <c r="AH81" s="47">
        <f t="shared" si="2"/>
        <v>76.7</v>
      </c>
      <c r="AI81" s="48">
        <f t="shared" si="3"/>
        <v>0</v>
      </c>
      <c r="AK81" s="50"/>
    </row>
    <row r="82" spans="1:40" x14ac:dyDescent="0.25">
      <c r="A82" s="54" t="s">
        <v>82</v>
      </c>
      <c r="B82" s="65">
        <v>0</v>
      </c>
      <c r="C82" s="65">
        <v>0</v>
      </c>
      <c r="D82" s="65">
        <v>0</v>
      </c>
      <c r="E82" s="65">
        <v>0</v>
      </c>
      <c r="F82" s="65">
        <v>0</v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  <c r="O82" s="65">
        <v>0</v>
      </c>
      <c r="P82" s="65">
        <v>0</v>
      </c>
      <c r="Q82" s="65">
        <v>0</v>
      </c>
      <c r="R82" s="65">
        <v>0</v>
      </c>
      <c r="S82" s="65">
        <v>0</v>
      </c>
      <c r="T82" s="65">
        <v>0</v>
      </c>
      <c r="U82" s="65">
        <v>0</v>
      </c>
      <c r="V82" s="65">
        <v>0</v>
      </c>
      <c r="W82" s="65">
        <v>0</v>
      </c>
      <c r="X82" s="65"/>
      <c r="Y82" s="65"/>
      <c r="Z82" s="65"/>
      <c r="AA82" s="65"/>
      <c r="AB82" s="65"/>
      <c r="AC82" s="65"/>
      <c r="AD82" s="65"/>
      <c r="AE82" s="65"/>
      <c r="AF82" s="65"/>
      <c r="AG82" s="55"/>
      <c r="AH82" s="47">
        <f t="shared" si="2"/>
        <v>0</v>
      </c>
      <c r="AI82" s="48">
        <f t="shared" si="3"/>
        <v>0</v>
      </c>
      <c r="AK82" s="50"/>
    </row>
    <row r="83" spans="1:40" x14ac:dyDescent="0.25">
      <c r="A83" s="54" t="s">
        <v>83</v>
      </c>
      <c r="B83" s="65">
        <v>337</v>
      </c>
      <c r="C83" s="65">
        <v>308</v>
      </c>
      <c r="D83" s="65">
        <v>311</v>
      </c>
      <c r="E83" s="65">
        <v>308.60000000000002</v>
      </c>
      <c r="F83" s="65">
        <v>314.2</v>
      </c>
      <c r="G83" s="65">
        <v>350</v>
      </c>
      <c r="H83" s="65">
        <v>418.5</v>
      </c>
      <c r="I83" s="65">
        <v>406.3</v>
      </c>
      <c r="J83" s="65">
        <v>404</v>
      </c>
      <c r="K83" s="65">
        <v>360</v>
      </c>
      <c r="L83" s="65">
        <v>153</v>
      </c>
      <c r="M83" s="65">
        <v>110</v>
      </c>
      <c r="N83" s="65">
        <v>116.4</v>
      </c>
      <c r="O83" s="65">
        <v>163.19999999999999</v>
      </c>
      <c r="P83" s="65">
        <v>193</v>
      </c>
      <c r="Q83" s="65">
        <v>416</v>
      </c>
      <c r="R83" s="65">
        <v>405</v>
      </c>
      <c r="S83" s="65">
        <v>429.8</v>
      </c>
      <c r="T83" s="65">
        <v>444.5</v>
      </c>
      <c r="U83" s="65">
        <v>448.4</v>
      </c>
      <c r="V83" s="65">
        <v>448.4</v>
      </c>
      <c r="W83" s="65">
        <v>287.89999999999998</v>
      </c>
      <c r="X83" s="65">
        <v>242.1</v>
      </c>
      <c r="Y83" s="65">
        <v>178.1</v>
      </c>
      <c r="Z83" s="65">
        <v>194.2</v>
      </c>
      <c r="AA83" s="65">
        <v>237.6</v>
      </c>
      <c r="AB83" s="65">
        <v>286</v>
      </c>
      <c r="AC83" s="65">
        <v>254</v>
      </c>
      <c r="AD83" s="65">
        <v>284</v>
      </c>
      <c r="AE83" s="65">
        <v>368</v>
      </c>
      <c r="AF83" s="65">
        <v>347</v>
      </c>
      <c r="AG83" s="75"/>
      <c r="AH83" s="47">
        <f t="shared" si="2"/>
        <v>448.4</v>
      </c>
      <c r="AI83" s="48">
        <f t="shared" si="3"/>
        <v>110</v>
      </c>
      <c r="AK83" s="50"/>
    </row>
    <row r="84" spans="1:40" x14ac:dyDescent="0.25">
      <c r="A84" s="54" t="s">
        <v>84</v>
      </c>
      <c r="B84" s="65">
        <v>0</v>
      </c>
      <c r="C84" s="65">
        <v>0</v>
      </c>
      <c r="D84" s="65">
        <v>0</v>
      </c>
      <c r="E84" s="65">
        <v>0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65"/>
      <c r="AE84" s="76"/>
      <c r="AF84" s="76"/>
      <c r="AG84" s="75"/>
      <c r="AH84" s="47">
        <f t="shared" si="2"/>
        <v>0</v>
      </c>
      <c r="AI84" s="48">
        <f t="shared" si="3"/>
        <v>0</v>
      </c>
      <c r="AK84" s="50"/>
    </row>
    <row r="85" spans="1:40" x14ac:dyDescent="0.25">
      <c r="A85" s="54" t="s">
        <v>85</v>
      </c>
      <c r="B85" s="45">
        <v>0</v>
      </c>
      <c r="C85" s="45">
        <v>0</v>
      </c>
      <c r="D85" s="45">
        <v>0</v>
      </c>
      <c r="E85" s="45">
        <v>0</v>
      </c>
      <c r="F85" s="45">
        <v>0</v>
      </c>
      <c r="G85" s="45">
        <v>0</v>
      </c>
      <c r="H85" s="45">
        <v>0</v>
      </c>
      <c r="I85" s="45">
        <v>0</v>
      </c>
      <c r="J85" s="45">
        <v>0</v>
      </c>
      <c r="K85" s="45">
        <v>0</v>
      </c>
      <c r="L85" s="45">
        <v>0</v>
      </c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75"/>
      <c r="AH85" s="47">
        <f t="shared" ref="AH85:AH130" si="26">MAX(B85:AF85)</f>
        <v>0</v>
      </c>
      <c r="AI85" s="48">
        <f t="shared" ref="AI85:AI130" si="27">MIN(B85:AF85)</f>
        <v>0</v>
      </c>
      <c r="AK85" s="50"/>
    </row>
    <row r="86" spans="1:40" x14ac:dyDescent="0.25">
      <c r="A86" s="54" t="s">
        <v>86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5"/>
      <c r="AH86" s="47">
        <f t="shared" si="26"/>
        <v>0</v>
      </c>
      <c r="AI86" s="48">
        <f t="shared" si="27"/>
        <v>0</v>
      </c>
      <c r="AK86" s="50"/>
    </row>
    <row r="87" spans="1:40" ht="15.75" thickBot="1" x14ac:dyDescent="0.3">
      <c r="A87" s="54" t="s">
        <v>87</v>
      </c>
      <c r="B87" s="77">
        <v>0</v>
      </c>
      <c r="C87" s="77">
        <v>0</v>
      </c>
      <c r="D87" s="77">
        <v>0</v>
      </c>
      <c r="E87" s="77">
        <v>0</v>
      </c>
      <c r="F87" s="77">
        <v>0</v>
      </c>
      <c r="G87" s="77">
        <v>0</v>
      </c>
      <c r="H87" s="77">
        <v>0</v>
      </c>
      <c r="I87" s="77">
        <v>0</v>
      </c>
      <c r="J87" s="77">
        <v>0</v>
      </c>
      <c r="K87" s="77">
        <v>0</v>
      </c>
      <c r="L87" s="77">
        <v>0</v>
      </c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5"/>
      <c r="AH87" s="47">
        <f t="shared" si="26"/>
        <v>0</v>
      </c>
      <c r="AI87" s="48">
        <f t="shared" si="27"/>
        <v>0</v>
      </c>
      <c r="AK87" s="50"/>
      <c r="AL87" s="78" t="s">
        <v>88</v>
      </c>
      <c r="AM87" s="78"/>
    </row>
    <row r="88" spans="1:40" x14ac:dyDescent="0.25">
      <c r="A88" s="54" t="s">
        <v>89</v>
      </c>
      <c r="B88" s="77">
        <v>0</v>
      </c>
      <c r="C88" s="77">
        <v>0</v>
      </c>
      <c r="D88" s="77">
        <v>0</v>
      </c>
      <c r="E88" s="77">
        <v>0</v>
      </c>
      <c r="F88" s="77">
        <v>0</v>
      </c>
      <c r="G88" s="77">
        <v>0</v>
      </c>
      <c r="H88" s="77">
        <v>0</v>
      </c>
      <c r="I88" s="77">
        <v>0</v>
      </c>
      <c r="J88" s="77">
        <v>0</v>
      </c>
      <c r="K88" s="77">
        <v>0</v>
      </c>
      <c r="L88" s="77">
        <v>0</v>
      </c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5"/>
      <c r="AH88" s="47">
        <f t="shared" si="26"/>
        <v>0</v>
      </c>
      <c r="AI88" s="48">
        <f t="shared" si="27"/>
        <v>0</v>
      </c>
      <c r="AK88" s="79"/>
      <c r="AL88" s="80"/>
      <c r="AM88" s="80"/>
      <c r="AN88" s="81"/>
    </row>
    <row r="89" spans="1:40" x14ac:dyDescent="0.25">
      <c r="A89" s="54" t="s">
        <v>90</v>
      </c>
      <c r="B89" s="77">
        <v>0</v>
      </c>
      <c r="C89" s="77">
        <v>0</v>
      </c>
      <c r="D89" s="77">
        <v>0</v>
      </c>
      <c r="E89" s="77">
        <v>0</v>
      </c>
      <c r="F89" s="77">
        <v>0</v>
      </c>
      <c r="G89" s="77">
        <v>0</v>
      </c>
      <c r="H89" s="77">
        <v>0</v>
      </c>
      <c r="I89" s="77">
        <v>0</v>
      </c>
      <c r="J89" s="77">
        <v>0</v>
      </c>
      <c r="K89" s="77">
        <v>0</v>
      </c>
      <c r="L89" s="77">
        <v>0</v>
      </c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5"/>
      <c r="AH89" s="47">
        <f t="shared" si="26"/>
        <v>0</v>
      </c>
      <c r="AI89" s="48">
        <f t="shared" si="27"/>
        <v>0</v>
      </c>
      <c r="AK89" s="82" t="s">
        <v>91</v>
      </c>
      <c r="AL89" s="65"/>
      <c r="AM89" s="76"/>
      <c r="AN89" s="83"/>
    </row>
    <row r="90" spans="1:40" x14ac:dyDescent="0.25">
      <c r="A90" s="84" t="s">
        <v>92</v>
      </c>
      <c r="B90" s="77">
        <v>0</v>
      </c>
      <c r="C90" s="77">
        <v>0</v>
      </c>
      <c r="D90" s="77">
        <v>0</v>
      </c>
      <c r="E90" s="77">
        <v>0</v>
      </c>
      <c r="F90" s="77">
        <v>0</v>
      </c>
      <c r="G90" s="77">
        <v>0</v>
      </c>
      <c r="H90" s="77">
        <v>0</v>
      </c>
      <c r="I90" s="77">
        <v>0</v>
      </c>
      <c r="J90" s="77">
        <v>0</v>
      </c>
      <c r="K90" s="77">
        <v>0</v>
      </c>
      <c r="L90" s="77">
        <v>0</v>
      </c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85"/>
      <c r="AH90" s="47">
        <f t="shared" si="26"/>
        <v>0</v>
      </c>
      <c r="AI90" s="48">
        <f t="shared" si="27"/>
        <v>0</v>
      </c>
      <c r="AK90" s="82" t="s">
        <v>93</v>
      </c>
      <c r="AL90" s="76"/>
      <c r="AM90" s="76"/>
      <c r="AN90" s="83"/>
    </row>
    <row r="91" spans="1:40" ht="15.75" thickBot="1" x14ac:dyDescent="0.3">
      <c r="A91" s="84" t="s">
        <v>94</v>
      </c>
      <c r="B91" s="77">
        <v>0</v>
      </c>
      <c r="C91" s="77">
        <v>0</v>
      </c>
      <c r="D91" s="77">
        <v>0</v>
      </c>
      <c r="E91" s="77">
        <v>0</v>
      </c>
      <c r="F91" s="77">
        <v>0</v>
      </c>
      <c r="G91" s="77">
        <v>0</v>
      </c>
      <c r="H91" s="77">
        <v>0</v>
      </c>
      <c r="I91" s="77">
        <v>0</v>
      </c>
      <c r="J91" s="77">
        <v>0</v>
      </c>
      <c r="K91" s="77">
        <v>0</v>
      </c>
      <c r="L91" s="77">
        <v>0</v>
      </c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85"/>
      <c r="AH91" s="47">
        <f t="shared" si="26"/>
        <v>0</v>
      </c>
      <c r="AI91" s="48">
        <f t="shared" si="27"/>
        <v>0</v>
      </c>
      <c r="AK91" s="86"/>
      <c r="AL91" s="45"/>
      <c r="AM91" s="45"/>
      <c r="AN91" s="87"/>
    </row>
    <row r="92" spans="1:40" ht="15.75" thickBot="1" x14ac:dyDescent="0.3">
      <c r="A92" s="74" t="s">
        <v>95</v>
      </c>
      <c r="B92" s="60">
        <f t="shared" ref="B92:C92" si="28">SUMIF(B81:B91,"&gt;0")</f>
        <v>396</v>
      </c>
      <c r="C92" s="60">
        <f t="shared" si="28"/>
        <v>366</v>
      </c>
      <c r="D92" s="60">
        <f t="shared" ref="D92:AF92" si="29">SUMIF(D81:D91,"&gt;0")</f>
        <v>370.2</v>
      </c>
      <c r="E92" s="60">
        <f t="shared" si="29"/>
        <v>371.1</v>
      </c>
      <c r="F92" s="60">
        <f t="shared" si="29"/>
        <v>376.5</v>
      </c>
      <c r="G92" s="60">
        <f t="shared" si="29"/>
        <v>420</v>
      </c>
      <c r="H92" s="60">
        <f t="shared" si="29"/>
        <v>489.5</v>
      </c>
      <c r="I92" s="60">
        <f t="shared" si="29"/>
        <v>477.5</v>
      </c>
      <c r="J92" s="60">
        <f t="shared" si="29"/>
        <v>472.2</v>
      </c>
      <c r="K92" s="60">
        <f t="shared" si="29"/>
        <v>411.8</v>
      </c>
      <c r="L92" s="60">
        <f t="shared" si="29"/>
        <v>197</v>
      </c>
      <c r="M92" s="60">
        <f t="shared" si="29"/>
        <v>147.5</v>
      </c>
      <c r="N92" s="60">
        <f t="shared" si="29"/>
        <v>149.10000000000002</v>
      </c>
      <c r="O92" s="60">
        <f t="shared" ref="O92" si="30">SUMIF(O81:O91,"&gt;0")</f>
        <v>212.39999999999998</v>
      </c>
      <c r="P92" s="60">
        <f t="shared" si="29"/>
        <v>243.2</v>
      </c>
      <c r="Q92" s="60">
        <f t="shared" si="29"/>
        <v>483.8</v>
      </c>
      <c r="R92" s="60">
        <f t="shared" ref="R92:AA92" si="31">SUMIF(R81:R91,"&gt;0")</f>
        <v>471.9</v>
      </c>
      <c r="S92" s="60">
        <f t="shared" si="31"/>
        <v>495.3</v>
      </c>
      <c r="T92" s="60">
        <f t="shared" si="31"/>
        <v>508.2</v>
      </c>
      <c r="U92" s="60">
        <f t="shared" si="31"/>
        <v>448.4</v>
      </c>
      <c r="V92" s="60">
        <f t="shared" si="31"/>
        <v>448.4</v>
      </c>
      <c r="W92" s="60">
        <f t="shared" si="31"/>
        <v>356.79999999999995</v>
      </c>
      <c r="X92" s="60">
        <f t="shared" si="31"/>
        <v>318.8</v>
      </c>
      <c r="Y92" s="60">
        <f t="shared" si="31"/>
        <v>241.89999999999998</v>
      </c>
      <c r="Z92" s="60">
        <f t="shared" si="31"/>
        <v>265.7</v>
      </c>
      <c r="AA92" s="60">
        <f t="shared" si="31"/>
        <v>313</v>
      </c>
      <c r="AB92" s="60">
        <f t="shared" si="29"/>
        <v>337.6</v>
      </c>
      <c r="AC92" s="60">
        <f t="shared" si="29"/>
        <v>305.2</v>
      </c>
      <c r="AD92" s="60">
        <f t="shared" si="29"/>
        <v>342</v>
      </c>
      <c r="AE92" s="60">
        <f t="shared" si="29"/>
        <v>427.2</v>
      </c>
      <c r="AF92" s="60">
        <f t="shared" si="29"/>
        <v>401</v>
      </c>
      <c r="AG92" s="88">
        <f>SUM(AG81:AG91)</f>
        <v>0</v>
      </c>
      <c r="AH92" s="47">
        <f t="shared" si="26"/>
        <v>508.2</v>
      </c>
      <c r="AI92" s="48">
        <f t="shared" si="27"/>
        <v>147.5</v>
      </c>
      <c r="AK92" s="86"/>
      <c r="AL92" s="77"/>
      <c r="AM92" s="89"/>
      <c r="AN92" s="255"/>
    </row>
    <row r="93" spans="1:40" x14ac:dyDescent="0.25">
      <c r="A93" s="44" t="s">
        <v>96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26"/>
        <v>0</v>
      </c>
      <c r="AI93" s="48">
        <f t="shared" si="27"/>
        <v>0</v>
      </c>
      <c r="AK93" s="86"/>
      <c r="AL93" s="77"/>
      <c r="AM93" s="77"/>
      <c r="AN93" s="256"/>
    </row>
    <row r="94" spans="1:40" ht="15.75" thickBot="1" x14ac:dyDescent="0.3">
      <c r="A94" s="54" t="s">
        <v>97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26"/>
        <v>0</v>
      </c>
      <c r="AI94" s="48">
        <f t="shared" si="27"/>
        <v>0</v>
      </c>
      <c r="AK94" s="91"/>
      <c r="AL94" s="92"/>
      <c r="AM94" s="92"/>
      <c r="AN94" s="93"/>
    </row>
    <row r="95" spans="1:40" ht="15.75" thickBot="1" x14ac:dyDescent="0.3">
      <c r="A95" s="84" t="s">
        <v>98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26"/>
        <v>0</v>
      </c>
      <c r="AI95" s="48">
        <f t="shared" si="27"/>
        <v>0</v>
      </c>
    </row>
    <row r="96" spans="1:40" ht="15.75" thickBot="1" x14ac:dyDescent="0.3">
      <c r="A96" s="74" t="s">
        <v>99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26"/>
        <v>0</v>
      </c>
      <c r="AI96" s="48">
        <f t="shared" si="27"/>
        <v>0</v>
      </c>
    </row>
    <row r="97" spans="1:37" ht="15.75" thickBot="1" x14ac:dyDescent="0.3">
      <c r="A97" s="74" t="s">
        <v>100</v>
      </c>
      <c r="B97" s="95">
        <f t="shared" ref="B97:C97" si="32">B58+B62+B80+B76+B92+B96</f>
        <v>1110.44</v>
      </c>
      <c r="C97" s="95">
        <f t="shared" si="32"/>
        <v>1064.44</v>
      </c>
      <c r="D97" s="95">
        <f t="shared" ref="D97:AG97" si="33">D58+D62+D80+D76+D92+D96</f>
        <v>1067.3400000000001</v>
      </c>
      <c r="E97" s="95">
        <f t="shared" si="33"/>
        <v>1061.44</v>
      </c>
      <c r="F97" s="95">
        <f t="shared" si="33"/>
        <v>1065.24</v>
      </c>
      <c r="G97" s="95">
        <f t="shared" si="33"/>
        <v>1134.6399999999999</v>
      </c>
      <c r="H97" s="95">
        <f t="shared" si="33"/>
        <v>1215.1399999999999</v>
      </c>
      <c r="I97" s="95">
        <f t="shared" si="33"/>
        <v>1302.8400000000001</v>
      </c>
      <c r="J97" s="95">
        <f t="shared" si="33"/>
        <v>1394.24</v>
      </c>
      <c r="K97" s="95">
        <f t="shared" si="33"/>
        <v>1413.64</v>
      </c>
      <c r="L97" s="95">
        <f t="shared" si="33"/>
        <v>1484.24</v>
      </c>
      <c r="M97" s="95">
        <f t="shared" si="33"/>
        <v>1505.04</v>
      </c>
      <c r="N97" s="95">
        <f t="shared" si="33"/>
        <v>1541.7400000000002</v>
      </c>
      <c r="O97" s="95">
        <f t="shared" ref="O97" si="34">O58+O62+O80+O76+O92+O96</f>
        <v>1474.44</v>
      </c>
      <c r="P97" s="95">
        <f t="shared" si="33"/>
        <v>1497.74</v>
      </c>
      <c r="Q97" s="95">
        <f t="shared" si="33"/>
        <v>1504.8400000000001</v>
      </c>
      <c r="R97" s="95">
        <f t="shared" si="33"/>
        <v>1495.74</v>
      </c>
      <c r="S97" s="95">
        <f t="shared" ref="S97:T97" si="35">S58+S62+S80+S76+S92+S96</f>
        <v>1415.54</v>
      </c>
      <c r="T97" s="95">
        <f t="shared" si="35"/>
        <v>1380.24</v>
      </c>
      <c r="U97" s="95">
        <f t="shared" ref="U97:V97" si="36">U58+U62+U80+U76+U92+U96</f>
        <v>1280.3400000000001</v>
      </c>
      <c r="V97" s="95">
        <f t="shared" si="36"/>
        <v>1280.3400000000001</v>
      </c>
      <c r="W97" s="95">
        <f t="shared" ref="W97:X97" si="37">W58+W62+W80+W76+W92+W96</f>
        <v>1430.6399999999999</v>
      </c>
      <c r="X97" s="95">
        <f t="shared" si="37"/>
        <v>1650.84</v>
      </c>
      <c r="Y97" s="95">
        <f t="shared" ref="Y97:Z97" si="38">Y58+Y62+Y80+Y76+Y92+Y96</f>
        <v>1575.94</v>
      </c>
      <c r="Z97" s="95">
        <f t="shared" si="38"/>
        <v>1558.8400000000001</v>
      </c>
      <c r="AA97" s="95">
        <f t="shared" ref="AA97" si="39">AA58+AA62+AA80+AA76+AA92+AA96</f>
        <v>1520.44</v>
      </c>
      <c r="AB97" s="95">
        <f t="shared" si="33"/>
        <v>1400.04</v>
      </c>
      <c r="AC97" s="95">
        <f t="shared" si="33"/>
        <v>1382.64</v>
      </c>
      <c r="AD97" s="95">
        <f t="shared" si="33"/>
        <v>1349.04</v>
      </c>
      <c r="AE97" s="95">
        <f t="shared" si="33"/>
        <v>1273.24</v>
      </c>
      <c r="AF97" s="95">
        <f t="shared" si="33"/>
        <v>1194.04</v>
      </c>
      <c r="AG97" s="61">
        <f t="shared" si="33"/>
        <v>2231.81</v>
      </c>
      <c r="AH97" s="47">
        <f t="shared" si="26"/>
        <v>1650.84</v>
      </c>
      <c r="AI97" s="48">
        <f t="shared" si="27"/>
        <v>1061.44</v>
      </c>
    </row>
    <row r="98" spans="1:37" ht="15.75" thickBot="1" x14ac:dyDescent="0.3">
      <c r="A98" s="96" t="s">
        <v>101</v>
      </c>
      <c r="B98" s="97">
        <v>0</v>
      </c>
      <c r="C98" s="97">
        <v>0</v>
      </c>
      <c r="D98" s="97"/>
      <c r="E98" s="97"/>
      <c r="F98" s="97"/>
      <c r="G98" s="97"/>
      <c r="H98" s="97"/>
      <c r="I98" s="97"/>
      <c r="J98" s="97"/>
      <c r="K98" s="97"/>
      <c r="L98" s="97">
        <v>50</v>
      </c>
      <c r="M98" s="97">
        <v>150</v>
      </c>
      <c r="N98" s="97">
        <v>150</v>
      </c>
      <c r="O98" s="97">
        <v>150</v>
      </c>
      <c r="P98" s="97"/>
      <c r="Q98" s="97"/>
      <c r="R98" s="97"/>
      <c r="S98" s="97"/>
      <c r="T98" s="97"/>
      <c r="U98" s="97">
        <v>50</v>
      </c>
      <c r="V98" s="97">
        <v>50</v>
      </c>
      <c r="W98" s="97">
        <v>51</v>
      </c>
      <c r="X98" s="97">
        <v>250</v>
      </c>
      <c r="Y98" s="97">
        <v>250</v>
      </c>
      <c r="Z98" s="97">
        <v>250</v>
      </c>
      <c r="AA98" s="97">
        <v>250</v>
      </c>
      <c r="AB98" s="97">
        <v>250</v>
      </c>
      <c r="AC98" s="97">
        <v>250</v>
      </c>
      <c r="AD98" s="97">
        <v>250</v>
      </c>
      <c r="AE98" s="97"/>
      <c r="AF98" s="97"/>
      <c r="AG98" s="88"/>
      <c r="AH98" s="47">
        <f t="shared" si="26"/>
        <v>250</v>
      </c>
      <c r="AI98" s="48">
        <f t="shared" si="27"/>
        <v>0</v>
      </c>
    </row>
    <row r="99" spans="1:37" ht="15.75" thickBot="1" x14ac:dyDescent="0.3">
      <c r="A99" s="74" t="s">
        <v>102</v>
      </c>
      <c r="B99" s="95">
        <f t="shared" ref="B99:C99" si="40">B97+B98</f>
        <v>1110.44</v>
      </c>
      <c r="C99" s="95">
        <f t="shared" si="40"/>
        <v>1064.44</v>
      </c>
      <c r="D99" s="95">
        <f t="shared" ref="D99:AF99" si="41">D97+D98</f>
        <v>1067.3400000000001</v>
      </c>
      <c r="E99" s="95">
        <f t="shared" si="41"/>
        <v>1061.44</v>
      </c>
      <c r="F99" s="95">
        <f t="shared" si="41"/>
        <v>1065.24</v>
      </c>
      <c r="G99" s="95">
        <f t="shared" si="41"/>
        <v>1134.6399999999999</v>
      </c>
      <c r="H99" s="95">
        <f t="shared" si="41"/>
        <v>1215.1399999999999</v>
      </c>
      <c r="I99" s="95">
        <f t="shared" si="41"/>
        <v>1302.8400000000001</v>
      </c>
      <c r="J99" s="95">
        <f t="shared" si="41"/>
        <v>1394.24</v>
      </c>
      <c r="K99" s="95">
        <f t="shared" si="41"/>
        <v>1413.64</v>
      </c>
      <c r="L99" s="95">
        <f t="shared" si="41"/>
        <v>1534.24</v>
      </c>
      <c r="M99" s="95">
        <f t="shared" si="41"/>
        <v>1655.04</v>
      </c>
      <c r="N99" s="95">
        <f t="shared" si="41"/>
        <v>1691.7400000000002</v>
      </c>
      <c r="O99" s="95">
        <f t="shared" ref="O99" si="42">O97+O98</f>
        <v>1624.44</v>
      </c>
      <c r="P99" s="95">
        <f t="shared" si="41"/>
        <v>1497.74</v>
      </c>
      <c r="Q99" s="95">
        <f t="shared" si="41"/>
        <v>1504.8400000000001</v>
      </c>
      <c r="R99" s="95">
        <f t="shared" si="41"/>
        <v>1495.74</v>
      </c>
      <c r="S99" s="95">
        <f t="shared" ref="S99:T99" si="43">S97+S98</f>
        <v>1415.54</v>
      </c>
      <c r="T99" s="95">
        <f t="shared" si="43"/>
        <v>1380.24</v>
      </c>
      <c r="U99" s="95">
        <f t="shared" ref="U99:V99" si="44">U97+U98</f>
        <v>1330.3400000000001</v>
      </c>
      <c r="V99" s="95">
        <f t="shared" si="44"/>
        <v>1330.3400000000001</v>
      </c>
      <c r="W99" s="95">
        <f t="shared" ref="W99:X99" si="45">W97+W98</f>
        <v>1481.6399999999999</v>
      </c>
      <c r="X99" s="95">
        <f t="shared" si="45"/>
        <v>1900.84</v>
      </c>
      <c r="Y99" s="95">
        <f t="shared" ref="Y99:Z99" si="46">Y97+Y98</f>
        <v>1825.94</v>
      </c>
      <c r="Z99" s="95">
        <f t="shared" si="46"/>
        <v>1808.8400000000001</v>
      </c>
      <c r="AA99" s="95">
        <f t="shared" ref="AA99" si="47">AA97+AA98</f>
        <v>1770.44</v>
      </c>
      <c r="AB99" s="95">
        <f t="shared" si="41"/>
        <v>1650.04</v>
      </c>
      <c r="AC99" s="95">
        <f t="shared" si="41"/>
        <v>1632.64</v>
      </c>
      <c r="AD99" s="95">
        <f t="shared" si="41"/>
        <v>1599.04</v>
      </c>
      <c r="AE99" s="95">
        <f t="shared" si="41"/>
        <v>1273.24</v>
      </c>
      <c r="AF99" s="95">
        <f t="shared" si="41"/>
        <v>1194.04</v>
      </c>
      <c r="AG99" s="88">
        <f>AG96+AG92+AG80+AG76+AG58+AG98</f>
        <v>1693.71</v>
      </c>
      <c r="AH99" s="47">
        <f t="shared" si="26"/>
        <v>1900.84</v>
      </c>
      <c r="AI99" s="48">
        <f t="shared" si="27"/>
        <v>1061.44</v>
      </c>
    </row>
    <row r="100" spans="1:37" ht="15.75" thickBot="1" x14ac:dyDescent="0.3">
      <c r="A100" s="74" t="s">
        <v>103</v>
      </c>
      <c r="B100" s="95">
        <f t="shared" ref="B100:C100" si="48">B99-(B107)</f>
        <v>1107.44</v>
      </c>
      <c r="C100" s="95">
        <f t="shared" si="48"/>
        <v>1060.44</v>
      </c>
      <c r="D100" s="95">
        <f t="shared" ref="D100:M100" si="49">D99-(D107)</f>
        <v>1067.3400000000001</v>
      </c>
      <c r="E100" s="95">
        <f t="shared" si="49"/>
        <v>1061.44</v>
      </c>
      <c r="F100" s="95">
        <f t="shared" si="49"/>
        <v>1065.24</v>
      </c>
      <c r="G100" s="95">
        <f t="shared" si="49"/>
        <v>1134.6399999999999</v>
      </c>
      <c r="H100" s="95">
        <f t="shared" si="49"/>
        <v>1215.1399999999999</v>
      </c>
      <c r="I100" s="95">
        <f t="shared" si="49"/>
        <v>1302.8400000000001</v>
      </c>
      <c r="J100" s="95">
        <f t="shared" si="49"/>
        <v>1394.24</v>
      </c>
      <c r="K100" s="95">
        <f t="shared" si="49"/>
        <v>1413.64</v>
      </c>
      <c r="L100" s="95">
        <f t="shared" si="49"/>
        <v>1534.24</v>
      </c>
      <c r="M100" s="95">
        <f t="shared" si="49"/>
        <v>1655.04</v>
      </c>
      <c r="N100" s="95">
        <f>N99-(N107)</f>
        <v>1691.7400000000002</v>
      </c>
      <c r="O100" s="95">
        <f>O99-(O107)</f>
        <v>1623.44</v>
      </c>
      <c r="P100" s="95">
        <f t="shared" ref="P100:AF100" si="50">P99-(P107)</f>
        <v>1497.74</v>
      </c>
      <c r="Q100" s="95">
        <f t="shared" si="50"/>
        <v>1504.8400000000001</v>
      </c>
      <c r="R100" s="95">
        <f t="shared" si="50"/>
        <v>1495.74</v>
      </c>
      <c r="S100" s="95">
        <f t="shared" ref="S100:T100" si="51">S99-(S107)</f>
        <v>1414.54</v>
      </c>
      <c r="T100" s="95">
        <f t="shared" si="51"/>
        <v>1378.24</v>
      </c>
      <c r="U100" s="95">
        <f t="shared" ref="U100:V100" si="52">U99-(U107)</f>
        <v>1327.3400000000001</v>
      </c>
      <c r="V100" s="95">
        <f t="shared" si="52"/>
        <v>1326.3400000000001</v>
      </c>
      <c r="W100" s="95">
        <f t="shared" ref="W100:X100" si="53">W99-(W107)</f>
        <v>1476.6399999999999</v>
      </c>
      <c r="X100" s="95">
        <f t="shared" si="53"/>
        <v>1895.84</v>
      </c>
      <c r="Y100" s="95">
        <f t="shared" ref="Y100:Z100" si="54">Y99-(Y107)</f>
        <v>1819.94</v>
      </c>
      <c r="Z100" s="95">
        <f t="shared" si="54"/>
        <v>1801.8400000000001</v>
      </c>
      <c r="AA100" s="95">
        <f t="shared" ref="AA100" si="55">AA99-(AA107)</f>
        <v>1762.44</v>
      </c>
      <c r="AB100" s="95">
        <f t="shared" si="50"/>
        <v>1650.04</v>
      </c>
      <c r="AC100" s="95">
        <f t="shared" si="50"/>
        <v>1632.64</v>
      </c>
      <c r="AD100" s="95">
        <f t="shared" si="50"/>
        <v>1599.04</v>
      </c>
      <c r="AE100" s="95">
        <f t="shared" si="50"/>
        <v>1273.24</v>
      </c>
      <c r="AF100" s="95">
        <f t="shared" si="50"/>
        <v>1194.04</v>
      </c>
      <c r="AG100" s="88"/>
      <c r="AH100" s="47">
        <f t="shared" si="26"/>
        <v>1895.84</v>
      </c>
      <c r="AI100" s="48">
        <f t="shared" si="27"/>
        <v>1060.44</v>
      </c>
    </row>
    <row r="101" spans="1:37" x14ac:dyDescent="0.25">
      <c r="A101" s="44" t="s">
        <v>84</v>
      </c>
      <c r="B101" s="76">
        <f t="shared" ref="B101:C101" si="56">IF(B84&lt;0,B84*-1,0)</f>
        <v>0</v>
      </c>
      <c r="C101" s="76">
        <f t="shared" si="56"/>
        <v>0</v>
      </c>
      <c r="D101" s="76">
        <f t="shared" ref="D101:AF101" si="57">IF(D84&lt;0,D84*-1,0)</f>
        <v>0</v>
      </c>
      <c r="E101" s="76">
        <f t="shared" si="57"/>
        <v>0</v>
      </c>
      <c r="F101" s="76">
        <f t="shared" si="57"/>
        <v>0</v>
      </c>
      <c r="G101" s="76">
        <f t="shared" si="57"/>
        <v>0</v>
      </c>
      <c r="H101" s="76">
        <f t="shared" si="57"/>
        <v>0</v>
      </c>
      <c r="I101" s="76">
        <f t="shared" si="57"/>
        <v>0</v>
      </c>
      <c r="J101" s="76">
        <f t="shared" si="57"/>
        <v>0</v>
      </c>
      <c r="K101" s="76">
        <f t="shared" si="57"/>
        <v>0</v>
      </c>
      <c r="L101" s="76">
        <f t="shared" si="57"/>
        <v>0</v>
      </c>
      <c r="M101" s="76">
        <f t="shared" si="57"/>
        <v>0</v>
      </c>
      <c r="N101" s="76">
        <f t="shared" si="57"/>
        <v>0</v>
      </c>
      <c r="O101" s="76">
        <f t="shared" ref="O101" si="58">IF(O84&lt;0,O84*-1,0)</f>
        <v>0</v>
      </c>
      <c r="P101" s="76">
        <f t="shared" si="57"/>
        <v>0</v>
      </c>
      <c r="Q101" s="76">
        <f t="shared" si="57"/>
        <v>0</v>
      </c>
      <c r="R101" s="76">
        <f t="shared" si="57"/>
        <v>0</v>
      </c>
      <c r="S101" s="76">
        <f t="shared" ref="S101:T101" si="59">IF(S84&lt;0,S84*-1,0)</f>
        <v>0</v>
      </c>
      <c r="T101" s="76">
        <f t="shared" si="59"/>
        <v>0</v>
      </c>
      <c r="U101" s="76">
        <f t="shared" ref="U101:V101" si="60">IF(U84&lt;0,U84*-1,0)</f>
        <v>0</v>
      </c>
      <c r="V101" s="76">
        <f t="shared" si="60"/>
        <v>0</v>
      </c>
      <c r="W101" s="76">
        <f t="shared" ref="W101:X101" si="61">IF(W84&lt;0,W84*-1,0)</f>
        <v>0</v>
      </c>
      <c r="X101" s="76">
        <f t="shared" si="61"/>
        <v>0</v>
      </c>
      <c r="Y101" s="76">
        <f t="shared" ref="Y101:Z101" si="62">IF(Y84&lt;0,Y84*-1,0)</f>
        <v>0</v>
      </c>
      <c r="Z101" s="76">
        <f t="shared" si="62"/>
        <v>0</v>
      </c>
      <c r="AA101" s="76">
        <f t="shared" ref="AA101" si="63">IF(AA84&lt;0,AA84*-1,0)</f>
        <v>0</v>
      </c>
      <c r="AB101" s="76">
        <f t="shared" si="57"/>
        <v>0</v>
      </c>
      <c r="AC101" s="76">
        <f t="shared" si="57"/>
        <v>0</v>
      </c>
      <c r="AD101" s="76">
        <f t="shared" si="57"/>
        <v>0</v>
      </c>
      <c r="AE101" s="76">
        <f t="shared" si="57"/>
        <v>0</v>
      </c>
      <c r="AF101" s="76">
        <f t="shared" si="57"/>
        <v>0</v>
      </c>
      <c r="AG101" s="52"/>
      <c r="AH101" s="47">
        <f t="shared" si="26"/>
        <v>0</v>
      </c>
      <c r="AI101" s="48">
        <f t="shared" si="27"/>
        <v>0</v>
      </c>
    </row>
    <row r="102" spans="1:37" x14ac:dyDescent="0.25">
      <c r="A102" s="54" t="s">
        <v>82</v>
      </c>
      <c r="B102" s="76">
        <f t="shared" ref="B102:C102" si="64">IF(B82&lt;0,B82*-1,0)</f>
        <v>0</v>
      </c>
      <c r="C102" s="76">
        <f t="shared" si="64"/>
        <v>0</v>
      </c>
      <c r="D102" s="76">
        <f t="shared" ref="D102:AF102" si="65">IF(D82&lt;0,D82*-1,0)</f>
        <v>0</v>
      </c>
      <c r="E102" s="76">
        <f t="shared" si="65"/>
        <v>0</v>
      </c>
      <c r="F102" s="76">
        <f t="shared" si="65"/>
        <v>0</v>
      </c>
      <c r="G102" s="76">
        <f t="shared" si="65"/>
        <v>0</v>
      </c>
      <c r="H102" s="76">
        <f t="shared" si="65"/>
        <v>0</v>
      </c>
      <c r="I102" s="76">
        <f t="shared" si="65"/>
        <v>0</v>
      </c>
      <c r="J102" s="76">
        <f t="shared" si="65"/>
        <v>0</v>
      </c>
      <c r="K102" s="76">
        <f t="shared" si="65"/>
        <v>0</v>
      </c>
      <c r="L102" s="76">
        <f t="shared" si="65"/>
        <v>0</v>
      </c>
      <c r="M102" s="76">
        <f t="shared" si="65"/>
        <v>0</v>
      </c>
      <c r="N102" s="76">
        <f t="shared" si="65"/>
        <v>0</v>
      </c>
      <c r="O102" s="76">
        <f t="shared" ref="O102" si="66">IF(O82&lt;0,O82*-1,0)</f>
        <v>0</v>
      </c>
      <c r="P102" s="76">
        <f t="shared" si="65"/>
        <v>0</v>
      </c>
      <c r="Q102" s="76">
        <f t="shared" si="65"/>
        <v>0</v>
      </c>
      <c r="R102" s="76">
        <f t="shared" si="65"/>
        <v>0</v>
      </c>
      <c r="S102" s="76">
        <f t="shared" ref="S102:T102" si="67">IF(S82&lt;0,S82*-1,0)</f>
        <v>0</v>
      </c>
      <c r="T102" s="76">
        <f t="shared" si="67"/>
        <v>0</v>
      </c>
      <c r="U102" s="76">
        <f t="shared" ref="U102:V102" si="68">IF(U82&lt;0,U82*-1,0)</f>
        <v>0</v>
      </c>
      <c r="V102" s="76">
        <f t="shared" si="68"/>
        <v>0</v>
      </c>
      <c r="W102" s="76">
        <f t="shared" ref="W102:X102" si="69">IF(W82&lt;0,W82*-1,0)</f>
        <v>0</v>
      </c>
      <c r="X102" s="76">
        <f t="shared" si="69"/>
        <v>0</v>
      </c>
      <c r="Y102" s="76">
        <f t="shared" ref="Y102:Z102" si="70">IF(Y82&lt;0,Y82*-1,0)</f>
        <v>0</v>
      </c>
      <c r="Z102" s="76">
        <f t="shared" si="70"/>
        <v>0</v>
      </c>
      <c r="AA102" s="76">
        <f t="shared" ref="AA102" si="71">IF(AA82&lt;0,AA82*-1,0)</f>
        <v>0</v>
      </c>
      <c r="AB102" s="76">
        <f t="shared" si="65"/>
        <v>0</v>
      </c>
      <c r="AC102" s="76">
        <f t="shared" si="65"/>
        <v>0</v>
      </c>
      <c r="AD102" s="76">
        <f t="shared" si="65"/>
        <v>0</v>
      </c>
      <c r="AE102" s="76">
        <f t="shared" si="65"/>
        <v>0</v>
      </c>
      <c r="AF102" s="76">
        <f t="shared" si="65"/>
        <v>0</v>
      </c>
      <c r="AG102" s="55"/>
      <c r="AH102" s="47">
        <f t="shared" si="26"/>
        <v>0</v>
      </c>
      <c r="AI102" s="48">
        <f t="shared" si="27"/>
        <v>0</v>
      </c>
    </row>
    <row r="103" spans="1:37" x14ac:dyDescent="0.25">
      <c r="A103" s="84" t="s">
        <v>104</v>
      </c>
      <c r="B103" s="76">
        <f t="shared" ref="B103:C103" si="72">IF(B85&lt;0,B85*-1,0)</f>
        <v>0</v>
      </c>
      <c r="C103" s="76">
        <f t="shared" si="72"/>
        <v>0</v>
      </c>
      <c r="D103" s="76">
        <f t="shared" ref="D103:AF103" si="73">IF(D85&lt;0,D85*-1,0)</f>
        <v>0</v>
      </c>
      <c r="E103" s="76">
        <f t="shared" si="73"/>
        <v>0</v>
      </c>
      <c r="F103" s="76">
        <f t="shared" si="73"/>
        <v>0</v>
      </c>
      <c r="G103" s="76">
        <f t="shared" si="73"/>
        <v>0</v>
      </c>
      <c r="H103" s="76">
        <f t="shared" si="73"/>
        <v>0</v>
      </c>
      <c r="I103" s="76">
        <f t="shared" si="73"/>
        <v>0</v>
      </c>
      <c r="J103" s="76">
        <f t="shared" si="73"/>
        <v>0</v>
      </c>
      <c r="K103" s="76">
        <f t="shared" si="73"/>
        <v>0</v>
      </c>
      <c r="L103" s="76">
        <f t="shared" si="73"/>
        <v>0</v>
      </c>
      <c r="M103" s="76">
        <f t="shared" si="73"/>
        <v>0</v>
      </c>
      <c r="N103" s="76">
        <f t="shared" si="73"/>
        <v>0</v>
      </c>
      <c r="O103" s="76">
        <f t="shared" ref="O103" si="74">IF(O85&lt;0,O85*-1,0)</f>
        <v>0</v>
      </c>
      <c r="P103" s="76">
        <f t="shared" si="73"/>
        <v>0</v>
      </c>
      <c r="Q103" s="76">
        <f t="shared" si="73"/>
        <v>0</v>
      </c>
      <c r="R103" s="76">
        <f t="shared" si="73"/>
        <v>0</v>
      </c>
      <c r="S103" s="76">
        <f t="shared" ref="S103:T103" si="75">IF(S85&lt;0,S85*-1,0)</f>
        <v>0</v>
      </c>
      <c r="T103" s="76">
        <f t="shared" si="75"/>
        <v>0</v>
      </c>
      <c r="U103" s="76">
        <f t="shared" ref="U103:V103" si="76">IF(U85&lt;0,U85*-1,0)</f>
        <v>0</v>
      </c>
      <c r="V103" s="76">
        <f t="shared" si="76"/>
        <v>0</v>
      </c>
      <c r="W103" s="76">
        <f t="shared" ref="W103:X103" si="77">IF(W85&lt;0,W85*-1,0)</f>
        <v>0</v>
      </c>
      <c r="X103" s="76">
        <f t="shared" si="77"/>
        <v>0</v>
      </c>
      <c r="Y103" s="76">
        <f t="shared" ref="Y103:Z103" si="78">IF(Y85&lt;0,Y85*-1,0)</f>
        <v>0</v>
      </c>
      <c r="Z103" s="76">
        <f t="shared" si="78"/>
        <v>0</v>
      </c>
      <c r="AA103" s="76">
        <f t="shared" ref="AA103" si="79">IF(AA85&lt;0,AA85*-1,0)</f>
        <v>0</v>
      </c>
      <c r="AB103" s="76">
        <f t="shared" si="73"/>
        <v>0</v>
      </c>
      <c r="AC103" s="76">
        <f t="shared" si="73"/>
        <v>0</v>
      </c>
      <c r="AD103" s="76">
        <f t="shared" si="73"/>
        <v>0</v>
      </c>
      <c r="AE103" s="76">
        <f t="shared" si="73"/>
        <v>0</v>
      </c>
      <c r="AF103" s="76">
        <f t="shared" si="73"/>
        <v>0</v>
      </c>
      <c r="AG103" s="98"/>
      <c r="AH103" s="47">
        <f t="shared" si="26"/>
        <v>0</v>
      </c>
      <c r="AI103" s="48">
        <f t="shared" si="27"/>
        <v>0</v>
      </c>
    </row>
    <row r="104" spans="1:37" x14ac:dyDescent="0.25">
      <c r="A104" s="84" t="s">
        <v>105</v>
      </c>
      <c r="B104" s="76">
        <f t="shared" ref="B104:C104" si="80">IF(B83&lt;0,B83*-1,0)</f>
        <v>0</v>
      </c>
      <c r="C104" s="76">
        <f t="shared" si="80"/>
        <v>0</v>
      </c>
      <c r="D104" s="76">
        <f t="shared" ref="D104:AF104" si="81">IF(D83&lt;0,D83*-1,0)</f>
        <v>0</v>
      </c>
      <c r="E104" s="76">
        <f t="shared" si="81"/>
        <v>0</v>
      </c>
      <c r="F104" s="76">
        <f t="shared" si="81"/>
        <v>0</v>
      </c>
      <c r="G104" s="76">
        <f t="shared" si="81"/>
        <v>0</v>
      </c>
      <c r="H104" s="76">
        <f t="shared" si="81"/>
        <v>0</v>
      </c>
      <c r="I104" s="76">
        <f t="shared" si="81"/>
        <v>0</v>
      </c>
      <c r="J104" s="76">
        <f t="shared" si="81"/>
        <v>0</v>
      </c>
      <c r="K104" s="76">
        <f t="shared" si="81"/>
        <v>0</v>
      </c>
      <c r="L104" s="76">
        <f t="shared" si="81"/>
        <v>0</v>
      </c>
      <c r="M104" s="76">
        <f t="shared" si="81"/>
        <v>0</v>
      </c>
      <c r="N104" s="76">
        <f t="shared" si="81"/>
        <v>0</v>
      </c>
      <c r="O104" s="76">
        <f t="shared" ref="O104" si="82">IF(O83&lt;0,O83*-1,0)</f>
        <v>0</v>
      </c>
      <c r="P104" s="76">
        <f t="shared" si="81"/>
        <v>0</v>
      </c>
      <c r="Q104" s="76">
        <f t="shared" si="81"/>
        <v>0</v>
      </c>
      <c r="R104" s="76">
        <f t="shared" si="81"/>
        <v>0</v>
      </c>
      <c r="S104" s="76">
        <f t="shared" ref="S104:T104" si="83">IF(S83&lt;0,S83*-1,0)</f>
        <v>0</v>
      </c>
      <c r="T104" s="76">
        <f t="shared" si="83"/>
        <v>0</v>
      </c>
      <c r="U104" s="76">
        <f t="shared" ref="U104:V104" si="84">IF(U83&lt;0,U83*-1,0)</f>
        <v>0</v>
      </c>
      <c r="V104" s="76">
        <f t="shared" si="84"/>
        <v>0</v>
      </c>
      <c r="W104" s="76">
        <f t="shared" ref="W104:X104" si="85">IF(W83&lt;0,W83*-1,0)</f>
        <v>0</v>
      </c>
      <c r="X104" s="76">
        <f t="shared" si="85"/>
        <v>0</v>
      </c>
      <c r="Y104" s="76">
        <f t="shared" ref="Y104:Z104" si="86">IF(Y83&lt;0,Y83*-1,0)</f>
        <v>0</v>
      </c>
      <c r="Z104" s="76">
        <f t="shared" si="86"/>
        <v>0</v>
      </c>
      <c r="AA104" s="76">
        <f t="shared" ref="AA104" si="87">IF(AA83&lt;0,AA83*-1,0)</f>
        <v>0</v>
      </c>
      <c r="AB104" s="76">
        <f t="shared" si="81"/>
        <v>0</v>
      </c>
      <c r="AC104" s="76">
        <f t="shared" si="81"/>
        <v>0</v>
      </c>
      <c r="AD104" s="76">
        <f t="shared" si="81"/>
        <v>0</v>
      </c>
      <c r="AE104" s="76">
        <f t="shared" si="81"/>
        <v>0</v>
      </c>
      <c r="AF104" s="76">
        <f t="shared" si="81"/>
        <v>0</v>
      </c>
      <c r="AG104" s="98"/>
      <c r="AH104" s="47">
        <f t="shared" si="26"/>
        <v>0</v>
      </c>
      <c r="AI104" s="48">
        <f t="shared" si="27"/>
        <v>0</v>
      </c>
    </row>
    <row r="105" spans="1:37" x14ac:dyDescent="0.25">
      <c r="A105" s="84" t="s">
        <v>81</v>
      </c>
      <c r="B105" s="76">
        <f t="shared" ref="B105:C105" si="88">IF(B81&lt;0,B81*-1,0)</f>
        <v>0</v>
      </c>
      <c r="C105" s="76">
        <f t="shared" si="88"/>
        <v>0</v>
      </c>
      <c r="D105" s="76">
        <f t="shared" ref="D105:AF105" si="89">IF(D81&lt;0,D81*-1,0)</f>
        <v>0</v>
      </c>
      <c r="E105" s="76">
        <f t="shared" si="89"/>
        <v>0</v>
      </c>
      <c r="F105" s="76">
        <f t="shared" si="89"/>
        <v>0</v>
      </c>
      <c r="G105" s="76">
        <f t="shared" si="89"/>
        <v>0</v>
      </c>
      <c r="H105" s="76">
        <f t="shared" si="89"/>
        <v>0</v>
      </c>
      <c r="I105" s="76">
        <f t="shared" si="89"/>
        <v>0</v>
      </c>
      <c r="J105" s="76">
        <f t="shared" si="89"/>
        <v>0</v>
      </c>
      <c r="K105" s="76">
        <f t="shared" si="89"/>
        <v>0</v>
      </c>
      <c r="L105" s="76">
        <f t="shared" si="89"/>
        <v>0</v>
      </c>
      <c r="M105" s="76">
        <f t="shared" si="89"/>
        <v>0</v>
      </c>
      <c r="N105" s="76">
        <f t="shared" si="89"/>
        <v>0</v>
      </c>
      <c r="O105" s="76">
        <f t="shared" ref="O105" si="90">IF(O81&lt;0,O81*-1,0)</f>
        <v>0</v>
      </c>
      <c r="P105" s="76">
        <f t="shared" si="89"/>
        <v>0</v>
      </c>
      <c r="Q105" s="76">
        <f t="shared" si="89"/>
        <v>0</v>
      </c>
      <c r="R105" s="76">
        <f t="shared" si="89"/>
        <v>0</v>
      </c>
      <c r="S105" s="76">
        <f t="shared" ref="S105:T105" si="91">IF(S81&lt;0,S81*-1,0)</f>
        <v>0</v>
      </c>
      <c r="T105" s="76">
        <f t="shared" si="91"/>
        <v>0</v>
      </c>
      <c r="U105" s="76">
        <f t="shared" ref="U105:V105" si="92">IF(U81&lt;0,U81*-1,0)</f>
        <v>0</v>
      </c>
      <c r="V105" s="76">
        <f t="shared" si="92"/>
        <v>0</v>
      </c>
      <c r="W105" s="76">
        <f t="shared" ref="W105:X105" si="93">IF(W81&lt;0,W81*-1,0)</f>
        <v>0</v>
      </c>
      <c r="X105" s="76">
        <f t="shared" si="93"/>
        <v>0</v>
      </c>
      <c r="Y105" s="76">
        <f t="shared" ref="Y105:Z105" si="94">IF(Y81&lt;0,Y81*-1,0)</f>
        <v>0</v>
      </c>
      <c r="Z105" s="76">
        <f t="shared" si="94"/>
        <v>0</v>
      </c>
      <c r="AA105" s="76">
        <f t="shared" ref="AA105" si="95">IF(AA81&lt;0,AA81*-1,0)</f>
        <v>0</v>
      </c>
      <c r="AB105" s="76">
        <f t="shared" si="89"/>
        <v>0</v>
      </c>
      <c r="AC105" s="76">
        <f t="shared" si="89"/>
        <v>0</v>
      </c>
      <c r="AD105" s="76">
        <f t="shared" si="89"/>
        <v>0</v>
      </c>
      <c r="AE105" s="76">
        <f t="shared" si="89"/>
        <v>0</v>
      </c>
      <c r="AF105" s="76">
        <f t="shared" si="89"/>
        <v>0</v>
      </c>
      <c r="AG105" s="98"/>
      <c r="AH105" s="47">
        <f t="shared" si="26"/>
        <v>0</v>
      </c>
      <c r="AI105" s="48">
        <f t="shared" si="27"/>
        <v>0</v>
      </c>
    </row>
    <row r="106" spans="1:37" ht="15.75" thickBot="1" x14ac:dyDescent="0.3">
      <c r="A106" s="84" t="s">
        <v>106</v>
      </c>
      <c r="B106" s="94">
        <v>3</v>
      </c>
      <c r="C106" s="94">
        <v>4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1</v>
      </c>
      <c r="P106" s="94">
        <v>0</v>
      </c>
      <c r="Q106" s="94">
        <v>0</v>
      </c>
      <c r="R106" s="94">
        <v>0</v>
      </c>
      <c r="S106" s="94">
        <v>1</v>
      </c>
      <c r="T106" s="94">
        <v>2</v>
      </c>
      <c r="U106" s="94">
        <v>3</v>
      </c>
      <c r="V106" s="94">
        <v>4</v>
      </c>
      <c r="W106" s="94">
        <v>5</v>
      </c>
      <c r="X106" s="94">
        <v>5</v>
      </c>
      <c r="Y106" s="94">
        <v>6</v>
      </c>
      <c r="Z106" s="94">
        <v>7</v>
      </c>
      <c r="AA106" s="94">
        <v>8</v>
      </c>
      <c r="AB106" s="94">
        <v>0</v>
      </c>
      <c r="AC106" s="94">
        <v>0</v>
      </c>
      <c r="AD106" s="94">
        <v>0</v>
      </c>
      <c r="AE106" s="94">
        <v>0</v>
      </c>
      <c r="AF106" s="94">
        <v>0</v>
      </c>
      <c r="AG106" s="85"/>
      <c r="AH106" s="47">
        <f t="shared" si="26"/>
        <v>8</v>
      </c>
      <c r="AI106" s="48">
        <f t="shared" si="27"/>
        <v>0</v>
      </c>
    </row>
    <row r="107" spans="1:37" ht="15.75" thickBot="1" x14ac:dyDescent="0.3">
      <c r="A107" s="99" t="s">
        <v>107</v>
      </c>
      <c r="B107" s="60">
        <f t="shared" ref="B107:C107" si="96">SUM(B101:B106)</f>
        <v>3</v>
      </c>
      <c r="C107" s="60">
        <f t="shared" si="96"/>
        <v>4</v>
      </c>
      <c r="D107" s="60">
        <f t="shared" ref="D107:AF107" si="97">SUM(D101:D106)</f>
        <v>0</v>
      </c>
      <c r="E107" s="60">
        <f t="shared" si="97"/>
        <v>0</v>
      </c>
      <c r="F107" s="60">
        <f t="shared" si="97"/>
        <v>0</v>
      </c>
      <c r="G107" s="60">
        <f t="shared" si="97"/>
        <v>0</v>
      </c>
      <c r="H107" s="60">
        <f t="shared" si="97"/>
        <v>0</v>
      </c>
      <c r="I107" s="60">
        <f t="shared" si="97"/>
        <v>0</v>
      </c>
      <c r="J107" s="60">
        <f t="shared" si="97"/>
        <v>0</v>
      </c>
      <c r="K107" s="60">
        <f t="shared" si="97"/>
        <v>0</v>
      </c>
      <c r="L107" s="60">
        <f t="shared" si="97"/>
        <v>0</v>
      </c>
      <c r="M107" s="60">
        <f t="shared" si="97"/>
        <v>0</v>
      </c>
      <c r="N107" s="60">
        <f t="shared" si="97"/>
        <v>0</v>
      </c>
      <c r="O107" s="60">
        <f t="shared" ref="O107" si="98">SUM(O101:O106)</f>
        <v>1</v>
      </c>
      <c r="P107" s="60">
        <f t="shared" si="97"/>
        <v>0</v>
      </c>
      <c r="Q107" s="60">
        <f t="shared" si="97"/>
        <v>0</v>
      </c>
      <c r="R107" s="60">
        <f t="shared" si="97"/>
        <v>0</v>
      </c>
      <c r="S107" s="60">
        <f t="shared" ref="S107:T107" si="99">SUM(S101:S106)</f>
        <v>1</v>
      </c>
      <c r="T107" s="60">
        <f t="shared" si="99"/>
        <v>2</v>
      </c>
      <c r="U107" s="60">
        <f t="shared" ref="U107:V107" si="100">SUM(U101:U106)</f>
        <v>3</v>
      </c>
      <c r="V107" s="60">
        <f t="shared" si="100"/>
        <v>4</v>
      </c>
      <c r="W107" s="60">
        <f t="shared" ref="W107:X107" si="101">SUM(W101:W106)</f>
        <v>5</v>
      </c>
      <c r="X107" s="60">
        <f t="shared" si="101"/>
        <v>5</v>
      </c>
      <c r="Y107" s="60">
        <f t="shared" ref="Y107:Z107" si="102">SUM(Y101:Y106)</f>
        <v>6</v>
      </c>
      <c r="Z107" s="60">
        <f t="shared" si="102"/>
        <v>7</v>
      </c>
      <c r="AA107" s="60">
        <f t="shared" ref="AA107" si="103">SUM(AA101:AA106)</f>
        <v>8</v>
      </c>
      <c r="AB107" s="60">
        <f t="shared" si="97"/>
        <v>0</v>
      </c>
      <c r="AC107" s="60">
        <f t="shared" si="97"/>
        <v>0</v>
      </c>
      <c r="AD107" s="60">
        <f t="shared" si="97"/>
        <v>0</v>
      </c>
      <c r="AE107" s="60">
        <f t="shared" si="97"/>
        <v>0</v>
      </c>
      <c r="AF107" s="60">
        <f t="shared" si="97"/>
        <v>0</v>
      </c>
      <c r="AG107" s="88"/>
      <c r="AH107" s="47">
        <f t="shared" si="26"/>
        <v>8</v>
      </c>
      <c r="AI107" s="48">
        <f t="shared" si="27"/>
        <v>0</v>
      </c>
      <c r="AK107" s="50"/>
    </row>
    <row r="108" spans="1:37" ht="15.75" thickBot="1" x14ac:dyDescent="0.3">
      <c r="A108" s="74" t="s">
        <v>108</v>
      </c>
      <c r="B108" s="60">
        <f t="shared" ref="B108:C108" si="104">B92-B107</f>
        <v>393</v>
      </c>
      <c r="C108" s="60">
        <f t="shared" si="104"/>
        <v>362</v>
      </c>
      <c r="D108" s="60">
        <f t="shared" ref="D108:AF108" si="105">D92-D107</f>
        <v>370.2</v>
      </c>
      <c r="E108" s="60">
        <f t="shared" si="105"/>
        <v>371.1</v>
      </c>
      <c r="F108" s="60">
        <f t="shared" si="105"/>
        <v>376.5</v>
      </c>
      <c r="G108" s="60">
        <f t="shared" si="105"/>
        <v>420</v>
      </c>
      <c r="H108" s="60">
        <f t="shared" si="105"/>
        <v>489.5</v>
      </c>
      <c r="I108" s="60">
        <f t="shared" si="105"/>
        <v>477.5</v>
      </c>
      <c r="J108" s="60">
        <f t="shared" si="105"/>
        <v>472.2</v>
      </c>
      <c r="K108" s="60">
        <f t="shared" si="105"/>
        <v>411.8</v>
      </c>
      <c r="L108" s="60">
        <f t="shared" si="105"/>
        <v>197</v>
      </c>
      <c r="M108" s="60">
        <f t="shared" si="105"/>
        <v>147.5</v>
      </c>
      <c r="N108" s="60">
        <f t="shared" si="105"/>
        <v>149.10000000000002</v>
      </c>
      <c r="O108" s="60">
        <f t="shared" ref="O108" si="106">O92-O107</f>
        <v>211.39999999999998</v>
      </c>
      <c r="P108" s="60">
        <f t="shared" si="105"/>
        <v>243.2</v>
      </c>
      <c r="Q108" s="60">
        <f t="shared" si="105"/>
        <v>483.8</v>
      </c>
      <c r="R108" s="60">
        <f t="shared" si="105"/>
        <v>471.9</v>
      </c>
      <c r="S108" s="60">
        <f t="shared" ref="S108:T108" si="107">S92-S107</f>
        <v>494.3</v>
      </c>
      <c r="T108" s="60">
        <f t="shared" si="107"/>
        <v>506.2</v>
      </c>
      <c r="U108" s="60">
        <f t="shared" ref="U108:V108" si="108">U92-U107</f>
        <v>445.4</v>
      </c>
      <c r="V108" s="60">
        <f t="shared" si="108"/>
        <v>444.4</v>
      </c>
      <c r="W108" s="60">
        <f t="shared" ref="W108:X108" si="109">W92-W107</f>
        <v>351.79999999999995</v>
      </c>
      <c r="X108" s="60">
        <f t="shared" si="109"/>
        <v>313.8</v>
      </c>
      <c r="Y108" s="60">
        <f t="shared" ref="Y108:Z108" si="110">Y92-Y107</f>
        <v>235.89999999999998</v>
      </c>
      <c r="Z108" s="60">
        <f t="shared" si="110"/>
        <v>258.7</v>
      </c>
      <c r="AA108" s="60">
        <f t="shared" ref="AA108" si="111">AA92-AA107</f>
        <v>305</v>
      </c>
      <c r="AB108" s="60">
        <f t="shared" si="105"/>
        <v>337.6</v>
      </c>
      <c r="AC108" s="60">
        <f t="shared" si="105"/>
        <v>305.2</v>
      </c>
      <c r="AD108" s="60">
        <f t="shared" si="105"/>
        <v>342</v>
      </c>
      <c r="AE108" s="60">
        <f t="shared" si="105"/>
        <v>427.2</v>
      </c>
      <c r="AF108" s="60">
        <f t="shared" si="105"/>
        <v>401</v>
      </c>
      <c r="AG108" s="88"/>
      <c r="AH108" s="47">
        <f t="shared" si="26"/>
        <v>506.2</v>
      </c>
      <c r="AI108" s="48">
        <f t="shared" si="27"/>
        <v>147.5</v>
      </c>
    </row>
    <row r="109" spans="1:37" x14ac:dyDescent="0.25">
      <c r="A109" s="100" t="s">
        <v>109</v>
      </c>
      <c r="B109" s="101">
        <v>49.96</v>
      </c>
      <c r="C109" s="101">
        <v>49.97</v>
      </c>
      <c r="D109" s="101">
        <v>49.935000000000002</v>
      </c>
      <c r="E109" s="101">
        <v>50.042000000000002</v>
      </c>
      <c r="F109" s="101">
        <v>50.051000000000002</v>
      </c>
      <c r="G109" s="101">
        <v>49.978999999999999</v>
      </c>
      <c r="H109" s="101">
        <v>50.051000000000002</v>
      </c>
      <c r="I109" s="101">
        <v>50.026000000000003</v>
      </c>
      <c r="J109" s="101">
        <v>50.031999999999996</v>
      </c>
      <c r="K109" s="101">
        <v>49.96</v>
      </c>
      <c r="L109" s="101">
        <v>49.895000000000003</v>
      </c>
      <c r="M109" s="101">
        <v>50.042000000000002</v>
      </c>
      <c r="N109" s="101">
        <v>49.93</v>
      </c>
      <c r="O109" s="101">
        <v>49.99</v>
      </c>
      <c r="P109" s="101">
        <v>50.021999999999998</v>
      </c>
      <c r="Q109" s="101">
        <v>50.067999999999998</v>
      </c>
      <c r="R109" s="101">
        <v>50.009</v>
      </c>
      <c r="S109" s="101">
        <v>49.98</v>
      </c>
      <c r="T109" s="101">
        <v>49.94</v>
      </c>
      <c r="U109" s="101">
        <v>49.9</v>
      </c>
      <c r="V109" s="101">
        <v>49.91</v>
      </c>
      <c r="W109" s="101">
        <v>50.05</v>
      </c>
      <c r="X109" s="101">
        <v>49.86</v>
      </c>
      <c r="Y109" s="101">
        <v>50.02</v>
      </c>
      <c r="Z109" s="101">
        <v>49.92</v>
      </c>
      <c r="AA109" s="101">
        <v>50.01</v>
      </c>
      <c r="AB109" s="101">
        <v>50.027000000000001</v>
      </c>
      <c r="AC109" s="101">
        <v>49.963999999999999</v>
      </c>
      <c r="AD109" s="101">
        <v>49.948</v>
      </c>
      <c r="AE109" s="101">
        <v>50.091999999999999</v>
      </c>
      <c r="AF109" s="101">
        <v>49.978999999999999</v>
      </c>
      <c r="AG109" s="102"/>
      <c r="AH109" s="47">
        <f t="shared" si="26"/>
        <v>50.091999999999999</v>
      </c>
      <c r="AI109" s="48">
        <f t="shared" si="27"/>
        <v>49.86</v>
      </c>
    </row>
    <row r="110" spans="1:37" x14ac:dyDescent="0.25">
      <c r="A110" s="103" t="s">
        <v>110</v>
      </c>
      <c r="B110" s="65">
        <v>129</v>
      </c>
      <c r="C110" s="65">
        <v>131</v>
      </c>
      <c r="D110" s="65">
        <v>128.4</v>
      </c>
      <c r="E110" s="65">
        <v>128.1</v>
      </c>
      <c r="F110" s="65">
        <v>129</v>
      </c>
      <c r="G110" s="65">
        <v>127</v>
      </c>
      <c r="H110" s="65">
        <v>125</v>
      </c>
      <c r="I110" s="65">
        <v>123.9</v>
      </c>
      <c r="J110" s="65">
        <v>126.6</v>
      </c>
      <c r="K110" s="65">
        <v>128</v>
      </c>
      <c r="L110" s="65">
        <v>126.4</v>
      </c>
      <c r="M110" s="65">
        <v>124.3</v>
      </c>
      <c r="N110" s="65">
        <v>123</v>
      </c>
      <c r="O110" s="65">
        <v>125.5</v>
      </c>
      <c r="P110" s="65">
        <v>123.7</v>
      </c>
      <c r="Q110" s="65">
        <v>122.9</v>
      </c>
      <c r="R110" s="65">
        <v>125.5</v>
      </c>
      <c r="S110" s="65">
        <v>127.1</v>
      </c>
      <c r="T110" s="65">
        <v>124.4</v>
      </c>
      <c r="U110" s="65">
        <v>125.1</v>
      </c>
      <c r="V110" s="65">
        <v>128.9</v>
      </c>
      <c r="W110" s="65">
        <v>128.9</v>
      </c>
      <c r="X110" s="65">
        <v>128.9</v>
      </c>
      <c r="Y110" s="65">
        <v>127.4</v>
      </c>
      <c r="Z110" s="65">
        <v>128.4</v>
      </c>
      <c r="AA110" s="65">
        <v>128.19999999999999</v>
      </c>
      <c r="AB110" s="65">
        <v>129.19999999999999</v>
      </c>
      <c r="AC110" s="65">
        <v>129.5</v>
      </c>
      <c r="AD110" s="65">
        <v>128</v>
      </c>
      <c r="AE110" s="65">
        <v>124.7</v>
      </c>
      <c r="AF110" s="65">
        <v>125.8</v>
      </c>
      <c r="AG110" s="104"/>
      <c r="AH110" s="47">
        <f t="shared" si="26"/>
        <v>131</v>
      </c>
      <c r="AI110" s="48">
        <f t="shared" si="27"/>
        <v>122.9</v>
      </c>
    </row>
    <row r="111" spans="1:37" x14ac:dyDescent="0.25">
      <c r="A111" s="103" t="s">
        <v>111</v>
      </c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104"/>
      <c r="AH111" s="47">
        <f t="shared" si="26"/>
        <v>0</v>
      </c>
      <c r="AI111" s="48">
        <f t="shared" si="27"/>
        <v>0</v>
      </c>
    </row>
    <row r="112" spans="1:37" x14ac:dyDescent="0.25">
      <c r="A112" s="103" t="s">
        <v>112</v>
      </c>
      <c r="B112" s="65">
        <v>131</v>
      </c>
      <c r="C112" s="65">
        <v>129</v>
      </c>
      <c r="D112" s="65">
        <v>129.9</v>
      </c>
      <c r="E112" s="65">
        <v>130.4</v>
      </c>
      <c r="F112" s="65">
        <v>131.6</v>
      </c>
      <c r="G112" s="65">
        <v>128.9</v>
      </c>
      <c r="H112" s="65">
        <v>128</v>
      </c>
      <c r="I112" s="65">
        <v>127.6</v>
      </c>
      <c r="J112" s="65">
        <v>124.8</v>
      </c>
      <c r="K112" s="65">
        <v>130</v>
      </c>
      <c r="L112" s="65">
        <v>125.4</v>
      </c>
      <c r="M112" s="65">
        <v>126.3</v>
      </c>
      <c r="N112" s="65">
        <v>125.6</v>
      </c>
      <c r="O112" s="65">
        <v>129.30000000000001</v>
      </c>
      <c r="P112" s="65">
        <v>127.6</v>
      </c>
      <c r="Q112" s="65">
        <v>127</v>
      </c>
      <c r="R112" s="65">
        <v>127.1</v>
      </c>
      <c r="S112" s="65">
        <v>127.1</v>
      </c>
      <c r="T112" s="65">
        <v>127.1</v>
      </c>
      <c r="U112" s="65">
        <v>129.69999999999999</v>
      </c>
      <c r="V112" s="65">
        <v>130.69999999999999</v>
      </c>
      <c r="W112" s="65">
        <v>128.19999999999999</v>
      </c>
      <c r="X112" s="65">
        <v>128.19999999999999</v>
      </c>
      <c r="Y112" s="65">
        <v>128.19999999999999</v>
      </c>
      <c r="Z112" s="65">
        <v>132.5</v>
      </c>
      <c r="AA112" s="65">
        <v>132</v>
      </c>
      <c r="AB112" s="65">
        <v>134.6</v>
      </c>
      <c r="AC112" s="65">
        <v>131.69999999999999</v>
      </c>
      <c r="AD112" s="65">
        <v>128.5</v>
      </c>
      <c r="AE112" s="65">
        <v>128.69999999999999</v>
      </c>
      <c r="AF112" s="65">
        <v>131.6</v>
      </c>
      <c r="AG112" s="104"/>
      <c r="AH112" s="47">
        <f t="shared" si="26"/>
        <v>134.6</v>
      </c>
      <c r="AI112" s="48">
        <f t="shared" si="27"/>
        <v>124.8</v>
      </c>
    </row>
    <row r="113" spans="1:35" x14ac:dyDescent="0.25">
      <c r="A113" s="105" t="s">
        <v>113</v>
      </c>
      <c r="B113" s="65">
        <v>133</v>
      </c>
      <c r="C113" s="65">
        <v>132</v>
      </c>
      <c r="D113" s="65">
        <v>132.1</v>
      </c>
      <c r="E113" s="65">
        <v>133.1</v>
      </c>
      <c r="F113" s="65">
        <v>133.5</v>
      </c>
      <c r="G113" s="65">
        <v>130.6</v>
      </c>
      <c r="H113" s="65">
        <v>130</v>
      </c>
      <c r="I113" s="65">
        <v>128.30000000000001</v>
      </c>
      <c r="J113" s="65">
        <v>127.9</v>
      </c>
      <c r="K113" s="65">
        <v>131.6</v>
      </c>
      <c r="L113" s="65">
        <v>127.3</v>
      </c>
      <c r="M113" s="65">
        <v>129</v>
      </c>
      <c r="N113" s="65">
        <v>128.30000000000001</v>
      </c>
      <c r="O113" s="65">
        <v>129.9</v>
      </c>
      <c r="P113" s="65">
        <v>129.80000000000001</v>
      </c>
      <c r="Q113" s="65">
        <v>128.69999999999999</v>
      </c>
      <c r="R113" s="65">
        <v>130.4</v>
      </c>
      <c r="S113" s="65">
        <v>131.4</v>
      </c>
      <c r="T113" s="65">
        <v>130.19999999999999</v>
      </c>
      <c r="U113" s="65">
        <v>130.19999999999999</v>
      </c>
      <c r="V113" s="65">
        <v>132.30000000000001</v>
      </c>
      <c r="W113" s="65">
        <v>129.4</v>
      </c>
      <c r="X113" s="65">
        <v>129.4</v>
      </c>
      <c r="Y113" s="65">
        <v>129.4</v>
      </c>
      <c r="Z113" s="65">
        <v>133.30000000000001</v>
      </c>
      <c r="AA113" s="65">
        <v>133.30000000000001</v>
      </c>
      <c r="AB113" s="65">
        <v>135.5</v>
      </c>
      <c r="AC113" s="65">
        <v>133.4</v>
      </c>
      <c r="AD113" s="65">
        <v>131.6</v>
      </c>
      <c r="AE113" s="65">
        <v>132.4</v>
      </c>
      <c r="AF113" s="65">
        <v>135</v>
      </c>
      <c r="AG113" s="104"/>
      <c r="AH113" s="47">
        <f t="shared" si="26"/>
        <v>135.5</v>
      </c>
      <c r="AI113" s="48">
        <f t="shared" si="27"/>
        <v>127.3</v>
      </c>
    </row>
    <row r="114" spans="1:35" x14ac:dyDescent="0.25">
      <c r="A114" s="105" t="s">
        <v>114</v>
      </c>
      <c r="B114" s="106">
        <v>135</v>
      </c>
      <c r="C114" s="106">
        <v>135</v>
      </c>
      <c r="D114" s="106">
        <v>134.5</v>
      </c>
      <c r="E114" s="106">
        <v>132.1</v>
      </c>
      <c r="F114" s="106">
        <v>133.5</v>
      </c>
      <c r="G114" s="106">
        <v>132.80000000000001</v>
      </c>
      <c r="H114" s="106">
        <v>132</v>
      </c>
      <c r="I114" s="106">
        <v>132.4</v>
      </c>
      <c r="J114" s="106">
        <v>134.5</v>
      </c>
      <c r="K114" s="106">
        <v>136.6</v>
      </c>
      <c r="L114" s="106">
        <v>134.6</v>
      </c>
      <c r="M114" s="106">
        <v>131.6</v>
      </c>
      <c r="N114" s="106">
        <v>131.30000000000001</v>
      </c>
      <c r="O114" s="106">
        <v>133.1</v>
      </c>
      <c r="P114" s="106">
        <v>132.6</v>
      </c>
      <c r="Q114" s="106">
        <v>132.4</v>
      </c>
      <c r="R114" s="106">
        <v>133.80000000000001</v>
      </c>
      <c r="S114" s="106">
        <v>133.6</v>
      </c>
      <c r="T114" s="106">
        <v>129.69999999999999</v>
      </c>
      <c r="U114" s="106">
        <v>130.4</v>
      </c>
      <c r="V114" s="106">
        <v>130.4</v>
      </c>
      <c r="W114" s="106">
        <v>134.69999999999999</v>
      </c>
      <c r="X114" s="106">
        <v>134.69999999999999</v>
      </c>
      <c r="Y114" s="106">
        <v>134.69999999999999</v>
      </c>
      <c r="Z114" s="106">
        <v>138</v>
      </c>
      <c r="AA114" s="106">
        <v>135.80000000000001</v>
      </c>
      <c r="AB114" s="106">
        <v>138.19999999999999</v>
      </c>
      <c r="AC114" s="106">
        <v>138.19999999999999</v>
      </c>
      <c r="AD114" s="106">
        <v>137</v>
      </c>
      <c r="AE114" s="106">
        <v>134</v>
      </c>
      <c r="AF114" s="106">
        <v>132.5</v>
      </c>
      <c r="AG114" s="107"/>
      <c r="AH114" s="47">
        <f t="shared" si="26"/>
        <v>138.19999999999999</v>
      </c>
      <c r="AI114" s="48">
        <f t="shared" si="27"/>
        <v>129.69999999999999</v>
      </c>
    </row>
    <row r="115" spans="1:35" x14ac:dyDescent="0.25">
      <c r="A115" s="103" t="s">
        <v>115</v>
      </c>
      <c r="B115" s="65">
        <v>132</v>
      </c>
      <c r="C115" s="65">
        <v>132</v>
      </c>
      <c r="D115" s="65">
        <v>133.19999999999999</v>
      </c>
      <c r="E115" s="65">
        <v>134.1</v>
      </c>
      <c r="F115" s="65">
        <v>133.4</v>
      </c>
      <c r="G115" s="65">
        <v>127.8</v>
      </c>
      <c r="H115" s="65">
        <v>128</v>
      </c>
      <c r="I115" s="65">
        <v>128.19999999999999</v>
      </c>
      <c r="J115" s="65">
        <v>129.69999999999999</v>
      </c>
      <c r="K115" s="65">
        <v>131.5</v>
      </c>
      <c r="L115" s="65">
        <v>129.6</v>
      </c>
      <c r="M115" s="65">
        <v>131.5</v>
      </c>
      <c r="N115" s="65">
        <v>129.1</v>
      </c>
      <c r="O115" s="65">
        <v>127.4</v>
      </c>
      <c r="P115" s="65">
        <v>132.69999999999999</v>
      </c>
      <c r="Q115" s="65">
        <v>125.9</v>
      </c>
      <c r="R115" s="65">
        <v>126.8</v>
      </c>
      <c r="S115" s="65">
        <v>130.69999999999999</v>
      </c>
      <c r="T115" s="65">
        <v>130.80000000000001</v>
      </c>
      <c r="U115" s="65">
        <v>0</v>
      </c>
      <c r="V115" s="65">
        <v>0</v>
      </c>
      <c r="W115" s="65">
        <v>127.6</v>
      </c>
      <c r="X115" s="65">
        <v>127.6</v>
      </c>
      <c r="Y115" s="65">
        <v>127.6</v>
      </c>
      <c r="Z115" s="65">
        <v>129.4</v>
      </c>
      <c r="AA115" s="65">
        <v>127.8</v>
      </c>
      <c r="AB115" s="65">
        <v>136.30000000000001</v>
      </c>
      <c r="AC115" s="65">
        <v>128.69999999999999</v>
      </c>
      <c r="AD115" s="65">
        <v>131.30000000000001</v>
      </c>
      <c r="AE115" s="65">
        <v>134.30000000000001</v>
      </c>
      <c r="AF115" s="65">
        <v>135</v>
      </c>
      <c r="AG115" s="104"/>
      <c r="AH115" s="47">
        <f t="shared" si="26"/>
        <v>136.30000000000001</v>
      </c>
      <c r="AI115" s="48">
        <f t="shared" si="27"/>
        <v>0</v>
      </c>
    </row>
    <row r="116" spans="1:35" ht="15.75" thickBot="1" x14ac:dyDescent="0.3">
      <c r="A116" s="103" t="s">
        <v>116</v>
      </c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108"/>
      <c r="AH116" s="47">
        <f t="shared" si="26"/>
        <v>0</v>
      </c>
      <c r="AI116" s="48">
        <f t="shared" si="27"/>
        <v>0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26"/>
        <v>0</v>
      </c>
      <c r="AI117" s="48">
        <f t="shared" si="27"/>
        <v>0</v>
      </c>
    </row>
    <row r="118" spans="1:35" ht="15.75" thickBot="1" x14ac:dyDescent="0.3">
      <c r="A118" s="110" t="s">
        <v>118</v>
      </c>
      <c r="B118" s="111">
        <f t="shared" ref="B118:C118" si="112">SUM(B22,B28,B31:B32,B66,B68:B69,B71,B73,B119:B123,B155,B161,B167,B176,B178,B190,B197,B200:B201,B208,B210,B212,B216:B218,B220:B222,B227,B233:B234,B236:B238,B246,B251)</f>
        <v>127.64</v>
      </c>
      <c r="C118" s="111">
        <f t="shared" si="112"/>
        <v>117.64</v>
      </c>
      <c r="D118" s="111">
        <f t="shared" ref="D118:N118" si="113">SUM(D22,D28,D31:D32,D66,D68:D69,D71,D73,D119:D123,D155,D161,D167,D176,D178,D190,D197,D200:D201,D208,D210,D212,D216:D218,D220:D222,D227,D233:D234,D236:D238,D246,D251)</f>
        <v>130.649</v>
      </c>
      <c r="E118" s="111">
        <f t="shared" si="113"/>
        <v>252.90600000000001</v>
      </c>
      <c r="F118" s="111">
        <f t="shared" si="113"/>
        <v>135.84399999999999</v>
      </c>
      <c r="G118" s="111">
        <f t="shared" si="113"/>
        <v>209.89600000000002</v>
      </c>
      <c r="H118" s="111">
        <f t="shared" si="113"/>
        <v>217.74</v>
      </c>
      <c r="I118" s="111">
        <f t="shared" si="113"/>
        <v>229.20999999999998</v>
      </c>
      <c r="J118" s="111">
        <f t="shared" si="113"/>
        <v>241.62</v>
      </c>
      <c r="K118" s="111">
        <f t="shared" si="113"/>
        <v>295.73899999999998</v>
      </c>
      <c r="L118" s="111">
        <f t="shared" si="113"/>
        <v>319.90299999999996</v>
      </c>
      <c r="M118" s="111">
        <f t="shared" si="113"/>
        <v>324.25200000000001</v>
      </c>
      <c r="N118" s="111">
        <f t="shared" si="113"/>
        <v>364.08</v>
      </c>
      <c r="O118" s="111">
        <f t="shared" ref="O118" si="114">SUM(O22,O28,O31:O32,O66,O68:O69,O71,O73,O119:O123,O155,O161,O167,O176,O178,O190,O197,O200:O201,O208,O210,O212,O216:O218,O220:O222,O227,O233:O234,O236:O238,O246,O251)</f>
        <v>353.9</v>
      </c>
      <c r="P118" s="111">
        <f>SUM(P22,P28,P31:P32,P66,P68:P69,P71,P73,P119:P123,P155,P161,P167,P176,P178,P190,P197,P200:P201,P208,P210,P212,P216:P218,P220:P222,P227,P233:P234,P236:P238,P246,P251)</f>
        <v>340.84399999999999</v>
      </c>
      <c r="Q118" s="111">
        <f>SUM(Q22,Q28,Q31:Q32,Q66,Q68:Q69,Q71,Q73,Q119:Q123,Q155,Q161,Q167,Q176,Q178,Q190,Q197,Q200:Q201,Q208,Q210,Q212,Q216:Q218,Q220:Q222,Q227,Q233:Q234,Q236:Q238,Q246,Q251)</f>
        <v>307.536</v>
      </c>
      <c r="R118" s="111">
        <f t="shared" ref="R118:AC118" si="115">SUM(R22,R28,R31:R32,R66,R68:R69,R71,R73,R119:R123,R155,R161,R167,R176,R178,R190,R197,R200:R201,R208,R210,R212,R216:R218,R220:R222,R227,R233:R234,R236:R238,R246,R251)</f>
        <v>255.464</v>
      </c>
      <c r="S118" s="111">
        <f t="shared" ref="S118:T118" si="116">SUM(S22,S28,S31:S32,S66,S68:S69,S71,S73,S119:S123,S155,S161,S167,S176,S178,S190,S197,S200:S201,S208,S210,S212,S216:S218,S220:S222,S227,S233:S234,S236:S238,S246,S251)</f>
        <v>226.99</v>
      </c>
      <c r="T118" s="111">
        <f t="shared" si="116"/>
        <v>238.89999999999998</v>
      </c>
      <c r="U118" s="111">
        <f t="shared" ref="U118:V118" si="117">SUM(U22,U28,U31:U32,U66,U68:U69,U71,U73,U119:U123,U155,U161,U167,U176,U178,U190,U197,U200:U201,U208,U210,U212,U216:U218,U220:U222,U227,U233:U234,U236:U238,U246,U251)</f>
        <v>228.18</v>
      </c>
      <c r="V118" s="111">
        <f t="shared" si="117"/>
        <v>259.48</v>
      </c>
      <c r="W118" s="111">
        <f t="shared" ref="W118:X118" si="118">SUM(W22,W28,W31:W32,W66,W68:W69,W71,W73,W119:W123,W155,W161,W167,W176,W178,W190,W197,W200:W201,W208,W210,W212,W216:W218,W220:W222,W227,W233:W234,W236:W238,W246,W251)</f>
        <v>276.42</v>
      </c>
      <c r="X118" s="111">
        <f t="shared" si="118"/>
        <v>282.33999999999997</v>
      </c>
      <c r="Y118" s="111">
        <f t="shared" ref="Y118:Z118" si="119">SUM(Y22,Y28,Y31:Y32,Y66,Y68:Y69,Y71,Y73,Y119:Y123,Y155,Y161,Y167,Y176,Y178,Y190,Y197,Y200:Y201,Y208,Y210,Y212,Y216:Y218,Y220:Y222,Y227,Y233:Y234,Y236:Y238,Y246,Y251)</f>
        <v>362.86</v>
      </c>
      <c r="Z118" s="111">
        <f t="shared" si="119"/>
        <v>346.42</v>
      </c>
      <c r="AA118" s="111">
        <f t="shared" ref="AA118" si="120">SUM(AA22,AA28,AA31:AA32,AA66,AA68:AA69,AA71,AA73,AA119:AA123,AA155,AA161,AA167,AA176,AA178,AA190,AA197,AA200:AA201,AA208,AA210,AA212,AA216:AA218,AA220:AA222,AA227,AA233:AA234,AA236:AA238,AA246,AA251)</f>
        <v>336.02</v>
      </c>
      <c r="AB118" s="111">
        <f t="shared" si="115"/>
        <v>275.94499999999999</v>
      </c>
      <c r="AC118" s="111">
        <f t="shared" si="115"/>
        <v>259.20999999999998</v>
      </c>
      <c r="AD118" s="111"/>
      <c r="AE118" s="111">
        <f>SUM(AE22,AE28,AE31:AE32,AE66,AE68:AE69,AE71,AE73,AE119:AE123,AE155,AE161,AE167,AE176,AE178,AE190,AE197,AE200:AE201,AE208,AE210,AE212,AE216:AE218,AE220:AE222,AE227,AE233:AE234,AE236:AE238,AE246,AE251)</f>
        <v>162.04</v>
      </c>
      <c r="AF118" s="111">
        <f>SUM(AF22,AF28,AF31:AF32,AF66,AF68:AF69,AF71,AF73,AF119:AF123,AF155,AF161,AF167,AF176,AF178,AF190,AF197,AF200:AF201,AF208,AF210,AF212,AF216:AF218,AF220:AF222,AF227,AF233:AF234,AF236:AF238,AF246,AF251)</f>
        <v>142.42000000000002</v>
      </c>
      <c r="AG118" s="112"/>
      <c r="AH118" s="47">
        <f t="shared" si="26"/>
        <v>364.08</v>
      </c>
      <c r="AI118" s="48">
        <f t="shared" si="27"/>
        <v>117.64</v>
      </c>
    </row>
    <row r="119" spans="1:35" x14ac:dyDescent="0.25">
      <c r="A119" s="172" t="s">
        <v>119</v>
      </c>
      <c r="B119" s="113">
        <v>13</v>
      </c>
      <c r="C119" s="113">
        <v>4</v>
      </c>
      <c r="D119" s="113">
        <v>0.3</v>
      </c>
      <c r="E119" s="113">
        <v>2.4</v>
      </c>
      <c r="F119" s="113">
        <v>3</v>
      </c>
      <c r="G119" s="113">
        <v>32</v>
      </c>
      <c r="H119" s="113">
        <v>36.5</v>
      </c>
      <c r="I119" s="113">
        <v>43</v>
      </c>
      <c r="J119" s="113">
        <v>35.4</v>
      </c>
      <c r="K119" s="113">
        <v>74</v>
      </c>
      <c r="L119" s="113">
        <v>64.400000000000006</v>
      </c>
      <c r="M119" s="113">
        <v>81.599999999999994</v>
      </c>
      <c r="N119" s="113">
        <v>86.3</v>
      </c>
      <c r="O119" s="113">
        <v>96.3</v>
      </c>
      <c r="P119" s="113">
        <v>92.9</v>
      </c>
      <c r="Q119" s="113">
        <v>85.9</v>
      </c>
      <c r="R119" s="113">
        <v>46.4</v>
      </c>
      <c r="S119" s="113">
        <v>14</v>
      </c>
      <c r="T119" s="113">
        <v>5.8</v>
      </c>
      <c r="U119" s="113">
        <v>-10.199999999999999</v>
      </c>
      <c r="V119" s="113">
        <v>21.1</v>
      </c>
      <c r="W119" s="113">
        <v>13</v>
      </c>
      <c r="X119" s="113">
        <v>59.5</v>
      </c>
      <c r="Y119" s="113">
        <v>72.599999999999994</v>
      </c>
      <c r="Z119" s="113">
        <v>66.599999999999994</v>
      </c>
      <c r="AA119" s="113">
        <v>58.6</v>
      </c>
      <c r="AB119" s="113"/>
      <c r="AC119" s="113"/>
      <c r="AD119" s="113"/>
      <c r="AE119" s="113"/>
      <c r="AF119" s="113"/>
      <c r="AG119" s="114">
        <v>75</v>
      </c>
      <c r="AH119" s="47">
        <f t="shared" si="26"/>
        <v>96.3</v>
      </c>
      <c r="AI119" s="48">
        <f t="shared" si="27"/>
        <v>-10.199999999999999</v>
      </c>
    </row>
    <row r="120" spans="1:35" x14ac:dyDescent="0.25">
      <c r="A120" s="173" t="s">
        <v>120</v>
      </c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>
        <v>0</v>
      </c>
      <c r="AC120" s="115">
        <v>0</v>
      </c>
      <c r="AD120" s="115">
        <v>0</v>
      </c>
      <c r="AE120" s="115">
        <v>0</v>
      </c>
      <c r="AF120" s="115">
        <v>0</v>
      </c>
      <c r="AG120" s="114">
        <v>240</v>
      </c>
      <c r="AH120" s="47">
        <f t="shared" si="26"/>
        <v>0</v>
      </c>
      <c r="AI120" s="48">
        <f t="shared" si="27"/>
        <v>0</v>
      </c>
    </row>
    <row r="121" spans="1:35" x14ac:dyDescent="0.25">
      <c r="A121" s="173" t="s">
        <v>121</v>
      </c>
      <c r="B121" s="115">
        <v>-54</v>
      </c>
      <c r="C121" s="115">
        <v>-55</v>
      </c>
      <c r="D121" s="115">
        <v>-65</v>
      </c>
      <c r="E121" s="115">
        <f>61</f>
        <v>61</v>
      </c>
      <c r="F121" s="115">
        <v>-59</v>
      </c>
      <c r="G121" s="115">
        <v>-40</v>
      </c>
      <c r="H121" s="115">
        <v>-42</v>
      </c>
      <c r="I121" s="115">
        <v>-40</v>
      </c>
      <c r="J121" s="115">
        <v>-25</v>
      </c>
      <c r="K121" s="115">
        <v>-2</v>
      </c>
      <c r="L121" s="115">
        <v>-1</v>
      </c>
      <c r="M121" s="115">
        <v>-26.6</v>
      </c>
      <c r="N121" s="115">
        <v>14.5</v>
      </c>
      <c r="O121" s="115">
        <f>6.9+8.1</f>
        <v>15</v>
      </c>
      <c r="P121" s="115">
        <v>-18</v>
      </c>
      <c r="Q121" s="115">
        <v>-34</v>
      </c>
      <c r="R121" s="115">
        <v>-40.6</v>
      </c>
      <c r="S121" s="115">
        <v>-21</v>
      </c>
      <c r="T121" s="115">
        <v>-16</v>
      </c>
      <c r="U121" s="115">
        <v>-5</v>
      </c>
      <c r="V121" s="115">
        <v>-5</v>
      </c>
      <c r="W121" s="115">
        <v>9</v>
      </c>
      <c r="X121" s="115">
        <v>16</v>
      </c>
      <c r="Y121" s="115">
        <v>32</v>
      </c>
      <c r="Z121" s="115">
        <v>27</v>
      </c>
      <c r="AA121" s="115">
        <v>27</v>
      </c>
      <c r="AB121" s="115">
        <v>55</v>
      </c>
      <c r="AC121" s="115">
        <v>48</v>
      </c>
      <c r="AD121" s="115">
        <v>27</v>
      </c>
      <c r="AE121" s="115">
        <v>-33</v>
      </c>
      <c r="AF121" s="115">
        <v>-48</v>
      </c>
      <c r="AG121" s="114">
        <v>240</v>
      </c>
      <c r="AH121" s="47">
        <f t="shared" si="26"/>
        <v>61</v>
      </c>
      <c r="AI121" s="48">
        <f t="shared" si="27"/>
        <v>-65</v>
      </c>
    </row>
    <row r="122" spans="1:35" ht="15.75" thickBot="1" x14ac:dyDescent="0.3">
      <c r="A122" s="173" t="s">
        <v>122</v>
      </c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>
        <v>11</v>
      </c>
      <c r="Q122" s="115">
        <v>12</v>
      </c>
      <c r="R122" s="115">
        <v>15</v>
      </c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15"/>
      <c r="AF122" s="115"/>
      <c r="AG122" s="114">
        <v>60</v>
      </c>
      <c r="AH122" s="47">
        <f t="shared" si="26"/>
        <v>15</v>
      </c>
      <c r="AI122" s="48">
        <f t="shared" si="27"/>
        <v>11</v>
      </c>
    </row>
    <row r="123" spans="1:35" x14ac:dyDescent="0.25">
      <c r="A123" s="172" t="s">
        <v>260</v>
      </c>
      <c r="B123" s="117">
        <v>60</v>
      </c>
      <c r="C123" s="117">
        <v>60</v>
      </c>
      <c r="D123" s="117">
        <f>52.7*1.67</f>
        <v>88.009</v>
      </c>
      <c r="E123" s="117">
        <f>49.8*1.67</f>
        <v>83.165999999999997</v>
      </c>
      <c r="F123" s="117">
        <f>51.2*1.67</f>
        <v>85.504000000000005</v>
      </c>
      <c r="G123" s="117">
        <f>66.8*1.67</f>
        <v>111.556</v>
      </c>
      <c r="H123" s="117">
        <f>70*1.67</f>
        <v>116.89999999999999</v>
      </c>
      <c r="I123" s="117">
        <f>71*1.67</f>
        <v>118.57</v>
      </c>
      <c r="J123" s="117">
        <f>74*1.67</f>
        <v>123.58</v>
      </c>
      <c r="K123" s="117">
        <f>69.7*1.67</f>
        <v>116.399</v>
      </c>
      <c r="L123" s="117">
        <f>88.9*1.67</f>
        <v>148.46299999999999</v>
      </c>
      <c r="M123" s="117">
        <f>1.64*98.3</f>
        <v>161.21199999999999</v>
      </c>
      <c r="N123" s="117">
        <f>1.64*93.5</f>
        <v>153.34</v>
      </c>
      <c r="O123" s="117">
        <f>78.1*1.6</f>
        <v>124.96</v>
      </c>
      <c r="P123" s="117">
        <f>1.64*81.1</f>
        <v>133.00399999999999</v>
      </c>
      <c r="Q123" s="117">
        <f>1.64*73.9</f>
        <v>121.196</v>
      </c>
      <c r="R123" s="117">
        <f>1.64*69.1</f>
        <v>113.32399999999998</v>
      </c>
      <c r="S123" s="117">
        <f>77.7*1.5</f>
        <v>116.55000000000001</v>
      </c>
      <c r="T123" s="117">
        <f>84.6*1.6</f>
        <v>135.35999999999999</v>
      </c>
      <c r="U123" s="117">
        <f>83.9*1.6</f>
        <v>134.24</v>
      </c>
      <c r="V123" s="117">
        <f>83.9*1.6</f>
        <v>134.24</v>
      </c>
      <c r="W123" s="117">
        <f>92.8*1.6</f>
        <v>148.47999999999999</v>
      </c>
      <c r="X123" s="117">
        <v>100.9</v>
      </c>
      <c r="Y123" s="117">
        <f>95.2*1.6</f>
        <v>152.32000000000002</v>
      </c>
      <c r="Z123" s="117">
        <f>91.8*1.6</f>
        <v>146.88</v>
      </c>
      <c r="AA123" s="117">
        <f>90.3*1.6</f>
        <v>144.47999999999999</v>
      </c>
      <c r="AB123" s="117">
        <f>69.7*1.65</f>
        <v>115.005</v>
      </c>
      <c r="AC123" s="117">
        <f>63.8*1.65</f>
        <v>105.27</v>
      </c>
      <c r="AD123" s="117">
        <f>72*1.65</f>
        <v>118.8</v>
      </c>
      <c r="AE123" s="117">
        <f>52*1.65</f>
        <v>85.8</v>
      </c>
      <c r="AF123" s="117">
        <f>51.2*1.65</f>
        <v>84.48</v>
      </c>
      <c r="AG123" s="118">
        <v>120</v>
      </c>
      <c r="AH123" s="47">
        <f t="shared" si="26"/>
        <v>161.21199999999999</v>
      </c>
      <c r="AI123" s="48">
        <f t="shared" si="27"/>
        <v>60</v>
      </c>
    </row>
    <row r="124" spans="1:35" x14ac:dyDescent="0.25">
      <c r="A124" s="173" t="s">
        <v>259</v>
      </c>
      <c r="B124" s="117">
        <v>73</v>
      </c>
      <c r="C124" s="117">
        <v>70</v>
      </c>
      <c r="D124" s="117">
        <v>72.8</v>
      </c>
      <c r="E124" s="117">
        <v>71</v>
      </c>
      <c r="F124" s="117">
        <v>71.599999999999994</v>
      </c>
      <c r="G124" s="117">
        <v>84.8</v>
      </c>
      <c r="H124" s="117">
        <v>86</v>
      </c>
      <c r="I124" s="117">
        <v>86.5</v>
      </c>
      <c r="J124" s="117">
        <v>89.4</v>
      </c>
      <c r="K124" s="117">
        <v>85.7</v>
      </c>
      <c r="L124" s="117">
        <v>101.5</v>
      </c>
      <c r="M124" s="117">
        <v>95.1</v>
      </c>
      <c r="N124" s="117">
        <v>103.9</v>
      </c>
      <c r="O124" s="117">
        <v>92.3</v>
      </c>
      <c r="P124" s="117">
        <v>95.9</v>
      </c>
      <c r="Q124" s="117">
        <v>88.4</v>
      </c>
      <c r="R124" s="117">
        <v>82.9</v>
      </c>
      <c r="S124" s="117">
        <v>91.4</v>
      </c>
      <c r="T124" s="117">
        <v>96.2</v>
      </c>
      <c r="U124" s="117">
        <v>95.9</v>
      </c>
      <c r="V124" s="117">
        <v>95.9</v>
      </c>
      <c r="W124" s="117">
        <v>102.7</v>
      </c>
      <c r="X124" s="117">
        <f>96.9*1.6</f>
        <v>155.04000000000002</v>
      </c>
      <c r="Y124" s="117">
        <v>105.2</v>
      </c>
      <c r="Z124" s="117">
        <v>101.9</v>
      </c>
      <c r="AA124" s="117">
        <v>101.1</v>
      </c>
      <c r="AB124" s="117">
        <v>86</v>
      </c>
      <c r="AC124" s="117">
        <v>81</v>
      </c>
      <c r="AD124" s="117">
        <v>89</v>
      </c>
      <c r="AE124" s="117">
        <v>72</v>
      </c>
      <c r="AF124" s="117">
        <v>71</v>
      </c>
      <c r="AG124" s="118"/>
      <c r="AH124" s="47"/>
      <c r="AI124" s="48"/>
    </row>
    <row r="125" spans="1:35" x14ac:dyDescent="0.25">
      <c r="A125" s="173" t="s">
        <v>256</v>
      </c>
      <c r="B125" s="117">
        <v>58</v>
      </c>
      <c r="C125" s="117">
        <v>61</v>
      </c>
      <c r="D125" s="117">
        <v>70.900000000000006</v>
      </c>
      <c r="E125" s="117">
        <v>70.2</v>
      </c>
      <c r="F125" s="117">
        <v>65.900000000000006</v>
      </c>
      <c r="G125" s="117">
        <v>47</v>
      </c>
      <c r="H125" s="117">
        <v>40.299999999999997</v>
      </c>
      <c r="I125" s="117">
        <v>38</v>
      </c>
      <c r="J125" s="117">
        <v>20.2</v>
      </c>
      <c r="K125" s="117">
        <v>-17.5</v>
      </c>
      <c r="L125" s="117">
        <v>-17</v>
      </c>
      <c r="M125" s="117">
        <v>-16.5</v>
      </c>
      <c r="N125" s="117">
        <v>-12.8</v>
      </c>
      <c r="O125" s="117">
        <v>-16.7</v>
      </c>
      <c r="P125" s="117">
        <v>-2.2999999999999998</v>
      </c>
      <c r="Q125" s="117">
        <v>-8.1</v>
      </c>
      <c r="R125" s="117">
        <v>-8.1999999999999993</v>
      </c>
      <c r="S125" s="117">
        <v>21.69</v>
      </c>
      <c r="T125" s="117">
        <v>29.8</v>
      </c>
      <c r="U125" s="117">
        <v>21</v>
      </c>
      <c r="V125" s="117">
        <v>21</v>
      </c>
      <c r="W125" s="117">
        <v>-7.4</v>
      </c>
      <c r="X125" s="117">
        <v>105.2</v>
      </c>
      <c r="Y125" s="117">
        <v>-55.9</v>
      </c>
      <c r="Z125" s="117">
        <v>-52.9</v>
      </c>
      <c r="AA125" s="117">
        <v>-48.2</v>
      </c>
      <c r="AB125" s="117">
        <v>-57</v>
      </c>
      <c r="AC125" s="117">
        <v>-58</v>
      </c>
      <c r="AD125" s="117">
        <v>-25.1</v>
      </c>
      <c r="AE125" s="117">
        <v>22</v>
      </c>
      <c r="AF125" s="117">
        <v>40</v>
      </c>
      <c r="AG125" s="118"/>
      <c r="AH125" s="47"/>
      <c r="AI125" s="48"/>
    </row>
    <row r="126" spans="1:35" ht="15.75" thickBot="1" x14ac:dyDescent="0.3">
      <c r="A126" s="173" t="s">
        <v>255</v>
      </c>
      <c r="B126" s="117">
        <v>86</v>
      </c>
      <c r="C126" s="117">
        <v>84</v>
      </c>
      <c r="D126" s="117">
        <v>88.1</v>
      </c>
      <c r="E126" s="117">
        <v>89.1</v>
      </c>
      <c r="F126" s="117">
        <v>91.6</v>
      </c>
      <c r="G126" s="117">
        <v>106</v>
      </c>
      <c r="H126" s="117">
        <v>103</v>
      </c>
      <c r="I126" s="117">
        <v>104.6</v>
      </c>
      <c r="J126" s="117">
        <v>102.5</v>
      </c>
      <c r="K126" s="117">
        <v>94.2</v>
      </c>
      <c r="L126" s="117">
        <v>99.3</v>
      </c>
      <c r="M126" s="117">
        <v>96</v>
      </c>
      <c r="N126" s="117">
        <v>93.8</v>
      </c>
      <c r="O126" s="117">
        <v>82.9</v>
      </c>
      <c r="P126" s="117">
        <v>90.6</v>
      </c>
      <c r="Q126" s="117">
        <v>103.6</v>
      </c>
      <c r="R126" s="117">
        <v>99.2</v>
      </c>
      <c r="S126" s="117">
        <v>104.2</v>
      </c>
      <c r="T126" s="117">
        <v>103.9</v>
      </c>
      <c r="U126" s="117">
        <v>102.9</v>
      </c>
      <c r="V126" s="117">
        <v>102.9</v>
      </c>
      <c r="W126" s="117">
        <v>99.3</v>
      </c>
      <c r="X126" s="117">
        <v>60.4</v>
      </c>
      <c r="Y126" s="117">
        <v>91.1</v>
      </c>
      <c r="Z126" s="117">
        <v>87.5</v>
      </c>
      <c r="AA126" s="117">
        <v>86.8</v>
      </c>
      <c r="AB126" s="117">
        <v>72.099999999999994</v>
      </c>
      <c r="AC126" s="117">
        <v>68</v>
      </c>
      <c r="AD126" s="117">
        <v>85</v>
      </c>
      <c r="AE126" s="117">
        <v>82</v>
      </c>
      <c r="AF126" s="117">
        <v>81</v>
      </c>
      <c r="AG126" s="114"/>
      <c r="AH126" s="47">
        <f t="shared" si="26"/>
        <v>106</v>
      </c>
      <c r="AI126" s="48">
        <f t="shared" si="27"/>
        <v>60.4</v>
      </c>
    </row>
    <row r="127" spans="1:35" x14ac:dyDescent="0.25">
      <c r="A127" s="172" t="s">
        <v>257</v>
      </c>
      <c r="B127" s="117">
        <v>11</v>
      </c>
      <c r="C127" s="117">
        <v>13</v>
      </c>
      <c r="D127" s="117">
        <v>11.8</v>
      </c>
      <c r="E127" s="117">
        <v>12.3</v>
      </c>
      <c r="F127" s="117">
        <v>11.5</v>
      </c>
      <c r="G127" s="117">
        <v>8.4</v>
      </c>
      <c r="H127" s="117">
        <v>-2.1</v>
      </c>
      <c r="I127" s="117">
        <v>-2.1</v>
      </c>
      <c r="J127" s="117">
        <v>-2.5</v>
      </c>
      <c r="K127" s="117">
        <v>-21.5</v>
      </c>
      <c r="L127" s="117">
        <v>-12.9</v>
      </c>
      <c r="M127" s="117">
        <v>-22.8</v>
      </c>
      <c r="N127" s="117">
        <v>-25.6</v>
      </c>
      <c r="O127" s="117">
        <v>-31.2</v>
      </c>
      <c r="P127" s="117">
        <v>-26.7</v>
      </c>
      <c r="Q127" s="117">
        <v>-27.2</v>
      </c>
      <c r="R127" s="117">
        <v>-10.199999999999999</v>
      </c>
      <c r="S127" s="117">
        <v>27.2</v>
      </c>
      <c r="T127" s="117">
        <v>32.700000000000003</v>
      </c>
      <c r="U127" s="117">
        <v>48.8</v>
      </c>
      <c r="V127" s="117">
        <v>48.8</v>
      </c>
      <c r="W127" s="117">
        <v>30.3</v>
      </c>
      <c r="X127" s="117">
        <v>2.8</v>
      </c>
      <c r="Y127" s="117">
        <v>-5.9</v>
      </c>
      <c r="Z127" s="117">
        <v>-1.8</v>
      </c>
      <c r="AA127" s="117">
        <v>3.8</v>
      </c>
      <c r="AB127" s="117">
        <v>-7</v>
      </c>
      <c r="AC127" s="117">
        <v>-13</v>
      </c>
      <c r="AD127" s="117">
        <v>-3.3</v>
      </c>
      <c r="AE127" s="117">
        <v>-14</v>
      </c>
      <c r="AF127" s="106">
        <v>-5</v>
      </c>
      <c r="AG127" s="114"/>
      <c r="AH127" s="47">
        <f t="shared" si="26"/>
        <v>48.8</v>
      </c>
      <c r="AI127" s="48">
        <f t="shared" si="27"/>
        <v>-31.2</v>
      </c>
    </row>
    <row r="128" spans="1:35" x14ac:dyDescent="0.25">
      <c r="A128" s="173" t="s">
        <v>124</v>
      </c>
      <c r="B128" s="106">
        <v>-2</v>
      </c>
      <c r="C128" s="106">
        <v>-2</v>
      </c>
      <c r="D128" s="106">
        <v>0.3</v>
      </c>
      <c r="E128" s="106">
        <v>1.9</v>
      </c>
      <c r="F128" s="106">
        <v>0.3</v>
      </c>
      <c r="G128" s="106">
        <v>-8.8000000000000007</v>
      </c>
      <c r="H128" s="106">
        <v>-9.4</v>
      </c>
      <c r="I128" s="106">
        <v>-10.6</v>
      </c>
      <c r="J128" s="106">
        <v>-16.7</v>
      </c>
      <c r="K128" s="106">
        <v>-24.1</v>
      </c>
      <c r="L128" s="106">
        <v>-29.4</v>
      </c>
      <c r="M128" s="106">
        <v>-32.6</v>
      </c>
      <c r="N128" s="106">
        <v>-33.4</v>
      </c>
      <c r="O128" s="106">
        <v>-29.5</v>
      </c>
      <c r="P128" s="106">
        <v>-23.6</v>
      </c>
      <c r="Q128" s="106">
        <v>-22.7</v>
      </c>
      <c r="R128" s="106"/>
      <c r="S128" s="106"/>
      <c r="T128" s="106"/>
      <c r="U128" s="106">
        <v>-18.100000000000001</v>
      </c>
      <c r="V128" s="106">
        <v>-18.100000000000001</v>
      </c>
      <c r="W128" s="106">
        <v>-128.19999999999999</v>
      </c>
      <c r="X128" s="106">
        <v>-51.3</v>
      </c>
      <c r="Y128" s="106">
        <v>-46.2</v>
      </c>
      <c r="Z128" s="106">
        <v>-42.8</v>
      </c>
      <c r="AA128" s="106">
        <v>-38.700000000000003</v>
      </c>
      <c r="AB128" s="106">
        <v>-31</v>
      </c>
      <c r="AC128" s="106">
        <v>-30</v>
      </c>
      <c r="AD128" s="106">
        <v>-27.3</v>
      </c>
      <c r="AE128" s="106">
        <v>-9</v>
      </c>
      <c r="AF128" s="106">
        <v>-5.2</v>
      </c>
      <c r="AG128" s="114"/>
      <c r="AH128" s="47">
        <f t="shared" si="26"/>
        <v>1.9</v>
      </c>
      <c r="AI128" s="48">
        <f t="shared" si="27"/>
        <v>-128.19999999999999</v>
      </c>
    </row>
    <row r="129" spans="1:37" x14ac:dyDescent="0.25">
      <c r="A129" s="173" t="s">
        <v>261</v>
      </c>
      <c r="B129" s="106">
        <v>10</v>
      </c>
      <c r="C129" s="106">
        <v>14</v>
      </c>
      <c r="D129" s="106">
        <v>18</v>
      </c>
      <c r="E129" s="106">
        <v>13.1</v>
      </c>
      <c r="F129" s="106">
        <v>14.3</v>
      </c>
      <c r="G129" s="106">
        <v>6.5</v>
      </c>
      <c r="H129" s="106">
        <v>9</v>
      </c>
      <c r="I129" s="106">
        <v>10.3</v>
      </c>
      <c r="J129" s="106">
        <v>0.8</v>
      </c>
      <c r="K129" s="106">
        <v>2.8</v>
      </c>
      <c r="L129" s="106">
        <v>-4.7</v>
      </c>
      <c r="M129" s="106">
        <v>-14.6</v>
      </c>
      <c r="N129" s="106">
        <v>-5.7</v>
      </c>
      <c r="O129" s="106">
        <v>-3.2</v>
      </c>
      <c r="P129" s="106">
        <v>8.9</v>
      </c>
      <c r="Q129" s="106">
        <v>18.2</v>
      </c>
      <c r="R129" s="106">
        <v>16.8</v>
      </c>
      <c r="S129" s="106">
        <v>-10.7</v>
      </c>
      <c r="T129" s="106">
        <v>-18.600000000000001</v>
      </c>
      <c r="U129" s="106">
        <v>-25.6</v>
      </c>
      <c r="V129" s="106">
        <v>-25.6</v>
      </c>
      <c r="W129" s="106">
        <v>21.8</v>
      </c>
      <c r="X129" s="106">
        <v>-14.1</v>
      </c>
      <c r="Y129" s="106">
        <v>-17.7</v>
      </c>
      <c r="Z129" s="106">
        <v>-16.5</v>
      </c>
      <c r="AA129" s="106">
        <v>-16.7</v>
      </c>
      <c r="AB129" s="106">
        <v>-6</v>
      </c>
      <c r="AC129" s="106">
        <v>0.7</v>
      </c>
      <c r="AD129" s="106">
        <v>-8.3000000000000007</v>
      </c>
      <c r="AE129" s="106">
        <v>20</v>
      </c>
      <c r="AF129" s="106">
        <v>19.100000000000001</v>
      </c>
      <c r="AG129" s="114"/>
      <c r="AH129" s="47">
        <f t="shared" si="26"/>
        <v>21.8</v>
      </c>
      <c r="AI129" s="48">
        <f t="shared" si="27"/>
        <v>-25.6</v>
      </c>
    </row>
    <row r="130" spans="1:37" ht="15.75" thickBot="1" x14ac:dyDescent="0.3">
      <c r="A130" s="173" t="s">
        <v>258</v>
      </c>
      <c r="B130" s="106">
        <v>85</v>
      </c>
      <c r="C130" s="106">
        <v>81</v>
      </c>
      <c r="D130" s="106">
        <v>78.8</v>
      </c>
      <c r="E130" s="106">
        <v>75.8</v>
      </c>
      <c r="F130" s="106">
        <v>70</v>
      </c>
      <c r="G130" s="106">
        <v>77</v>
      </c>
      <c r="H130" s="106">
        <v>80</v>
      </c>
      <c r="I130" s="106">
        <v>79</v>
      </c>
      <c r="J130" s="106">
        <v>91.4</v>
      </c>
      <c r="K130" s="106">
        <v>91.8</v>
      </c>
      <c r="L130" s="106">
        <v>101.1</v>
      </c>
      <c r="M130" s="106">
        <v>105.2</v>
      </c>
      <c r="N130" s="106">
        <v>107</v>
      </c>
      <c r="O130" s="106">
        <v>103.4</v>
      </c>
      <c r="P130" s="106">
        <v>104.3</v>
      </c>
      <c r="Q130" s="106">
        <v>103.7</v>
      </c>
      <c r="R130" s="106">
        <v>95.3</v>
      </c>
      <c r="S130" s="106">
        <v>85.9</v>
      </c>
      <c r="T130" s="106">
        <v>90</v>
      </c>
      <c r="U130" s="106">
        <v>86.7</v>
      </c>
      <c r="V130" s="106">
        <v>86.7</v>
      </c>
      <c r="W130" s="106">
        <v>94</v>
      </c>
      <c r="X130" s="106">
        <v>120</v>
      </c>
      <c r="Y130" s="106">
        <v>102.1</v>
      </c>
      <c r="Z130" s="106">
        <v>96.6</v>
      </c>
      <c r="AA130" s="106">
        <v>95.2</v>
      </c>
      <c r="AB130" s="106">
        <v>85</v>
      </c>
      <c r="AC130" s="106">
        <v>82</v>
      </c>
      <c r="AD130" s="106">
        <v>89.1</v>
      </c>
      <c r="AE130" s="106">
        <v>91</v>
      </c>
      <c r="AF130" s="106">
        <v>85</v>
      </c>
      <c r="AG130" s="114"/>
      <c r="AH130" s="47">
        <f t="shared" si="26"/>
        <v>120</v>
      </c>
      <c r="AI130" s="48">
        <f t="shared" si="27"/>
        <v>70</v>
      </c>
    </row>
    <row r="131" spans="1:37" x14ac:dyDescent="0.25">
      <c r="A131" s="144" t="s">
        <v>238</v>
      </c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6"/>
      <c r="AG131" s="43"/>
      <c r="AH131" s="47"/>
      <c r="AI131" s="48"/>
    </row>
    <row r="132" spans="1:37" x14ac:dyDescent="0.25">
      <c r="A132" s="189" t="s">
        <v>368</v>
      </c>
      <c r="B132" s="147">
        <v>1983.89</v>
      </c>
      <c r="C132" s="147">
        <v>1984.21</v>
      </c>
      <c r="D132" s="147">
        <v>1984.55</v>
      </c>
      <c r="E132" s="147">
        <v>1984.75</v>
      </c>
      <c r="F132" s="147">
        <v>1985.05</v>
      </c>
      <c r="G132" s="147">
        <v>1985.32</v>
      </c>
      <c r="H132" s="147"/>
      <c r="I132" s="147">
        <v>1985.52</v>
      </c>
      <c r="J132" s="147"/>
      <c r="K132" s="147">
        <v>1985.72</v>
      </c>
      <c r="L132" s="147"/>
      <c r="M132" s="147">
        <v>1985.3</v>
      </c>
      <c r="N132" s="147"/>
      <c r="O132" s="147"/>
      <c r="P132" s="147">
        <v>1982.98</v>
      </c>
      <c r="Q132" s="147"/>
      <c r="R132" s="147"/>
      <c r="S132" s="147">
        <v>1983.25</v>
      </c>
      <c r="T132" s="147">
        <v>1983.25</v>
      </c>
      <c r="U132" s="147"/>
      <c r="V132" s="147"/>
      <c r="W132" s="147"/>
      <c r="X132" s="147"/>
      <c r="Y132" s="147"/>
      <c r="Z132" s="147"/>
      <c r="AA132" s="147"/>
      <c r="AB132" s="106">
        <v>1982.6</v>
      </c>
      <c r="AC132" s="106"/>
      <c r="AD132" s="106">
        <v>1982.5</v>
      </c>
      <c r="AE132" s="106">
        <v>1982.85</v>
      </c>
      <c r="AF132" s="106">
        <v>1983.2</v>
      </c>
      <c r="AG132" s="149"/>
      <c r="AH132" s="47"/>
      <c r="AI132" s="48"/>
    </row>
    <row r="133" spans="1:37" x14ac:dyDescent="0.25">
      <c r="A133" s="189" t="s">
        <v>239</v>
      </c>
      <c r="B133" s="150">
        <v>520.02</v>
      </c>
      <c r="C133" s="150">
        <v>520.5</v>
      </c>
      <c r="D133" s="150">
        <v>520.96</v>
      </c>
      <c r="E133" s="150">
        <v>521.36</v>
      </c>
      <c r="F133" s="150">
        <v>521.78</v>
      </c>
      <c r="G133" s="150">
        <v>522.15</v>
      </c>
      <c r="H133" s="150"/>
      <c r="I133" s="150">
        <v>522.5</v>
      </c>
      <c r="J133" s="150"/>
      <c r="K133" s="150">
        <v>522.44000000000005</v>
      </c>
      <c r="L133" s="150"/>
      <c r="M133" s="150"/>
      <c r="N133" s="150"/>
      <c r="O133" s="150"/>
      <c r="P133" s="150"/>
      <c r="Q133" s="150"/>
      <c r="R133" s="150"/>
      <c r="S133" s="150">
        <v>519.1</v>
      </c>
      <c r="T133" s="150">
        <v>519.16</v>
      </c>
      <c r="U133" s="150"/>
      <c r="V133" s="150"/>
      <c r="W133" s="150"/>
      <c r="X133" s="150"/>
      <c r="Y133" s="150"/>
      <c r="Z133" s="150"/>
      <c r="AA133" s="150"/>
      <c r="AB133" s="106">
        <v>519.88</v>
      </c>
      <c r="AC133" s="106"/>
      <c r="AD133" s="106">
        <v>519.65</v>
      </c>
      <c r="AE133" s="106">
        <v>519.66999999999996</v>
      </c>
      <c r="AF133" s="106">
        <v>519.79999999999995</v>
      </c>
      <c r="AG133" s="149"/>
      <c r="AH133" s="47"/>
      <c r="AI133" s="48"/>
    </row>
    <row r="134" spans="1:37" x14ac:dyDescent="0.25">
      <c r="A134" s="189" t="s">
        <v>240</v>
      </c>
      <c r="B134" s="150">
        <v>622.64</v>
      </c>
      <c r="C134" s="150">
        <v>623.14</v>
      </c>
      <c r="D134" s="150">
        <v>623.79999999999995</v>
      </c>
      <c r="E134" s="150">
        <v>624.13</v>
      </c>
      <c r="F134" s="150">
        <v>624.38</v>
      </c>
      <c r="G134" s="150">
        <v>624.91</v>
      </c>
      <c r="H134" s="150"/>
      <c r="I134" s="150">
        <v>625.24</v>
      </c>
      <c r="J134" s="150"/>
      <c r="K134" s="150">
        <v>625.25</v>
      </c>
      <c r="L134" s="150"/>
      <c r="M134" s="150"/>
      <c r="N134" s="150"/>
      <c r="O134" s="150"/>
      <c r="P134" s="150"/>
      <c r="Q134" s="150"/>
      <c r="R134" s="150"/>
      <c r="S134" s="150">
        <v>622.19000000000005</v>
      </c>
      <c r="T134" s="150">
        <v>622.19000000000005</v>
      </c>
      <c r="U134" s="150"/>
      <c r="V134" s="150"/>
      <c r="W134" s="150"/>
      <c r="X134" s="150"/>
      <c r="Y134" s="150"/>
      <c r="Z134" s="150"/>
      <c r="AA134" s="150"/>
      <c r="AB134" s="106">
        <v>622</v>
      </c>
      <c r="AC134" s="106"/>
      <c r="AD134" s="106">
        <v>622.05999999999995</v>
      </c>
      <c r="AE134" s="106">
        <v>622.26</v>
      </c>
      <c r="AF134" s="106">
        <v>622.39</v>
      </c>
      <c r="AG134" s="149"/>
      <c r="AH134" s="47"/>
      <c r="AI134" s="48"/>
    </row>
    <row r="135" spans="1:37" x14ac:dyDescent="0.25">
      <c r="A135" s="189" t="s">
        <v>241</v>
      </c>
      <c r="B135" s="150">
        <v>335.38</v>
      </c>
      <c r="C135" s="150"/>
      <c r="D135" s="150">
        <v>336.29</v>
      </c>
      <c r="E135" s="150">
        <v>336.64</v>
      </c>
      <c r="F135" s="150">
        <v>336.96</v>
      </c>
      <c r="G135" s="150">
        <v>337.29</v>
      </c>
      <c r="H135" s="150"/>
      <c r="I135" s="150">
        <v>337.3</v>
      </c>
      <c r="J135" s="150"/>
      <c r="K135" s="150">
        <v>337.09</v>
      </c>
      <c r="L135" s="150"/>
      <c r="M135" s="150"/>
      <c r="N135" s="150"/>
      <c r="O135" s="150"/>
      <c r="P135" s="150"/>
      <c r="Q135" s="150"/>
      <c r="R135" s="150"/>
      <c r="S135" s="150">
        <v>334.36</v>
      </c>
      <c r="T135" s="150">
        <v>334.36</v>
      </c>
      <c r="U135" s="150"/>
      <c r="V135" s="150"/>
      <c r="W135" s="150"/>
      <c r="X135" s="150"/>
      <c r="Y135" s="150"/>
      <c r="Z135" s="150"/>
      <c r="AA135" s="150"/>
      <c r="AB135" s="106">
        <v>335.7</v>
      </c>
      <c r="AC135" s="106"/>
      <c r="AD135" s="106">
        <v>335.29</v>
      </c>
      <c r="AE135" s="106">
        <v>334.99</v>
      </c>
      <c r="AF135" s="190">
        <v>334.86</v>
      </c>
      <c r="AG135" s="149"/>
      <c r="AH135" s="47"/>
      <c r="AI135" s="48"/>
    </row>
    <row r="136" spans="1:37" x14ac:dyDescent="0.25">
      <c r="A136" s="189" t="s">
        <v>407</v>
      </c>
      <c r="B136" s="150">
        <v>884.5</v>
      </c>
      <c r="C136" s="150">
        <v>885.2</v>
      </c>
      <c r="D136" s="150">
        <v>886</v>
      </c>
      <c r="E136" s="150">
        <v>886.5</v>
      </c>
      <c r="F136" s="150">
        <v>887</v>
      </c>
      <c r="G136" s="150">
        <v>887.3</v>
      </c>
      <c r="H136" s="150"/>
      <c r="I136" s="150">
        <v>887.3</v>
      </c>
      <c r="J136" s="150"/>
      <c r="K136" s="150">
        <v>886.6</v>
      </c>
      <c r="L136" s="150"/>
      <c r="M136" s="150"/>
      <c r="N136" s="150"/>
      <c r="O136" s="150"/>
      <c r="P136" s="150">
        <v>883.3</v>
      </c>
      <c r="Q136" s="150"/>
      <c r="R136" s="150"/>
      <c r="S136" s="150">
        <v>883.3</v>
      </c>
      <c r="T136" s="150">
        <v>883.3</v>
      </c>
      <c r="U136" s="150"/>
      <c r="V136" s="150"/>
      <c r="W136" s="150"/>
      <c r="X136" s="150"/>
      <c r="Y136" s="150"/>
      <c r="Z136" s="150"/>
      <c r="AA136" s="150"/>
      <c r="AB136" s="106">
        <v>882.3</v>
      </c>
      <c r="AC136" s="106"/>
      <c r="AD136" s="106">
        <v>882.9</v>
      </c>
      <c r="AE136" s="106">
        <v>883</v>
      </c>
      <c r="AF136" s="106">
        <v>882.7</v>
      </c>
      <c r="AG136" s="149"/>
      <c r="AH136" s="47"/>
      <c r="AI136" s="48"/>
    </row>
    <row r="137" spans="1:37" ht="15.75" thickBot="1" x14ac:dyDescent="0.3">
      <c r="A137" s="189" t="s">
        <v>242</v>
      </c>
      <c r="B137" s="152">
        <v>1521.98</v>
      </c>
      <c r="C137" s="152"/>
      <c r="D137" s="152">
        <v>1521.98</v>
      </c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06"/>
      <c r="AC137" s="106"/>
      <c r="AD137" s="106"/>
      <c r="AE137" s="106"/>
      <c r="AF137" s="106"/>
      <c r="AG137" s="149"/>
      <c r="AH137" s="47"/>
      <c r="AI137" s="48"/>
    </row>
    <row r="138" spans="1:37" ht="15.75" thickBot="1" x14ac:dyDescent="0.3">
      <c r="A138" s="120" t="s">
        <v>125</v>
      </c>
      <c r="B138" s="121"/>
      <c r="C138" s="121"/>
      <c r="D138" s="121"/>
      <c r="E138" s="121"/>
      <c r="F138" s="170" t="s">
        <v>254</v>
      </c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74"/>
      <c r="AH138" s="47"/>
      <c r="AI138" s="48"/>
      <c r="AK138" s="50"/>
    </row>
    <row r="139" spans="1:37" x14ac:dyDescent="0.25">
      <c r="A139" s="122" t="s">
        <v>126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5">
        <v>9.94</v>
      </c>
      <c r="AH139" s="47"/>
      <c r="AI139" s="48"/>
      <c r="AK139" s="50"/>
    </row>
    <row r="140" spans="1:37" x14ac:dyDescent="0.25">
      <c r="A140" s="103" t="s">
        <v>127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5"/>
      <c r="AH140" s="47"/>
      <c r="AI140" s="48"/>
      <c r="AK140" s="50"/>
    </row>
    <row r="141" spans="1:37" x14ac:dyDescent="0.25">
      <c r="A141" s="103" t="s">
        <v>128</v>
      </c>
      <c r="B141" s="123"/>
      <c r="C141" s="124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5"/>
      <c r="AH141" s="47"/>
      <c r="AI141" s="48"/>
      <c r="AK141" s="50"/>
    </row>
    <row r="142" spans="1:37" x14ac:dyDescent="0.25">
      <c r="A142" s="103" t="s">
        <v>129</v>
      </c>
      <c r="B142" s="123"/>
      <c r="C142" s="124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5"/>
      <c r="AH142" s="47"/>
      <c r="AI142" s="48"/>
      <c r="AK142" s="50"/>
    </row>
    <row r="143" spans="1:37" x14ac:dyDescent="0.25">
      <c r="A143" s="103" t="s">
        <v>130</v>
      </c>
      <c r="B143" s="123"/>
      <c r="C143" s="124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5"/>
      <c r="AH143" s="47"/>
      <c r="AI143" s="48"/>
      <c r="AK143" s="50"/>
    </row>
    <row r="144" spans="1:37" x14ac:dyDescent="0.25">
      <c r="A144" s="103" t="s">
        <v>131</v>
      </c>
      <c r="B144" s="123"/>
      <c r="C144" s="124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5"/>
      <c r="AH144" s="47"/>
      <c r="AI144" s="48"/>
      <c r="AK144" s="50"/>
    </row>
    <row r="145" spans="1:37" x14ac:dyDescent="0.25">
      <c r="A145" s="103" t="s">
        <v>132</v>
      </c>
      <c r="B145" s="123"/>
      <c r="C145" s="124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>
        <v>-9</v>
      </c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5"/>
      <c r="AH145" s="47"/>
      <c r="AI145" s="48"/>
      <c r="AK145" s="50"/>
    </row>
    <row r="146" spans="1:37" x14ac:dyDescent="0.25">
      <c r="A146" s="103" t="s">
        <v>133</v>
      </c>
      <c r="B146" s="123"/>
      <c r="C146" s="124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 t="s">
        <v>418</v>
      </c>
      <c r="V146" s="123" t="s">
        <v>419</v>
      </c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5"/>
      <c r="AH146" s="47"/>
      <c r="AI146" s="48"/>
      <c r="AK146" s="50"/>
    </row>
    <row r="147" spans="1:37" x14ac:dyDescent="0.25">
      <c r="A147" s="103" t="s">
        <v>134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 t="s">
        <v>420</v>
      </c>
      <c r="Z147" s="123"/>
      <c r="AA147" s="123"/>
      <c r="AB147" s="123"/>
      <c r="AC147" s="123"/>
      <c r="AD147" s="123"/>
      <c r="AE147" s="123"/>
      <c r="AF147" s="123"/>
      <c r="AG147" s="125"/>
      <c r="AH147" s="47"/>
      <c r="AI147" s="48"/>
      <c r="AK147" s="50"/>
    </row>
    <row r="148" spans="1:37" x14ac:dyDescent="0.25">
      <c r="A148" s="103" t="s">
        <v>135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5"/>
      <c r="AH148" s="47"/>
      <c r="AI148" s="48"/>
      <c r="AK148" s="50"/>
    </row>
    <row r="149" spans="1:37" x14ac:dyDescent="0.25">
      <c r="A149" s="103" t="s">
        <v>136</v>
      </c>
      <c r="B149" s="123"/>
      <c r="C149" s="124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5"/>
      <c r="AH149" s="47"/>
      <c r="AI149" s="48"/>
      <c r="AK149" s="50"/>
    </row>
    <row r="150" spans="1:37" x14ac:dyDescent="0.25">
      <c r="A150" s="103" t="s">
        <v>137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5"/>
      <c r="AH150" s="47"/>
      <c r="AI150" s="48"/>
      <c r="AK150" s="50"/>
    </row>
    <row r="151" spans="1:37" x14ac:dyDescent="0.25">
      <c r="A151" s="103" t="s">
        <v>138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5"/>
      <c r="AH151" s="47"/>
      <c r="AI151" s="48"/>
      <c r="AK151" s="50"/>
    </row>
    <row r="152" spans="1:37" x14ac:dyDescent="0.25">
      <c r="A152" s="103" t="s">
        <v>139</v>
      </c>
      <c r="B152" s="123"/>
      <c r="C152" s="124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5"/>
      <c r="AH152" s="47"/>
      <c r="AI152" s="48"/>
      <c r="AK152" s="50"/>
    </row>
    <row r="153" spans="1:37" x14ac:dyDescent="0.25">
      <c r="A153" s="103" t="s">
        <v>140</v>
      </c>
      <c r="B153" s="123"/>
      <c r="C153" s="124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5"/>
      <c r="AH153" s="47"/>
      <c r="AI153" s="48"/>
      <c r="AK153" s="50"/>
    </row>
    <row r="154" spans="1:37" x14ac:dyDescent="0.25">
      <c r="A154" s="103" t="s">
        <v>141</v>
      </c>
      <c r="B154" s="123"/>
      <c r="C154" s="124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5"/>
      <c r="AH154" s="47"/>
      <c r="AI154" s="48"/>
      <c r="AK154" s="50"/>
    </row>
    <row r="155" spans="1:37" x14ac:dyDescent="0.25">
      <c r="A155" s="103" t="s">
        <v>142</v>
      </c>
      <c r="B155" s="126"/>
      <c r="C155" s="127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8">
        <v>9.9</v>
      </c>
      <c r="AH155" s="47"/>
      <c r="AI155" s="48"/>
      <c r="AK155" s="50"/>
    </row>
    <row r="156" spans="1:37" x14ac:dyDescent="0.25">
      <c r="A156" s="116" t="s">
        <v>143</v>
      </c>
      <c r="B156" s="126"/>
      <c r="C156" s="127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9">
        <v>9.6579999999999995</v>
      </c>
      <c r="AH156" s="47"/>
      <c r="AI156" s="48"/>
      <c r="AK156" s="50"/>
    </row>
    <row r="157" spans="1:37" x14ac:dyDescent="0.25">
      <c r="A157" s="116" t="s">
        <v>144</v>
      </c>
      <c r="B157" s="126"/>
      <c r="C157" s="127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9">
        <v>9.6</v>
      </c>
      <c r="AH157" s="47"/>
      <c r="AI157" s="48"/>
      <c r="AK157" s="50"/>
    </row>
    <row r="158" spans="1:37" x14ac:dyDescent="0.25">
      <c r="A158" s="116" t="s">
        <v>145</v>
      </c>
      <c r="B158" s="126"/>
      <c r="C158" s="127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9">
        <v>9.51</v>
      </c>
      <c r="AH158" s="47"/>
      <c r="AI158" s="48"/>
      <c r="AK158" s="50"/>
    </row>
    <row r="159" spans="1:37" x14ac:dyDescent="0.25">
      <c r="A159" s="116" t="s">
        <v>146</v>
      </c>
      <c r="B159" s="126"/>
      <c r="C159" s="127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9">
        <v>9.4</v>
      </c>
      <c r="AH159" s="47"/>
      <c r="AI159" s="48"/>
      <c r="AK159" s="50"/>
    </row>
    <row r="160" spans="1:37" x14ac:dyDescent="0.25">
      <c r="A160" s="116" t="s">
        <v>147</v>
      </c>
      <c r="B160" s="126"/>
      <c r="C160" s="127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9">
        <v>8.8000000000000007</v>
      </c>
      <c r="AH160" s="47"/>
      <c r="AI160" s="48"/>
      <c r="AK160" s="50"/>
    </row>
    <row r="161" spans="1:37" x14ac:dyDescent="0.25">
      <c r="A161" s="116" t="s">
        <v>148</v>
      </c>
      <c r="B161" s="126"/>
      <c r="C161" s="127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9">
        <v>8.5</v>
      </c>
      <c r="AH161" s="47"/>
      <c r="AI161" s="48"/>
      <c r="AK161" s="50"/>
    </row>
    <row r="162" spans="1:37" x14ac:dyDescent="0.25">
      <c r="A162" s="116" t="s">
        <v>149</v>
      </c>
      <c r="B162" s="126"/>
      <c r="C162" s="127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9">
        <v>8.5</v>
      </c>
      <c r="AH162" s="47"/>
      <c r="AI162" s="48"/>
      <c r="AK162" s="50"/>
    </row>
    <row r="163" spans="1:37" x14ac:dyDescent="0.25">
      <c r="A163" s="116" t="s">
        <v>150</v>
      </c>
      <c r="B163" s="126"/>
      <c r="C163" s="127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9">
        <v>8.4</v>
      </c>
      <c r="AH163" s="47"/>
      <c r="AI163" s="48"/>
      <c r="AK163" s="50"/>
    </row>
    <row r="164" spans="1:37" ht="13.5" customHeight="1" x14ac:dyDescent="0.25">
      <c r="A164" s="116" t="s">
        <v>151</v>
      </c>
      <c r="B164" s="126"/>
      <c r="C164" s="127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9">
        <v>8</v>
      </c>
      <c r="AH164" s="47"/>
      <c r="AI164" s="48"/>
      <c r="AK164" s="50"/>
    </row>
    <row r="165" spans="1:37" x14ac:dyDescent="0.25">
      <c r="A165" s="116" t="s">
        <v>152</v>
      </c>
      <c r="B165" s="126"/>
      <c r="C165" s="127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9">
        <v>8</v>
      </c>
      <c r="AH165" s="47"/>
      <c r="AI165" s="48"/>
      <c r="AK165" s="50"/>
    </row>
    <row r="166" spans="1:37" x14ac:dyDescent="0.25">
      <c r="A166" s="116" t="s">
        <v>153</v>
      </c>
      <c r="B166" s="126"/>
      <c r="C166" s="127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9">
        <v>8</v>
      </c>
      <c r="AH166" s="47"/>
      <c r="AI166" s="48"/>
      <c r="AK166" s="50"/>
    </row>
    <row r="167" spans="1:37" x14ac:dyDescent="0.25">
      <c r="A167" s="116" t="s">
        <v>154</v>
      </c>
      <c r="B167" s="126"/>
      <c r="C167" s="127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9">
        <v>7.8</v>
      </c>
      <c r="AH167" s="47"/>
      <c r="AI167" s="48"/>
      <c r="AK167" s="50"/>
    </row>
    <row r="168" spans="1:37" x14ac:dyDescent="0.25">
      <c r="A168" s="116" t="s">
        <v>155</v>
      </c>
      <c r="B168" s="126"/>
      <c r="C168" s="127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9">
        <v>7.6</v>
      </c>
      <c r="AH168" s="47"/>
      <c r="AI168" s="48"/>
      <c r="AK168" s="50"/>
    </row>
    <row r="169" spans="1:37" x14ac:dyDescent="0.25">
      <c r="A169" s="116" t="s">
        <v>156</v>
      </c>
      <c r="B169" s="126"/>
      <c r="C169" s="127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9">
        <v>7.5</v>
      </c>
      <c r="AH169" s="47"/>
      <c r="AI169" s="48"/>
      <c r="AK169" s="50"/>
    </row>
    <row r="170" spans="1:37" x14ac:dyDescent="0.25">
      <c r="A170" s="116" t="s">
        <v>157</v>
      </c>
      <c r="B170" s="126"/>
      <c r="C170" s="127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9">
        <v>7.5</v>
      </c>
      <c r="AH170" s="47"/>
      <c r="AI170" s="48"/>
      <c r="AK170" s="50"/>
    </row>
    <row r="171" spans="1:37" x14ac:dyDescent="0.25">
      <c r="A171" s="116" t="s">
        <v>158</v>
      </c>
      <c r="B171" s="126"/>
      <c r="C171" s="127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9">
        <v>7</v>
      </c>
      <c r="AH171" s="47"/>
      <c r="AI171" s="48"/>
      <c r="AK171" s="50"/>
    </row>
    <row r="172" spans="1:37" x14ac:dyDescent="0.25">
      <c r="A172" s="116" t="s">
        <v>159</v>
      </c>
      <c r="B172" s="126"/>
      <c r="C172" s="127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9">
        <v>7</v>
      </c>
      <c r="AH172" s="47"/>
      <c r="AI172" s="48"/>
      <c r="AK172" s="50"/>
    </row>
    <row r="173" spans="1:37" x14ac:dyDescent="0.25">
      <c r="A173" s="116" t="s">
        <v>160</v>
      </c>
      <c r="B173" s="126"/>
      <c r="C173" s="127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9">
        <v>7</v>
      </c>
      <c r="AH173" s="47"/>
      <c r="AI173" s="48"/>
      <c r="AK173" s="50"/>
    </row>
    <row r="174" spans="1:37" x14ac:dyDescent="0.25">
      <c r="A174" s="116" t="s">
        <v>161</v>
      </c>
      <c r="B174" s="126"/>
      <c r="C174" s="127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9">
        <v>7</v>
      </c>
      <c r="AH174" s="47"/>
      <c r="AI174" s="48"/>
      <c r="AK174" s="50"/>
    </row>
    <row r="175" spans="1:37" x14ac:dyDescent="0.25">
      <c r="A175" s="116" t="s">
        <v>162</v>
      </c>
      <c r="B175" s="126"/>
      <c r="C175" s="127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9">
        <v>6.6</v>
      </c>
      <c r="AH175" s="47"/>
      <c r="AI175" s="48"/>
      <c r="AK175" s="50"/>
    </row>
    <row r="176" spans="1:37" x14ac:dyDescent="0.25">
      <c r="A176" s="116" t="s">
        <v>163</v>
      </c>
      <c r="B176" s="126"/>
      <c r="C176" s="127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9">
        <v>6.6</v>
      </c>
      <c r="AH176" s="47"/>
      <c r="AI176" s="48"/>
      <c r="AK176" s="50"/>
    </row>
    <row r="177" spans="1:37" x14ac:dyDescent="0.25">
      <c r="A177" s="116" t="s">
        <v>164</v>
      </c>
      <c r="B177" s="126"/>
      <c r="C177" s="127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9">
        <v>6.4</v>
      </c>
      <c r="AH177" s="47"/>
      <c r="AI177" s="48"/>
      <c r="AK177" s="50"/>
    </row>
    <row r="178" spans="1:37" x14ac:dyDescent="0.25">
      <c r="A178" s="116" t="s">
        <v>165</v>
      </c>
      <c r="B178" s="126"/>
      <c r="C178" s="127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9">
        <v>6</v>
      </c>
      <c r="AH178" s="47"/>
      <c r="AI178" s="48"/>
      <c r="AK178" s="50"/>
    </row>
    <row r="179" spans="1:37" x14ac:dyDescent="0.25">
      <c r="A179" s="116" t="s">
        <v>166</v>
      </c>
      <c r="B179" s="126"/>
      <c r="C179" s="127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9">
        <v>5.0999999999999996</v>
      </c>
      <c r="AH179" s="47"/>
      <c r="AI179" s="48"/>
      <c r="AK179" s="50"/>
    </row>
    <row r="180" spans="1:37" x14ac:dyDescent="0.25">
      <c r="A180" s="116" t="s">
        <v>167</v>
      </c>
      <c r="B180" s="126"/>
      <c r="C180" s="127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9">
        <v>5</v>
      </c>
      <c r="AH180" s="47"/>
      <c r="AI180" s="48"/>
      <c r="AK180" s="50"/>
    </row>
    <row r="181" spans="1:37" x14ac:dyDescent="0.25">
      <c r="A181" s="103" t="s">
        <v>168</v>
      </c>
      <c r="B181" s="126"/>
      <c r="C181" s="127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8">
        <v>5</v>
      </c>
      <c r="AH181" s="47"/>
      <c r="AI181" s="48"/>
      <c r="AK181" s="50"/>
    </row>
    <row r="182" spans="1:37" x14ac:dyDescent="0.25">
      <c r="A182" s="116" t="s">
        <v>169</v>
      </c>
      <c r="B182" s="126"/>
      <c r="C182" s="127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9">
        <v>5</v>
      </c>
      <c r="AH182" s="47"/>
      <c r="AI182" s="48"/>
      <c r="AK182" s="50"/>
    </row>
    <row r="183" spans="1:37" x14ac:dyDescent="0.25">
      <c r="A183" s="116" t="s">
        <v>170</v>
      </c>
      <c r="B183" s="126"/>
      <c r="C183" s="127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9">
        <v>5</v>
      </c>
      <c r="AH183" s="47"/>
      <c r="AI183" s="48"/>
      <c r="AK183" s="50"/>
    </row>
    <row r="184" spans="1:37" x14ac:dyDescent="0.25">
      <c r="A184" s="116" t="s">
        <v>171</v>
      </c>
      <c r="B184" s="126"/>
      <c r="C184" s="127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9">
        <v>5</v>
      </c>
      <c r="AH184" s="47"/>
      <c r="AI184" s="48"/>
      <c r="AK184" s="50"/>
    </row>
    <row r="185" spans="1:37" x14ac:dyDescent="0.25">
      <c r="A185" s="116" t="s">
        <v>172</v>
      </c>
      <c r="B185" s="126"/>
      <c r="C185" s="127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9">
        <v>5</v>
      </c>
      <c r="AH185" s="47"/>
      <c r="AI185" s="48"/>
      <c r="AK185" s="50"/>
    </row>
    <row r="186" spans="1:37" x14ac:dyDescent="0.25">
      <c r="A186" s="116" t="s">
        <v>173</v>
      </c>
      <c r="B186" s="126"/>
      <c r="C186" s="127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9">
        <v>5</v>
      </c>
      <c r="AH186" s="47"/>
      <c r="AI186" s="48"/>
      <c r="AK186" s="50"/>
    </row>
    <row r="187" spans="1:37" x14ac:dyDescent="0.25">
      <c r="A187" s="116" t="s">
        <v>174</v>
      </c>
      <c r="B187" s="126"/>
      <c r="C187" s="127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9">
        <v>4.9930000000000003</v>
      </c>
      <c r="AH187" s="47"/>
      <c r="AI187" s="48"/>
      <c r="AK187" s="50"/>
    </row>
    <row r="188" spans="1:37" x14ac:dyDescent="0.25">
      <c r="A188" s="116" t="s">
        <v>175</v>
      </c>
      <c r="B188" s="126"/>
      <c r="C188" s="127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9">
        <v>4.9800000000000004</v>
      </c>
      <c r="AH188" s="47"/>
      <c r="AI188" s="48"/>
      <c r="AK188" s="50"/>
    </row>
    <row r="189" spans="1:37" x14ac:dyDescent="0.25">
      <c r="A189" s="116" t="s">
        <v>176</v>
      </c>
      <c r="B189" s="126"/>
      <c r="C189" s="127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9">
        <v>4.95</v>
      </c>
      <c r="AH189" s="47"/>
      <c r="AI189" s="48"/>
      <c r="AK189" s="50"/>
    </row>
    <row r="190" spans="1:37" x14ac:dyDescent="0.25">
      <c r="A190" s="116" t="s">
        <v>177</v>
      </c>
      <c r="B190" s="126"/>
      <c r="C190" s="127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9">
        <v>4.95</v>
      </c>
      <c r="AH190" s="47"/>
      <c r="AI190" s="48"/>
      <c r="AK190" s="50"/>
    </row>
    <row r="191" spans="1:37" x14ac:dyDescent="0.25">
      <c r="A191" s="116" t="s">
        <v>178</v>
      </c>
      <c r="B191" s="126"/>
      <c r="C191" s="127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9">
        <v>4.8</v>
      </c>
      <c r="AH191" s="47"/>
      <c r="AI191" s="48"/>
      <c r="AK191" s="50"/>
    </row>
    <row r="192" spans="1:37" x14ac:dyDescent="0.25">
      <c r="A192" s="116" t="s">
        <v>179</v>
      </c>
      <c r="B192" s="126"/>
      <c r="C192" s="127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9">
        <v>4.8</v>
      </c>
      <c r="AH192" s="47"/>
      <c r="AI192" s="48"/>
      <c r="AK192" s="50"/>
    </row>
    <row r="193" spans="1:37" x14ac:dyDescent="0.25">
      <c r="A193" s="116" t="s">
        <v>180</v>
      </c>
      <c r="B193" s="126"/>
      <c r="C193" s="127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9">
        <v>4.8</v>
      </c>
      <c r="AH193" s="47"/>
      <c r="AI193" s="48"/>
      <c r="AK193" s="50"/>
    </row>
    <row r="194" spans="1:37" x14ac:dyDescent="0.25">
      <c r="A194" s="116" t="s">
        <v>181</v>
      </c>
      <c r="B194" s="126"/>
      <c r="C194" s="127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9">
        <v>4.5</v>
      </c>
      <c r="AH194" s="47"/>
      <c r="AI194" s="48"/>
      <c r="AK194" s="50"/>
    </row>
    <row r="195" spans="1:37" x14ac:dyDescent="0.25">
      <c r="A195" s="116" t="s">
        <v>182</v>
      </c>
      <c r="B195" s="126"/>
      <c r="C195" s="127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9">
        <v>4.5</v>
      </c>
      <c r="AH195" s="47"/>
      <c r="AI195" s="48"/>
      <c r="AK195" s="50"/>
    </row>
    <row r="196" spans="1:37" x14ac:dyDescent="0.25">
      <c r="A196" s="116" t="s">
        <v>183</v>
      </c>
      <c r="B196" s="126"/>
      <c r="C196" s="127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9">
        <v>4.4550000000000001</v>
      </c>
      <c r="AH196" s="47"/>
      <c r="AI196" s="48"/>
      <c r="AK196" s="50"/>
    </row>
    <row r="197" spans="1:37" x14ac:dyDescent="0.25">
      <c r="A197" s="116" t="s">
        <v>184</v>
      </c>
      <c r="B197" s="126"/>
      <c r="C197" s="127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9">
        <v>4.41</v>
      </c>
      <c r="AH197" s="47"/>
      <c r="AI197" s="48"/>
      <c r="AK197" s="50"/>
    </row>
    <row r="198" spans="1:37" x14ac:dyDescent="0.25">
      <c r="A198" s="116" t="s">
        <v>185</v>
      </c>
      <c r="B198" s="126"/>
      <c r="C198" s="127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9">
        <v>4.4000000000000004</v>
      </c>
      <c r="AH198" s="47"/>
      <c r="AI198" s="48"/>
      <c r="AK198" s="50"/>
    </row>
    <row r="199" spans="1:37" x14ac:dyDescent="0.25">
      <c r="A199" s="116" t="s">
        <v>186</v>
      </c>
      <c r="B199" s="126"/>
      <c r="C199" s="127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9">
        <v>4.3600000000000003</v>
      </c>
      <c r="AH199" s="47"/>
      <c r="AI199" s="48"/>
      <c r="AK199" s="50"/>
    </row>
    <row r="200" spans="1:37" x14ac:dyDescent="0.25">
      <c r="A200" s="116" t="s">
        <v>187</v>
      </c>
      <c r="B200" s="126"/>
      <c r="C200" s="127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9">
        <v>4.2</v>
      </c>
      <c r="AH200" s="47"/>
      <c r="AI200" s="48"/>
      <c r="AK200" s="50"/>
    </row>
    <row r="201" spans="1:37" x14ac:dyDescent="0.25">
      <c r="A201" s="116" t="s">
        <v>188</v>
      </c>
      <c r="B201" s="126"/>
      <c r="C201" s="127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9">
        <v>4</v>
      </c>
      <c r="AH201" s="47"/>
      <c r="AI201" s="48"/>
      <c r="AK201" s="50"/>
    </row>
    <row r="202" spans="1:37" x14ac:dyDescent="0.25">
      <c r="A202" s="116" t="s">
        <v>189</v>
      </c>
      <c r="B202" s="126"/>
      <c r="C202" s="127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9">
        <v>4</v>
      </c>
      <c r="AH202" s="47"/>
      <c r="AI202" s="48"/>
      <c r="AK202" s="50"/>
    </row>
    <row r="203" spans="1:37" x14ac:dyDescent="0.25">
      <c r="A203" s="116" t="s">
        <v>190</v>
      </c>
      <c r="B203" s="126"/>
      <c r="C203" s="127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9">
        <v>4</v>
      </c>
      <c r="AH203" s="47"/>
      <c r="AI203" s="48"/>
      <c r="AK203" s="50"/>
    </row>
    <row r="204" spans="1:37" x14ac:dyDescent="0.25">
      <c r="A204" s="116" t="s">
        <v>191</v>
      </c>
      <c r="B204" s="126"/>
      <c r="C204" s="127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9">
        <v>4</v>
      </c>
      <c r="AH204" s="47"/>
      <c r="AI204" s="48"/>
      <c r="AK204" s="50"/>
    </row>
    <row r="205" spans="1:37" x14ac:dyDescent="0.25">
      <c r="A205" s="116" t="s">
        <v>192</v>
      </c>
      <c r="B205" s="126"/>
      <c r="C205" s="127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9">
        <v>4</v>
      </c>
      <c r="AH205" s="47"/>
      <c r="AI205" s="48"/>
      <c r="AK205" s="50"/>
    </row>
    <row r="206" spans="1:37" x14ac:dyDescent="0.25">
      <c r="A206" s="116" t="s">
        <v>193</v>
      </c>
      <c r="B206" s="126"/>
      <c r="C206" s="127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9">
        <v>4</v>
      </c>
      <c r="AH206" s="47"/>
      <c r="AI206" s="48"/>
      <c r="AK206" s="50"/>
    </row>
    <row r="207" spans="1:37" x14ac:dyDescent="0.25">
      <c r="A207" s="116" t="s">
        <v>194</v>
      </c>
      <c r="B207" s="126"/>
      <c r="C207" s="127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9">
        <v>4</v>
      </c>
      <c r="AH207" s="47"/>
      <c r="AI207" s="48"/>
      <c r="AK207" s="50"/>
    </row>
    <row r="208" spans="1:37" x14ac:dyDescent="0.25">
      <c r="A208" s="116" t="s">
        <v>195</v>
      </c>
      <c r="B208" s="126"/>
      <c r="C208" s="127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9">
        <v>4</v>
      </c>
      <c r="AH208" s="47"/>
      <c r="AI208" s="48"/>
      <c r="AK208" s="50"/>
    </row>
    <row r="209" spans="1:37" x14ac:dyDescent="0.25">
      <c r="A209" s="116" t="s">
        <v>196</v>
      </c>
      <c r="B209" s="126"/>
      <c r="C209" s="127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9">
        <v>3.75</v>
      </c>
      <c r="AH209" s="47"/>
      <c r="AI209" s="48"/>
      <c r="AK209" s="50"/>
    </row>
    <row r="210" spans="1:37" x14ac:dyDescent="0.25">
      <c r="A210" s="116" t="s">
        <v>197</v>
      </c>
      <c r="B210" s="126"/>
      <c r="C210" s="127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9">
        <v>3.52</v>
      </c>
      <c r="AH210" s="47"/>
      <c r="AI210" s="48"/>
      <c r="AK210" s="50"/>
    </row>
    <row r="211" spans="1:37" x14ac:dyDescent="0.25">
      <c r="A211" s="116" t="s">
        <v>198</v>
      </c>
      <c r="B211" s="126"/>
      <c r="C211" s="127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9">
        <v>3.33</v>
      </c>
      <c r="AH211" s="47"/>
      <c r="AI211" s="48"/>
      <c r="AK211" s="50"/>
    </row>
    <row r="212" spans="1:37" x14ac:dyDescent="0.25">
      <c r="A212" s="116" t="s">
        <v>199</v>
      </c>
      <c r="B212" s="126"/>
      <c r="C212" s="127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9">
        <v>3.2</v>
      </c>
      <c r="AH212" s="47"/>
      <c r="AI212" s="48"/>
      <c r="AK212" s="50"/>
    </row>
    <row r="213" spans="1:37" x14ac:dyDescent="0.25">
      <c r="A213" s="116" t="s">
        <v>200</v>
      </c>
      <c r="B213" s="126"/>
      <c r="C213" s="127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9">
        <v>3</v>
      </c>
      <c r="AH213" s="47"/>
      <c r="AI213" s="48"/>
      <c r="AK213" s="50"/>
    </row>
    <row r="214" spans="1:37" x14ac:dyDescent="0.25">
      <c r="A214" s="116" t="s">
        <v>201</v>
      </c>
      <c r="B214" s="126"/>
      <c r="C214" s="127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9">
        <v>3</v>
      </c>
      <c r="AH214" s="47"/>
      <c r="AI214" s="48"/>
      <c r="AK214" s="50"/>
    </row>
    <row r="215" spans="1:37" x14ac:dyDescent="0.25">
      <c r="A215" s="116" t="s">
        <v>202</v>
      </c>
      <c r="B215" s="126"/>
      <c r="C215" s="127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9">
        <v>3</v>
      </c>
      <c r="AH215" s="47"/>
      <c r="AI215" s="48"/>
      <c r="AK215" s="50"/>
    </row>
    <row r="216" spans="1:37" x14ac:dyDescent="0.25">
      <c r="A216" s="116" t="s">
        <v>203</v>
      </c>
      <c r="B216" s="126"/>
      <c r="C216" s="127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9">
        <v>3</v>
      </c>
      <c r="AH216" s="47"/>
      <c r="AI216" s="48"/>
      <c r="AK216" s="50"/>
    </row>
    <row r="217" spans="1:37" x14ac:dyDescent="0.25">
      <c r="A217" s="116" t="s">
        <v>204</v>
      </c>
      <c r="B217" s="126"/>
      <c r="C217" s="127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9">
        <v>3</v>
      </c>
      <c r="AH217" s="47"/>
      <c r="AI217" s="48"/>
      <c r="AK217" s="50"/>
    </row>
    <row r="218" spans="1:37" x14ac:dyDescent="0.25">
      <c r="A218" s="116" t="s">
        <v>205</v>
      </c>
      <c r="B218" s="126"/>
      <c r="C218" s="127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9">
        <v>3</v>
      </c>
      <c r="AH218" s="47"/>
      <c r="AI218" s="48"/>
      <c r="AK218" s="50"/>
    </row>
    <row r="219" spans="1:37" x14ac:dyDescent="0.25">
      <c r="A219" s="116" t="s">
        <v>206</v>
      </c>
      <c r="B219" s="126"/>
      <c r="C219" s="127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9">
        <v>3</v>
      </c>
      <c r="AH219" s="47"/>
      <c r="AI219" s="48"/>
      <c r="AK219" s="50"/>
    </row>
    <row r="220" spans="1:37" x14ac:dyDescent="0.25">
      <c r="A220" s="116" t="s">
        <v>207</v>
      </c>
      <c r="B220" s="126"/>
      <c r="C220" s="127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9">
        <v>3</v>
      </c>
      <c r="AH220" s="47"/>
      <c r="AI220" s="48"/>
      <c r="AK220" s="50"/>
    </row>
    <row r="221" spans="1:37" x14ac:dyDescent="0.25">
      <c r="A221" s="116" t="s">
        <v>208</v>
      </c>
      <c r="B221" s="126"/>
      <c r="C221" s="127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9">
        <v>2.83</v>
      </c>
      <c r="AH221" s="47"/>
      <c r="AI221" s="48"/>
      <c r="AK221" s="50"/>
    </row>
    <row r="222" spans="1:37" x14ac:dyDescent="0.25">
      <c r="A222" s="116" t="s">
        <v>209</v>
      </c>
      <c r="B222" s="126"/>
      <c r="C222" s="127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9">
        <v>2.5</v>
      </c>
      <c r="AH222" s="47"/>
      <c r="AI222" s="48"/>
      <c r="AK222" s="50"/>
    </row>
    <row r="223" spans="1:37" x14ac:dyDescent="0.25">
      <c r="A223" s="116" t="s">
        <v>210</v>
      </c>
      <c r="B223" s="126"/>
      <c r="C223" s="127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9">
        <v>2.5</v>
      </c>
      <c r="AH223" s="47"/>
      <c r="AI223" s="48"/>
      <c r="AK223" s="50"/>
    </row>
    <row r="224" spans="1:37" x14ac:dyDescent="0.25">
      <c r="A224" s="116" t="s">
        <v>211</v>
      </c>
      <c r="B224" s="126"/>
      <c r="C224" s="127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9">
        <v>2.4</v>
      </c>
      <c r="AH224" s="47"/>
      <c r="AI224" s="48"/>
      <c r="AK224" s="50"/>
    </row>
    <row r="225" spans="1:37" x14ac:dyDescent="0.25">
      <c r="A225" s="116" t="s">
        <v>212</v>
      </c>
      <c r="B225" s="126"/>
      <c r="C225" s="127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9">
        <v>2.4</v>
      </c>
      <c r="AH225" s="47"/>
      <c r="AI225" s="48"/>
      <c r="AK225" s="50"/>
    </row>
    <row r="226" spans="1:37" x14ac:dyDescent="0.25">
      <c r="A226" s="116" t="s">
        <v>213</v>
      </c>
      <c r="B226" s="126"/>
      <c r="C226" s="127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9">
        <v>2.2000000000000002</v>
      </c>
      <c r="AH226" s="47"/>
      <c r="AI226" s="48"/>
      <c r="AK226" s="50"/>
    </row>
    <row r="227" spans="1:37" x14ac:dyDescent="0.25">
      <c r="A227" s="116" t="s">
        <v>214</v>
      </c>
      <c r="B227" s="126"/>
      <c r="C227" s="127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9">
        <v>2</v>
      </c>
      <c r="AH227" s="47"/>
      <c r="AI227" s="48"/>
      <c r="AK227" s="50"/>
    </row>
    <row r="228" spans="1:37" x14ac:dyDescent="0.25">
      <c r="A228" s="116" t="s">
        <v>215</v>
      </c>
      <c r="B228" s="126"/>
      <c r="C228" s="127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9">
        <v>2</v>
      </c>
      <c r="AH228" s="47"/>
      <c r="AI228" s="48"/>
      <c r="AK228" s="50"/>
    </row>
    <row r="229" spans="1:37" x14ac:dyDescent="0.25">
      <c r="A229" s="116" t="s">
        <v>216</v>
      </c>
      <c r="B229" s="126"/>
      <c r="C229" s="127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9">
        <v>2</v>
      </c>
      <c r="AH229" s="47"/>
      <c r="AI229" s="48"/>
      <c r="AK229" s="50"/>
    </row>
    <row r="230" spans="1:37" x14ac:dyDescent="0.25">
      <c r="A230" s="116" t="s">
        <v>217</v>
      </c>
      <c r="B230" s="126"/>
      <c r="C230" s="127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9">
        <v>1.8</v>
      </c>
      <c r="AH230" s="47"/>
      <c r="AI230" s="48"/>
      <c r="AK230" s="50"/>
    </row>
    <row r="231" spans="1:37" x14ac:dyDescent="0.25">
      <c r="A231" s="116" t="s">
        <v>218</v>
      </c>
      <c r="B231" s="126"/>
      <c r="C231" s="127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9">
        <v>1.8</v>
      </c>
      <c r="AH231" s="47"/>
      <c r="AI231" s="48"/>
      <c r="AK231" s="50"/>
    </row>
    <row r="232" spans="1:37" x14ac:dyDescent="0.25">
      <c r="A232" s="116" t="s">
        <v>219</v>
      </c>
      <c r="B232" s="126"/>
      <c r="C232" s="127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9">
        <v>1.65</v>
      </c>
      <c r="AH232" s="47"/>
      <c r="AI232" s="48"/>
      <c r="AK232" s="50"/>
    </row>
    <row r="233" spans="1:37" x14ac:dyDescent="0.25">
      <c r="A233" s="116" t="s">
        <v>220</v>
      </c>
      <c r="B233" s="126"/>
      <c r="C233" s="127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9">
        <v>1.5</v>
      </c>
      <c r="AH233" s="47"/>
      <c r="AI233" s="48"/>
      <c r="AK233" s="50"/>
    </row>
    <row r="234" spans="1:37" x14ac:dyDescent="0.25">
      <c r="A234" s="116" t="s">
        <v>221</v>
      </c>
      <c r="B234" s="126"/>
      <c r="C234" s="127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9">
        <v>0.998</v>
      </c>
      <c r="AH234" s="47"/>
      <c r="AI234" s="48"/>
      <c r="AK234" s="50"/>
    </row>
    <row r="235" spans="1:37" x14ac:dyDescent="0.25">
      <c r="A235" s="116" t="s">
        <v>222</v>
      </c>
      <c r="B235" s="126"/>
      <c r="C235" s="127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9">
        <v>0.997</v>
      </c>
      <c r="AH235" s="47"/>
      <c r="AI235" s="48"/>
      <c r="AK235" s="50"/>
    </row>
    <row r="236" spans="1:37" x14ac:dyDescent="0.25">
      <c r="A236" s="116" t="s">
        <v>223</v>
      </c>
      <c r="B236" s="126"/>
      <c r="C236" s="127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9">
        <v>0.997</v>
      </c>
      <c r="AH236" s="47"/>
      <c r="AI236" s="48"/>
      <c r="AK236" s="50"/>
    </row>
    <row r="237" spans="1:37" x14ac:dyDescent="0.25">
      <c r="A237" s="116" t="s">
        <v>224</v>
      </c>
      <c r="B237" s="126"/>
      <c r="C237" s="127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9">
        <v>0.996</v>
      </c>
      <c r="AH237" s="47"/>
      <c r="AI237" s="48"/>
      <c r="AK237" s="50"/>
    </row>
    <row r="238" spans="1:37" x14ac:dyDescent="0.25">
      <c r="A238" s="116" t="s">
        <v>225</v>
      </c>
      <c r="B238" s="126"/>
      <c r="C238" s="127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9">
        <v>0.996</v>
      </c>
      <c r="AH238" s="47"/>
      <c r="AI238" s="48"/>
      <c r="AK238" s="50"/>
    </row>
    <row r="239" spans="1:37" x14ac:dyDescent="0.25">
      <c r="A239" s="116" t="s">
        <v>226</v>
      </c>
      <c r="B239" s="126"/>
      <c r="C239" s="127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9">
        <v>0.996</v>
      </c>
      <c r="AH239" s="47"/>
      <c r="AI239" s="48"/>
      <c r="AK239" s="50"/>
    </row>
    <row r="240" spans="1:37" x14ac:dyDescent="0.25">
      <c r="A240" s="116" t="s">
        <v>227</v>
      </c>
      <c r="B240" s="126"/>
      <c r="C240" s="127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9">
        <v>0.995</v>
      </c>
      <c r="AH240" s="47"/>
      <c r="AI240" s="48"/>
      <c r="AK240" s="50"/>
    </row>
    <row r="241" spans="1:37" x14ac:dyDescent="0.25">
      <c r="A241" s="116" t="s">
        <v>228</v>
      </c>
      <c r="B241" s="126"/>
      <c r="C241" s="127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9">
        <v>0.99299999999999999</v>
      </c>
      <c r="AH241" s="47"/>
      <c r="AI241" s="48"/>
      <c r="AK241" s="50"/>
    </row>
    <row r="242" spans="1:37" x14ac:dyDescent="0.25">
      <c r="A242" s="116" t="s">
        <v>229</v>
      </c>
      <c r="B242" s="126"/>
      <c r="C242" s="124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9">
        <v>0.99</v>
      </c>
      <c r="AH242" s="47"/>
      <c r="AI242" s="48"/>
      <c r="AK242" s="50"/>
    </row>
    <row r="243" spans="1:37" ht="15.75" thickBot="1" x14ac:dyDescent="0.3">
      <c r="A243" s="116" t="s">
        <v>230</v>
      </c>
      <c r="B243" s="130"/>
      <c r="C243" s="131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29">
        <v>0.97899999999999998</v>
      </c>
      <c r="AH243" s="47"/>
      <c r="AI243" s="48"/>
      <c r="AK243" s="50"/>
    </row>
    <row r="244" spans="1:37" ht="15.75" thickBot="1" x14ac:dyDescent="0.3">
      <c r="A244" s="132" t="s">
        <v>231</v>
      </c>
      <c r="B244" s="133">
        <f t="shared" ref="B244:AG244" si="121">SUM(B139:B243)</f>
        <v>0</v>
      </c>
      <c r="C244" s="134">
        <f t="shared" si="121"/>
        <v>0</v>
      </c>
      <c r="D244" s="134">
        <f t="shared" si="121"/>
        <v>0</v>
      </c>
      <c r="E244" s="134">
        <f t="shared" si="121"/>
        <v>0</v>
      </c>
      <c r="F244" s="134">
        <f t="shared" si="121"/>
        <v>0</v>
      </c>
      <c r="G244" s="134">
        <f t="shared" si="121"/>
        <v>0</v>
      </c>
      <c r="H244" s="134">
        <f t="shared" si="121"/>
        <v>0</v>
      </c>
      <c r="I244" s="134">
        <f t="shared" si="121"/>
        <v>0</v>
      </c>
      <c r="J244" s="134">
        <f t="shared" si="121"/>
        <v>0</v>
      </c>
      <c r="K244" s="134">
        <f t="shared" si="121"/>
        <v>0</v>
      </c>
      <c r="L244" s="134">
        <f t="shared" si="121"/>
        <v>0</v>
      </c>
      <c r="M244" s="134">
        <f t="shared" si="121"/>
        <v>0</v>
      </c>
      <c r="N244" s="134">
        <f t="shared" si="121"/>
        <v>0</v>
      </c>
      <c r="O244" s="134">
        <f t="shared" si="121"/>
        <v>0</v>
      </c>
      <c r="P244" s="134">
        <f t="shared" si="121"/>
        <v>0</v>
      </c>
      <c r="Q244" s="134">
        <f t="shared" si="121"/>
        <v>0</v>
      </c>
      <c r="R244" s="134">
        <f t="shared" si="121"/>
        <v>0</v>
      </c>
      <c r="S244" s="134">
        <f t="shared" si="121"/>
        <v>0</v>
      </c>
      <c r="T244" s="134">
        <f t="shared" si="121"/>
        <v>0</v>
      </c>
      <c r="U244" s="134">
        <f t="shared" si="121"/>
        <v>-9</v>
      </c>
      <c r="V244" s="134">
        <f t="shared" si="121"/>
        <v>0</v>
      </c>
      <c r="W244" s="134">
        <f t="shared" si="121"/>
        <v>0</v>
      </c>
      <c r="X244" s="134">
        <f t="shared" si="121"/>
        <v>0</v>
      </c>
      <c r="Y244" s="134">
        <f t="shared" si="121"/>
        <v>0</v>
      </c>
      <c r="Z244" s="134">
        <f t="shared" si="121"/>
        <v>0</v>
      </c>
      <c r="AA244" s="134">
        <f t="shared" si="121"/>
        <v>0</v>
      </c>
      <c r="AB244" s="134">
        <f t="shared" si="121"/>
        <v>0</v>
      </c>
      <c r="AC244" s="134">
        <f t="shared" si="121"/>
        <v>0</v>
      </c>
      <c r="AD244" s="134">
        <f t="shared" si="121"/>
        <v>0</v>
      </c>
      <c r="AE244" s="134">
        <f t="shared" si="121"/>
        <v>0</v>
      </c>
      <c r="AF244" s="135">
        <f t="shared" si="121"/>
        <v>0</v>
      </c>
      <c r="AG244" s="136">
        <f t="shared" si="121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19"/>
      <c r="AH245" s="47"/>
      <c r="AI245" s="48"/>
      <c r="AK245" s="50"/>
    </row>
    <row r="246" spans="1:37" x14ac:dyDescent="0.25">
      <c r="A246" s="100" t="s">
        <v>232</v>
      </c>
      <c r="B246" s="138">
        <f t="shared" ref="B246:B251" si="122">AF246</f>
        <v>0.3</v>
      </c>
      <c r="C246" s="138">
        <v>0.3</v>
      </c>
      <c r="D246" s="138">
        <f t="shared" ref="D246:S251" si="123">C246</f>
        <v>0.3</v>
      </c>
      <c r="E246" s="138">
        <f t="shared" si="123"/>
        <v>0.3</v>
      </c>
      <c r="F246" s="138">
        <f t="shared" si="123"/>
        <v>0.3</v>
      </c>
      <c r="G246" s="138">
        <f t="shared" si="123"/>
        <v>0.3</v>
      </c>
      <c r="H246" s="138">
        <f t="shared" si="123"/>
        <v>0.3</v>
      </c>
      <c r="I246" s="138">
        <f t="shared" si="123"/>
        <v>0.3</v>
      </c>
      <c r="J246" s="138">
        <f t="shared" si="123"/>
        <v>0.3</v>
      </c>
      <c r="K246" s="138">
        <f t="shared" si="123"/>
        <v>0.3</v>
      </c>
      <c r="L246" s="138">
        <f t="shared" si="123"/>
        <v>0.3</v>
      </c>
      <c r="M246" s="138">
        <f t="shared" si="123"/>
        <v>0.3</v>
      </c>
      <c r="N246" s="138">
        <f t="shared" si="123"/>
        <v>0.3</v>
      </c>
      <c r="O246" s="138">
        <f t="shared" si="123"/>
        <v>0.3</v>
      </c>
      <c r="P246" s="138">
        <f t="shared" si="123"/>
        <v>0.3</v>
      </c>
      <c r="Q246" s="138">
        <f t="shared" si="123"/>
        <v>0.3</v>
      </c>
      <c r="R246" s="138">
        <f t="shared" si="123"/>
        <v>0.3</v>
      </c>
      <c r="S246" s="138">
        <f t="shared" si="123"/>
        <v>0.3</v>
      </c>
      <c r="T246" s="138">
        <f t="shared" ref="T246:AF251" si="124">S246</f>
        <v>0.3</v>
      </c>
      <c r="U246" s="138">
        <f t="shared" si="124"/>
        <v>0.3</v>
      </c>
      <c r="V246" s="138">
        <f t="shared" si="124"/>
        <v>0.3</v>
      </c>
      <c r="W246" s="138">
        <f t="shared" si="124"/>
        <v>0.3</v>
      </c>
      <c r="X246" s="138">
        <f t="shared" si="124"/>
        <v>0.3</v>
      </c>
      <c r="Y246" s="138">
        <f t="shared" si="124"/>
        <v>0.3</v>
      </c>
      <c r="Z246" s="138">
        <f t="shared" si="124"/>
        <v>0.3</v>
      </c>
      <c r="AA246" s="138">
        <f t="shared" si="124"/>
        <v>0.3</v>
      </c>
      <c r="AB246" s="138">
        <f t="shared" si="124"/>
        <v>0.3</v>
      </c>
      <c r="AC246" s="138">
        <f t="shared" si="124"/>
        <v>0.3</v>
      </c>
      <c r="AD246" s="138">
        <f t="shared" si="124"/>
        <v>0.3</v>
      </c>
      <c r="AE246" s="138">
        <f t="shared" si="124"/>
        <v>0.3</v>
      </c>
      <c r="AF246" s="138">
        <f t="shared" si="124"/>
        <v>0.3</v>
      </c>
      <c r="AG246" s="139">
        <v>2.4</v>
      </c>
      <c r="AH246" s="47"/>
      <c r="AI246" s="48"/>
      <c r="AK246" s="50"/>
    </row>
    <row r="247" spans="1:37" x14ac:dyDescent="0.25">
      <c r="A247" s="103" t="s">
        <v>233</v>
      </c>
      <c r="B247" s="126">
        <f t="shared" si="122"/>
        <v>0.4</v>
      </c>
      <c r="C247" s="126">
        <v>0.4</v>
      </c>
      <c r="D247" s="126">
        <f t="shared" si="123"/>
        <v>0.4</v>
      </c>
      <c r="E247" s="126">
        <f t="shared" si="123"/>
        <v>0.4</v>
      </c>
      <c r="F247" s="126">
        <f t="shared" si="123"/>
        <v>0.4</v>
      </c>
      <c r="G247" s="126">
        <f t="shared" si="123"/>
        <v>0.4</v>
      </c>
      <c r="H247" s="126">
        <f t="shared" si="123"/>
        <v>0.4</v>
      </c>
      <c r="I247" s="126">
        <f t="shared" si="123"/>
        <v>0.4</v>
      </c>
      <c r="J247" s="126">
        <f t="shared" si="123"/>
        <v>0.4</v>
      </c>
      <c r="K247" s="126">
        <f t="shared" si="123"/>
        <v>0.4</v>
      </c>
      <c r="L247" s="126">
        <f t="shared" si="123"/>
        <v>0.4</v>
      </c>
      <c r="M247" s="126">
        <f t="shared" si="123"/>
        <v>0.4</v>
      </c>
      <c r="N247" s="126">
        <f t="shared" si="123"/>
        <v>0.4</v>
      </c>
      <c r="O247" s="126">
        <f t="shared" si="123"/>
        <v>0.4</v>
      </c>
      <c r="P247" s="126">
        <f t="shared" si="123"/>
        <v>0.4</v>
      </c>
      <c r="Q247" s="126">
        <f t="shared" si="123"/>
        <v>0.4</v>
      </c>
      <c r="R247" s="126">
        <f t="shared" si="123"/>
        <v>0.4</v>
      </c>
      <c r="S247" s="126">
        <f t="shared" si="123"/>
        <v>0.4</v>
      </c>
      <c r="T247" s="126">
        <f t="shared" si="124"/>
        <v>0.4</v>
      </c>
      <c r="U247" s="126">
        <f t="shared" si="124"/>
        <v>0.4</v>
      </c>
      <c r="V247" s="126">
        <f t="shared" si="124"/>
        <v>0.4</v>
      </c>
      <c r="W247" s="126">
        <f t="shared" si="124"/>
        <v>0.4</v>
      </c>
      <c r="X247" s="126">
        <f t="shared" si="124"/>
        <v>0.4</v>
      </c>
      <c r="Y247" s="126">
        <f t="shared" si="124"/>
        <v>0.4</v>
      </c>
      <c r="Z247" s="126">
        <f t="shared" si="124"/>
        <v>0.4</v>
      </c>
      <c r="AA247" s="126">
        <f t="shared" si="124"/>
        <v>0.4</v>
      </c>
      <c r="AB247" s="126">
        <f t="shared" si="124"/>
        <v>0.4</v>
      </c>
      <c r="AC247" s="126">
        <f t="shared" si="124"/>
        <v>0.4</v>
      </c>
      <c r="AD247" s="126">
        <f t="shared" si="124"/>
        <v>0.4</v>
      </c>
      <c r="AE247" s="126">
        <f t="shared" si="124"/>
        <v>0.4</v>
      </c>
      <c r="AF247" s="126">
        <f t="shared" si="124"/>
        <v>0.4</v>
      </c>
      <c r="AG247" s="140">
        <v>2</v>
      </c>
      <c r="AH247" s="47"/>
      <c r="AI247" s="48"/>
      <c r="AK247" s="50"/>
    </row>
    <row r="248" spans="1:37" x14ac:dyDescent="0.25">
      <c r="A248" s="103" t="s">
        <v>234</v>
      </c>
      <c r="B248" s="126">
        <f t="shared" si="122"/>
        <v>1.5</v>
      </c>
      <c r="C248" s="126">
        <v>1.5</v>
      </c>
      <c r="D248" s="126">
        <f t="shared" si="123"/>
        <v>1.5</v>
      </c>
      <c r="E248" s="126">
        <f t="shared" si="123"/>
        <v>1.5</v>
      </c>
      <c r="F248" s="126">
        <f t="shared" si="123"/>
        <v>1.5</v>
      </c>
      <c r="G248" s="126">
        <f t="shared" si="123"/>
        <v>1.5</v>
      </c>
      <c r="H248" s="126">
        <f t="shared" si="123"/>
        <v>1.5</v>
      </c>
      <c r="I248" s="126">
        <f t="shared" si="123"/>
        <v>1.5</v>
      </c>
      <c r="J248" s="126">
        <f t="shared" si="123"/>
        <v>1.5</v>
      </c>
      <c r="K248" s="126">
        <f t="shared" si="123"/>
        <v>1.5</v>
      </c>
      <c r="L248" s="126">
        <f t="shared" si="123"/>
        <v>1.5</v>
      </c>
      <c r="M248" s="126">
        <f t="shared" si="123"/>
        <v>1.5</v>
      </c>
      <c r="N248" s="126">
        <f t="shared" si="123"/>
        <v>1.5</v>
      </c>
      <c r="O248" s="126">
        <f t="shared" si="123"/>
        <v>1.5</v>
      </c>
      <c r="P248" s="126">
        <f t="shared" si="123"/>
        <v>1.5</v>
      </c>
      <c r="Q248" s="126">
        <f t="shared" si="123"/>
        <v>1.5</v>
      </c>
      <c r="R248" s="126">
        <f t="shared" si="123"/>
        <v>1.5</v>
      </c>
      <c r="S248" s="126">
        <f t="shared" si="123"/>
        <v>1.5</v>
      </c>
      <c r="T248" s="126">
        <f t="shared" si="124"/>
        <v>1.5</v>
      </c>
      <c r="U248" s="126">
        <f t="shared" si="124"/>
        <v>1.5</v>
      </c>
      <c r="V248" s="126">
        <f t="shared" si="124"/>
        <v>1.5</v>
      </c>
      <c r="W248" s="126">
        <f t="shared" si="124"/>
        <v>1.5</v>
      </c>
      <c r="X248" s="126">
        <f t="shared" si="124"/>
        <v>1.5</v>
      </c>
      <c r="Y248" s="126">
        <f t="shared" si="124"/>
        <v>1.5</v>
      </c>
      <c r="Z248" s="126">
        <f t="shared" si="124"/>
        <v>1.5</v>
      </c>
      <c r="AA248" s="126">
        <f t="shared" si="124"/>
        <v>1.5</v>
      </c>
      <c r="AB248" s="126">
        <f t="shared" si="124"/>
        <v>1.5</v>
      </c>
      <c r="AC248" s="126">
        <f t="shared" si="124"/>
        <v>1.5</v>
      </c>
      <c r="AD248" s="126">
        <f t="shared" si="124"/>
        <v>1.5</v>
      </c>
      <c r="AE248" s="126">
        <f t="shared" si="124"/>
        <v>1.5</v>
      </c>
      <c r="AF248" s="126">
        <f t="shared" si="124"/>
        <v>1.5</v>
      </c>
      <c r="AG248" s="140">
        <v>1.5</v>
      </c>
      <c r="AH248" s="47"/>
      <c r="AI248" s="48"/>
      <c r="AK248" s="50"/>
    </row>
    <row r="249" spans="1:37" x14ac:dyDescent="0.25">
      <c r="A249" s="103" t="s">
        <v>235</v>
      </c>
      <c r="B249" s="126">
        <f t="shared" si="122"/>
        <v>0.3</v>
      </c>
      <c r="C249" s="126">
        <v>0.3</v>
      </c>
      <c r="D249" s="126">
        <f t="shared" si="123"/>
        <v>0.3</v>
      </c>
      <c r="E249" s="126">
        <f t="shared" si="123"/>
        <v>0.3</v>
      </c>
      <c r="F249" s="126">
        <f t="shared" si="123"/>
        <v>0.3</v>
      </c>
      <c r="G249" s="126">
        <f t="shared" si="123"/>
        <v>0.3</v>
      </c>
      <c r="H249" s="126">
        <f t="shared" si="123"/>
        <v>0.3</v>
      </c>
      <c r="I249" s="126">
        <f t="shared" si="123"/>
        <v>0.3</v>
      </c>
      <c r="J249" s="126">
        <f t="shared" si="123"/>
        <v>0.3</v>
      </c>
      <c r="K249" s="126">
        <f t="shared" si="123"/>
        <v>0.3</v>
      </c>
      <c r="L249" s="126">
        <f t="shared" si="123"/>
        <v>0.3</v>
      </c>
      <c r="M249" s="126">
        <f t="shared" si="123"/>
        <v>0.3</v>
      </c>
      <c r="N249" s="126">
        <f t="shared" si="123"/>
        <v>0.3</v>
      </c>
      <c r="O249" s="126">
        <f t="shared" si="123"/>
        <v>0.3</v>
      </c>
      <c r="P249" s="126">
        <f t="shared" si="123"/>
        <v>0.3</v>
      </c>
      <c r="Q249" s="126">
        <f t="shared" si="123"/>
        <v>0.3</v>
      </c>
      <c r="R249" s="126">
        <f t="shared" si="123"/>
        <v>0.3</v>
      </c>
      <c r="S249" s="126">
        <f t="shared" si="123"/>
        <v>0.3</v>
      </c>
      <c r="T249" s="126">
        <f t="shared" si="124"/>
        <v>0.3</v>
      </c>
      <c r="U249" s="126">
        <f t="shared" si="124"/>
        <v>0.3</v>
      </c>
      <c r="V249" s="126">
        <f t="shared" si="124"/>
        <v>0.3</v>
      </c>
      <c r="W249" s="126">
        <f t="shared" si="124"/>
        <v>0.3</v>
      </c>
      <c r="X249" s="126">
        <f t="shared" si="124"/>
        <v>0.3</v>
      </c>
      <c r="Y249" s="126">
        <f t="shared" si="124"/>
        <v>0.3</v>
      </c>
      <c r="Z249" s="126">
        <f t="shared" si="124"/>
        <v>0.3</v>
      </c>
      <c r="AA249" s="126">
        <f t="shared" si="124"/>
        <v>0.3</v>
      </c>
      <c r="AB249" s="126">
        <f t="shared" si="124"/>
        <v>0.3</v>
      </c>
      <c r="AC249" s="126">
        <f t="shared" si="124"/>
        <v>0.3</v>
      </c>
      <c r="AD249" s="126">
        <f t="shared" si="124"/>
        <v>0.3</v>
      </c>
      <c r="AE249" s="126">
        <f t="shared" si="124"/>
        <v>0.3</v>
      </c>
      <c r="AF249" s="126">
        <f t="shared" si="124"/>
        <v>0.3</v>
      </c>
      <c r="AG249" s="140">
        <v>1</v>
      </c>
      <c r="AH249" s="47"/>
      <c r="AI249" s="48"/>
      <c r="AK249" s="50"/>
    </row>
    <row r="250" spans="1:37" x14ac:dyDescent="0.25">
      <c r="A250" s="103" t="s">
        <v>236</v>
      </c>
      <c r="B250" s="126">
        <f t="shared" si="122"/>
        <v>0.4</v>
      </c>
      <c r="C250" s="126">
        <v>0.4</v>
      </c>
      <c r="D250" s="126">
        <f t="shared" si="123"/>
        <v>0.4</v>
      </c>
      <c r="E250" s="126">
        <f t="shared" si="123"/>
        <v>0.4</v>
      </c>
      <c r="F250" s="126">
        <f t="shared" si="123"/>
        <v>0.4</v>
      </c>
      <c r="G250" s="126">
        <f t="shared" si="123"/>
        <v>0.4</v>
      </c>
      <c r="H250" s="126">
        <f t="shared" si="123"/>
        <v>0.4</v>
      </c>
      <c r="I250" s="126">
        <f t="shared" si="123"/>
        <v>0.4</v>
      </c>
      <c r="J250" s="126">
        <f t="shared" si="123"/>
        <v>0.4</v>
      </c>
      <c r="K250" s="126">
        <f t="shared" si="123"/>
        <v>0.4</v>
      </c>
      <c r="L250" s="126">
        <f t="shared" si="123"/>
        <v>0.4</v>
      </c>
      <c r="M250" s="126">
        <f t="shared" si="123"/>
        <v>0.4</v>
      </c>
      <c r="N250" s="126">
        <f t="shared" si="123"/>
        <v>0.4</v>
      </c>
      <c r="O250" s="126">
        <f t="shared" si="123"/>
        <v>0.4</v>
      </c>
      <c r="P250" s="126">
        <f t="shared" si="123"/>
        <v>0.4</v>
      </c>
      <c r="Q250" s="126">
        <f t="shared" si="123"/>
        <v>0.4</v>
      </c>
      <c r="R250" s="126">
        <f t="shared" si="123"/>
        <v>0.4</v>
      </c>
      <c r="S250" s="126">
        <f t="shared" si="123"/>
        <v>0.4</v>
      </c>
      <c r="T250" s="126">
        <f t="shared" si="124"/>
        <v>0.4</v>
      </c>
      <c r="U250" s="126">
        <f t="shared" si="124"/>
        <v>0.4</v>
      </c>
      <c r="V250" s="126">
        <f t="shared" si="124"/>
        <v>0.4</v>
      </c>
      <c r="W250" s="126">
        <f t="shared" si="124"/>
        <v>0.4</v>
      </c>
      <c r="X250" s="126">
        <f t="shared" si="124"/>
        <v>0.4</v>
      </c>
      <c r="Y250" s="126">
        <f t="shared" si="124"/>
        <v>0.4</v>
      </c>
      <c r="Z250" s="126">
        <f t="shared" si="124"/>
        <v>0.4</v>
      </c>
      <c r="AA250" s="126">
        <f t="shared" si="124"/>
        <v>0.4</v>
      </c>
      <c r="AB250" s="126">
        <f t="shared" si="124"/>
        <v>0.4</v>
      </c>
      <c r="AC250" s="126">
        <f t="shared" si="124"/>
        <v>0.4</v>
      </c>
      <c r="AD250" s="126">
        <f t="shared" si="124"/>
        <v>0.4</v>
      </c>
      <c r="AE250" s="126">
        <f t="shared" si="124"/>
        <v>0.4</v>
      </c>
      <c r="AF250" s="126">
        <f t="shared" si="124"/>
        <v>0.4</v>
      </c>
      <c r="AG250" s="140">
        <v>1</v>
      </c>
      <c r="AH250" s="47"/>
      <c r="AI250" s="48"/>
      <c r="AK250" s="50"/>
    </row>
    <row r="251" spans="1:37" ht="15.75" thickBot="1" x14ac:dyDescent="0.3">
      <c r="A251" s="116" t="s">
        <v>237</v>
      </c>
      <c r="B251" s="130">
        <f t="shared" si="122"/>
        <v>0.64</v>
      </c>
      <c r="C251" s="130">
        <v>0.64</v>
      </c>
      <c r="D251" s="130">
        <f t="shared" si="123"/>
        <v>0.64</v>
      </c>
      <c r="E251" s="130">
        <f t="shared" si="123"/>
        <v>0.64</v>
      </c>
      <c r="F251" s="130">
        <f t="shared" si="123"/>
        <v>0.64</v>
      </c>
      <c r="G251" s="130">
        <f t="shared" si="123"/>
        <v>0.64</v>
      </c>
      <c r="H251" s="130">
        <f t="shared" si="123"/>
        <v>0.64</v>
      </c>
      <c r="I251" s="130">
        <f t="shared" si="123"/>
        <v>0.64</v>
      </c>
      <c r="J251" s="130">
        <f t="shared" si="123"/>
        <v>0.64</v>
      </c>
      <c r="K251" s="130">
        <f t="shared" si="123"/>
        <v>0.64</v>
      </c>
      <c r="L251" s="130">
        <f t="shared" si="123"/>
        <v>0.64</v>
      </c>
      <c r="M251" s="130">
        <f t="shared" si="123"/>
        <v>0.64</v>
      </c>
      <c r="N251" s="130">
        <f t="shared" si="123"/>
        <v>0.64</v>
      </c>
      <c r="O251" s="130">
        <f t="shared" si="123"/>
        <v>0.64</v>
      </c>
      <c r="P251" s="130">
        <f t="shared" si="123"/>
        <v>0.64</v>
      </c>
      <c r="Q251" s="130">
        <f t="shared" si="123"/>
        <v>0.64</v>
      </c>
      <c r="R251" s="130">
        <f t="shared" si="123"/>
        <v>0.64</v>
      </c>
      <c r="S251" s="130">
        <f t="shared" si="123"/>
        <v>0.64</v>
      </c>
      <c r="T251" s="130">
        <f t="shared" si="124"/>
        <v>0.64</v>
      </c>
      <c r="U251" s="130">
        <f t="shared" si="124"/>
        <v>0.64</v>
      </c>
      <c r="V251" s="130">
        <f t="shared" si="124"/>
        <v>0.64</v>
      </c>
      <c r="W251" s="130">
        <f t="shared" si="124"/>
        <v>0.64</v>
      </c>
      <c r="X251" s="130">
        <f t="shared" si="124"/>
        <v>0.64</v>
      </c>
      <c r="Y251" s="130">
        <f t="shared" si="124"/>
        <v>0.64</v>
      </c>
      <c r="Z251" s="130">
        <f t="shared" si="124"/>
        <v>0.64</v>
      </c>
      <c r="AA251" s="130">
        <f t="shared" si="124"/>
        <v>0.64</v>
      </c>
      <c r="AB251" s="130">
        <f t="shared" si="124"/>
        <v>0.64</v>
      </c>
      <c r="AC251" s="130">
        <f t="shared" si="124"/>
        <v>0.64</v>
      </c>
      <c r="AD251" s="130">
        <f t="shared" si="124"/>
        <v>0.64</v>
      </c>
      <c r="AE251" s="130">
        <f t="shared" si="124"/>
        <v>0.64</v>
      </c>
      <c r="AF251" s="130">
        <f t="shared" si="124"/>
        <v>0.64</v>
      </c>
      <c r="AG251" s="141">
        <v>0.66</v>
      </c>
      <c r="AH251" s="47"/>
      <c r="AI251" s="48"/>
    </row>
    <row r="252" spans="1:37" ht="15.75" thickBot="1" x14ac:dyDescent="0.3">
      <c r="A252" s="142" t="s">
        <v>75</v>
      </c>
      <c r="B252" s="134">
        <f t="shared" ref="B252:AG252" si="125">SUM(B246:B251)</f>
        <v>3.54</v>
      </c>
      <c r="C252" s="134">
        <f t="shared" si="125"/>
        <v>3.54</v>
      </c>
      <c r="D252" s="134">
        <f t="shared" si="125"/>
        <v>3.54</v>
      </c>
      <c r="E252" s="134">
        <f t="shared" si="125"/>
        <v>3.54</v>
      </c>
      <c r="F252" s="134">
        <f t="shared" si="125"/>
        <v>3.54</v>
      </c>
      <c r="G252" s="134">
        <f t="shared" si="125"/>
        <v>3.54</v>
      </c>
      <c r="H252" s="134">
        <f t="shared" si="125"/>
        <v>3.54</v>
      </c>
      <c r="I252" s="134">
        <f t="shared" si="125"/>
        <v>3.54</v>
      </c>
      <c r="J252" s="134">
        <f t="shared" si="125"/>
        <v>3.54</v>
      </c>
      <c r="K252" s="134">
        <f t="shared" si="125"/>
        <v>3.54</v>
      </c>
      <c r="L252" s="134">
        <f t="shared" si="125"/>
        <v>3.54</v>
      </c>
      <c r="M252" s="134">
        <f t="shared" si="125"/>
        <v>3.54</v>
      </c>
      <c r="N252" s="134">
        <f t="shared" si="125"/>
        <v>3.54</v>
      </c>
      <c r="O252" s="134">
        <f t="shared" si="125"/>
        <v>3.54</v>
      </c>
      <c r="P252" s="134">
        <f t="shared" si="125"/>
        <v>3.54</v>
      </c>
      <c r="Q252" s="134">
        <f t="shared" si="125"/>
        <v>3.54</v>
      </c>
      <c r="R252" s="134">
        <f t="shared" si="125"/>
        <v>3.54</v>
      </c>
      <c r="S252" s="134">
        <f t="shared" si="125"/>
        <v>3.54</v>
      </c>
      <c r="T252" s="134">
        <f t="shared" si="125"/>
        <v>3.54</v>
      </c>
      <c r="U252" s="134">
        <f t="shared" si="125"/>
        <v>3.54</v>
      </c>
      <c r="V252" s="134">
        <f t="shared" si="125"/>
        <v>3.54</v>
      </c>
      <c r="W252" s="134">
        <f t="shared" si="125"/>
        <v>3.54</v>
      </c>
      <c r="X252" s="134">
        <f t="shared" si="125"/>
        <v>3.54</v>
      </c>
      <c r="Y252" s="134">
        <f t="shared" si="125"/>
        <v>3.54</v>
      </c>
      <c r="Z252" s="134">
        <f t="shared" si="125"/>
        <v>3.54</v>
      </c>
      <c r="AA252" s="134">
        <f t="shared" si="125"/>
        <v>3.54</v>
      </c>
      <c r="AB252" s="134">
        <f t="shared" si="125"/>
        <v>3.54</v>
      </c>
      <c r="AC252" s="134">
        <f t="shared" si="125"/>
        <v>3.54</v>
      </c>
      <c r="AD252" s="134">
        <f t="shared" si="125"/>
        <v>3.54</v>
      </c>
      <c r="AE252" s="134">
        <f t="shared" si="125"/>
        <v>3.54</v>
      </c>
      <c r="AF252" s="134">
        <f t="shared" si="125"/>
        <v>3.54</v>
      </c>
      <c r="AG252" s="143">
        <f t="shared" si="125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37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54" t="s">
        <v>243</v>
      </c>
      <c r="B256" s="155">
        <f>MAX(G99:N99)</f>
        <v>1691.7400000000002</v>
      </c>
      <c r="C256" s="156">
        <f>INDEX(G9:N9,1,MATCH(MAX(G99:N99),G99:N99,0))</f>
        <v>0.375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50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157" t="str">
        <f ca="1">MID(CELL("filename",C7),FIND("]",CELL("filename",C7))+1,600)</f>
        <v>3</v>
      </c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50" x14ac:dyDescent="0.25">
      <c r="A258" s="257" t="s">
        <v>244</v>
      </c>
      <c r="B258" s="257"/>
      <c r="C258" s="43"/>
      <c r="D258" s="157" t="str">
        <f ca="1">"Pie Chart of Daily Peak Demand(Inclusive of Export) of Nepal ("&amp;A4&amp;" "&amp;B4&amp;")"</f>
        <v>Pie Chart of Daily Peak Demand(Inclusive of Export) of Nepal (Nepali Date: 2080/09/3)</v>
      </c>
      <c r="E258" s="43"/>
      <c r="F258" s="43"/>
      <c r="G258" s="157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157" t="str">
        <f ca="1">"Daily Load Curve(Excluding of Export) of Nepal ("&amp;A4&amp;" "&amp;B4&amp;")"</f>
        <v>Daily Load Curve(Excluding of Export) of Nepal (Nepali Date: 2080/09/3)</v>
      </c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50" ht="12.75" customHeight="1" thickBot="1" x14ac:dyDescent="0.3">
      <c r="A259" s="158" t="s">
        <v>7</v>
      </c>
      <c r="B259" s="159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50" ht="15.75" thickTop="1" x14ac:dyDescent="0.25">
      <c r="A260" s="158" t="s">
        <v>245</v>
      </c>
      <c r="B260" s="15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160" t="s">
        <v>246</v>
      </c>
      <c r="T260" s="161">
        <v>0</v>
      </c>
      <c r="U260" s="162">
        <v>4.1666666666666664E-2</v>
      </c>
      <c r="V260" s="163">
        <v>8.3333333333333301E-2</v>
      </c>
      <c r="W260" s="163">
        <v>0.125</v>
      </c>
      <c r="X260" s="163">
        <v>0.16666666666666699</v>
      </c>
      <c r="Y260" s="163">
        <v>0.20833333333333301</v>
      </c>
      <c r="Z260" s="163">
        <v>0.22916666666666666</v>
      </c>
      <c r="AA260" s="163">
        <v>0.25</v>
      </c>
      <c r="AB260" s="163">
        <v>0.27083333333333331</v>
      </c>
      <c r="AC260" s="163">
        <v>0.29166666666666669</v>
      </c>
      <c r="AD260" s="163">
        <v>0.3125</v>
      </c>
      <c r="AE260" s="164">
        <v>0.33333333333333331</v>
      </c>
      <c r="AF260" s="164">
        <v>0.375</v>
      </c>
      <c r="AG260" s="164">
        <v>0.41666666666666702</v>
      </c>
      <c r="AH260" s="164">
        <v>0.45833333333333298</v>
      </c>
      <c r="AI260" s="164">
        <v>0.5</v>
      </c>
      <c r="AJ260" s="164">
        <v>0.54166666666666696</v>
      </c>
      <c r="AK260" s="164">
        <v>0.58333333333333304</v>
      </c>
      <c r="AL260" s="164">
        <v>0.625</v>
      </c>
      <c r="AM260" s="164">
        <v>0.66666666666666696</v>
      </c>
      <c r="AN260" s="164">
        <v>0.70833333333333304</v>
      </c>
      <c r="AO260" s="164">
        <v>0.72916666666666663</v>
      </c>
      <c r="AP260" s="164">
        <v>0.75</v>
      </c>
      <c r="AQ260" s="164">
        <v>0.77083333333333337</v>
      </c>
      <c r="AR260" s="164">
        <v>0.79166666666666663</v>
      </c>
      <c r="AS260" s="164">
        <v>0.8125</v>
      </c>
      <c r="AT260" s="163">
        <v>0.83333333333333337</v>
      </c>
      <c r="AU260" s="163">
        <v>0.85416666666666663</v>
      </c>
      <c r="AV260" s="163">
        <v>0.875</v>
      </c>
      <c r="AW260" s="163">
        <v>0.91666666666666696</v>
      </c>
      <c r="AX260" s="163">
        <v>0.95833333333333304</v>
      </c>
    </row>
    <row r="261" spans="1:50" x14ac:dyDescent="0.25">
      <c r="A261" s="158" t="s">
        <v>247</v>
      </c>
      <c r="B261" s="15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 t="s">
        <v>248</v>
      </c>
      <c r="T261" s="165">
        <f t="shared" ref="T261:AX261" si="126">B99</f>
        <v>1110.44</v>
      </c>
      <c r="U261" s="165">
        <f t="shared" si="126"/>
        <v>1064.44</v>
      </c>
      <c r="V261" s="165">
        <f t="shared" si="126"/>
        <v>1067.3400000000001</v>
      </c>
      <c r="W261" s="165">
        <f t="shared" si="126"/>
        <v>1061.44</v>
      </c>
      <c r="X261" s="165">
        <f t="shared" si="126"/>
        <v>1065.24</v>
      </c>
      <c r="Y261" s="165">
        <f t="shared" si="126"/>
        <v>1134.6399999999999</v>
      </c>
      <c r="Z261" s="165">
        <f t="shared" si="126"/>
        <v>1215.1399999999999</v>
      </c>
      <c r="AA261" s="165">
        <f t="shared" si="126"/>
        <v>1302.8400000000001</v>
      </c>
      <c r="AB261" s="165">
        <f t="shared" si="126"/>
        <v>1394.24</v>
      </c>
      <c r="AC261" s="165">
        <f t="shared" si="126"/>
        <v>1413.64</v>
      </c>
      <c r="AD261" s="165">
        <f t="shared" si="126"/>
        <v>1534.24</v>
      </c>
      <c r="AE261" s="165">
        <f t="shared" si="126"/>
        <v>1655.04</v>
      </c>
      <c r="AF261" s="165">
        <f t="shared" si="126"/>
        <v>1691.7400000000002</v>
      </c>
      <c r="AG261" s="165">
        <f t="shared" si="126"/>
        <v>1624.44</v>
      </c>
      <c r="AH261" s="165">
        <f t="shared" si="126"/>
        <v>1497.74</v>
      </c>
      <c r="AI261" s="165">
        <f t="shared" si="126"/>
        <v>1504.8400000000001</v>
      </c>
      <c r="AJ261" s="165">
        <f t="shared" si="126"/>
        <v>1495.74</v>
      </c>
      <c r="AK261" s="165">
        <f t="shared" si="126"/>
        <v>1415.54</v>
      </c>
      <c r="AL261" s="165">
        <f t="shared" si="126"/>
        <v>1380.24</v>
      </c>
      <c r="AM261" s="165">
        <f t="shared" si="126"/>
        <v>1330.3400000000001</v>
      </c>
      <c r="AN261" s="165">
        <f t="shared" si="126"/>
        <v>1330.3400000000001</v>
      </c>
      <c r="AO261" s="165">
        <f t="shared" si="126"/>
        <v>1481.6399999999999</v>
      </c>
      <c r="AP261" s="165">
        <f t="shared" si="126"/>
        <v>1900.84</v>
      </c>
      <c r="AQ261" s="165">
        <f t="shared" si="126"/>
        <v>1825.94</v>
      </c>
      <c r="AR261" s="165">
        <f t="shared" si="126"/>
        <v>1808.8400000000001</v>
      </c>
      <c r="AS261" s="165">
        <f t="shared" si="126"/>
        <v>1770.44</v>
      </c>
      <c r="AT261" s="165">
        <f t="shared" si="126"/>
        <v>1650.04</v>
      </c>
      <c r="AU261" s="165">
        <f t="shared" si="126"/>
        <v>1632.64</v>
      </c>
      <c r="AV261" s="165">
        <f t="shared" si="126"/>
        <v>1599.04</v>
      </c>
      <c r="AW261" s="165">
        <f t="shared" si="126"/>
        <v>1273.24</v>
      </c>
      <c r="AX261" s="165">
        <f t="shared" si="126"/>
        <v>1194.04</v>
      </c>
    </row>
    <row r="262" spans="1:50" x14ac:dyDescent="0.25">
      <c r="A262" s="158" t="s">
        <v>249</v>
      </c>
      <c r="B262" s="15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50" x14ac:dyDescent="0.25">
      <c r="A263" s="158" t="s">
        <v>250</v>
      </c>
      <c r="B263" s="15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50" x14ac:dyDescent="0.25">
      <c r="A264" s="158" t="s">
        <v>251</v>
      </c>
      <c r="B264" s="15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50" x14ac:dyDescent="0.25">
      <c r="A265" s="158" t="s">
        <v>252</v>
      </c>
      <c r="B265" s="166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50" x14ac:dyDescent="0.25">
      <c r="A266" s="158" t="s">
        <v>253</v>
      </c>
      <c r="B266" s="15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50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50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50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50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50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50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1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1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1:34" x14ac:dyDescent="0.25">
      <c r="A282" s="167" t="s">
        <v>238</v>
      </c>
      <c r="B282" s="168">
        <f t="shared" ref="B282:AE282" si="127">C251</f>
        <v>0.64</v>
      </c>
      <c r="C282" s="168">
        <f t="shared" si="127"/>
        <v>0.64</v>
      </c>
      <c r="D282" s="168">
        <f t="shared" si="127"/>
        <v>0.64</v>
      </c>
      <c r="E282" s="168">
        <f t="shared" si="127"/>
        <v>0.64</v>
      </c>
      <c r="F282" s="168">
        <f t="shared" si="127"/>
        <v>0.64</v>
      </c>
      <c r="G282" s="168">
        <f t="shared" si="127"/>
        <v>0.64</v>
      </c>
      <c r="H282" s="168">
        <f t="shared" si="127"/>
        <v>0.64</v>
      </c>
      <c r="I282" s="168">
        <f t="shared" si="127"/>
        <v>0.64</v>
      </c>
      <c r="J282" s="168">
        <f t="shared" si="127"/>
        <v>0.64</v>
      </c>
      <c r="K282" s="168">
        <f t="shared" si="127"/>
        <v>0.64</v>
      </c>
      <c r="L282" s="168">
        <f t="shared" si="127"/>
        <v>0.64</v>
      </c>
      <c r="M282" s="168">
        <f t="shared" si="127"/>
        <v>0.64</v>
      </c>
      <c r="N282" s="168">
        <f t="shared" si="127"/>
        <v>0.64</v>
      </c>
      <c r="O282" s="168">
        <f t="shared" si="127"/>
        <v>0.64</v>
      </c>
      <c r="P282" s="168">
        <f t="shared" si="127"/>
        <v>0.64</v>
      </c>
      <c r="Q282" s="168">
        <f t="shared" si="127"/>
        <v>0.64</v>
      </c>
      <c r="R282" s="168">
        <f t="shared" si="127"/>
        <v>0.64</v>
      </c>
      <c r="S282" s="168">
        <f t="shared" si="127"/>
        <v>0.64</v>
      </c>
      <c r="T282" s="168">
        <f t="shared" si="127"/>
        <v>0.64</v>
      </c>
      <c r="U282" s="168">
        <f t="shared" si="127"/>
        <v>0.64</v>
      </c>
      <c r="V282" s="168">
        <f t="shared" si="127"/>
        <v>0.64</v>
      </c>
      <c r="W282" s="168">
        <f t="shared" si="127"/>
        <v>0.64</v>
      </c>
      <c r="X282" s="168">
        <f t="shared" si="127"/>
        <v>0.64</v>
      </c>
      <c r="Y282" s="168">
        <f t="shared" si="127"/>
        <v>0.64</v>
      </c>
      <c r="Z282" s="168">
        <f t="shared" si="127"/>
        <v>0.64</v>
      </c>
      <c r="AA282" s="168">
        <f t="shared" si="127"/>
        <v>0.64</v>
      </c>
      <c r="AB282" s="168">
        <f t="shared" si="127"/>
        <v>0.64</v>
      </c>
      <c r="AC282" s="168">
        <f t="shared" si="127"/>
        <v>0.64</v>
      </c>
      <c r="AD282" s="168">
        <f t="shared" si="127"/>
        <v>0.64</v>
      </c>
      <c r="AE282" s="168">
        <f t="shared" si="127"/>
        <v>0.64</v>
      </c>
      <c r="AF282" s="168">
        <f>B251</f>
        <v>0.64</v>
      </c>
      <c r="AG282" s="43"/>
      <c r="AH282" s="43"/>
    </row>
    <row r="283" spans="1:34" x14ac:dyDescent="0.25">
      <c r="A283" s="169" t="e">
        <f>#REF!</f>
        <v>#REF!</v>
      </c>
      <c r="B283" s="169" t="e">
        <f>IF(#REF!&lt;100,"",#REF!-520)</f>
        <v>#REF!</v>
      </c>
      <c r="C283" s="169" t="e">
        <f>IF(#REF!&lt;100,"",#REF!-520)</f>
        <v>#REF!</v>
      </c>
      <c r="D283" s="169" t="e">
        <f>IF(#REF!&lt;100,"",#REF!-520)</f>
        <v>#REF!</v>
      </c>
      <c r="E283" s="169" t="e">
        <f>IF(#REF!&lt;100,"",#REF!-520)</f>
        <v>#REF!</v>
      </c>
      <c r="F283" s="169" t="e">
        <f>IF(#REF!&lt;100,"",#REF!-520)</f>
        <v>#REF!</v>
      </c>
      <c r="G283" s="169" t="e">
        <f>IF(#REF!&lt;100,"",#REF!-520)</f>
        <v>#REF!</v>
      </c>
      <c r="H283" s="169" t="e">
        <f>IF(#REF!&lt;100,"",#REF!-520)</f>
        <v>#REF!</v>
      </c>
      <c r="I283" s="169" t="e">
        <f>IF(#REF!&lt;100,"",#REF!-520)</f>
        <v>#REF!</v>
      </c>
      <c r="J283" s="169" t="e">
        <f>IF(#REF!&lt;100,"",#REF!-520)</f>
        <v>#REF!</v>
      </c>
      <c r="K283" s="169" t="e">
        <f>IF(#REF!&lt;100,"",#REF!-520)</f>
        <v>#REF!</v>
      </c>
      <c r="L283" s="169" t="e">
        <f>IF(#REF!&lt;100,"",#REF!-520)</f>
        <v>#REF!</v>
      </c>
      <c r="M283" s="169" t="e">
        <f>IF(#REF!&lt;100,"",#REF!-520)</f>
        <v>#REF!</v>
      </c>
      <c r="N283" s="169" t="e">
        <f>IF(#REF!&lt;100,"",#REF!-520)</f>
        <v>#REF!</v>
      </c>
      <c r="O283" s="169" t="e">
        <f>IF(#REF!&lt;100,"",#REF!-520)</f>
        <v>#REF!</v>
      </c>
      <c r="P283" s="169" t="e">
        <f>IF(#REF!&lt;100,"",#REF!-520)</f>
        <v>#REF!</v>
      </c>
      <c r="Q283" s="169" t="e">
        <f>IF(#REF!&lt;100,"",#REF!-520)</f>
        <v>#REF!</v>
      </c>
      <c r="R283" s="169" t="e">
        <f>IF(#REF!&lt;100,"",#REF!-520)</f>
        <v>#REF!</v>
      </c>
      <c r="S283" s="169" t="e">
        <f>IF(#REF!&lt;100,"",#REF!-520)</f>
        <v>#REF!</v>
      </c>
      <c r="T283" s="169" t="e">
        <f>IF(#REF!&lt;100,"",#REF!-520)</f>
        <v>#REF!</v>
      </c>
      <c r="U283" s="169" t="e">
        <f>IF(#REF!&lt;100,"",#REF!-520)</f>
        <v>#REF!</v>
      </c>
      <c r="V283" s="169" t="e">
        <f>IF(#REF!&lt;100,"",#REF!-520)</f>
        <v>#REF!</v>
      </c>
      <c r="W283" s="169" t="e">
        <f>IF(#REF!&lt;100,"",#REF!-520)</f>
        <v>#REF!</v>
      </c>
      <c r="X283" s="169" t="e">
        <f>IF(#REF!&lt;100,"",#REF!-520)</f>
        <v>#REF!</v>
      </c>
      <c r="Y283" s="169" t="e">
        <f>IF(#REF!&lt;100,"",#REF!-520)</f>
        <v>#REF!</v>
      </c>
      <c r="Z283" s="169" t="e">
        <f>IF(#REF!&lt;100,"",#REF!-520)</f>
        <v>#REF!</v>
      </c>
      <c r="AA283" s="169" t="e">
        <f>IF(#REF!&lt;100,"",#REF!-520)</f>
        <v>#REF!</v>
      </c>
      <c r="AB283" s="169" t="e">
        <f>IF(#REF!&lt;100,"",#REF!-520)</f>
        <v>#REF!</v>
      </c>
      <c r="AC283" s="169" t="e">
        <f>IF(#REF!&lt;100,"",#REF!-520)</f>
        <v>#REF!</v>
      </c>
      <c r="AD283" s="169" t="e">
        <f>IF(#REF!&lt;100,"",#REF!-520)</f>
        <v>#REF!</v>
      </c>
      <c r="AE283" s="169" t="e">
        <f>IF(#REF!&lt;100,"",#REF!-520)</f>
        <v>#REF!</v>
      </c>
      <c r="AF283" s="169" t="e">
        <f>IF(#REF!&lt;100,"",#REF!-520)</f>
        <v>#REF!</v>
      </c>
      <c r="AG283" s="43"/>
      <c r="AH283" s="43"/>
    </row>
    <row r="284" spans="1:34" x14ac:dyDescent="0.25">
      <c r="A284" s="169" t="e">
        <f>#REF!</f>
        <v>#REF!</v>
      </c>
      <c r="B284" s="169" t="e">
        <f>IF(#REF!&lt;100,"",#REF!-620)</f>
        <v>#REF!</v>
      </c>
      <c r="C284" s="169" t="e">
        <f>IF(#REF!&lt;100,"",#REF!-620)</f>
        <v>#REF!</v>
      </c>
      <c r="D284" s="169" t="e">
        <f>IF(#REF!&lt;100,"",#REF!-620)</f>
        <v>#REF!</v>
      </c>
      <c r="E284" s="169" t="e">
        <f>IF(#REF!&lt;100,"",#REF!-620)</f>
        <v>#REF!</v>
      </c>
      <c r="F284" s="169" t="e">
        <f>IF(#REF!&lt;100,"",#REF!-620)</f>
        <v>#REF!</v>
      </c>
      <c r="G284" s="169" t="e">
        <f>IF(#REF!&lt;100,"",#REF!-620)</f>
        <v>#REF!</v>
      </c>
      <c r="H284" s="169" t="e">
        <f>IF(#REF!&lt;100,"",#REF!-620)</f>
        <v>#REF!</v>
      </c>
      <c r="I284" s="169" t="e">
        <f>IF(#REF!&lt;100,"",#REF!-620)</f>
        <v>#REF!</v>
      </c>
      <c r="J284" s="169" t="e">
        <f>IF(#REF!&lt;100,"",#REF!-620)</f>
        <v>#REF!</v>
      </c>
      <c r="K284" s="169" t="e">
        <f>IF(#REF!&lt;100,"",#REF!-620)</f>
        <v>#REF!</v>
      </c>
      <c r="L284" s="169" t="e">
        <f>IF(#REF!&lt;100,"",#REF!-620)</f>
        <v>#REF!</v>
      </c>
      <c r="M284" s="169" t="e">
        <f>IF(#REF!&lt;100,"",#REF!-620)</f>
        <v>#REF!</v>
      </c>
      <c r="N284" s="169" t="e">
        <f>IF(#REF!&lt;100,"",#REF!-620)</f>
        <v>#REF!</v>
      </c>
      <c r="O284" s="169" t="e">
        <f>IF(#REF!&lt;100,"",#REF!-620)</f>
        <v>#REF!</v>
      </c>
      <c r="P284" s="169" t="e">
        <f>IF(#REF!&lt;100,"",#REF!-620)</f>
        <v>#REF!</v>
      </c>
      <c r="Q284" s="169" t="e">
        <f>IF(#REF!&lt;100,"",#REF!-620)</f>
        <v>#REF!</v>
      </c>
      <c r="R284" s="169" t="e">
        <f>IF(#REF!&lt;100,"",#REF!-620)</f>
        <v>#REF!</v>
      </c>
      <c r="S284" s="169" t="e">
        <f>IF(#REF!&lt;100,"",#REF!-620)</f>
        <v>#REF!</v>
      </c>
      <c r="T284" s="169" t="e">
        <f>IF(#REF!&lt;100,"",#REF!-620)</f>
        <v>#REF!</v>
      </c>
      <c r="U284" s="169" t="e">
        <f>IF(#REF!&lt;100,"",#REF!-620)</f>
        <v>#REF!</v>
      </c>
      <c r="V284" s="169" t="e">
        <f>IF(#REF!&lt;100,"",#REF!-620)</f>
        <v>#REF!</v>
      </c>
      <c r="W284" s="169" t="e">
        <f>IF(#REF!&lt;100,"",#REF!-620)</f>
        <v>#REF!</v>
      </c>
      <c r="X284" s="169" t="e">
        <f>IF(#REF!&lt;100,"",#REF!-620)</f>
        <v>#REF!</v>
      </c>
      <c r="Y284" s="169" t="e">
        <f>IF(#REF!&lt;100,"",#REF!-620)</f>
        <v>#REF!</v>
      </c>
      <c r="Z284" s="169" t="e">
        <f>IF(#REF!&lt;100,"",#REF!-620)</f>
        <v>#REF!</v>
      </c>
      <c r="AA284" s="169" t="e">
        <f>IF(#REF!&lt;100,"",#REF!-620)</f>
        <v>#REF!</v>
      </c>
      <c r="AB284" s="169" t="e">
        <f>IF(#REF!&lt;100,"",#REF!-620)</f>
        <v>#REF!</v>
      </c>
      <c r="AC284" s="169" t="e">
        <f>IF(#REF!&lt;100,"",#REF!-620)</f>
        <v>#REF!</v>
      </c>
      <c r="AD284" s="169" t="e">
        <f>IF(#REF!&lt;100,"",#REF!-620)</f>
        <v>#REF!</v>
      </c>
      <c r="AE284" s="169" t="e">
        <f>IF(#REF!&lt;100,"",#REF!-620)</f>
        <v>#REF!</v>
      </c>
      <c r="AF284" s="169" t="e">
        <f>IF(#REF!&lt;100,"",#REF!-620)</f>
        <v>#REF!</v>
      </c>
      <c r="AG284" s="43"/>
      <c r="AH284" s="43"/>
    </row>
    <row r="285" spans="1:34" x14ac:dyDescent="0.25">
      <c r="A285" s="169" t="e">
        <f>#REF!</f>
        <v>#REF!</v>
      </c>
      <c r="B285" s="169" t="e">
        <f>IF(#REF!&lt;100,"",#REF!-330)</f>
        <v>#REF!</v>
      </c>
      <c r="C285" s="169" t="e">
        <f>IF(#REF!&lt;100,"",#REF!-330)</f>
        <v>#REF!</v>
      </c>
      <c r="D285" s="169" t="e">
        <f>IF(#REF!&lt;100,"",#REF!-330)</f>
        <v>#REF!</v>
      </c>
      <c r="E285" s="169" t="e">
        <f>IF(#REF!&lt;100,"",#REF!-330)</f>
        <v>#REF!</v>
      </c>
      <c r="F285" s="169" t="e">
        <f>IF(#REF!&lt;100,"",#REF!-330)</f>
        <v>#REF!</v>
      </c>
      <c r="G285" s="169" t="e">
        <f>IF(#REF!&lt;100,"",#REF!-330)</f>
        <v>#REF!</v>
      </c>
      <c r="H285" s="169" t="e">
        <f>IF(#REF!&lt;100,"",#REF!-330)</f>
        <v>#REF!</v>
      </c>
      <c r="I285" s="169" t="e">
        <f>IF(#REF!&lt;100,"",#REF!-330)</f>
        <v>#REF!</v>
      </c>
      <c r="J285" s="169" t="e">
        <f>IF(#REF!&lt;100,"",#REF!-330)</f>
        <v>#REF!</v>
      </c>
      <c r="K285" s="169" t="e">
        <f>IF(#REF!&lt;100,"",#REF!-330)</f>
        <v>#REF!</v>
      </c>
      <c r="L285" s="169" t="e">
        <f>IF(#REF!&lt;100,"",#REF!-330)</f>
        <v>#REF!</v>
      </c>
      <c r="M285" s="169" t="e">
        <f>IF(#REF!&lt;100,"",#REF!-330)</f>
        <v>#REF!</v>
      </c>
      <c r="N285" s="169" t="e">
        <f>IF(#REF!&lt;100,"",#REF!-330)</f>
        <v>#REF!</v>
      </c>
      <c r="O285" s="169" t="e">
        <f>IF(#REF!&lt;100,"",#REF!-330)</f>
        <v>#REF!</v>
      </c>
      <c r="P285" s="169" t="e">
        <f>IF(#REF!&lt;100,"",#REF!-330)</f>
        <v>#REF!</v>
      </c>
      <c r="Q285" s="169" t="e">
        <f>IF(#REF!&lt;100,"",#REF!-330)</f>
        <v>#REF!</v>
      </c>
      <c r="R285" s="169" t="e">
        <f>IF(#REF!&lt;100,"",#REF!-330)</f>
        <v>#REF!</v>
      </c>
      <c r="S285" s="169" t="e">
        <f>IF(#REF!&lt;100,"",#REF!-330)</f>
        <v>#REF!</v>
      </c>
      <c r="T285" s="169" t="e">
        <f>IF(#REF!&lt;100,"",#REF!-330)</f>
        <v>#REF!</v>
      </c>
      <c r="U285" s="169" t="e">
        <f>IF(#REF!&lt;100,"",#REF!-330)</f>
        <v>#REF!</v>
      </c>
      <c r="V285" s="169" t="e">
        <f>IF(#REF!&lt;100,"",#REF!-330)</f>
        <v>#REF!</v>
      </c>
      <c r="W285" s="169" t="e">
        <f>IF(#REF!&lt;100,"",#REF!-330)</f>
        <v>#REF!</v>
      </c>
      <c r="X285" s="169" t="e">
        <f>IF(#REF!&lt;100,"",#REF!-330)</f>
        <v>#REF!</v>
      </c>
      <c r="Y285" s="169" t="e">
        <f>IF(#REF!&lt;100,"",#REF!-330)</f>
        <v>#REF!</v>
      </c>
      <c r="Z285" s="169" t="e">
        <f>IF(#REF!&lt;100,"",#REF!-330)</f>
        <v>#REF!</v>
      </c>
      <c r="AA285" s="169" t="e">
        <f>IF(#REF!&lt;100,"",#REF!-330)</f>
        <v>#REF!</v>
      </c>
      <c r="AB285" s="169" t="e">
        <f>IF(#REF!&lt;100,"",#REF!-330)</f>
        <v>#REF!</v>
      </c>
      <c r="AC285" s="169" t="e">
        <f>IF(#REF!&lt;100,"",#REF!-330)</f>
        <v>#REF!</v>
      </c>
      <c r="AD285" s="169" t="e">
        <f>IF(#REF!&lt;100,"",#REF!-330)</f>
        <v>#REF!</v>
      </c>
      <c r="AE285" s="169" t="e">
        <f>IF(#REF!&lt;100,"",#REF!-330)</f>
        <v>#REF!</v>
      </c>
      <c r="AF285" s="169" t="e">
        <f>IF(#REF!&lt;100,"",#REF!-330)</f>
        <v>#REF!</v>
      </c>
      <c r="AG285" s="43"/>
      <c r="AH285" s="43"/>
    </row>
    <row r="286" spans="1:34" x14ac:dyDescent="0.25">
      <c r="A286" s="169" t="e">
        <f>#REF!</f>
        <v>#REF!</v>
      </c>
      <c r="B286" s="169" t="e">
        <f>IF(#REF!&lt;100,"",#REF!-1500)</f>
        <v>#REF!</v>
      </c>
      <c r="C286" s="169" t="e">
        <f>IF(#REF!&lt;100,"",#REF!-1500)</f>
        <v>#REF!</v>
      </c>
      <c r="D286" s="169" t="e">
        <f>IF(#REF!&lt;100,"",#REF!-1500)</f>
        <v>#REF!</v>
      </c>
      <c r="E286" s="169" t="e">
        <f>IF(#REF!&lt;100,"",#REF!-1500)</f>
        <v>#REF!</v>
      </c>
      <c r="F286" s="169" t="e">
        <f>IF(#REF!&lt;100,"",#REF!-1500)</f>
        <v>#REF!</v>
      </c>
      <c r="G286" s="169" t="e">
        <f>IF(#REF!&lt;100,"",#REF!-1500)</f>
        <v>#REF!</v>
      </c>
      <c r="H286" s="169" t="e">
        <f>IF(#REF!&lt;100,"",#REF!-1500)</f>
        <v>#REF!</v>
      </c>
      <c r="I286" s="169" t="e">
        <f>IF(#REF!&lt;100,"",#REF!-1500)</f>
        <v>#REF!</v>
      </c>
      <c r="J286" s="169" t="e">
        <f>IF(#REF!&lt;100,"",#REF!-1500)</f>
        <v>#REF!</v>
      </c>
      <c r="K286" s="169" t="e">
        <f>IF(#REF!&lt;100,"",#REF!-1500)</f>
        <v>#REF!</v>
      </c>
      <c r="L286" s="169" t="e">
        <f>IF(#REF!&lt;100,"",#REF!-1500)</f>
        <v>#REF!</v>
      </c>
      <c r="M286" s="169" t="e">
        <f>IF(#REF!&lt;100,"",#REF!-1500)</f>
        <v>#REF!</v>
      </c>
      <c r="N286" s="169" t="e">
        <f>IF(#REF!&lt;100,"",#REF!-1500)</f>
        <v>#REF!</v>
      </c>
      <c r="O286" s="169" t="e">
        <f>IF(#REF!&lt;100,"",#REF!-1500)</f>
        <v>#REF!</v>
      </c>
      <c r="P286" s="169" t="e">
        <f>IF(#REF!&lt;100,"",#REF!-1500)</f>
        <v>#REF!</v>
      </c>
      <c r="Q286" s="169" t="e">
        <f>IF(#REF!&lt;100,"",#REF!-1500)</f>
        <v>#REF!</v>
      </c>
      <c r="R286" s="169" t="e">
        <f>IF(#REF!&lt;100,"",#REF!-1500)</f>
        <v>#REF!</v>
      </c>
      <c r="S286" s="169" t="e">
        <f>IF(#REF!&lt;100,"",#REF!-1500)</f>
        <v>#REF!</v>
      </c>
      <c r="T286" s="169" t="e">
        <f>IF(#REF!&lt;100,"",#REF!-1500)</f>
        <v>#REF!</v>
      </c>
      <c r="U286" s="169" t="e">
        <f>IF(#REF!&lt;100,"",#REF!-1500)</f>
        <v>#REF!</v>
      </c>
      <c r="V286" s="169" t="e">
        <f>IF(#REF!&lt;100,"",#REF!-1500)</f>
        <v>#REF!</v>
      </c>
      <c r="W286" s="169" t="e">
        <f>IF(#REF!&lt;100,"",#REF!-1500)</f>
        <v>#REF!</v>
      </c>
      <c r="X286" s="169" t="e">
        <f>IF(#REF!&lt;100,"",#REF!-1500)</f>
        <v>#REF!</v>
      </c>
      <c r="Y286" s="169" t="e">
        <f>IF(#REF!&lt;100,"",#REF!-1500)</f>
        <v>#REF!</v>
      </c>
      <c r="Z286" s="169" t="e">
        <f>IF(#REF!&lt;100,"",#REF!-1500)</f>
        <v>#REF!</v>
      </c>
      <c r="AA286" s="169" t="e">
        <f>IF(#REF!&lt;100,"",#REF!-1500)</f>
        <v>#REF!</v>
      </c>
      <c r="AB286" s="169" t="e">
        <f>IF(#REF!&lt;100,"",#REF!-1500)</f>
        <v>#REF!</v>
      </c>
      <c r="AC286" s="169" t="e">
        <f>IF(#REF!&lt;100,"",#REF!-1500)</f>
        <v>#REF!</v>
      </c>
      <c r="AD286" s="169" t="e">
        <f>IF(#REF!&lt;100,"",#REF!-1500)</f>
        <v>#REF!</v>
      </c>
      <c r="AE286" s="169" t="e">
        <f>IF(#REF!&lt;100,"",#REF!-1500)</f>
        <v>#REF!</v>
      </c>
      <c r="AF286" s="169" t="e">
        <f>IF(#REF!&lt;100,"",#REF!-1500)</f>
        <v>#REF!</v>
      </c>
      <c r="AG286" s="43"/>
      <c r="AH286" s="43"/>
    </row>
    <row r="287" spans="1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1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2:34" x14ac:dyDescent="0.25"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2:34" x14ac:dyDescent="0.25"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2:34" x14ac:dyDescent="0.25"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2:34" x14ac:dyDescent="0.25"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2:34" x14ac:dyDescent="0.25"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2755" priority="62">
      <formula>$AH11=0</formula>
    </cfRule>
  </conditionalFormatting>
  <conditionalFormatting sqref="A132:A253">
    <cfRule type="expression" dxfId="2754" priority="13">
      <formula>$AH132=0</formula>
    </cfRule>
  </conditionalFormatting>
  <conditionalFormatting sqref="B8 M8 S8 AB8">
    <cfRule type="expression" dxfId="2753" priority="123">
      <formula>AND(C$9&gt;=8/24,C$9&lt;14/24)</formula>
    </cfRule>
    <cfRule type="expression" dxfId="2752" priority="122">
      <formula>AND(C$9&gt;=14/24,C$9&lt;20/24)</formula>
    </cfRule>
    <cfRule type="expression" dxfId="2751" priority="124">
      <formula>C$9&lt;8/24</formula>
    </cfRule>
  </conditionalFormatting>
  <conditionalFormatting sqref="B63:I74 J64:J74 K69:P71 Q70:W71 K70:K74 B119:S131 T119:AF137 B132:J136 B137:S137">
    <cfRule type="expression" dxfId="2750" priority="28">
      <formula>B$9&gt;=20/24</formula>
    </cfRule>
    <cfRule type="expression" dxfId="2749" priority="29">
      <formula>AND(B$9&gt;=14/24,B$9&lt;20/24)</formula>
    </cfRule>
    <cfRule type="expression" dxfId="2748" priority="30">
      <formula>AND(B$9&gt;=8/24,B$9&lt;14/24)</formula>
    </cfRule>
    <cfRule type="expression" dxfId="2747" priority="31">
      <formula>B$9&lt;8/24</formula>
    </cfRule>
  </conditionalFormatting>
  <conditionalFormatting sqref="B11:W54">
    <cfRule type="expression" dxfId="2746" priority="22">
      <formula>B11&gt;$AG11</formula>
    </cfRule>
  </conditionalFormatting>
  <conditionalFormatting sqref="B53:W54">
    <cfRule type="expression" dxfId="2745" priority="21">
      <formula>B$9&lt;8/24</formula>
    </cfRule>
  </conditionalFormatting>
  <conditionalFormatting sqref="B55:W55">
    <cfRule type="expression" dxfId="2744" priority="42">
      <formula>B55&gt;$AG55</formula>
    </cfRule>
  </conditionalFormatting>
  <conditionalFormatting sqref="B55:W57">
    <cfRule type="expression" dxfId="2743" priority="41">
      <formula>B$9&lt;8/24</formula>
    </cfRule>
  </conditionalFormatting>
  <conditionalFormatting sqref="B9:AF52">
    <cfRule type="expression" dxfId="2742" priority="35">
      <formula>AND(B$9&gt;=8/24,B$9&lt;14/24)</formula>
    </cfRule>
    <cfRule type="expression" dxfId="2741" priority="36">
      <formula>B$9&lt;8/24</formula>
    </cfRule>
    <cfRule type="expression" dxfId="2740" priority="33">
      <formula>B$9&gt;=20/24</formula>
    </cfRule>
    <cfRule type="expression" dxfId="2739" priority="34">
      <formula>AND(B$9&gt;=14/24,B$9&lt;20/24)</formula>
    </cfRule>
  </conditionalFormatting>
  <conditionalFormatting sqref="B53:AF54">
    <cfRule type="expression" dxfId="2738" priority="20">
      <formula>AND(B$9&gt;=8/24,B$9&lt;14/24)</formula>
    </cfRule>
    <cfRule type="expression" dxfId="2737" priority="18">
      <formula>B$9&gt;=20/24</formula>
    </cfRule>
    <cfRule type="expression" dxfId="2736" priority="19">
      <formula>AND(B$9&gt;=14/24,B$9&lt;20/24)</formula>
    </cfRule>
  </conditionalFormatting>
  <conditionalFormatting sqref="B55:AF57">
    <cfRule type="expression" dxfId="2735" priority="38">
      <formula>B$9&gt;=20/24</formula>
    </cfRule>
    <cfRule type="expression" dxfId="2734" priority="40">
      <formula>AND(B$9&gt;=8/24,B$9&lt;14/24)</formula>
    </cfRule>
    <cfRule type="expression" dxfId="2733" priority="39">
      <formula>AND(B$9&gt;=14/24,B$9&lt;20/24)</formula>
    </cfRule>
  </conditionalFormatting>
  <conditionalFormatting sqref="B56:AF61">
    <cfRule type="expression" dxfId="2732" priority="37">
      <formula>B56&gt;$AG56</formula>
    </cfRule>
  </conditionalFormatting>
  <conditionalFormatting sqref="B59:AF61">
    <cfRule type="expression" dxfId="2731" priority="51">
      <formula>B$9&lt;8/24</formula>
    </cfRule>
    <cfRule type="expression" dxfId="2730" priority="49">
      <formula>AND(B$9&gt;=14/24,B$9&lt;20/24)</formula>
    </cfRule>
    <cfRule type="expression" dxfId="2729" priority="48">
      <formula>B$9&gt;=20/24</formula>
    </cfRule>
    <cfRule type="expression" dxfId="2728" priority="50">
      <formula>AND(B$9&gt;=8/24,B$9&lt;14/24)</formula>
    </cfRule>
  </conditionalFormatting>
  <conditionalFormatting sqref="B63:AF74">
    <cfRule type="expression" dxfId="2727" priority="27">
      <formula>B63&gt;$AG63</formula>
    </cfRule>
  </conditionalFormatting>
  <conditionalFormatting sqref="B77:AF79">
    <cfRule type="expression" dxfId="2726" priority="53">
      <formula>B$9&gt;=20/24</formula>
    </cfRule>
    <cfRule type="expression" dxfId="2725" priority="52">
      <formula>B77&gt;$AG77</formula>
    </cfRule>
    <cfRule type="expression" dxfId="2724" priority="54">
      <formula>AND(B$9&gt;=14/24,B$9&lt;20/24)</formula>
    </cfRule>
    <cfRule type="expression" dxfId="2723" priority="55">
      <formula>AND(B$9&gt;=8/24,B$9&lt;14/24)</formula>
    </cfRule>
    <cfRule type="expression" dxfId="2722" priority="56">
      <formula>B$9&lt;8/24</formula>
    </cfRule>
  </conditionalFormatting>
  <conditionalFormatting sqref="B81:AF99">
    <cfRule type="expression" dxfId="2721" priority="24">
      <formula>AND(B$9&gt;=14/24,B$9&lt;20/24)</formula>
    </cfRule>
    <cfRule type="expression" dxfId="2720" priority="26">
      <formula>B$9&lt;8/24</formula>
    </cfRule>
    <cfRule type="expression" dxfId="2719" priority="25">
      <formula>AND(B$9&gt;=8/24,B$9&lt;14/24)</formula>
    </cfRule>
    <cfRule type="expression" dxfId="2718" priority="23">
      <formula>B$9&gt;=20/24</formula>
    </cfRule>
  </conditionalFormatting>
  <conditionalFormatting sqref="B101:AF117">
    <cfRule type="expression" dxfId="2717" priority="14">
      <formula>B$9&gt;=20/24</formula>
    </cfRule>
    <cfRule type="expression" dxfId="2716" priority="15">
      <formula>AND(B$9&gt;=14/24,B$9&lt;20/24)</formula>
    </cfRule>
    <cfRule type="expression" dxfId="2715" priority="16">
      <formula>AND(B$9&gt;=8/24,B$9&lt;14/24)</formula>
    </cfRule>
    <cfRule type="expression" dxfId="2714" priority="17">
      <formula>B$9&lt;8/24</formula>
    </cfRule>
  </conditionalFormatting>
  <conditionalFormatting sqref="B244:AF244 B246:B252 D246:AF252 U260:AF260">
    <cfRule type="expression" dxfId="2713" priority="118">
      <formula>B$9&lt;8/24</formula>
    </cfRule>
    <cfRule type="expression" dxfId="2712" priority="117">
      <formula>AND(B$9&gt;=8/24,B$9&lt;14/24)</formula>
    </cfRule>
    <cfRule type="expression" dxfId="2711" priority="116">
      <formula>AND(B$9&gt;=14/24,B$9&lt;20/24)</formula>
    </cfRule>
    <cfRule type="expression" dxfId="2710" priority="115">
      <formula>B$9&gt;=20/24</formula>
    </cfRule>
  </conditionalFormatting>
  <conditionalFormatting sqref="B62:AG62">
    <cfRule type="expression" dxfId="2709" priority="59">
      <formula>AND(B$9&gt;=14/24,B$9&lt;20/24)</formula>
    </cfRule>
    <cfRule type="expression" dxfId="2708" priority="60">
      <formula>AND(B$9&gt;=8/24,B$9&lt;14/24)</formula>
    </cfRule>
    <cfRule type="expression" dxfId="2707" priority="61">
      <formula>B$9&lt;8/24</formula>
    </cfRule>
    <cfRule type="expression" dxfId="2706" priority="57">
      <formula>B62&gt;$AG62</formula>
    </cfRule>
    <cfRule type="expression" dxfId="2705" priority="58">
      <formula>B$9&gt;=20/24</formula>
    </cfRule>
  </conditionalFormatting>
  <conditionalFormatting sqref="B75:AG76 B80:AG80">
    <cfRule type="expression" dxfId="2704" priority="43">
      <formula>B75&gt;$AG75</formula>
    </cfRule>
  </conditionalFormatting>
  <conditionalFormatting sqref="B80:AG80">
    <cfRule type="expression" dxfId="2703" priority="44">
      <formula>B$9&gt;=20/24</formula>
    </cfRule>
    <cfRule type="expression" dxfId="2702" priority="46">
      <formula>AND(B$9&gt;=8/24,B$9&lt;14/24)</formula>
    </cfRule>
    <cfRule type="expression" dxfId="2701" priority="47">
      <formula>B$9&lt;8/24</formula>
    </cfRule>
    <cfRule type="expression" dxfId="2700" priority="45">
      <formula>AND(B$9&gt;=14/24,B$9&lt;20/24)</formula>
    </cfRule>
  </conditionalFormatting>
  <conditionalFormatting sqref="F63:P65">
    <cfRule type="expression" dxfId="2699" priority="96">
      <formula>F$9&gt;=20/24</formula>
    </cfRule>
    <cfRule type="expression" dxfId="2698" priority="97">
      <formula>AND(F$9&gt;=14/24,F$9&lt;20/24)</formula>
    </cfRule>
    <cfRule type="expression" dxfId="2697" priority="98">
      <formula>AND(F$9&gt;=8/24,F$9&lt;14/24)</formula>
    </cfRule>
    <cfRule type="expression" dxfId="2696" priority="99">
      <formula>F$9&lt;8/24</formula>
    </cfRule>
  </conditionalFormatting>
  <conditionalFormatting sqref="F68:W68">
    <cfRule type="expression" dxfId="2695" priority="73">
      <formula>F$9&gt;=20/24</formula>
    </cfRule>
    <cfRule type="expression" dxfId="2694" priority="74">
      <formula>AND(F$9&gt;=14/24,F$9&lt;20/24)</formula>
    </cfRule>
    <cfRule type="expression" dxfId="2693" priority="75">
      <formula>AND(F$9&gt;=8/24,F$9&lt;14/24)</formula>
    </cfRule>
    <cfRule type="expression" dxfId="2692" priority="76">
      <formula>F$9&lt;8/24</formula>
    </cfRule>
  </conditionalFormatting>
  <conditionalFormatting sqref="F69:AF74">
    <cfRule type="expression" dxfId="2691" priority="64">
      <formula>AND(F$9&gt;=14/24,F$9&lt;20/24)</formula>
    </cfRule>
    <cfRule type="expression" dxfId="2690" priority="63">
      <formula>F$9&gt;=20/24</formula>
    </cfRule>
    <cfRule type="expression" dxfId="2689" priority="65">
      <formula>AND(F$9&gt;=8/24,F$9&lt;14/24)</formula>
    </cfRule>
    <cfRule type="expression" dxfId="2688" priority="66">
      <formula>F$9&lt;8/24</formula>
    </cfRule>
  </conditionalFormatting>
  <conditionalFormatting sqref="K132:K136">
    <cfRule type="expression" dxfId="2687" priority="205">
      <formula>AND(L$9&gt;=8/24,L$9&lt;14/24)</formula>
    </cfRule>
    <cfRule type="expression" dxfId="2686" priority="206">
      <formula>L$9&lt;8/24</formula>
    </cfRule>
    <cfRule type="expression" dxfId="2685" priority="203">
      <formula>L$9&gt;=20/24</formula>
    </cfRule>
    <cfRule type="expression" dxfId="2684" priority="204">
      <formula>AND(L$9&gt;=14/24,L$9&lt;20/24)</formula>
    </cfRule>
  </conditionalFormatting>
  <conditionalFormatting sqref="L132:S136">
    <cfRule type="expression" dxfId="2683" priority="5">
      <formula>L$9&gt;=20/24</formula>
    </cfRule>
    <cfRule type="expression" dxfId="2682" priority="6">
      <formula>AND(L$9&gt;=14/24,L$9&lt;20/24)</formula>
    </cfRule>
    <cfRule type="expression" dxfId="2681" priority="7">
      <formula>AND(L$9&gt;=8/24,L$9&lt;14/24)</formula>
    </cfRule>
    <cfRule type="expression" dxfId="2680" priority="8">
      <formula>L$9&lt;8/24</formula>
    </cfRule>
  </conditionalFormatting>
  <conditionalFormatting sqref="M66:P67">
    <cfRule type="expression" dxfId="2679" priority="3">
      <formula>AND(M$9&gt;=8/24,M$9&lt;14/24)</formula>
    </cfRule>
    <cfRule type="expression" dxfId="2678" priority="4">
      <formula>M$9&lt;8/24</formula>
    </cfRule>
    <cfRule type="expression" dxfId="2677" priority="1">
      <formula>M$9&gt;=20/24</formula>
    </cfRule>
    <cfRule type="expression" dxfId="2676" priority="2">
      <formula>AND(M$9&gt;=14/24,M$9&lt;20/24)</formula>
    </cfRule>
  </conditionalFormatting>
  <conditionalFormatting sqref="O3:P3">
    <cfRule type="iconSet" priority="119">
      <iconSet iconSet="3TrafficLights2" reverse="1">
        <cfvo type="percent" val="0"/>
        <cfvo type="num" val="1"/>
        <cfvo type="num" val="1"/>
      </iconSet>
    </cfRule>
  </conditionalFormatting>
  <conditionalFormatting sqref="P63:W67">
    <cfRule type="expression" dxfId="2675" priority="103">
      <formula>P$9&lt;8/24</formula>
    </cfRule>
    <cfRule type="expression" dxfId="2674" priority="102">
      <formula>AND(P$9&gt;=8/24,P$9&lt;14/24)</formula>
    </cfRule>
    <cfRule type="expression" dxfId="2673" priority="101">
      <formula>AND(P$9&gt;=14/24,P$9&lt;20/24)</formula>
    </cfRule>
    <cfRule type="expression" dxfId="2672" priority="100">
      <formula>P$9&gt;=20/24</formula>
    </cfRule>
  </conditionalFormatting>
  <conditionalFormatting sqref="S8 AB8 B8 M8">
    <cfRule type="expression" dxfId="2671" priority="121">
      <formula>C$9&gt;=20/24</formula>
    </cfRule>
  </conditionalFormatting>
  <conditionalFormatting sqref="S8">
    <cfRule type="expression" dxfId="2670" priority="110">
      <formula>AND(U$9&gt;=8/24,U$9&lt;14/24)</formula>
    </cfRule>
    <cfRule type="expression" dxfId="2669" priority="109">
      <formula>AND(U$9&gt;=14/24,U$9&lt;20/24)</formula>
    </cfRule>
    <cfRule type="expression" dxfId="2668" priority="108">
      <formula>U$9&gt;=20/24</formula>
    </cfRule>
    <cfRule type="expression" dxfId="2667" priority="111">
      <formula>U$9&lt;8/24</formula>
    </cfRule>
  </conditionalFormatting>
  <conditionalFormatting sqref="T260">
    <cfRule type="expression" dxfId="2666" priority="134">
      <formula>AND(AX$9&gt;=14/24,AX$9&lt;20/24)</formula>
    </cfRule>
    <cfRule type="expression" dxfId="2665" priority="135">
      <formula>AND(AX$9&gt;=8/24,AX$9&lt;14/24)</formula>
    </cfRule>
    <cfRule type="expression" dxfId="2664" priority="136">
      <formula>AX$9&lt;8/24</formula>
    </cfRule>
    <cfRule type="expression" dxfId="2663" priority="133">
      <formula>AX$9&gt;=20/24</formula>
    </cfRule>
  </conditionalFormatting>
  <conditionalFormatting sqref="V3 AB3">
    <cfRule type="iconSet" priority="120">
      <iconSet iconSet="3TrafficLights2" reverse="1">
        <cfvo type="percent" val="0"/>
        <cfvo type="num" val="1"/>
        <cfvo type="num" val="1"/>
      </iconSet>
    </cfRule>
  </conditionalFormatting>
  <conditionalFormatting sqref="X11:AF52">
    <cfRule type="expression" dxfId="2662" priority="32">
      <formula>X11&gt;$AG11</formula>
    </cfRule>
  </conditionalFormatting>
  <conditionalFormatting sqref="X53:AF55">
    <cfRule type="expression" dxfId="2661" priority="72">
      <formula>X53&gt;$AG53</formula>
    </cfRule>
  </conditionalFormatting>
  <conditionalFormatting sqref="X53:AF57">
    <cfRule type="expression" dxfId="2660" priority="71">
      <formula>X$9&lt;8/24</formula>
    </cfRule>
  </conditionalFormatting>
  <conditionalFormatting sqref="X63:AF68">
    <cfRule type="expression" dxfId="2659" priority="69">
      <formula>AND(X$9&gt;=8/24,X$9&lt;14/24)</formula>
    </cfRule>
    <cfRule type="expression" dxfId="2658" priority="68">
      <formula>AND(X$9&gt;=14/24,X$9&lt;20/24)</formula>
    </cfRule>
    <cfRule type="expression" dxfId="2657" priority="67">
      <formula>X$9&gt;=20/24</formula>
    </cfRule>
    <cfRule type="expression" dxfId="2656" priority="70">
      <formula>X$9&lt;8/24</formula>
    </cfRule>
  </conditionalFormatting>
  <conditionalFormatting sqref="AB8">
    <cfRule type="expression" dxfId="2655" priority="107">
      <formula>AD$9&lt;8/24</formula>
    </cfRule>
    <cfRule type="expression" dxfId="2654" priority="104">
      <formula>AD$9&gt;=20/24</formula>
    </cfRule>
    <cfRule type="expression" dxfId="2653" priority="106">
      <formula>AND(AD$9&gt;=8/24,AD$9&lt;14/24)</formula>
    </cfRule>
    <cfRule type="expression" dxfId="2652" priority="105">
      <formula>AND(AD$9&gt;=14/24,AD$9&lt;20/24)</formula>
    </cfRule>
  </conditionalFormatting>
  <conditionalFormatting sqref="AG58">
    <cfRule type="expression" dxfId="2651" priority="91">
      <formula>AG58&gt;$AG58</formula>
    </cfRule>
  </conditionalFormatting>
  <conditionalFormatting sqref="AG97">
    <cfRule type="expression" dxfId="2650" priority="93">
      <formula>AND(AG$9&gt;=14/24,AG$9&lt;20/24)</formula>
    </cfRule>
    <cfRule type="expression" dxfId="2649" priority="94">
      <formula>AND(AG$9&gt;=8/24,AG$9&lt;14/24)</formula>
    </cfRule>
    <cfRule type="expression" dxfId="2648" priority="95">
      <formula>AG$9&lt;8/24</formula>
    </cfRule>
    <cfRule type="expression" dxfId="2647" priority="92">
      <formula>AG$9&gt;=20/24</formula>
    </cfRule>
  </conditionalFormatting>
  <conditionalFormatting sqref="AG260">
    <cfRule type="expression" dxfId="2646" priority="126">
      <formula>AND(B$9&gt;=14/24,B$9&lt;20/24)</formula>
    </cfRule>
    <cfRule type="expression" dxfId="2645" priority="127">
      <formula>AND(B$9&gt;=8/24,B$9&lt;14/24)</formula>
    </cfRule>
    <cfRule type="expression" dxfId="2644" priority="125">
      <formula>B$9&gt;=20/24</formula>
    </cfRule>
    <cfRule type="expression" dxfId="2643" priority="128">
      <formula>B$9&lt;8/24</formula>
    </cfRule>
  </conditionalFormatting>
  <conditionalFormatting sqref="AH260:AX260">
    <cfRule type="expression" dxfId="2642" priority="129">
      <formula>AG$9&gt;=20/24</formula>
    </cfRule>
    <cfRule type="expression" dxfId="2641" priority="130">
      <formula>AND(AG$9&gt;=14/24,AG$9&lt;20/24)</formula>
    </cfRule>
    <cfRule type="expression" dxfId="2640" priority="131">
      <formula>AND(AG$9&gt;=8/24,AG$9&lt;14/24)</formula>
    </cfRule>
    <cfRule type="expression" dxfId="2639" priority="132">
      <formula>AG$9&lt;8/24</formula>
    </cfRule>
  </conditionalFormatting>
  <conditionalFormatting sqref="AL4:AL6">
    <cfRule type="iconSet" priority="114">
      <iconSet iconSet="3TrafficLights2" reverse="1">
        <cfvo type="percent" val="0"/>
        <cfvo type="num" val="1"/>
        <cfvo type="num" val="1"/>
      </iconSet>
    </cfRule>
  </conditionalFormatting>
  <conditionalFormatting sqref="AL19:AL20">
    <cfRule type="iconSet" priority="79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89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78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88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90">
      <iconSet iconSet="3TrafficLights2" reverse="1">
        <cfvo type="percent" val="0"/>
        <cfvo type="num" val="1"/>
        <cfvo type="num" val="1"/>
      </iconSet>
    </cfRule>
  </conditionalFormatting>
  <conditionalFormatting sqref="AL48 AL45:AL46 AL21:AL24 AL7:AL18 AL26:AL37 AL39:AL43 AL54:AL55">
    <cfRule type="iconSet" priority="137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13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77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2638" priority="138">
      <formula>AJ$9&gt;=20/24</formula>
    </cfRule>
    <cfRule type="expression" dxfId="2637" priority="139">
      <formula>AND(AJ$9&gt;=14/24,AJ$9&lt;20/24)</formula>
    </cfRule>
    <cfRule type="expression" dxfId="2636" priority="140">
      <formula>AND(AJ$9&gt;=8/24,AJ$9&lt;14/24)</formula>
    </cfRule>
    <cfRule type="expression" dxfId="2635" priority="141">
      <formula>AJ$9&lt;8/24</formula>
    </cfRule>
  </conditionalFormatting>
  <conditionalFormatting sqref="AL88:AN88 AL94:AN94">
    <cfRule type="expression" dxfId="2634" priority="87">
      <formula>AL$9&lt;8/24</formula>
    </cfRule>
    <cfRule type="expression" dxfId="2633" priority="86">
      <formula>AND(AL$9&gt;=8/24,AL$9&lt;14/24)</formula>
    </cfRule>
    <cfRule type="expression" dxfId="2632" priority="85">
      <formula>AND(AL$9&gt;=14/24,AL$9&lt;20/24)</formula>
    </cfRule>
    <cfRule type="expression" dxfId="2631" priority="84">
      <formula>AL$9&gt;=20/24</formula>
    </cfRule>
  </conditionalFormatting>
  <conditionalFormatting sqref="AN89:AN92">
    <cfRule type="expression" dxfId="2630" priority="81">
      <formula>AND(AN$9&gt;=14/24,AN$9&lt;20/24)</formula>
    </cfRule>
    <cfRule type="expression" dxfId="2629" priority="80">
      <formula>AN$9&gt;=20/24</formula>
    </cfRule>
    <cfRule type="expression" dxfId="2628" priority="83">
      <formula>AN$9&lt;8/24</formula>
    </cfRule>
    <cfRule type="expression" dxfId="2627" priority="82">
      <formula>AND(AN$9&gt;=8/24,AN$9&lt;14/24)</formula>
    </cfRule>
  </conditionalFormatting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26F4A-877F-48E5-8234-C0347381FE35}">
  <sheetPr codeName="Sheet5"/>
  <dimension ref="A1:CJ293"/>
  <sheetViews>
    <sheetView zoomScaleNormal="100" workbookViewId="0">
      <pane xSplit="1" ySplit="10" topLeftCell="B53" activePane="bottomRight" state="frozen"/>
      <selection activeCell="P118" sqref="P118"/>
      <selection pane="topRight" activeCell="P118" sqref="P118"/>
      <selection pane="bottomLeft" activeCell="P118" sqref="P118"/>
      <selection pane="bottomRight" activeCell="C58" sqref="B58:C58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2" width="6" style="1" bestFit="1" customWidth="1"/>
    <col min="13" max="13" width="6" style="1" customWidth="1"/>
    <col min="14" max="15" width="6.28515625" style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hidden="1" customHeight="1" thickBot="1" x14ac:dyDescent="0.3">
      <c r="A1" s="275" t="s">
        <v>0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  <c r="AD1" s="275"/>
      <c r="AE1" s="275"/>
      <c r="AF1" s="275"/>
      <c r="AG1" s="276" t="s">
        <v>1</v>
      </c>
      <c r="AH1" s="276"/>
      <c r="AI1" s="276"/>
      <c r="AL1" s="2"/>
    </row>
    <row r="2" spans="1:88" ht="20.25" hidden="1" x14ac:dyDescent="0.25">
      <c r="A2" s="3"/>
      <c r="B2" s="277" t="s">
        <v>2</v>
      </c>
      <c r="C2" s="4"/>
      <c r="D2" s="279" t="s">
        <v>3</v>
      </c>
      <c r="E2" s="4"/>
      <c r="F2" s="279" t="s">
        <v>4</v>
      </c>
      <c r="G2" s="4"/>
      <c r="H2" s="279" t="s">
        <v>5</v>
      </c>
      <c r="I2" s="5"/>
      <c r="J2" s="281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78"/>
      <c r="C3" s="16"/>
      <c r="D3" s="280"/>
      <c r="E3" s="16"/>
      <c r="F3" s="280"/>
      <c r="G3" s="16"/>
      <c r="H3" s="280"/>
      <c r="I3" s="17"/>
      <c r="J3" s="281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hidden="1" x14ac:dyDescent="0.25">
      <c r="A4" s="25" t="s">
        <v>11</v>
      </c>
      <c r="B4" s="270" t="str">
        <f ca="1">"2080/"&amp;"09/"&amp;INT(MID(CELL("filename",D6),FIND("]",CELL("filename",D6))+1,200))</f>
        <v>2080/09/4</v>
      </c>
      <c r="C4" s="270"/>
      <c r="D4" s="270"/>
      <c r="E4" s="271" t="str">
        <f ca="1">"2080/"&amp;"09/"&amp;INT(MID(CELL("filename",G6),FIND("]",CELL("filename",G6))+1,200))</f>
        <v>2080/09/4</v>
      </c>
      <c r="F4" s="271"/>
      <c r="G4" s="271"/>
      <c r="H4" s="271" t="str">
        <f ca="1">TEXT(E4,"dddd")</f>
        <v>Wednesday</v>
      </c>
      <c r="I4" s="271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C92</f>
        <v>382.1</v>
      </c>
      <c r="C5" s="30">
        <f t="shared" si="0"/>
        <v>385.9</v>
      </c>
      <c r="D5" s="30">
        <f t="shared" si="0"/>
        <v>396.3</v>
      </c>
      <c r="E5" s="30">
        <f t="shared" si="0"/>
        <v>384.7</v>
      </c>
      <c r="F5" s="30">
        <f t="shared" si="0"/>
        <v>460</v>
      </c>
      <c r="G5" s="30">
        <f t="shared" si="0"/>
        <v>431.9</v>
      </c>
      <c r="H5" s="30">
        <f t="shared" si="0"/>
        <v>473.9</v>
      </c>
      <c r="I5" s="30">
        <f t="shared" si="0"/>
        <v>479.4</v>
      </c>
      <c r="J5" s="30">
        <f t="shared" si="0"/>
        <v>213.3</v>
      </c>
      <c r="K5" s="30">
        <f t="shared" si="0"/>
        <v>166.4</v>
      </c>
      <c r="L5" s="30">
        <f t="shared" si="0"/>
        <v>136.1</v>
      </c>
      <c r="M5" s="30">
        <f t="shared" si="0"/>
        <v>105.4</v>
      </c>
      <c r="N5" s="30">
        <f t="shared" si="0"/>
        <v>171.2</v>
      </c>
      <c r="O5" s="30">
        <f t="shared" si="0"/>
        <v>294</v>
      </c>
      <c r="P5" s="30">
        <f t="shared" si="0"/>
        <v>501.7</v>
      </c>
      <c r="Q5" s="30">
        <f t="shared" si="0"/>
        <v>457.4</v>
      </c>
      <c r="R5" s="30">
        <f t="shared" si="0"/>
        <v>552</v>
      </c>
      <c r="S5" s="30">
        <f t="shared" si="0"/>
        <v>532.4</v>
      </c>
      <c r="T5" s="30">
        <f t="shared" si="0"/>
        <v>539.4</v>
      </c>
      <c r="U5" s="30">
        <f t="shared" si="0"/>
        <v>281.2</v>
      </c>
      <c r="V5" s="30">
        <f t="shared" si="0"/>
        <v>361.1</v>
      </c>
      <c r="W5" s="30">
        <f t="shared" si="0"/>
        <v>323.3</v>
      </c>
      <c r="X5" s="30">
        <f t="shared" si="0"/>
        <v>240.9</v>
      </c>
      <c r="Y5" s="30">
        <f t="shared" si="0"/>
        <v>219.39999999999998</v>
      </c>
      <c r="Z5" s="30">
        <f t="shared" si="0"/>
        <v>315</v>
      </c>
      <c r="AA5" s="30">
        <f t="shared" si="0"/>
        <v>365.5</v>
      </c>
      <c r="AB5" s="30">
        <f t="shared" si="0"/>
        <v>411</v>
      </c>
      <c r="AC5" s="30">
        <f t="shared" si="0"/>
        <v>425</v>
      </c>
      <c r="AD5" s="30">
        <f t="shared" si="0"/>
        <v>441.3</v>
      </c>
      <c r="AE5" s="30">
        <f t="shared" si="0"/>
        <v>444</v>
      </c>
      <c r="AF5" s="30">
        <f>B92</f>
        <v>383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hidden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1725MW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Load=1078</v>
      </c>
      <c r="B7" s="35">
        <f>B100</f>
        <v>1132.44</v>
      </c>
      <c r="C7" s="35">
        <f t="shared" ref="C7:AF7" si="1">C100</f>
        <v>1092.44</v>
      </c>
      <c r="D7" s="35">
        <f t="shared" si="1"/>
        <v>1091.24</v>
      </c>
      <c r="E7" s="35">
        <f t="shared" si="1"/>
        <v>1089.6400000000001</v>
      </c>
      <c r="F7" s="35">
        <f t="shared" si="1"/>
        <v>1078.04</v>
      </c>
      <c r="G7" s="35">
        <f t="shared" si="1"/>
        <v>1163.3400000000001</v>
      </c>
      <c r="H7" s="35">
        <f t="shared" si="1"/>
        <v>1227.24</v>
      </c>
      <c r="I7" s="35">
        <f t="shared" si="1"/>
        <v>1277.24</v>
      </c>
      <c r="J7" s="35">
        <f t="shared" si="1"/>
        <v>1395.04</v>
      </c>
      <c r="K7" s="35">
        <f t="shared" si="1"/>
        <v>1709.44</v>
      </c>
      <c r="L7" s="35">
        <f t="shared" si="1"/>
        <v>1725.44</v>
      </c>
      <c r="M7" s="35">
        <f t="shared" si="1"/>
        <v>1718.24</v>
      </c>
      <c r="N7" s="35">
        <f t="shared" si="1"/>
        <v>1683.9400000000003</v>
      </c>
      <c r="O7" s="35">
        <f t="shared" si="1"/>
        <v>1659.74</v>
      </c>
      <c r="P7" s="35">
        <f t="shared" si="1"/>
        <v>1612.0400000000002</v>
      </c>
      <c r="Q7" s="35">
        <f t="shared" si="1"/>
        <v>1586.94</v>
      </c>
      <c r="R7" s="35">
        <f t="shared" si="1"/>
        <v>1547.8400000000001</v>
      </c>
      <c r="S7" s="35">
        <f t="shared" si="1"/>
        <v>1489.94</v>
      </c>
      <c r="T7" s="35">
        <f t="shared" si="1"/>
        <v>1457.14</v>
      </c>
      <c r="U7" s="35">
        <f t="shared" si="1"/>
        <v>1479.2400000000002</v>
      </c>
      <c r="V7" s="35">
        <f t="shared" si="1"/>
        <v>1387.2400000000002</v>
      </c>
      <c r="W7" s="35">
        <f t="shared" si="1"/>
        <v>1582.44</v>
      </c>
      <c r="X7" s="35">
        <f t="shared" si="1"/>
        <v>1797.0400000000002</v>
      </c>
      <c r="Y7" s="35">
        <f t="shared" si="1"/>
        <v>1788.6400000000003</v>
      </c>
      <c r="Z7" s="35">
        <f t="shared" si="1"/>
        <v>1792.7400000000002</v>
      </c>
      <c r="AA7" s="35">
        <f t="shared" si="1"/>
        <v>1767.3400000000001</v>
      </c>
      <c r="AB7" s="35">
        <f t="shared" si="1"/>
        <v>1687.8400000000001</v>
      </c>
      <c r="AC7" s="35">
        <f t="shared" si="1"/>
        <v>1638.0400000000002</v>
      </c>
      <c r="AD7" s="35">
        <f t="shared" si="1"/>
        <v>1318.7400000000002</v>
      </c>
      <c r="AE7" s="35">
        <f t="shared" si="1"/>
        <v>1237.0400000000002</v>
      </c>
      <c r="AF7" s="35">
        <f t="shared" si="1"/>
        <v>1176.7400000000002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72" t="s">
        <v>14</v>
      </c>
      <c r="C8" s="273"/>
      <c r="D8" s="273"/>
      <c r="E8" s="273"/>
      <c r="F8" s="273"/>
      <c r="G8" s="273"/>
      <c r="H8" s="273"/>
      <c r="I8" s="273"/>
      <c r="J8" s="273"/>
      <c r="K8" s="273"/>
      <c r="L8" s="274"/>
      <c r="M8" s="265" t="s">
        <v>15</v>
      </c>
      <c r="N8" s="266"/>
      <c r="O8" s="266"/>
      <c r="P8" s="266"/>
      <c r="Q8" s="266"/>
      <c r="R8" s="267"/>
      <c r="S8" s="265" t="s">
        <v>16</v>
      </c>
      <c r="T8" s="266"/>
      <c r="U8" s="266"/>
      <c r="V8" s="266"/>
      <c r="W8" s="266"/>
      <c r="X8" s="266"/>
      <c r="Y8" s="266"/>
      <c r="Z8" s="266"/>
      <c r="AA8" s="267"/>
      <c r="AB8" s="265" t="s">
        <v>17</v>
      </c>
      <c r="AC8" s="266"/>
      <c r="AD8" s="266"/>
      <c r="AE8" s="266"/>
      <c r="AF8" s="267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68" t="s">
        <v>18</v>
      </c>
      <c r="B9" s="264">
        <v>0</v>
      </c>
      <c r="C9" s="264">
        <v>4.1666666666666664E-2</v>
      </c>
      <c r="D9" s="264">
        <v>8.3333333333333301E-2</v>
      </c>
      <c r="E9" s="264">
        <v>0.125</v>
      </c>
      <c r="F9" s="264">
        <v>0.16666666666666699</v>
      </c>
      <c r="G9" s="264">
        <v>0.20833333333333301</v>
      </c>
      <c r="H9" s="264">
        <v>0.22916666666666666</v>
      </c>
      <c r="I9" s="264">
        <v>0.25</v>
      </c>
      <c r="J9" s="264">
        <v>0.27083333333333331</v>
      </c>
      <c r="K9" s="264">
        <v>0.29166666666666669</v>
      </c>
      <c r="L9" s="264">
        <v>0.3125</v>
      </c>
      <c r="M9" s="262">
        <v>0.33333333333333331</v>
      </c>
      <c r="N9" s="262">
        <v>0.375</v>
      </c>
      <c r="O9" s="262">
        <v>0.41666666666666702</v>
      </c>
      <c r="P9" s="262">
        <v>0.45833333333333298</v>
      </c>
      <c r="Q9" s="262">
        <v>0.5</v>
      </c>
      <c r="R9" s="262">
        <v>0.54166666666666696</v>
      </c>
      <c r="S9" s="258">
        <v>0.58333333333333304</v>
      </c>
      <c r="T9" s="258">
        <v>0.625</v>
      </c>
      <c r="U9" s="258">
        <v>0.66666666666666696</v>
      </c>
      <c r="V9" s="258">
        <v>0.70833333333333304</v>
      </c>
      <c r="W9" s="258">
        <v>0.72916666666666663</v>
      </c>
      <c r="X9" s="258">
        <v>0.75</v>
      </c>
      <c r="Y9" s="258">
        <v>0.77083333333333337</v>
      </c>
      <c r="Z9" s="258">
        <v>0.79166666666666663</v>
      </c>
      <c r="AA9" s="258">
        <v>0.8125</v>
      </c>
      <c r="AB9" s="258">
        <v>0.83333333333333337</v>
      </c>
      <c r="AC9" s="258">
        <v>0.85416666666666663</v>
      </c>
      <c r="AD9" s="258">
        <v>0.875</v>
      </c>
      <c r="AE9" s="258">
        <v>0.91666666666666696</v>
      </c>
      <c r="AF9" s="258">
        <v>0.95833333333333304</v>
      </c>
      <c r="AG9" s="260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69"/>
      <c r="B10" s="259"/>
      <c r="C10" s="259"/>
      <c r="D10" s="259"/>
      <c r="E10" s="259"/>
      <c r="F10" s="259"/>
      <c r="G10" s="259"/>
      <c r="H10" s="259"/>
      <c r="I10" s="259"/>
      <c r="J10" s="259"/>
      <c r="K10" s="259"/>
      <c r="L10" s="259"/>
      <c r="M10" s="263"/>
      <c r="N10" s="263"/>
      <c r="O10" s="263"/>
      <c r="P10" s="263"/>
      <c r="Q10" s="263"/>
      <c r="R10" s="263"/>
      <c r="S10" s="259"/>
      <c r="T10" s="259"/>
      <c r="U10" s="259"/>
      <c r="V10" s="259"/>
      <c r="W10" s="259"/>
      <c r="X10" s="259"/>
      <c r="Y10" s="259"/>
      <c r="Z10" s="259"/>
      <c r="AA10" s="259"/>
      <c r="AB10" s="259"/>
      <c r="AC10" s="259"/>
      <c r="AD10" s="259"/>
      <c r="AE10" s="259"/>
      <c r="AF10" s="259"/>
      <c r="AG10" s="261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32.4</v>
      </c>
      <c r="C11" s="45">
        <v>32.4</v>
      </c>
      <c r="D11" s="45">
        <v>32.4</v>
      </c>
      <c r="E11" s="45">
        <v>34.5</v>
      </c>
      <c r="F11" s="45">
        <v>34.5</v>
      </c>
      <c r="G11" s="45">
        <v>34.5</v>
      </c>
      <c r="H11" s="45">
        <v>34.5</v>
      </c>
      <c r="I11" s="45">
        <v>34.5</v>
      </c>
      <c r="J11" s="45">
        <v>34.5</v>
      </c>
      <c r="K11" s="45">
        <v>34.5</v>
      </c>
      <c r="L11" s="45">
        <v>34.5</v>
      </c>
      <c r="M11" s="45">
        <v>32.700000000000003</v>
      </c>
      <c r="N11" s="45">
        <v>32.700000000000003</v>
      </c>
      <c r="O11" s="45">
        <v>32.5</v>
      </c>
      <c r="P11" s="45">
        <v>30.9</v>
      </c>
      <c r="Q11" s="45">
        <v>31</v>
      </c>
      <c r="R11" s="45">
        <v>31.5</v>
      </c>
      <c r="S11" s="45">
        <v>30.3</v>
      </c>
      <c r="T11" s="45">
        <v>30.4</v>
      </c>
      <c r="U11" s="45">
        <v>30.4</v>
      </c>
      <c r="V11" s="45">
        <v>30.4</v>
      </c>
      <c r="W11" s="45">
        <v>30.4</v>
      </c>
      <c r="X11" s="45">
        <v>30.4</v>
      </c>
      <c r="Y11" s="45">
        <v>30.4</v>
      </c>
      <c r="Z11" s="45">
        <v>30.4</v>
      </c>
      <c r="AA11" s="45">
        <v>30.4</v>
      </c>
      <c r="AB11" s="45">
        <v>30.4</v>
      </c>
      <c r="AC11" s="45">
        <v>30.4</v>
      </c>
      <c r="AD11" s="45">
        <v>30.4</v>
      </c>
      <c r="AE11" s="45">
        <v>30.4</v>
      </c>
      <c r="AF11" s="45">
        <v>30.4</v>
      </c>
      <c r="AG11" s="46">
        <v>86</v>
      </c>
      <c r="AH11" s="47">
        <f t="shared" ref="AH11:AH84" si="2">MAX(B11:AF11)</f>
        <v>34.5</v>
      </c>
      <c r="AI11" s="48">
        <f t="shared" ref="AI11:AI84" si="3">MIN(B11:AF11)</f>
        <v>30.3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262</v>
      </c>
      <c r="B12" s="45">
        <v>10.8</v>
      </c>
      <c r="C12" s="45">
        <v>10.8</v>
      </c>
      <c r="D12" s="45">
        <v>10.8</v>
      </c>
      <c r="E12" s="45">
        <v>10.8</v>
      </c>
      <c r="F12" s="45">
        <v>10.8</v>
      </c>
      <c r="G12" s="45">
        <v>10.8</v>
      </c>
      <c r="H12" s="45">
        <v>10.8</v>
      </c>
      <c r="I12" s="45">
        <v>10.8</v>
      </c>
      <c r="J12" s="45">
        <v>10.8</v>
      </c>
      <c r="K12" s="45">
        <v>10.8</v>
      </c>
      <c r="L12" s="45">
        <v>10.8</v>
      </c>
      <c r="M12" s="45">
        <v>10.8</v>
      </c>
      <c r="N12" s="45">
        <v>10.8</v>
      </c>
      <c r="O12" s="45">
        <v>10.8</v>
      </c>
      <c r="P12" s="45">
        <v>10.8</v>
      </c>
      <c r="Q12" s="45">
        <v>10.8</v>
      </c>
      <c r="R12" s="45">
        <v>10.8</v>
      </c>
      <c r="S12" s="45">
        <v>10.8</v>
      </c>
      <c r="T12" s="45">
        <v>10.8</v>
      </c>
      <c r="U12" s="45">
        <v>10.8</v>
      </c>
      <c r="V12" s="45">
        <v>10.8</v>
      </c>
      <c r="W12" s="45">
        <v>10.8</v>
      </c>
      <c r="X12" s="45">
        <v>10.8</v>
      </c>
      <c r="Y12" s="45">
        <v>10.8</v>
      </c>
      <c r="Z12" s="45">
        <v>10.8</v>
      </c>
      <c r="AA12" s="45">
        <v>10.8</v>
      </c>
      <c r="AB12" s="45">
        <v>10.8</v>
      </c>
      <c r="AC12" s="45">
        <v>10.8</v>
      </c>
      <c r="AD12" s="45">
        <v>10.8</v>
      </c>
      <c r="AE12" s="45">
        <v>10.8</v>
      </c>
      <c r="AF12" s="45">
        <v>10.8</v>
      </c>
      <c r="AG12" s="49">
        <v>54</v>
      </c>
      <c r="AH12" s="47">
        <f t="shared" si="2"/>
        <v>10.8</v>
      </c>
      <c r="AI12" s="48">
        <f t="shared" si="3"/>
        <v>10.8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15.5</v>
      </c>
      <c r="C13" s="45">
        <v>15.5</v>
      </c>
      <c r="D13" s="45">
        <v>15.5</v>
      </c>
      <c r="E13" s="45">
        <v>15.5</v>
      </c>
      <c r="F13" s="45">
        <v>15.5</v>
      </c>
      <c r="G13" s="45">
        <v>15.5</v>
      </c>
      <c r="H13" s="45">
        <v>15.5</v>
      </c>
      <c r="I13" s="45">
        <v>15.5</v>
      </c>
      <c r="J13" s="45">
        <v>15.5</v>
      </c>
      <c r="K13" s="45">
        <v>15.5</v>
      </c>
      <c r="L13" s="45">
        <v>15.5</v>
      </c>
      <c r="M13" s="45">
        <v>15.5</v>
      </c>
      <c r="N13" s="45">
        <v>15.5</v>
      </c>
      <c r="O13" s="45">
        <v>15.5</v>
      </c>
      <c r="P13" s="45">
        <v>15.5</v>
      </c>
      <c r="Q13" s="45">
        <v>15.5</v>
      </c>
      <c r="R13" s="45">
        <v>15.5</v>
      </c>
      <c r="S13" s="45">
        <v>15.5</v>
      </c>
      <c r="T13" s="45">
        <v>15.5</v>
      </c>
      <c r="U13" s="45">
        <v>15.5</v>
      </c>
      <c r="V13" s="45">
        <v>15.5</v>
      </c>
      <c r="W13" s="45">
        <v>15.5</v>
      </c>
      <c r="X13" s="45">
        <v>15.5</v>
      </c>
      <c r="Y13" s="45">
        <v>15.5</v>
      </c>
      <c r="Z13" s="45">
        <v>15.5</v>
      </c>
      <c r="AA13" s="45">
        <v>15.5</v>
      </c>
      <c r="AB13" s="45">
        <v>15.5</v>
      </c>
      <c r="AC13" s="45">
        <v>15.5</v>
      </c>
      <c r="AD13" s="45">
        <v>15.5</v>
      </c>
      <c r="AE13" s="45">
        <v>15.5</v>
      </c>
      <c r="AF13" s="45">
        <v>15.5</v>
      </c>
      <c r="AG13" s="49">
        <v>54</v>
      </c>
      <c r="AH13" s="47">
        <f t="shared" si="2"/>
        <v>15.5</v>
      </c>
      <c r="AI13" s="48">
        <f t="shared" si="3"/>
        <v>15.5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16.5</v>
      </c>
      <c r="C14" s="45">
        <v>16.5</v>
      </c>
      <c r="D14" s="45">
        <v>16.5</v>
      </c>
      <c r="E14" s="45">
        <v>17</v>
      </c>
      <c r="F14" s="45">
        <v>17</v>
      </c>
      <c r="G14" s="45">
        <v>17</v>
      </c>
      <c r="H14" s="45">
        <v>17</v>
      </c>
      <c r="I14" s="45">
        <v>17</v>
      </c>
      <c r="J14" s="45">
        <v>17</v>
      </c>
      <c r="K14" s="45">
        <v>17</v>
      </c>
      <c r="L14" s="45">
        <v>17</v>
      </c>
      <c r="M14" s="45">
        <v>17</v>
      </c>
      <c r="N14" s="45">
        <v>17</v>
      </c>
      <c r="O14" s="45">
        <v>17</v>
      </c>
      <c r="P14" s="45">
        <v>17</v>
      </c>
      <c r="Q14" s="45">
        <v>17</v>
      </c>
      <c r="R14" s="45">
        <v>17</v>
      </c>
      <c r="S14" s="45">
        <v>17</v>
      </c>
      <c r="T14" s="45">
        <v>17</v>
      </c>
      <c r="U14" s="45">
        <v>17</v>
      </c>
      <c r="V14" s="45">
        <v>17</v>
      </c>
      <c r="W14" s="45">
        <v>17</v>
      </c>
      <c r="X14" s="45">
        <v>17</v>
      </c>
      <c r="Y14" s="45">
        <v>17</v>
      </c>
      <c r="Z14" s="45">
        <v>17</v>
      </c>
      <c r="AA14" s="45">
        <v>17</v>
      </c>
      <c r="AB14" s="45">
        <v>17</v>
      </c>
      <c r="AC14" s="45">
        <v>17</v>
      </c>
      <c r="AD14" s="45">
        <v>17</v>
      </c>
      <c r="AE14" s="45">
        <v>17</v>
      </c>
      <c r="AF14" s="45">
        <v>17</v>
      </c>
      <c r="AG14" s="46">
        <v>52.4</v>
      </c>
      <c r="AH14" s="47">
        <f t="shared" si="2"/>
        <v>17</v>
      </c>
      <c r="AI14" s="48">
        <f t="shared" si="3"/>
        <v>16.5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35.5</v>
      </c>
      <c r="C15" s="45">
        <v>35.5</v>
      </c>
      <c r="D15" s="45">
        <v>35.5</v>
      </c>
      <c r="E15" s="45">
        <v>36.299999999999997</v>
      </c>
      <c r="F15" s="45">
        <v>36.299999999999997</v>
      </c>
      <c r="G15" s="45">
        <v>36.299999999999997</v>
      </c>
      <c r="H15" s="45">
        <v>36.299999999999997</v>
      </c>
      <c r="I15" s="45">
        <v>36.299999999999997</v>
      </c>
      <c r="J15" s="45">
        <v>36.299999999999997</v>
      </c>
      <c r="K15" s="45">
        <v>36.299999999999997</v>
      </c>
      <c r="L15" s="45">
        <v>36.299999999999997</v>
      </c>
      <c r="M15" s="45">
        <v>36.299999999999997</v>
      </c>
      <c r="N15" s="45">
        <v>36.299999999999997</v>
      </c>
      <c r="O15" s="45">
        <v>36.299999999999997</v>
      </c>
      <c r="P15" s="45">
        <v>36.299999999999997</v>
      </c>
      <c r="Q15" s="45">
        <v>36.299999999999997</v>
      </c>
      <c r="R15" s="45">
        <v>36.299999999999997</v>
      </c>
      <c r="S15" s="45">
        <v>36.299999999999997</v>
      </c>
      <c r="T15" s="45">
        <v>36.299999999999997</v>
      </c>
      <c r="U15" s="45">
        <v>36.299999999999997</v>
      </c>
      <c r="V15" s="45">
        <v>36.299999999999997</v>
      </c>
      <c r="W15" s="45">
        <v>36.299999999999997</v>
      </c>
      <c r="X15" s="51">
        <v>36.299999999999997</v>
      </c>
      <c r="Y15" s="51">
        <v>36.299999999999997</v>
      </c>
      <c r="Z15" s="51">
        <v>36.299999999999997</v>
      </c>
      <c r="AA15" s="51">
        <v>36.299999999999997</v>
      </c>
      <c r="AB15" s="51">
        <v>36.299999999999997</v>
      </c>
      <c r="AC15" s="51">
        <v>36.299999999999997</v>
      </c>
      <c r="AD15" s="51">
        <v>36.299999999999997</v>
      </c>
      <c r="AE15" s="51">
        <v>36.299999999999997</v>
      </c>
      <c r="AF15" s="51">
        <v>36.299999999999997</v>
      </c>
      <c r="AG15" s="49">
        <v>50</v>
      </c>
      <c r="AH15" s="47">
        <f t="shared" si="2"/>
        <v>36.299999999999997</v>
      </c>
      <c r="AI15" s="48">
        <f t="shared" si="3"/>
        <v>35.5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18.3</v>
      </c>
      <c r="C16" s="45">
        <v>18.3</v>
      </c>
      <c r="D16" s="45">
        <v>18.3</v>
      </c>
      <c r="E16" s="45">
        <v>18.8</v>
      </c>
      <c r="F16" s="45">
        <v>18.8</v>
      </c>
      <c r="G16" s="45">
        <v>18.8</v>
      </c>
      <c r="H16" s="45">
        <v>18.8</v>
      </c>
      <c r="I16" s="45">
        <v>18.8</v>
      </c>
      <c r="J16" s="45">
        <v>18.8</v>
      </c>
      <c r="K16" s="45">
        <v>18.8</v>
      </c>
      <c r="L16" s="45">
        <v>18.8</v>
      </c>
      <c r="M16" s="45">
        <v>18.8</v>
      </c>
      <c r="N16" s="45">
        <v>18.8</v>
      </c>
      <c r="O16" s="45">
        <v>18.8</v>
      </c>
      <c r="P16" s="45">
        <v>18.8</v>
      </c>
      <c r="Q16" s="45">
        <v>18.8</v>
      </c>
      <c r="R16" s="45">
        <v>18.8</v>
      </c>
      <c r="S16" s="45">
        <v>18.8</v>
      </c>
      <c r="T16" s="45">
        <v>18.8</v>
      </c>
      <c r="U16" s="45">
        <v>18.8</v>
      </c>
      <c r="V16" s="45">
        <v>18.8</v>
      </c>
      <c r="W16" s="45">
        <v>18.8</v>
      </c>
      <c r="X16" s="45">
        <v>18.8</v>
      </c>
      <c r="Y16" s="45">
        <v>18.8</v>
      </c>
      <c r="Z16" s="45">
        <v>18.8</v>
      </c>
      <c r="AA16" s="45">
        <v>18.8</v>
      </c>
      <c r="AB16" s="45">
        <v>18.8</v>
      </c>
      <c r="AC16" s="45">
        <v>18.8</v>
      </c>
      <c r="AD16" s="45">
        <v>18.8</v>
      </c>
      <c r="AE16" s="45">
        <v>18.8</v>
      </c>
      <c r="AF16" s="45">
        <v>18.8</v>
      </c>
      <c r="AG16" s="49">
        <v>45</v>
      </c>
      <c r="AH16" s="47">
        <f t="shared" si="2"/>
        <v>18.8</v>
      </c>
      <c r="AI16" s="48">
        <f t="shared" si="3"/>
        <v>18.3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16.5</v>
      </c>
      <c r="C17" s="45">
        <v>16.5</v>
      </c>
      <c r="D17" s="45">
        <v>16.5</v>
      </c>
      <c r="E17" s="45">
        <v>16.5</v>
      </c>
      <c r="F17" s="45">
        <v>16.5</v>
      </c>
      <c r="G17" s="45">
        <v>16.5</v>
      </c>
      <c r="H17" s="45">
        <v>16.5</v>
      </c>
      <c r="I17" s="45">
        <v>16.5</v>
      </c>
      <c r="J17" s="45">
        <v>16.5</v>
      </c>
      <c r="K17" s="45">
        <v>16.5</v>
      </c>
      <c r="L17" s="45">
        <v>16.5</v>
      </c>
      <c r="M17" s="45">
        <v>16.5</v>
      </c>
      <c r="N17" s="45">
        <v>16.5</v>
      </c>
      <c r="O17" s="45">
        <v>16.5</v>
      </c>
      <c r="P17" s="45">
        <v>16.5</v>
      </c>
      <c r="Q17" s="45">
        <v>16.5</v>
      </c>
      <c r="R17" s="45">
        <v>16.5</v>
      </c>
      <c r="S17" s="45">
        <v>16.5</v>
      </c>
      <c r="T17" s="45">
        <v>16.5</v>
      </c>
      <c r="U17" s="45">
        <v>16.5</v>
      </c>
      <c r="V17" s="45">
        <v>16.5</v>
      </c>
      <c r="W17" s="45">
        <v>16.5</v>
      </c>
      <c r="X17" s="45">
        <v>16.5</v>
      </c>
      <c r="Y17" s="45">
        <v>16.5</v>
      </c>
      <c r="Z17" s="45">
        <v>16.5</v>
      </c>
      <c r="AA17" s="45">
        <v>16.5</v>
      </c>
      <c r="AB17" s="45">
        <v>16.5</v>
      </c>
      <c r="AC17" s="45">
        <v>16.5</v>
      </c>
      <c r="AD17" s="45">
        <v>16.5</v>
      </c>
      <c r="AE17" s="45">
        <v>16.5</v>
      </c>
      <c r="AF17" s="45">
        <v>16.5</v>
      </c>
      <c r="AG17" s="49">
        <v>44</v>
      </c>
      <c r="AH17" s="47">
        <f>MAX(B17:AG17)</f>
        <v>44</v>
      </c>
      <c r="AI17" s="48">
        <f>MIN(B17:AG17)</f>
        <v>16.5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9.5</v>
      </c>
      <c r="C18" s="45">
        <v>9.5</v>
      </c>
      <c r="D18" s="45">
        <v>9.5</v>
      </c>
      <c r="E18" s="45">
        <v>9.5</v>
      </c>
      <c r="F18" s="45">
        <v>9.5</v>
      </c>
      <c r="G18" s="45">
        <v>9.5</v>
      </c>
      <c r="H18" s="45">
        <v>9.5</v>
      </c>
      <c r="I18" s="45">
        <v>9.5</v>
      </c>
      <c r="J18" s="45">
        <v>9.5</v>
      </c>
      <c r="K18" s="45">
        <v>9.5</v>
      </c>
      <c r="L18" s="45">
        <v>9.5</v>
      </c>
      <c r="M18" s="45">
        <v>9.5</v>
      </c>
      <c r="N18" s="45">
        <v>9.5</v>
      </c>
      <c r="O18" s="45">
        <v>9.5</v>
      </c>
      <c r="P18" s="45">
        <v>9.5</v>
      </c>
      <c r="Q18" s="45">
        <v>9.5</v>
      </c>
      <c r="R18" s="45">
        <v>9.5</v>
      </c>
      <c r="S18" s="45">
        <v>9</v>
      </c>
      <c r="T18" s="45">
        <v>9</v>
      </c>
      <c r="U18" s="45">
        <v>9</v>
      </c>
      <c r="V18" s="45">
        <v>9</v>
      </c>
      <c r="W18" s="45">
        <v>9</v>
      </c>
      <c r="X18" s="45">
        <v>9</v>
      </c>
      <c r="Y18" s="45">
        <v>9</v>
      </c>
      <c r="Z18" s="45">
        <v>9</v>
      </c>
      <c r="AA18" s="45">
        <v>9</v>
      </c>
      <c r="AB18" s="45">
        <v>9</v>
      </c>
      <c r="AC18" s="45">
        <v>9</v>
      </c>
      <c r="AD18" s="45">
        <v>9</v>
      </c>
      <c r="AE18" s="45">
        <v>9</v>
      </c>
      <c r="AF18" s="45">
        <v>9</v>
      </c>
      <c r="AG18" s="49">
        <v>42</v>
      </c>
      <c r="AH18" s="47">
        <f t="shared" si="2"/>
        <v>9.5</v>
      </c>
      <c r="AI18" s="48">
        <f t="shared" si="3"/>
        <v>9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263</v>
      </c>
      <c r="B19" s="45">
        <v>15.4</v>
      </c>
      <c r="C19" s="45">
        <v>15.4</v>
      </c>
      <c r="D19" s="45">
        <v>15.4</v>
      </c>
      <c r="E19" s="45">
        <v>15.4</v>
      </c>
      <c r="F19" s="45">
        <v>15.4</v>
      </c>
      <c r="G19" s="45">
        <v>15.4</v>
      </c>
      <c r="H19" s="45">
        <v>15.4</v>
      </c>
      <c r="I19" s="45">
        <v>15.4</v>
      </c>
      <c r="J19" s="45">
        <v>15.4</v>
      </c>
      <c r="K19" s="45">
        <v>15.4</v>
      </c>
      <c r="L19" s="45">
        <v>15.4</v>
      </c>
      <c r="M19" s="45">
        <v>15.4</v>
      </c>
      <c r="N19" s="45">
        <v>15.4</v>
      </c>
      <c r="O19" s="45">
        <v>15.4</v>
      </c>
      <c r="P19" s="45">
        <v>15.4</v>
      </c>
      <c r="Q19" s="45">
        <v>15.4</v>
      </c>
      <c r="R19" s="45">
        <v>15.4</v>
      </c>
      <c r="S19" s="45">
        <v>15.4</v>
      </c>
      <c r="T19" s="45">
        <v>15.4</v>
      </c>
      <c r="U19" s="45">
        <v>15.4</v>
      </c>
      <c r="V19" s="45">
        <v>15.4</v>
      </c>
      <c r="W19" s="45">
        <v>15.4</v>
      </c>
      <c r="X19" s="45">
        <v>15.4</v>
      </c>
      <c r="Y19" s="45">
        <v>15.4</v>
      </c>
      <c r="Z19" s="45">
        <v>15.4</v>
      </c>
      <c r="AA19" s="45">
        <v>15.4</v>
      </c>
      <c r="AB19" s="45">
        <v>15.4</v>
      </c>
      <c r="AC19" s="45">
        <v>15.4</v>
      </c>
      <c r="AD19" s="45">
        <v>15.4</v>
      </c>
      <c r="AE19" s="45">
        <v>15.4</v>
      </c>
      <c r="AF19" s="45">
        <v>15.4</v>
      </c>
      <c r="AG19" s="49">
        <v>38.46</v>
      </c>
      <c r="AH19" s="47">
        <f t="shared" si="2"/>
        <v>15.4</v>
      </c>
      <c r="AI19" s="48">
        <f t="shared" si="3"/>
        <v>15.4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10.199999999999999</v>
      </c>
      <c r="C20" s="45">
        <v>10.199999999999999</v>
      </c>
      <c r="D20" s="45">
        <v>10.199999999999999</v>
      </c>
      <c r="E20" s="45">
        <v>10.199999999999999</v>
      </c>
      <c r="F20" s="45">
        <v>10.199999999999999</v>
      </c>
      <c r="G20" s="45">
        <v>10.199999999999999</v>
      </c>
      <c r="H20" s="45">
        <v>10.199999999999999</v>
      </c>
      <c r="I20" s="45">
        <v>10.199999999999999</v>
      </c>
      <c r="J20" s="45">
        <v>10.199999999999999</v>
      </c>
      <c r="K20" s="45">
        <v>10.199999999999999</v>
      </c>
      <c r="L20" s="45">
        <v>10.199999999999999</v>
      </c>
      <c r="M20" s="45">
        <v>10.199999999999999</v>
      </c>
      <c r="N20" s="45">
        <v>10.199999999999999</v>
      </c>
      <c r="O20" s="45">
        <v>10.199999999999999</v>
      </c>
      <c r="P20" s="45">
        <v>10.199999999999999</v>
      </c>
      <c r="Q20" s="45">
        <v>10.199999999999999</v>
      </c>
      <c r="R20" s="45">
        <v>10.199999999999999</v>
      </c>
      <c r="S20" s="45">
        <v>10.199999999999999</v>
      </c>
      <c r="T20" s="45">
        <v>10.199999999999999</v>
      </c>
      <c r="U20" s="45">
        <v>10.199999999999999</v>
      </c>
      <c r="V20" s="45">
        <v>10.199999999999999</v>
      </c>
      <c r="W20" s="45">
        <v>10.199999999999999</v>
      </c>
      <c r="X20" s="45">
        <v>10.199999999999999</v>
      </c>
      <c r="Y20" s="45">
        <v>10.199999999999999</v>
      </c>
      <c r="Z20" s="45">
        <v>10.199999999999999</v>
      </c>
      <c r="AA20" s="45">
        <v>10.199999999999999</v>
      </c>
      <c r="AB20" s="45">
        <v>10.199999999999999</v>
      </c>
      <c r="AC20" s="45">
        <v>10.199999999999999</v>
      </c>
      <c r="AD20" s="45">
        <v>10.199999999999999</v>
      </c>
      <c r="AE20" s="45">
        <v>10.199999999999999</v>
      </c>
      <c r="AF20" s="45">
        <v>10.199999999999999</v>
      </c>
      <c r="AG20" s="49">
        <v>38.46</v>
      </c>
      <c r="AH20" s="47">
        <f t="shared" si="2"/>
        <v>10.199999999999999</v>
      </c>
      <c r="AI20" s="48">
        <f t="shared" si="3"/>
        <v>10.199999999999999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13.6</v>
      </c>
      <c r="C21" s="45">
        <v>13.6</v>
      </c>
      <c r="D21" s="45">
        <v>13.6</v>
      </c>
      <c r="E21" s="45">
        <v>13.6</v>
      </c>
      <c r="F21" s="45">
        <v>13.6</v>
      </c>
      <c r="G21" s="45">
        <v>13.6</v>
      </c>
      <c r="H21" s="45">
        <v>13.6</v>
      </c>
      <c r="I21" s="45">
        <v>13.6</v>
      </c>
      <c r="J21" s="45">
        <v>13.6</v>
      </c>
      <c r="K21" s="45">
        <v>13.6</v>
      </c>
      <c r="L21" s="45">
        <v>13.6</v>
      </c>
      <c r="M21" s="45">
        <v>13.6</v>
      </c>
      <c r="N21" s="45">
        <v>13.6</v>
      </c>
      <c r="O21" s="45">
        <v>13.6</v>
      </c>
      <c r="P21" s="45">
        <v>13.6</v>
      </c>
      <c r="Q21" s="45">
        <v>13.6</v>
      </c>
      <c r="R21" s="45">
        <v>13.6</v>
      </c>
      <c r="S21" s="45">
        <v>13.6</v>
      </c>
      <c r="T21" s="45">
        <v>13.6</v>
      </c>
      <c r="U21" s="45">
        <v>13.6</v>
      </c>
      <c r="V21" s="45">
        <v>13.6</v>
      </c>
      <c r="W21" s="45">
        <v>13.6</v>
      </c>
      <c r="X21" s="45">
        <v>13.6</v>
      </c>
      <c r="Y21" s="45">
        <v>13.6</v>
      </c>
      <c r="Z21" s="45">
        <v>13.6</v>
      </c>
      <c r="AA21" s="45">
        <v>13.6</v>
      </c>
      <c r="AB21" s="45">
        <v>13.6</v>
      </c>
      <c r="AC21" s="45">
        <v>13.6</v>
      </c>
      <c r="AD21" s="45">
        <v>13.6</v>
      </c>
      <c r="AE21" s="45">
        <v>13.6</v>
      </c>
      <c r="AF21" s="45">
        <v>13.6</v>
      </c>
      <c r="AG21" s="49">
        <v>36</v>
      </c>
      <c r="AH21" s="47">
        <f t="shared" si="2"/>
        <v>13.6</v>
      </c>
      <c r="AI21" s="48">
        <f t="shared" si="3"/>
        <v>13.6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9.4</v>
      </c>
      <c r="C22" s="45">
        <v>9.4</v>
      </c>
      <c r="D22" s="45">
        <v>9.4</v>
      </c>
      <c r="E22" s="45">
        <v>9.4</v>
      </c>
      <c r="F22" s="45">
        <v>9.4</v>
      </c>
      <c r="G22" s="45">
        <v>9.4</v>
      </c>
      <c r="H22" s="45">
        <v>9.4</v>
      </c>
      <c r="I22" s="45">
        <v>9.4</v>
      </c>
      <c r="J22" s="45">
        <v>9.4</v>
      </c>
      <c r="K22" s="45">
        <v>9.4</v>
      </c>
      <c r="L22" s="45">
        <v>9.4</v>
      </c>
      <c r="M22" s="45">
        <v>9.4</v>
      </c>
      <c r="N22" s="45">
        <v>9.4</v>
      </c>
      <c r="O22" s="45">
        <v>9.4</v>
      </c>
      <c r="P22" s="45">
        <v>9.4</v>
      </c>
      <c r="Q22" s="45">
        <v>9.4</v>
      </c>
      <c r="R22" s="45">
        <v>9.4</v>
      </c>
      <c r="S22" s="45">
        <v>9.4</v>
      </c>
      <c r="T22" s="45">
        <v>9.4</v>
      </c>
      <c r="U22" s="45">
        <v>9.4</v>
      </c>
      <c r="V22" s="45">
        <v>9.4</v>
      </c>
      <c r="W22" s="45">
        <v>9.4</v>
      </c>
      <c r="X22" s="45">
        <v>9.4</v>
      </c>
      <c r="Y22" s="45">
        <v>9.4</v>
      </c>
      <c r="Z22" s="45">
        <v>9.4</v>
      </c>
      <c r="AA22" s="45">
        <v>9.4</v>
      </c>
      <c r="AB22" s="45">
        <v>9.4</v>
      </c>
      <c r="AC22" s="45">
        <v>9.4</v>
      </c>
      <c r="AD22" s="45">
        <v>9.4</v>
      </c>
      <c r="AE22" s="45">
        <v>9.4</v>
      </c>
      <c r="AF22" s="45">
        <v>9.4</v>
      </c>
      <c r="AG22" s="52">
        <v>30</v>
      </c>
      <c r="AH22" s="47">
        <f t="shared" si="2"/>
        <v>9.4</v>
      </c>
      <c r="AI22" s="48">
        <f t="shared" si="3"/>
        <v>9.4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9</v>
      </c>
      <c r="C23" s="45">
        <v>9</v>
      </c>
      <c r="D23" s="45">
        <v>9</v>
      </c>
      <c r="E23" s="45">
        <v>9</v>
      </c>
      <c r="F23" s="45">
        <v>9</v>
      </c>
      <c r="G23" s="45">
        <v>9</v>
      </c>
      <c r="H23" s="45">
        <v>9</v>
      </c>
      <c r="I23" s="45">
        <v>9</v>
      </c>
      <c r="J23" s="45">
        <v>9</v>
      </c>
      <c r="K23" s="45">
        <v>9</v>
      </c>
      <c r="L23" s="45">
        <v>9</v>
      </c>
      <c r="M23" s="45">
        <v>9</v>
      </c>
      <c r="N23" s="45">
        <v>9</v>
      </c>
      <c r="O23" s="45">
        <v>9</v>
      </c>
      <c r="P23" s="45">
        <v>9</v>
      </c>
      <c r="Q23" s="45">
        <v>9</v>
      </c>
      <c r="R23" s="45">
        <v>9</v>
      </c>
      <c r="S23" s="45">
        <v>9</v>
      </c>
      <c r="T23" s="45">
        <v>9</v>
      </c>
      <c r="U23" s="45">
        <v>9</v>
      </c>
      <c r="V23" s="45">
        <v>9</v>
      </c>
      <c r="W23" s="45">
        <v>9</v>
      </c>
      <c r="X23" s="45">
        <v>9</v>
      </c>
      <c r="Y23" s="45">
        <v>9</v>
      </c>
      <c r="Z23" s="45">
        <v>9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9</v>
      </c>
      <c r="AG23" s="49">
        <v>24.2</v>
      </c>
      <c r="AH23" s="47">
        <f t="shared" si="2"/>
        <v>9</v>
      </c>
      <c r="AI23" s="48">
        <f t="shared" si="3"/>
        <v>9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10.5</v>
      </c>
      <c r="C24" s="45">
        <v>10.5</v>
      </c>
      <c r="D24" s="45">
        <v>10.5</v>
      </c>
      <c r="E24" s="45">
        <v>10.5</v>
      </c>
      <c r="F24" s="45">
        <v>10.5</v>
      </c>
      <c r="G24" s="45">
        <v>10.5</v>
      </c>
      <c r="H24" s="45">
        <v>10.5</v>
      </c>
      <c r="I24" s="45">
        <v>10.5</v>
      </c>
      <c r="J24" s="45">
        <v>10.5</v>
      </c>
      <c r="K24" s="45">
        <v>10.5</v>
      </c>
      <c r="L24" s="45">
        <v>10.5</v>
      </c>
      <c r="M24" s="45">
        <v>10.5</v>
      </c>
      <c r="N24" s="45">
        <v>10.5</v>
      </c>
      <c r="O24" s="45">
        <v>10.5</v>
      </c>
      <c r="P24" s="45">
        <v>10.5</v>
      </c>
      <c r="Q24" s="45">
        <v>10.5</v>
      </c>
      <c r="R24" s="45">
        <v>10.5</v>
      </c>
      <c r="S24" s="45">
        <v>10.5</v>
      </c>
      <c r="T24" s="45">
        <v>10.5</v>
      </c>
      <c r="U24" s="45">
        <v>10.5</v>
      </c>
      <c r="V24" s="45">
        <v>10.5</v>
      </c>
      <c r="W24" s="45">
        <v>10.5</v>
      </c>
      <c r="X24" s="45">
        <v>10.5</v>
      </c>
      <c r="Y24" s="45">
        <v>10.5</v>
      </c>
      <c r="Z24" s="45">
        <v>10.5</v>
      </c>
      <c r="AA24" s="45">
        <v>10.5</v>
      </c>
      <c r="AB24" s="45">
        <v>10.5</v>
      </c>
      <c r="AC24" s="45">
        <v>10.5</v>
      </c>
      <c r="AD24" s="45">
        <v>10.5</v>
      </c>
      <c r="AE24" s="45">
        <v>10.5</v>
      </c>
      <c r="AF24" s="45">
        <v>10.5</v>
      </c>
      <c r="AG24" s="49">
        <v>28</v>
      </c>
      <c r="AH24" s="47">
        <f t="shared" si="2"/>
        <v>10.5</v>
      </c>
      <c r="AI24" s="48">
        <f t="shared" si="3"/>
        <v>10.5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8.4</v>
      </c>
      <c r="C25" s="45">
        <v>8.4</v>
      </c>
      <c r="D25" s="45">
        <v>8.4</v>
      </c>
      <c r="E25" s="45">
        <v>8.4</v>
      </c>
      <c r="F25" s="45">
        <v>8.4</v>
      </c>
      <c r="G25" s="45">
        <v>8.4</v>
      </c>
      <c r="H25" s="45">
        <v>8.4</v>
      </c>
      <c r="I25" s="45">
        <v>8.4</v>
      </c>
      <c r="J25" s="45">
        <v>8.4</v>
      </c>
      <c r="K25" s="45">
        <v>8.4</v>
      </c>
      <c r="L25" s="45">
        <v>8.4</v>
      </c>
      <c r="M25" s="45">
        <v>8.4</v>
      </c>
      <c r="N25" s="45">
        <v>8.4</v>
      </c>
      <c r="O25" s="45">
        <v>8.4</v>
      </c>
      <c r="P25" s="45">
        <v>8.4</v>
      </c>
      <c r="Q25" s="45">
        <v>8.4</v>
      </c>
      <c r="R25" s="45">
        <v>8.4</v>
      </c>
      <c r="S25" s="45">
        <v>8.4</v>
      </c>
      <c r="T25" s="45">
        <v>8.4</v>
      </c>
      <c r="U25" s="45">
        <v>8.4</v>
      </c>
      <c r="V25" s="45">
        <v>8.4</v>
      </c>
      <c r="W25" s="45">
        <v>8.4</v>
      </c>
      <c r="X25" s="45">
        <v>8.4</v>
      </c>
      <c r="Y25" s="45">
        <v>8.4</v>
      </c>
      <c r="Z25" s="45">
        <v>8.4</v>
      </c>
      <c r="AA25" s="45">
        <v>8.4</v>
      </c>
      <c r="AB25" s="45">
        <v>8.4</v>
      </c>
      <c r="AC25" s="45">
        <v>8.4</v>
      </c>
      <c r="AD25" s="45">
        <v>8.4</v>
      </c>
      <c r="AE25" s="45">
        <v>8.4</v>
      </c>
      <c r="AF25" s="45">
        <v>8.4</v>
      </c>
      <c r="AG25" s="52">
        <v>30</v>
      </c>
      <c r="AH25" s="47">
        <f t="shared" si="2"/>
        <v>8.4</v>
      </c>
      <c r="AI25" s="48">
        <f t="shared" si="3"/>
        <v>8.4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10</v>
      </c>
      <c r="C26" s="45">
        <v>10</v>
      </c>
      <c r="D26" s="45">
        <v>10</v>
      </c>
      <c r="E26" s="45">
        <v>10</v>
      </c>
      <c r="F26" s="45">
        <v>10</v>
      </c>
      <c r="G26" s="45">
        <v>10</v>
      </c>
      <c r="H26" s="45">
        <v>10</v>
      </c>
      <c r="I26" s="45">
        <v>10</v>
      </c>
      <c r="J26" s="45">
        <v>10</v>
      </c>
      <c r="K26" s="45">
        <v>10</v>
      </c>
      <c r="L26" s="45">
        <v>10</v>
      </c>
      <c r="M26" s="45">
        <v>10</v>
      </c>
      <c r="N26" s="45">
        <v>10</v>
      </c>
      <c r="O26" s="45">
        <v>10</v>
      </c>
      <c r="P26" s="45">
        <v>10</v>
      </c>
      <c r="Q26" s="45">
        <v>10</v>
      </c>
      <c r="R26" s="45">
        <v>10</v>
      </c>
      <c r="S26" s="45">
        <v>10</v>
      </c>
      <c r="T26" s="45">
        <v>10</v>
      </c>
      <c r="U26" s="45">
        <v>10</v>
      </c>
      <c r="V26" s="45">
        <v>10</v>
      </c>
      <c r="W26" s="45">
        <v>10</v>
      </c>
      <c r="X26" s="45">
        <v>10</v>
      </c>
      <c r="Y26" s="45">
        <v>10</v>
      </c>
      <c r="Z26" s="45">
        <v>10</v>
      </c>
      <c r="AA26" s="45">
        <v>10</v>
      </c>
      <c r="AB26" s="45">
        <v>10</v>
      </c>
      <c r="AC26" s="45">
        <v>10</v>
      </c>
      <c r="AD26" s="45">
        <v>10</v>
      </c>
      <c r="AE26" s="45">
        <v>10</v>
      </c>
      <c r="AF26" s="45">
        <v>10</v>
      </c>
      <c r="AG26" s="49">
        <v>25</v>
      </c>
      <c r="AH26" s="47">
        <f t="shared" si="2"/>
        <v>10</v>
      </c>
      <c r="AI26" s="48">
        <f t="shared" si="3"/>
        <v>10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0</v>
      </c>
      <c r="C27" s="45">
        <v>0</v>
      </c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9">
        <v>25</v>
      </c>
      <c r="AH27" s="47">
        <f t="shared" si="2"/>
        <v>0</v>
      </c>
      <c r="AI27" s="48">
        <f t="shared" si="3"/>
        <v>0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7.5</v>
      </c>
      <c r="C28" s="45">
        <v>7.5</v>
      </c>
      <c r="D28" s="45">
        <v>7.5</v>
      </c>
      <c r="E28" s="45">
        <v>7.5</v>
      </c>
      <c r="F28" s="45">
        <v>7.5</v>
      </c>
      <c r="G28" s="45">
        <v>7.5</v>
      </c>
      <c r="H28" s="45">
        <v>7.5</v>
      </c>
      <c r="I28" s="45">
        <v>7.5</v>
      </c>
      <c r="J28" s="45">
        <v>7.5</v>
      </c>
      <c r="K28" s="45">
        <v>7.5</v>
      </c>
      <c r="L28" s="45">
        <v>7.5</v>
      </c>
      <c r="M28" s="45">
        <v>7.5</v>
      </c>
      <c r="N28" s="45">
        <v>7.5</v>
      </c>
      <c r="O28" s="45">
        <v>7.5</v>
      </c>
      <c r="P28" s="45">
        <v>7.5</v>
      </c>
      <c r="Q28" s="45">
        <v>7.5</v>
      </c>
      <c r="R28" s="45">
        <v>7.5</v>
      </c>
      <c r="S28" s="45">
        <v>7.5</v>
      </c>
      <c r="T28" s="45">
        <v>7.5</v>
      </c>
      <c r="U28" s="45">
        <v>7.5</v>
      </c>
      <c r="V28" s="45">
        <v>7.5</v>
      </c>
      <c r="W28" s="45">
        <v>7.5</v>
      </c>
      <c r="X28" s="45">
        <v>7.5</v>
      </c>
      <c r="Y28" s="45">
        <v>7.5</v>
      </c>
      <c r="Z28" s="45">
        <v>7.5</v>
      </c>
      <c r="AA28" s="45">
        <v>7.5</v>
      </c>
      <c r="AB28" s="45">
        <v>7.5</v>
      </c>
      <c r="AC28" s="45">
        <v>7.5</v>
      </c>
      <c r="AD28" s="45">
        <v>7.5</v>
      </c>
      <c r="AE28" s="45">
        <v>7.5</v>
      </c>
      <c r="AF28" s="45">
        <v>7.5</v>
      </c>
      <c r="AG28" s="49">
        <v>25</v>
      </c>
      <c r="AH28" s="47">
        <f t="shared" si="2"/>
        <v>7.5</v>
      </c>
      <c r="AI28" s="48">
        <f t="shared" si="3"/>
        <v>7.5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9</v>
      </c>
      <c r="C29" s="45">
        <v>9</v>
      </c>
      <c r="D29" s="45">
        <v>9</v>
      </c>
      <c r="E29" s="45">
        <v>9</v>
      </c>
      <c r="F29" s="45">
        <v>9</v>
      </c>
      <c r="G29" s="45">
        <v>9</v>
      </c>
      <c r="H29" s="45">
        <v>9</v>
      </c>
      <c r="I29" s="45">
        <v>9</v>
      </c>
      <c r="J29" s="45">
        <v>9</v>
      </c>
      <c r="K29" s="45">
        <v>9</v>
      </c>
      <c r="L29" s="45">
        <v>9</v>
      </c>
      <c r="M29" s="45">
        <v>9</v>
      </c>
      <c r="N29" s="45">
        <v>9</v>
      </c>
      <c r="O29" s="45">
        <v>9</v>
      </c>
      <c r="P29" s="45">
        <v>9</v>
      </c>
      <c r="Q29" s="45">
        <v>9</v>
      </c>
      <c r="R29" s="45">
        <v>9</v>
      </c>
      <c r="S29" s="45">
        <v>9</v>
      </c>
      <c r="T29" s="45">
        <v>9</v>
      </c>
      <c r="U29" s="45">
        <v>9</v>
      </c>
      <c r="V29" s="45">
        <v>9</v>
      </c>
      <c r="W29" s="45">
        <v>9</v>
      </c>
      <c r="X29" s="45">
        <v>9</v>
      </c>
      <c r="Y29" s="45">
        <v>9</v>
      </c>
      <c r="Z29" s="45">
        <v>9</v>
      </c>
      <c r="AA29" s="45">
        <v>9</v>
      </c>
      <c r="AB29" s="45">
        <v>9</v>
      </c>
      <c r="AC29" s="45">
        <v>9</v>
      </c>
      <c r="AD29" s="45">
        <v>9</v>
      </c>
      <c r="AE29" s="45">
        <v>9</v>
      </c>
      <c r="AF29" s="45">
        <v>9</v>
      </c>
      <c r="AG29" s="49">
        <v>25</v>
      </c>
      <c r="AH29" s="47">
        <f t="shared" si="2"/>
        <v>9</v>
      </c>
      <c r="AI29" s="48">
        <f t="shared" si="3"/>
        <v>9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8.8000000000000007</v>
      </c>
      <c r="C30" s="45">
        <v>8.8000000000000007</v>
      </c>
      <c r="D30" s="45">
        <v>8.8000000000000007</v>
      </c>
      <c r="E30" s="45">
        <v>8.8000000000000007</v>
      </c>
      <c r="F30" s="45">
        <v>8.8000000000000007</v>
      </c>
      <c r="G30" s="45">
        <v>8.8000000000000007</v>
      </c>
      <c r="H30" s="45">
        <v>8.8000000000000007</v>
      </c>
      <c r="I30" s="45">
        <v>8.8000000000000007</v>
      </c>
      <c r="J30" s="45">
        <v>8.8000000000000007</v>
      </c>
      <c r="K30" s="45">
        <v>8.8000000000000007</v>
      </c>
      <c r="L30" s="45">
        <v>8.8000000000000007</v>
      </c>
      <c r="M30" s="45">
        <v>8.8000000000000007</v>
      </c>
      <c r="N30" s="45">
        <v>8.8000000000000007</v>
      </c>
      <c r="O30" s="45">
        <v>8.8000000000000007</v>
      </c>
      <c r="P30" s="45">
        <v>8.8000000000000007</v>
      </c>
      <c r="Q30" s="45">
        <v>8.8000000000000007</v>
      </c>
      <c r="R30" s="45">
        <v>8.8000000000000007</v>
      </c>
      <c r="S30" s="45">
        <v>8.8000000000000007</v>
      </c>
      <c r="T30" s="45">
        <v>8.8000000000000007</v>
      </c>
      <c r="U30" s="45">
        <v>8.8000000000000007</v>
      </c>
      <c r="V30" s="45">
        <v>8.8000000000000007</v>
      </c>
      <c r="W30" s="45">
        <v>8.8000000000000007</v>
      </c>
      <c r="X30" s="45">
        <v>8.8000000000000007</v>
      </c>
      <c r="Y30" s="45">
        <v>8.8000000000000007</v>
      </c>
      <c r="Z30" s="45">
        <v>8.8000000000000007</v>
      </c>
      <c r="AA30" s="45">
        <v>8.8000000000000007</v>
      </c>
      <c r="AB30" s="45">
        <v>8.8000000000000007</v>
      </c>
      <c r="AC30" s="45">
        <v>8.8000000000000007</v>
      </c>
      <c r="AD30" s="45">
        <v>8.8000000000000007</v>
      </c>
      <c r="AE30" s="45">
        <v>8.8000000000000007</v>
      </c>
      <c r="AF30" s="45">
        <v>8.8000000000000007</v>
      </c>
      <c r="AG30" s="49">
        <v>23.5</v>
      </c>
      <c r="AH30" s="47">
        <f t="shared" si="2"/>
        <v>8.8000000000000007</v>
      </c>
      <c r="AI30" s="48">
        <f t="shared" si="3"/>
        <v>8.8000000000000007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4.5</v>
      </c>
      <c r="C31" s="45">
        <v>4.5</v>
      </c>
      <c r="D31" s="45">
        <v>4.5</v>
      </c>
      <c r="E31" s="45">
        <v>4.5</v>
      </c>
      <c r="F31" s="45">
        <v>4.5</v>
      </c>
      <c r="G31" s="45">
        <v>4.5</v>
      </c>
      <c r="H31" s="45">
        <v>4.5</v>
      </c>
      <c r="I31" s="45">
        <v>4.5</v>
      </c>
      <c r="J31" s="45">
        <v>4.5</v>
      </c>
      <c r="K31" s="45">
        <v>4.5</v>
      </c>
      <c r="L31" s="45">
        <v>4.5</v>
      </c>
      <c r="M31" s="45">
        <v>4.5</v>
      </c>
      <c r="N31" s="45">
        <v>4.5</v>
      </c>
      <c r="O31" s="45">
        <v>4.5</v>
      </c>
      <c r="P31" s="45">
        <v>4.5</v>
      </c>
      <c r="Q31" s="45">
        <v>4.5</v>
      </c>
      <c r="R31" s="45">
        <v>4.5</v>
      </c>
      <c r="S31" s="45">
        <v>4.5</v>
      </c>
      <c r="T31" s="45">
        <v>4.5</v>
      </c>
      <c r="U31" s="45">
        <v>4.5</v>
      </c>
      <c r="V31" s="45">
        <v>4.5</v>
      </c>
      <c r="W31" s="45">
        <v>4.5</v>
      </c>
      <c r="X31" s="45">
        <v>4.5</v>
      </c>
      <c r="Y31" s="45">
        <v>4.5</v>
      </c>
      <c r="Z31" s="45">
        <v>4.5</v>
      </c>
      <c r="AA31" s="45">
        <v>4.5</v>
      </c>
      <c r="AB31" s="45">
        <v>4.5</v>
      </c>
      <c r="AC31" s="45">
        <v>4.5</v>
      </c>
      <c r="AD31" s="45">
        <v>4.5</v>
      </c>
      <c r="AE31" s="45">
        <v>4.5</v>
      </c>
      <c r="AF31" s="45">
        <v>4.5</v>
      </c>
      <c r="AG31" s="49">
        <v>22.2</v>
      </c>
      <c r="AH31" s="47">
        <f t="shared" si="2"/>
        <v>4.5</v>
      </c>
      <c r="AI31" s="48">
        <f t="shared" si="3"/>
        <v>4.5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>
        <v>5.5</v>
      </c>
      <c r="N32" s="45">
        <v>5.5</v>
      </c>
      <c r="O32" s="45">
        <v>5.5</v>
      </c>
      <c r="P32" s="45">
        <v>5.5</v>
      </c>
      <c r="Q32" s="45">
        <v>5.5</v>
      </c>
      <c r="R32" s="45">
        <v>5.5</v>
      </c>
      <c r="S32" s="45">
        <v>5.5</v>
      </c>
      <c r="T32" s="45">
        <v>5.5</v>
      </c>
      <c r="U32" s="45">
        <v>5.5</v>
      </c>
      <c r="V32" s="45">
        <v>5.5</v>
      </c>
      <c r="W32" s="45">
        <v>5.5</v>
      </c>
      <c r="X32" s="45">
        <v>5.5</v>
      </c>
      <c r="Y32" s="45">
        <v>5.5</v>
      </c>
      <c r="Z32" s="45">
        <v>5.5</v>
      </c>
      <c r="AA32" s="45">
        <v>5.5</v>
      </c>
      <c r="AB32" s="45">
        <v>5.5</v>
      </c>
      <c r="AC32" s="45">
        <v>5.5</v>
      </c>
      <c r="AD32" s="45">
        <v>5.5</v>
      </c>
      <c r="AE32" s="45">
        <v>5.5</v>
      </c>
      <c r="AF32" s="45">
        <v>5.5</v>
      </c>
      <c r="AG32" s="49">
        <v>22.1</v>
      </c>
      <c r="AH32" s="47">
        <f t="shared" si="2"/>
        <v>5.5</v>
      </c>
      <c r="AI32" s="48">
        <f t="shared" si="3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22</v>
      </c>
      <c r="AH33" s="47">
        <f t="shared" si="2"/>
        <v>6</v>
      </c>
      <c r="AI33" s="48">
        <f t="shared" si="3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8.6999999999999993</v>
      </c>
      <c r="C34" s="45">
        <v>8.6999999999999993</v>
      </c>
      <c r="D34" s="45">
        <v>8.6999999999999993</v>
      </c>
      <c r="E34" s="45">
        <v>8.6999999999999993</v>
      </c>
      <c r="F34" s="45">
        <v>8.6999999999999993</v>
      </c>
      <c r="G34" s="45">
        <v>8.6999999999999993</v>
      </c>
      <c r="H34" s="45">
        <v>8.6999999999999993</v>
      </c>
      <c r="I34" s="45">
        <v>8.6999999999999993</v>
      </c>
      <c r="J34" s="45">
        <v>8.6999999999999993</v>
      </c>
      <c r="K34" s="45">
        <v>8.6999999999999993</v>
      </c>
      <c r="L34" s="45">
        <v>8.6999999999999993</v>
      </c>
      <c r="M34" s="45">
        <v>8.6999999999999993</v>
      </c>
      <c r="N34" s="45">
        <v>8.6999999999999993</v>
      </c>
      <c r="O34" s="45">
        <v>8.6999999999999993</v>
      </c>
      <c r="P34" s="45">
        <v>8.6999999999999993</v>
      </c>
      <c r="Q34" s="45">
        <v>8.6999999999999993</v>
      </c>
      <c r="R34" s="45">
        <v>8.6999999999999993</v>
      </c>
      <c r="S34" s="45">
        <v>8.6999999999999993</v>
      </c>
      <c r="T34" s="45">
        <v>8.6999999999999993</v>
      </c>
      <c r="U34" s="45">
        <v>8.6999999999999993</v>
      </c>
      <c r="V34" s="45">
        <v>8.6999999999999993</v>
      </c>
      <c r="W34" s="45">
        <v>8.6999999999999993</v>
      </c>
      <c r="X34" s="45">
        <v>8.6999999999999993</v>
      </c>
      <c r="Y34" s="45">
        <v>8.6999999999999993</v>
      </c>
      <c r="Z34" s="45">
        <v>8.6999999999999993</v>
      </c>
      <c r="AA34" s="45">
        <v>8.6999999999999993</v>
      </c>
      <c r="AB34" s="45">
        <v>8.6999999999999993</v>
      </c>
      <c r="AC34" s="45">
        <v>8.6999999999999993</v>
      </c>
      <c r="AD34" s="45">
        <v>8.6999999999999993</v>
      </c>
      <c r="AE34" s="45">
        <v>8.6999999999999993</v>
      </c>
      <c r="AF34" s="45">
        <v>8.6999999999999993</v>
      </c>
      <c r="AG34" s="49">
        <v>22</v>
      </c>
      <c r="AH34" s="47">
        <f t="shared" si="2"/>
        <v>8.6999999999999993</v>
      </c>
      <c r="AI34" s="48">
        <f t="shared" si="3"/>
        <v>8.6999999999999993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6.5</v>
      </c>
      <c r="C35" s="45">
        <v>6.5</v>
      </c>
      <c r="D35" s="45">
        <v>6.5</v>
      </c>
      <c r="E35" s="45">
        <v>6.5</v>
      </c>
      <c r="F35" s="45">
        <v>6.5</v>
      </c>
      <c r="G35" s="45">
        <v>6.5</v>
      </c>
      <c r="H35" s="45">
        <v>6.5</v>
      </c>
      <c r="I35" s="45">
        <v>6.5</v>
      </c>
      <c r="J35" s="45">
        <v>6.5</v>
      </c>
      <c r="K35" s="45">
        <v>6.5</v>
      </c>
      <c r="L35" s="45">
        <v>6.5</v>
      </c>
      <c r="M35" s="45">
        <v>6.5</v>
      </c>
      <c r="N35" s="45">
        <v>6.5</v>
      </c>
      <c r="O35" s="45">
        <v>6.5</v>
      </c>
      <c r="P35" s="45">
        <v>6.5</v>
      </c>
      <c r="Q35" s="45">
        <v>6.5</v>
      </c>
      <c r="R35" s="45">
        <v>6.5</v>
      </c>
      <c r="S35" s="45">
        <v>6.5</v>
      </c>
      <c r="T35" s="45">
        <v>6.5</v>
      </c>
      <c r="U35" s="45">
        <v>6.5</v>
      </c>
      <c r="V35" s="45">
        <v>6.5</v>
      </c>
      <c r="W35" s="45">
        <v>6.5</v>
      </c>
      <c r="X35" s="45">
        <v>6.5</v>
      </c>
      <c r="Y35" s="45">
        <v>6.5</v>
      </c>
      <c r="Z35" s="45">
        <v>6.5</v>
      </c>
      <c r="AA35" s="45">
        <v>6.5</v>
      </c>
      <c r="AB35" s="45">
        <v>6.5</v>
      </c>
      <c r="AC35" s="45">
        <v>6.5</v>
      </c>
      <c r="AD35" s="45">
        <v>6.5</v>
      </c>
      <c r="AE35" s="45">
        <v>6.5</v>
      </c>
      <c r="AF35" s="45">
        <v>6.5</v>
      </c>
      <c r="AG35" s="49">
        <v>20</v>
      </c>
      <c r="AH35" s="47">
        <f t="shared" si="2"/>
        <v>6.5</v>
      </c>
      <c r="AI35" s="48">
        <f t="shared" si="3"/>
        <v>6.5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264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2"/>
        <v>4</v>
      </c>
      <c r="AI36" s="48">
        <f t="shared" si="3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5.5</v>
      </c>
      <c r="C37" s="45">
        <v>5.5</v>
      </c>
      <c r="D37" s="45">
        <v>5.5</v>
      </c>
      <c r="E37" s="45">
        <v>5.5</v>
      </c>
      <c r="F37" s="45">
        <v>5.5</v>
      </c>
      <c r="G37" s="45">
        <v>5.5</v>
      </c>
      <c r="H37" s="45">
        <v>5.5</v>
      </c>
      <c r="I37" s="45">
        <v>5.5</v>
      </c>
      <c r="J37" s="45">
        <v>5.5</v>
      </c>
      <c r="K37" s="45">
        <v>5.5</v>
      </c>
      <c r="L37" s="45">
        <v>5.5</v>
      </c>
      <c r="M37" s="45">
        <v>5.5</v>
      </c>
      <c r="N37" s="45">
        <v>5.5</v>
      </c>
      <c r="O37" s="45">
        <v>5.5</v>
      </c>
      <c r="P37" s="45">
        <v>5.5</v>
      </c>
      <c r="Q37" s="45">
        <v>5.5</v>
      </c>
      <c r="R37" s="45">
        <v>5.5</v>
      </c>
      <c r="S37" s="45">
        <v>5.5</v>
      </c>
      <c r="T37" s="45">
        <v>5.5</v>
      </c>
      <c r="U37" s="45">
        <v>5.5</v>
      </c>
      <c r="V37" s="45">
        <v>5.5</v>
      </c>
      <c r="W37" s="45">
        <v>5.5</v>
      </c>
      <c r="X37" s="45">
        <v>5.5</v>
      </c>
      <c r="Y37" s="45">
        <v>5.5</v>
      </c>
      <c r="Z37" s="45">
        <v>5.5</v>
      </c>
      <c r="AA37" s="45">
        <v>5.5</v>
      </c>
      <c r="AB37" s="45">
        <v>5.5</v>
      </c>
      <c r="AC37" s="45">
        <v>5.5</v>
      </c>
      <c r="AD37" s="45">
        <v>5.5</v>
      </c>
      <c r="AE37" s="45">
        <v>5.5</v>
      </c>
      <c r="AF37" s="45">
        <v>5.5</v>
      </c>
      <c r="AG37" s="49">
        <v>18</v>
      </c>
      <c r="AH37" s="47">
        <f t="shared" si="2"/>
        <v>5.5</v>
      </c>
      <c r="AI37" s="48">
        <f t="shared" si="3"/>
        <v>5.5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>
        <v>7.2</v>
      </c>
      <c r="N38" s="45">
        <v>7.2</v>
      </c>
      <c r="O38" s="45">
        <v>7.2</v>
      </c>
      <c r="P38" s="45">
        <v>7.2</v>
      </c>
      <c r="Q38" s="45">
        <v>7.2</v>
      </c>
      <c r="R38" s="45">
        <v>7.2</v>
      </c>
      <c r="S38" s="45">
        <v>7.2</v>
      </c>
      <c r="T38" s="45">
        <v>7.2</v>
      </c>
      <c r="U38" s="45">
        <v>7.2</v>
      </c>
      <c r="V38" s="45">
        <v>7.2</v>
      </c>
      <c r="W38" s="45">
        <v>7.2</v>
      </c>
      <c r="X38" s="45">
        <v>7.2</v>
      </c>
      <c r="Y38" s="45">
        <v>7.2</v>
      </c>
      <c r="Z38" s="45">
        <v>7.2</v>
      </c>
      <c r="AA38" s="45">
        <v>7.2</v>
      </c>
      <c r="AB38" s="45">
        <v>7.2</v>
      </c>
      <c r="AC38" s="45">
        <v>7.2</v>
      </c>
      <c r="AD38" s="45">
        <v>7.2</v>
      </c>
      <c r="AE38" s="45">
        <v>7.2</v>
      </c>
      <c r="AF38" s="45">
        <v>7.2</v>
      </c>
      <c r="AG38" s="49">
        <v>14.9</v>
      </c>
      <c r="AH38" s="47">
        <f t="shared" si="2"/>
        <v>7.2</v>
      </c>
      <c r="AI38" s="48">
        <f t="shared" si="3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265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2"/>
        <v>5</v>
      </c>
      <c r="AI40" s="48">
        <f t="shared" si="3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266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>
        <v>4</v>
      </c>
      <c r="N41" s="45">
        <v>4</v>
      </c>
      <c r="O41" s="45">
        <v>4</v>
      </c>
      <c r="P41" s="45">
        <v>4</v>
      </c>
      <c r="Q41" s="45">
        <v>4</v>
      </c>
      <c r="R41" s="45">
        <v>4</v>
      </c>
      <c r="S41" s="45">
        <v>4</v>
      </c>
      <c r="T41" s="45">
        <v>4</v>
      </c>
      <c r="U41" s="45">
        <v>4</v>
      </c>
      <c r="V41" s="45">
        <v>4</v>
      </c>
      <c r="W41" s="45">
        <v>4</v>
      </c>
      <c r="X41" s="45">
        <v>4</v>
      </c>
      <c r="Y41" s="45">
        <v>4</v>
      </c>
      <c r="Z41" s="45">
        <v>4</v>
      </c>
      <c r="AA41" s="45">
        <v>4</v>
      </c>
      <c r="AB41" s="45">
        <v>4</v>
      </c>
      <c r="AC41" s="45">
        <v>4</v>
      </c>
      <c r="AD41" s="45">
        <v>4</v>
      </c>
      <c r="AE41" s="45">
        <v>4</v>
      </c>
      <c r="AF41" s="45">
        <v>4</v>
      </c>
      <c r="AG41" s="49">
        <v>14.9</v>
      </c>
      <c r="AH41" s="47">
        <f t="shared" si="2"/>
        <v>4</v>
      </c>
      <c r="AI41" s="48">
        <f t="shared" si="3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2"/>
        <v>1.8</v>
      </c>
      <c r="AI42" s="48">
        <f t="shared" si="3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2"/>
        <v>3.8</v>
      </c>
      <c r="AI43" s="48">
        <f t="shared" si="3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4</v>
      </c>
      <c r="C44" s="45">
        <v>4</v>
      </c>
      <c r="D44" s="45">
        <v>4</v>
      </c>
      <c r="E44" s="45">
        <v>4</v>
      </c>
      <c r="F44" s="45">
        <v>4</v>
      </c>
      <c r="G44" s="45">
        <v>4</v>
      </c>
      <c r="H44" s="45">
        <v>4</v>
      </c>
      <c r="I44" s="45">
        <v>4</v>
      </c>
      <c r="J44" s="45">
        <v>4</v>
      </c>
      <c r="K44" s="45">
        <v>4</v>
      </c>
      <c r="L44" s="45">
        <v>4</v>
      </c>
      <c r="M44" s="45">
        <v>4</v>
      </c>
      <c r="N44" s="45">
        <v>4</v>
      </c>
      <c r="O44" s="45">
        <v>4</v>
      </c>
      <c r="P44" s="45">
        <v>4</v>
      </c>
      <c r="Q44" s="45">
        <v>4</v>
      </c>
      <c r="R44" s="45">
        <v>4</v>
      </c>
      <c r="S44" s="45">
        <v>4</v>
      </c>
      <c r="T44" s="45">
        <v>4</v>
      </c>
      <c r="U44" s="45">
        <v>4</v>
      </c>
      <c r="V44" s="45">
        <v>4</v>
      </c>
      <c r="W44" s="45">
        <v>4</v>
      </c>
      <c r="X44" s="45">
        <v>4</v>
      </c>
      <c r="Y44" s="45">
        <v>4</v>
      </c>
      <c r="Z44" s="45">
        <v>4</v>
      </c>
      <c r="AA44" s="45">
        <v>4</v>
      </c>
      <c r="AB44" s="45">
        <v>4</v>
      </c>
      <c r="AC44" s="45">
        <v>4</v>
      </c>
      <c r="AD44" s="45">
        <v>4</v>
      </c>
      <c r="AE44" s="45">
        <v>4</v>
      </c>
      <c r="AF44" s="45">
        <v>4</v>
      </c>
      <c r="AG44" s="49">
        <v>12</v>
      </c>
      <c r="AH44" s="47">
        <f t="shared" si="2"/>
        <v>4</v>
      </c>
      <c r="AI44" s="48">
        <f t="shared" si="3"/>
        <v>4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49">
        <v>12</v>
      </c>
      <c r="AH45" s="47">
        <f t="shared" si="2"/>
        <v>9</v>
      </c>
      <c r="AI45" s="48">
        <f t="shared" si="3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2"/>
        <v>3</v>
      </c>
      <c r="AI46" s="48">
        <f t="shared" si="3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2"/>
        <v>3.5</v>
      </c>
      <c r="AI47" s="48">
        <f t="shared" si="3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>
        <v>5</v>
      </c>
      <c r="N48" s="45">
        <v>5</v>
      </c>
      <c r="O48" s="45">
        <v>5</v>
      </c>
      <c r="P48" s="45">
        <v>5</v>
      </c>
      <c r="Q48" s="45">
        <v>5</v>
      </c>
      <c r="R48" s="45">
        <v>5</v>
      </c>
      <c r="S48" s="45">
        <v>5</v>
      </c>
      <c r="T48" s="45">
        <v>5</v>
      </c>
      <c r="U48" s="45">
        <v>5</v>
      </c>
      <c r="V48" s="45">
        <v>5</v>
      </c>
      <c r="W48" s="45">
        <v>5</v>
      </c>
      <c r="X48" s="45">
        <v>5</v>
      </c>
      <c r="Y48" s="45">
        <v>5</v>
      </c>
      <c r="Z48" s="45">
        <v>5</v>
      </c>
      <c r="AA48" s="45">
        <v>5</v>
      </c>
      <c r="AB48" s="45">
        <v>5</v>
      </c>
      <c r="AC48" s="45">
        <v>5</v>
      </c>
      <c r="AD48" s="45">
        <v>5</v>
      </c>
      <c r="AE48" s="45">
        <v>5</v>
      </c>
      <c r="AF48" s="45">
        <v>5</v>
      </c>
      <c r="AG48" s="52">
        <v>11.88</v>
      </c>
      <c r="AH48" s="47">
        <f t="shared" si="2"/>
        <v>5</v>
      </c>
      <c r="AI48" s="48">
        <f t="shared" si="3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>
        <v>3</v>
      </c>
      <c r="N49" s="45">
        <v>3</v>
      </c>
      <c r="O49" s="45">
        <v>3</v>
      </c>
      <c r="P49" s="45">
        <v>3</v>
      </c>
      <c r="Q49" s="45">
        <v>3</v>
      </c>
      <c r="R49" s="45">
        <v>3</v>
      </c>
      <c r="S49" s="45">
        <v>3</v>
      </c>
      <c r="T49" s="45">
        <v>3</v>
      </c>
      <c r="U49" s="45">
        <v>3</v>
      </c>
      <c r="V49" s="45">
        <v>3</v>
      </c>
      <c r="W49" s="45">
        <v>3</v>
      </c>
      <c r="X49" s="45">
        <v>3</v>
      </c>
      <c r="Y49" s="45">
        <v>3</v>
      </c>
      <c r="Z49" s="45">
        <v>3</v>
      </c>
      <c r="AA49" s="45">
        <v>3</v>
      </c>
      <c r="AB49" s="45">
        <v>3</v>
      </c>
      <c r="AC49" s="45">
        <v>3</v>
      </c>
      <c r="AD49" s="45">
        <v>3</v>
      </c>
      <c r="AE49" s="45">
        <v>3</v>
      </c>
      <c r="AF49" s="45">
        <v>3</v>
      </c>
      <c r="AG49" s="55">
        <v>11</v>
      </c>
      <c r="AH49" s="47">
        <f t="shared" si="2"/>
        <v>3</v>
      </c>
      <c r="AI49" s="48">
        <f t="shared" si="3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267</v>
      </c>
      <c r="B50" s="45">
        <v>3.3</v>
      </c>
      <c r="C50" s="45">
        <v>3.3</v>
      </c>
      <c r="D50" s="45">
        <v>3.3</v>
      </c>
      <c r="E50" s="45">
        <v>3.3</v>
      </c>
      <c r="F50" s="45">
        <v>3.3</v>
      </c>
      <c r="G50" s="45">
        <v>3.3</v>
      </c>
      <c r="H50" s="45">
        <v>3.3</v>
      </c>
      <c r="I50" s="45">
        <v>3.3</v>
      </c>
      <c r="J50" s="45">
        <v>3.3</v>
      </c>
      <c r="K50" s="45">
        <v>3.3</v>
      </c>
      <c r="L50" s="45">
        <v>3.3</v>
      </c>
      <c r="M50" s="45">
        <v>3.3</v>
      </c>
      <c r="N50" s="45">
        <v>3.3</v>
      </c>
      <c r="O50" s="45">
        <v>3.3</v>
      </c>
      <c r="P50" s="45">
        <v>3.3</v>
      </c>
      <c r="Q50" s="45">
        <v>3.3</v>
      </c>
      <c r="R50" s="45">
        <v>3.3</v>
      </c>
      <c r="S50" s="45">
        <v>3.3</v>
      </c>
      <c r="T50" s="45">
        <v>3.3</v>
      </c>
      <c r="U50" s="45">
        <v>3.3</v>
      </c>
      <c r="V50" s="45">
        <v>3.3</v>
      </c>
      <c r="W50" s="45">
        <v>3.3</v>
      </c>
      <c r="X50" s="45">
        <v>3.3</v>
      </c>
      <c r="Y50" s="45">
        <v>3.3</v>
      </c>
      <c r="Z50" s="45">
        <v>3.3</v>
      </c>
      <c r="AA50" s="45">
        <v>3.3</v>
      </c>
      <c r="AB50" s="45">
        <v>3.3</v>
      </c>
      <c r="AC50" s="45">
        <v>3.3</v>
      </c>
      <c r="AD50" s="45">
        <v>3.3</v>
      </c>
      <c r="AE50" s="45">
        <v>3.3</v>
      </c>
      <c r="AF50" s="45">
        <v>3.3</v>
      </c>
      <c r="AG50" s="55">
        <v>11</v>
      </c>
      <c r="AH50" s="47">
        <f t="shared" si="2"/>
        <v>3.3</v>
      </c>
      <c r="AI50" s="48">
        <f t="shared" si="3"/>
        <v>3.3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268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"/>
        <v>3</v>
      </c>
      <c r="AI51" s="48">
        <f t="shared" si="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2"/>
        <v>4</v>
      </c>
      <c r="AI52" s="48">
        <f t="shared" si="3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"/>
        <v>4.5</v>
      </c>
      <c r="AI53" s="48">
        <f t="shared" si="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269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"/>
        <v>0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175</v>
      </c>
      <c r="C56" s="57">
        <v>175</v>
      </c>
      <c r="D56" s="57">
        <v>175</v>
      </c>
      <c r="E56" s="57">
        <v>175</v>
      </c>
      <c r="F56" s="57">
        <v>175</v>
      </c>
      <c r="G56" s="57">
        <v>175</v>
      </c>
      <c r="H56" s="57">
        <v>175</v>
      </c>
      <c r="I56" s="57">
        <v>175</v>
      </c>
      <c r="J56" s="57">
        <v>175</v>
      </c>
      <c r="K56" s="57">
        <v>175</v>
      </c>
      <c r="L56" s="57">
        <v>175</v>
      </c>
      <c r="M56" s="57">
        <v>175</v>
      </c>
      <c r="N56" s="57">
        <v>175</v>
      </c>
      <c r="O56" s="57">
        <v>175</v>
      </c>
      <c r="P56" s="57">
        <v>175</v>
      </c>
      <c r="Q56" s="57">
        <v>175</v>
      </c>
      <c r="R56" s="57">
        <v>175</v>
      </c>
      <c r="S56" s="57">
        <v>175</v>
      </c>
      <c r="T56" s="57">
        <v>175</v>
      </c>
      <c r="U56" s="57">
        <v>175</v>
      </c>
      <c r="V56" s="57">
        <v>175</v>
      </c>
      <c r="W56" s="57">
        <v>175</v>
      </c>
      <c r="X56" s="57">
        <v>175</v>
      </c>
      <c r="Y56" s="57">
        <v>175</v>
      </c>
      <c r="Z56" s="57">
        <v>175</v>
      </c>
      <c r="AA56" s="57">
        <v>175</v>
      </c>
      <c r="AB56" s="57">
        <v>175</v>
      </c>
      <c r="AC56" s="57">
        <v>175</v>
      </c>
      <c r="AD56" s="57">
        <v>175</v>
      </c>
      <c r="AE56" s="57">
        <v>175</v>
      </c>
      <c r="AF56" s="57">
        <v>175</v>
      </c>
      <c r="AG56" s="55">
        <v>85</v>
      </c>
      <c r="AH56" s="47">
        <f t="shared" si="2"/>
        <v>175</v>
      </c>
      <c r="AI56" s="48">
        <f t="shared" si="3"/>
        <v>175</v>
      </c>
      <c r="AK56" s="50"/>
    </row>
    <row r="57" spans="1:88" ht="15.75" thickBot="1" x14ac:dyDescent="0.3">
      <c r="A57" s="58" t="s">
        <v>57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7"/>
      <c r="Y57" s="57"/>
      <c r="Z57" s="57"/>
      <c r="AA57" s="57"/>
      <c r="AB57" s="57"/>
      <c r="AC57" s="57"/>
      <c r="AD57" s="57"/>
      <c r="AE57" s="57"/>
      <c r="AF57" s="57"/>
      <c r="AG57" s="55">
        <v>240</v>
      </c>
      <c r="AH57" s="47">
        <f t="shared" si="2"/>
        <v>0</v>
      </c>
      <c r="AI57" s="48">
        <f t="shared" si="3"/>
        <v>0</v>
      </c>
      <c r="AK57" s="50"/>
    </row>
    <row r="58" spans="1:88" ht="15.75" thickBot="1" x14ac:dyDescent="0.3">
      <c r="A58" s="59" t="s">
        <v>58</v>
      </c>
      <c r="B58" s="60">
        <f t="shared" ref="B58:AF58" si="4">SUM(B11:B56)</f>
        <v>546.6</v>
      </c>
      <c r="C58" s="60">
        <f t="shared" si="4"/>
        <v>546.6</v>
      </c>
      <c r="D58" s="60">
        <f t="shared" si="4"/>
        <v>546.6</v>
      </c>
      <c r="E58" s="60">
        <f t="shared" ref="E58:F58" si="5">SUM(E11:E56)</f>
        <v>550.5</v>
      </c>
      <c r="F58" s="60">
        <f t="shared" si="5"/>
        <v>550.5</v>
      </c>
      <c r="G58" s="60">
        <f t="shared" ref="G58:H58" si="6">SUM(G11:G56)</f>
        <v>550.5</v>
      </c>
      <c r="H58" s="60">
        <f t="shared" si="6"/>
        <v>550.5</v>
      </c>
      <c r="I58" s="60">
        <f t="shared" ref="I58:J58" si="7">SUM(I11:I56)</f>
        <v>550.5</v>
      </c>
      <c r="J58" s="60">
        <f t="shared" si="7"/>
        <v>550.5</v>
      </c>
      <c r="K58" s="60">
        <f t="shared" ref="K58" si="8">SUM(K11:K56)</f>
        <v>550.5</v>
      </c>
      <c r="L58" s="60">
        <f t="shared" si="4"/>
        <v>550.5</v>
      </c>
      <c r="M58" s="60">
        <f t="shared" si="4"/>
        <v>548.70000000000005</v>
      </c>
      <c r="N58" s="60">
        <f t="shared" si="4"/>
        <v>548.70000000000005</v>
      </c>
      <c r="O58" s="60">
        <f t="shared" si="4"/>
        <v>548.5</v>
      </c>
      <c r="P58" s="60">
        <f t="shared" si="4"/>
        <v>546.90000000000009</v>
      </c>
      <c r="Q58" s="60">
        <f t="shared" si="4"/>
        <v>547</v>
      </c>
      <c r="R58" s="60">
        <f t="shared" si="4"/>
        <v>547.5</v>
      </c>
      <c r="S58" s="60">
        <f t="shared" si="4"/>
        <v>545.79999999999995</v>
      </c>
      <c r="T58" s="60">
        <f t="shared" si="4"/>
        <v>545.90000000000009</v>
      </c>
      <c r="U58" s="60">
        <f t="shared" ref="U58:V58" si="9">SUM(U11:U56)</f>
        <v>545.90000000000009</v>
      </c>
      <c r="V58" s="60">
        <f t="shared" si="9"/>
        <v>545.90000000000009</v>
      </c>
      <c r="W58" s="60">
        <f t="shared" si="4"/>
        <v>545.90000000000009</v>
      </c>
      <c r="X58" s="60">
        <f t="shared" si="4"/>
        <v>545.90000000000009</v>
      </c>
      <c r="Y58" s="60">
        <f t="shared" si="4"/>
        <v>545.90000000000009</v>
      </c>
      <c r="Z58" s="60">
        <f t="shared" si="4"/>
        <v>545.90000000000009</v>
      </c>
      <c r="AA58" s="60">
        <f t="shared" si="4"/>
        <v>545.90000000000009</v>
      </c>
      <c r="AB58" s="60">
        <f t="shared" si="4"/>
        <v>545.90000000000009</v>
      </c>
      <c r="AC58" s="60">
        <f t="shared" si="4"/>
        <v>545.90000000000009</v>
      </c>
      <c r="AD58" s="60">
        <f t="shared" si="4"/>
        <v>545.90000000000009</v>
      </c>
      <c r="AE58" s="60">
        <f t="shared" si="4"/>
        <v>545.90000000000009</v>
      </c>
      <c r="AF58" s="60">
        <f t="shared" si="4"/>
        <v>545.90000000000009</v>
      </c>
      <c r="AG58" s="61">
        <f>SUM(AG14:AG56)</f>
        <v>1042.4000000000001</v>
      </c>
      <c r="AH58" s="47">
        <f t="shared" si="2"/>
        <v>550.5</v>
      </c>
      <c r="AI58" s="48">
        <f t="shared" si="3"/>
        <v>545.79999999999995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330</v>
      </c>
      <c r="L59" s="45">
        <v>400</v>
      </c>
      <c r="M59" s="45">
        <v>400</v>
      </c>
      <c r="N59" s="63">
        <v>400</v>
      </c>
      <c r="O59" s="63">
        <v>300</v>
      </c>
      <c r="P59" s="63">
        <v>90</v>
      </c>
      <c r="Q59" s="63">
        <v>20</v>
      </c>
      <c r="R59" s="63">
        <v>12</v>
      </c>
      <c r="S59" s="45">
        <v>15</v>
      </c>
      <c r="T59" s="45">
        <v>15</v>
      </c>
      <c r="U59" s="45">
        <v>0</v>
      </c>
      <c r="V59" s="45">
        <v>140</v>
      </c>
      <c r="W59" s="45">
        <v>140</v>
      </c>
      <c r="X59" s="45">
        <v>260</v>
      </c>
      <c r="Y59" s="45">
        <v>260</v>
      </c>
      <c r="Z59" s="45">
        <v>300</v>
      </c>
      <c r="AA59" s="45">
        <v>200</v>
      </c>
      <c r="AB59" s="45">
        <v>100</v>
      </c>
      <c r="AC59" s="45">
        <v>60</v>
      </c>
      <c r="AD59" s="45">
        <v>40</v>
      </c>
      <c r="AE59" s="45">
        <v>0</v>
      </c>
      <c r="AF59" s="45">
        <v>0</v>
      </c>
      <c r="AG59" s="52">
        <v>456</v>
      </c>
      <c r="AH59" s="47">
        <f t="shared" si="2"/>
        <v>400</v>
      </c>
      <c r="AI59" s="48">
        <f t="shared" si="3"/>
        <v>0</v>
      </c>
      <c r="AK59" s="50"/>
    </row>
    <row r="60" spans="1:88" x14ac:dyDescent="0.25">
      <c r="A60" s="64" t="s">
        <v>60</v>
      </c>
      <c r="B60" s="65">
        <v>36</v>
      </c>
      <c r="C60" s="65">
        <v>36</v>
      </c>
      <c r="D60" s="65">
        <v>36</v>
      </c>
      <c r="E60" s="65">
        <v>36</v>
      </c>
      <c r="F60" s="65">
        <v>36</v>
      </c>
      <c r="G60" s="65">
        <v>36</v>
      </c>
      <c r="H60" s="65">
        <v>36</v>
      </c>
      <c r="I60" s="65">
        <v>36</v>
      </c>
      <c r="J60" s="65">
        <v>36</v>
      </c>
      <c r="K60" s="65">
        <v>36</v>
      </c>
      <c r="L60" s="65">
        <v>36</v>
      </c>
      <c r="M60" s="65">
        <v>36</v>
      </c>
      <c r="N60" s="65">
        <v>36</v>
      </c>
      <c r="O60" s="65">
        <v>36</v>
      </c>
      <c r="P60" s="65">
        <v>36</v>
      </c>
      <c r="Q60" s="65">
        <v>36</v>
      </c>
      <c r="R60" s="65">
        <v>36</v>
      </c>
      <c r="S60" s="65">
        <v>36</v>
      </c>
      <c r="T60" s="65">
        <v>36</v>
      </c>
      <c r="U60" s="65">
        <v>36</v>
      </c>
      <c r="V60" s="65">
        <v>36</v>
      </c>
      <c r="W60" s="65">
        <v>36</v>
      </c>
      <c r="X60" s="65">
        <v>36</v>
      </c>
      <c r="Y60" s="65">
        <v>36</v>
      </c>
      <c r="Z60" s="65">
        <v>36</v>
      </c>
      <c r="AA60" s="65">
        <v>36</v>
      </c>
      <c r="AB60" s="65">
        <v>36</v>
      </c>
      <c r="AC60" s="65">
        <v>36</v>
      </c>
      <c r="AD60" s="65">
        <v>36</v>
      </c>
      <c r="AE60" s="65">
        <v>36</v>
      </c>
      <c r="AF60" s="65">
        <v>36</v>
      </c>
      <c r="AG60" s="55">
        <v>60</v>
      </c>
      <c r="AH60" s="47">
        <f t="shared" si="2"/>
        <v>36</v>
      </c>
      <c r="AI60" s="48">
        <f t="shared" si="3"/>
        <v>36</v>
      </c>
      <c r="AK60" s="50"/>
    </row>
    <row r="61" spans="1:88" ht="15.75" thickBot="1" x14ac:dyDescent="0.3">
      <c r="A61" s="66" t="s">
        <v>61</v>
      </c>
      <c r="B61" s="67">
        <v>13.1</v>
      </c>
      <c r="C61" s="67">
        <v>13.1</v>
      </c>
      <c r="D61" s="67">
        <v>13.1</v>
      </c>
      <c r="E61" s="67">
        <v>13.1</v>
      </c>
      <c r="F61" s="67">
        <v>13.1</v>
      </c>
      <c r="G61" s="67">
        <v>13.1</v>
      </c>
      <c r="H61" s="67">
        <v>13.1</v>
      </c>
      <c r="I61" s="67">
        <v>13.1</v>
      </c>
      <c r="J61" s="67">
        <v>13.1</v>
      </c>
      <c r="K61" s="67">
        <v>13.1</v>
      </c>
      <c r="L61" s="67">
        <v>13.1</v>
      </c>
      <c r="M61" s="67">
        <v>11.7</v>
      </c>
      <c r="N61" s="67">
        <v>11.7</v>
      </c>
      <c r="O61" s="67">
        <v>11.7</v>
      </c>
      <c r="P61" s="67">
        <v>11.7</v>
      </c>
      <c r="Q61" s="67">
        <v>11.7</v>
      </c>
      <c r="R61" s="67">
        <v>11.2</v>
      </c>
      <c r="S61" s="67">
        <v>11.2</v>
      </c>
      <c r="T61" s="67">
        <v>11.2</v>
      </c>
      <c r="U61" s="67">
        <v>11.2</v>
      </c>
      <c r="V61" s="67">
        <v>11.2</v>
      </c>
      <c r="W61" s="67">
        <v>11.2</v>
      </c>
      <c r="X61" s="67">
        <v>11.2</v>
      </c>
      <c r="Y61" s="67">
        <v>11.2</v>
      </c>
      <c r="Z61" s="67">
        <v>11.2</v>
      </c>
      <c r="AA61" s="67">
        <v>11.2</v>
      </c>
      <c r="AB61" s="67">
        <v>11.2</v>
      </c>
      <c r="AC61" s="67">
        <v>11.2</v>
      </c>
      <c r="AD61" s="67">
        <v>11.2</v>
      </c>
      <c r="AE61" s="67">
        <v>11.2</v>
      </c>
      <c r="AF61" s="67">
        <v>11.2</v>
      </c>
      <c r="AG61" s="68">
        <v>22.1</v>
      </c>
      <c r="AH61" s="47">
        <f t="shared" si="2"/>
        <v>13.1</v>
      </c>
      <c r="AI61" s="48">
        <f t="shared" si="3"/>
        <v>11.2</v>
      </c>
      <c r="AK61" s="50"/>
    </row>
    <row r="62" spans="1:88" ht="15.75" thickBot="1" x14ac:dyDescent="0.3">
      <c r="A62" s="69" t="s">
        <v>62</v>
      </c>
      <c r="B62" s="60">
        <f t="shared" ref="B62:AG62" si="10">SUM(B59:B61)</f>
        <v>49.1</v>
      </c>
      <c r="C62" s="60">
        <f t="shared" si="10"/>
        <v>49.1</v>
      </c>
      <c r="D62" s="60">
        <f t="shared" si="10"/>
        <v>49.1</v>
      </c>
      <c r="E62" s="60">
        <f t="shared" ref="E62:F62" si="11">SUM(E59:E61)</f>
        <v>49.1</v>
      </c>
      <c r="F62" s="60">
        <f t="shared" si="11"/>
        <v>49.1</v>
      </c>
      <c r="G62" s="60">
        <f t="shared" si="10"/>
        <v>49.1</v>
      </c>
      <c r="H62" s="60">
        <f t="shared" ref="H62:I62" si="12">SUM(H59:H61)</f>
        <v>49.1</v>
      </c>
      <c r="I62" s="60">
        <f t="shared" si="12"/>
        <v>49.1</v>
      </c>
      <c r="J62" s="60">
        <f t="shared" ref="J62:K62" si="13">SUM(J59:J61)</f>
        <v>49.1</v>
      </c>
      <c r="K62" s="60">
        <f t="shared" si="13"/>
        <v>379.1</v>
      </c>
      <c r="L62" s="60">
        <f t="shared" ref="L62" si="14">SUM(L59:L61)</f>
        <v>449.1</v>
      </c>
      <c r="M62" s="60">
        <f t="shared" si="10"/>
        <v>447.7</v>
      </c>
      <c r="N62" s="60">
        <f t="shared" si="10"/>
        <v>447.7</v>
      </c>
      <c r="O62" s="60">
        <f t="shared" si="10"/>
        <v>347.7</v>
      </c>
      <c r="P62" s="60">
        <f t="shared" si="10"/>
        <v>137.69999999999999</v>
      </c>
      <c r="Q62" s="60">
        <f t="shared" si="10"/>
        <v>67.7</v>
      </c>
      <c r="R62" s="60">
        <f t="shared" si="10"/>
        <v>59.2</v>
      </c>
      <c r="S62" s="60">
        <f t="shared" si="10"/>
        <v>62.2</v>
      </c>
      <c r="T62" s="60">
        <f t="shared" si="10"/>
        <v>62.2</v>
      </c>
      <c r="U62" s="60">
        <f t="shared" ref="U62:V62" si="15">SUM(U59:U61)</f>
        <v>47.2</v>
      </c>
      <c r="V62" s="60">
        <f t="shared" si="15"/>
        <v>187.2</v>
      </c>
      <c r="W62" s="60">
        <f t="shared" si="10"/>
        <v>187.2</v>
      </c>
      <c r="X62" s="60">
        <f t="shared" si="10"/>
        <v>307.2</v>
      </c>
      <c r="Y62" s="60">
        <f t="shared" si="10"/>
        <v>307.2</v>
      </c>
      <c r="Z62" s="60">
        <f t="shared" si="10"/>
        <v>347.2</v>
      </c>
      <c r="AA62" s="60">
        <f t="shared" si="10"/>
        <v>247.2</v>
      </c>
      <c r="AB62" s="60">
        <f t="shared" si="10"/>
        <v>147.19999999999999</v>
      </c>
      <c r="AC62" s="60">
        <f t="shared" si="10"/>
        <v>107.2</v>
      </c>
      <c r="AD62" s="60">
        <f t="shared" si="10"/>
        <v>87.2</v>
      </c>
      <c r="AE62" s="60">
        <f t="shared" si="10"/>
        <v>47.2</v>
      </c>
      <c r="AF62" s="60">
        <f t="shared" si="10"/>
        <v>47.2</v>
      </c>
      <c r="AG62" s="61">
        <f t="shared" si="10"/>
        <v>538.1</v>
      </c>
      <c r="AH62" s="47">
        <f t="shared" si="2"/>
        <v>449.1</v>
      </c>
      <c r="AI62" s="48">
        <f t="shared" si="3"/>
        <v>47.2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30</v>
      </c>
      <c r="I63" s="45">
        <v>30</v>
      </c>
      <c r="J63" s="45">
        <v>110</v>
      </c>
      <c r="K63" s="45">
        <v>137.30000000000001</v>
      </c>
      <c r="L63" s="45">
        <v>130</v>
      </c>
      <c r="M63" s="45">
        <v>145.1</v>
      </c>
      <c r="N63" s="45">
        <v>93.4</v>
      </c>
      <c r="O63" s="45">
        <v>92.1</v>
      </c>
      <c r="P63" s="45">
        <v>111.9</v>
      </c>
      <c r="Q63" s="45">
        <v>111.7</v>
      </c>
      <c r="R63" s="45">
        <v>111.5</v>
      </c>
      <c r="S63" s="45">
        <v>70</v>
      </c>
      <c r="T63" s="45">
        <v>81.2</v>
      </c>
      <c r="U63" s="45">
        <v>71</v>
      </c>
      <c r="V63" s="45">
        <v>81.2</v>
      </c>
      <c r="W63" s="45">
        <v>61</v>
      </c>
      <c r="X63" s="45">
        <v>71.8</v>
      </c>
      <c r="Y63" s="45">
        <v>111.4</v>
      </c>
      <c r="Z63" s="45">
        <v>90</v>
      </c>
      <c r="AA63" s="45">
        <v>71.7</v>
      </c>
      <c r="AB63" s="45">
        <v>71.7</v>
      </c>
      <c r="AC63" s="45">
        <v>71.7</v>
      </c>
      <c r="AD63" s="45">
        <v>40</v>
      </c>
      <c r="AE63" s="45">
        <v>40</v>
      </c>
      <c r="AF63" s="45">
        <v>0</v>
      </c>
      <c r="AG63" s="52">
        <v>144</v>
      </c>
      <c r="AH63" s="47">
        <f t="shared" si="2"/>
        <v>145.1</v>
      </c>
      <c r="AI63" s="48">
        <f t="shared" si="3"/>
        <v>0</v>
      </c>
      <c r="AK63" s="50"/>
    </row>
    <row r="64" spans="1:88" x14ac:dyDescent="0.25">
      <c r="A64" s="54" t="s">
        <v>64</v>
      </c>
      <c r="B64" s="65">
        <v>27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25</v>
      </c>
      <c r="I64" s="65">
        <v>30</v>
      </c>
      <c r="J64" s="65">
        <v>50.2</v>
      </c>
      <c r="K64" s="65">
        <v>60</v>
      </c>
      <c r="L64" s="65">
        <v>60</v>
      </c>
      <c r="M64" s="65">
        <v>59.6</v>
      </c>
      <c r="N64" s="65">
        <v>61.1</v>
      </c>
      <c r="O64" s="65">
        <v>60.5</v>
      </c>
      <c r="P64" s="65">
        <v>59.3</v>
      </c>
      <c r="Q64" s="65">
        <v>43.7</v>
      </c>
      <c r="R64" s="65">
        <v>54.1</v>
      </c>
      <c r="S64" s="45">
        <v>28.3</v>
      </c>
      <c r="T64" s="45">
        <v>28.4</v>
      </c>
      <c r="U64" s="45">
        <v>35</v>
      </c>
      <c r="V64" s="45">
        <v>28.4</v>
      </c>
      <c r="W64" s="45">
        <v>26</v>
      </c>
      <c r="X64" s="45">
        <v>63.6</v>
      </c>
      <c r="Y64" s="45">
        <v>68</v>
      </c>
      <c r="Z64" s="45">
        <v>68</v>
      </c>
      <c r="AA64" s="45">
        <v>62</v>
      </c>
      <c r="AB64" s="45">
        <v>34</v>
      </c>
      <c r="AC64" s="45">
        <v>34</v>
      </c>
      <c r="AD64" s="65">
        <v>25</v>
      </c>
      <c r="AE64" s="65">
        <v>25</v>
      </c>
      <c r="AF64" s="65">
        <v>25</v>
      </c>
      <c r="AG64" s="55">
        <v>70</v>
      </c>
      <c r="AH64" s="47">
        <f t="shared" si="2"/>
        <v>68</v>
      </c>
      <c r="AI64" s="48">
        <f t="shared" si="3"/>
        <v>0</v>
      </c>
      <c r="AK64" s="50"/>
    </row>
    <row r="65" spans="1:41" x14ac:dyDescent="0.25">
      <c r="A65" s="54" t="s">
        <v>65</v>
      </c>
      <c r="B65" s="65">
        <v>33</v>
      </c>
      <c r="C65" s="65">
        <v>20.9</v>
      </c>
      <c r="D65" s="65">
        <v>15.9</v>
      </c>
      <c r="E65" s="65">
        <v>0</v>
      </c>
      <c r="F65" s="65">
        <v>0</v>
      </c>
      <c r="G65" s="65">
        <v>0</v>
      </c>
      <c r="H65" s="65">
        <v>32</v>
      </c>
      <c r="I65" s="65">
        <v>40</v>
      </c>
      <c r="J65" s="65">
        <v>52.1</v>
      </c>
      <c r="K65" s="65">
        <v>65.5</v>
      </c>
      <c r="L65" s="65">
        <v>60.6</v>
      </c>
      <c r="M65" s="65">
        <v>61.1</v>
      </c>
      <c r="N65" s="65">
        <v>60.9</v>
      </c>
      <c r="O65" s="65">
        <v>66.400000000000006</v>
      </c>
      <c r="P65" s="65">
        <v>34</v>
      </c>
      <c r="Q65" s="65">
        <v>15.4</v>
      </c>
      <c r="R65" s="65">
        <v>21.6</v>
      </c>
      <c r="S65" s="45">
        <v>22.9</v>
      </c>
      <c r="T65" s="45">
        <v>23.1</v>
      </c>
      <c r="U65" s="45">
        <v>47</v>
      </c>
      <c r="V65" s="45">
        <v>23.1</v>
      </c>
      <c r="W65" s="45">
        <v>46</v>
      </c>
      <c r="X65" s="45">
        <v>46</v>
      </c>
      <c r="Y65" s="45">
        <v>68</v>
      </c>
      <c r="Z65" s="45">
        <v>68</v>
      </c>
      <c r="AA65" s="45">
        <v>68</v>
      </c>
      <c r="AB65" s="45">
        <v>66</v>
      </c>
      <c r="AC65" s="45">
        <v>66</v>
      </c>
      <c r="AD65" s="65">
        <v>46</v>
      </c>
      <c r="AE65" s="65">
        <v>46</v>
      </c>
      <c r="AF65" s="65">
        <v>23</v>
      </c>
      <c r="AG65" s="55">
        <v>69</v>
      </c>
      <c r="AH65" s="47">
        <f t="shared" si="2"/>
        <v>68</v>
      </c>
      <c r="AI65" s="48">
        <f t="shared" si="3"/>
        <v>0</v>
      </c>
      <c r="AK65" s="50"/>
    </row>
    <row r="66" spans="1:41" x14ac:dyDescent="0.25">
      <c r="A66" s="54" t="s">
        <v>66</v>
      </c>
      <c r="B66" s="65">
        <v>48.1</v>
      </c>
      <c r="C66" s="65">
        <v>48.1</v>
      </c>
      <c r="D66" s="65">
        <v>48.1</v>
      </c>
      <c r="E66" s="65">
        <v>48.1</v>
      </c>
      <c r="F66" s="65">
        <v>48.1</v>
      </c>
      <c r="G66" s="65">
        <v>48.1</v>
      </c>
      <c r="H66" s="65">
        <v>48.1</v>
      </c>
      <c r="I66" s="65">
        <v>48.1</v>
      </c>
      <c r="J66" s="65">
        <v>48.1</v>
      </c>
      <c r="K66" s="65">
        <v>48.1</v>
      </c>
      <c r="L66" s="57">
        <v>48.2</v>
      </c>
      <c r="M66" s="65">
        <v>50.4</v>
      </c>
      <c r="N66" s="65">
        <v>48.4</v>
      </c>
      <c r="O66" s="65">
        <v>48.1</v>
      </c>
      <c r="P66" s="65">
        <v>46.4</v>
      </c>
      <c r="Q66" s="65">
        <v>46.4</v>
      </c>
      <c r="R66" s="65">
        <v>48.1</v>
      </c>
      <c r="S66" s="45">
        <v>46.4</v>
      </c>
      <c r="T66" s="45">
        <v>46.1</v>
      </c>
      <c r="U66" s="45">
        <v>46.1</v>
      </c>
      <c r="V66" s="45">
        <v>46.1</v>
      </c>
      <c r="W66" s="45">
        <v>46.1</v>
      </c>
      <c r="X66" s="45">
        <v>46.1</v>
      </c>
      <c r="Y66" s="45">
        <v>46.1</v>
      </c>
      <c r="Z66" s="45">
        <v>46.1</v>
      </c>
      <c r="AA66" s="45">
        <v>49.4</v>
      </c>
      <c r="AB66" s="45">
        <v>49.4</v>
      </c>
      <c r="AC66" s="45">
        <v>49.4</v>
      </c>
      <c r="AD66" s="65">
        <v>46</v>
      </c>
      <c r="AE66" s="65">
        <v>46</v>
      </c>
      <c r="AF66" s="65">
        <v>46</v>
      </c>
      <c r="AG66" s="55">
        <v>60</v>
      </c>
      <c r="AH66" s="47">
        <f t="shared" si="2"/>
        <v>50.4</v>
      </c>
      <c r="AI66" s="48">
        <f t="shared" si="3"/>
        <v>46</v>
      </c>
      <c r="AK66" s="50"/>
    </row>
    <row r="67" spans="1:41" x14ac:dyDescent="0.25">
      <c r="A67" s="54" t="s">
        <v>67</v>
      </c>
      <c r="B67" s="65">
        <v>0</v>
      </c>
      <c r="C67" s="65">
        <v>0</v>
      </c>
      <c r="D67" s="65">
        <v>0</v>
      </c>
      <c r="E67" s="65">
        <v>0</v>
      </c>
      <c r="F67" s="65">
        <v>0</v>
      </c>
      <c r="G67" s="65">
        <v>10</v>
      </c>
      <c r="H67" s="65">
        <v>15</v>
      </c>
      <c r="I67" s="65">
        <v>10</v>
      </c>
      <c r="J67" s="65">
        <v>10</v>
      </c>
      <c r="K67" s="65">
        <v>10</v>
      </c>
      <c r="L67" s="57">
        <v>15</v>
      </c>
      <c r="M67" s="65">
        <v>23</v>
      </c>
      <c r="N67" s="65">
        <v>23</v>
      </c>
      <c r="O67" s="65">
        <v>28</v>
      </c>
      <c r="P67" s="65">
        <v>23</v>
      </c>
      <c r="Q67" s="65">
        <v>15</v>
      </c>
      <c r="R67" s="65">
        <v>10</v>
      </c>
      <c r="S67" s="65">
        <v>10</v>
      </c>
      <c r="T67" s="65">
        <v>0</v>
      </c>
      <c r="U67" s="65">
        <v>0</v>
      </c>
      <c r="V67" s="65">
        <v>0</v>
      </c>
      <c r="W67" s="65">
        <v>15</v>
      </c>
      <c r="X67" s="45">
        <v>15</v>
      </c>
      <c r="Y67" s="45">
        <v>23</v>
      </c>
      <c r="Z67" s="45">
        <v>30</v>
      </c>
      <c r="AA67" s="45">
        <v>30</v>
      </c>
      <c r="AB67" s="45">
        <v>30</v>
      </c>
      <c r="AC67" s="45">
        <v>30</v>
      </c>
      <c r="AD67" s="65">
        <v>10</v>
      </c>
      <c r="AE67" s="65">
        <v>0</v>
      </c>
      <c r="AF67" s="65">
        <v>0</v>
      </c>
      <c r="AG67" s="55">
        <v>30</v>
      </c>
      <c r="AH67" s="47">
        <f t="shared" si="2"/>
        <v>30</v>
      </c>
      <c r="AI67" s="48">
        <f t="shared" si="3"/>
        <v>0</v>
      </c>
      <c r="AK67" s="50"/>
    </row>
    <row r="68" spans="1:41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65">
        <v>0</v>
      </c>
      <c r="M68" s="65">
        <v>0.9</v>
      </c>
      <c r="N68" s="65">
        <v>1.5</v>
      </c>
      <c r="O68" s="65">
        <v>3.2</v>
      </c>
      <c r="P68" s="65">
        <v>15.2</v>
      </c>
      <c r="Q68" s="65">
        <v>15.2</v>
      </c>
      <c r="R68" s="65">
        <v>14.9</v>
      </c>
      <c r="S68" s="65">
        <v>14.9</v>
      </c>
      <c r="T68" s="65">
        <v>10</v>
      </c>
      <c r="U68" s="65">
        <v>5</v>
      </c>
      <c r="V68" s="65">
        <v>3</v>
      </c>
      <c r="W68" s="65">
        <v>1</v>
      </c>
      <c r="X68" s="45">
        <v>0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55">
        <v>25</v>
      </c>
      <c r="AH68" s="47">
        <f t="shared" si="2"/>
        <v>15.2</v>
      </c>
      <c r="AI68" s="48">
        <f t="shared" si="3"/>
        <v>0</v>
      </c>
      <c r="AK68" s="50"/>
    </row>
    <row r="69" spans="1:41" x14ac:dyDescent="0.25">
      <c r="A69" s="54" t="s">
        <v>69</v>
      </c>
      <c r="B69" s="65">
        <v>15</v>
      </c>
      <c r="C69" s="65">
        <v>15</v>
      </c>
      <c r="D69" s="65">
        <v>15</v>
      </c>
      <c r="E69" s="65">
        <v>15</v>
      </c>
      <c r="F69" s="65">
        <v>15</v>
      </c>
      <c r="G69" s="65">
        <v>15</v>
      </c>
      <c r="H69" s="65">
        <v>15</v>
      </c>
      <c r="I69" s="65">
        <v>15</v>
      </c>
      <c r="J69" s="65">
        <v>15</v>
      </c>
      <c r="K69" s="65">
        <v>15</v>
      </c>
      <c r="L69" s="65">
        <v>15</v>
      </c>
      <c r="M69" s="65">
        <v>15</v>
      </c>
      <c r="N69" s="65">
        <v>15</v>
      </c>
      <c r="O69" s="65">
        <v>15</v>
      </c>
      <c r="P69" s="65">
        <v>15</v>
      </c>
      <c r="Q69" s="65">
        <v>15</v>
      </c>
      <c r="R69" s="65">
        <v>15</v>
      </c>
      <c r="S69" s="65">
        <v>15</v>
      </c>
      <c r="T69" s="65">
        <v>15</v>
      </c>
      <c r="U69" s="65">
        <v>15</v>
      </c>
      <c r="V69" s="65">
        <v>15</v>
      </c>
      <c r="W69" s="65">
        <v>15</v>
      </c>
      <c r="X69" s="65">
        <v>15</v>
      </c>
      <c r="Y69" s="65">
        <v>15</v>
      </c>
      <c r="Z69" s="65">
        <v>15</v>
      </c>
      <c r="AA69" s="65">
        <v>15</v>
      </c>
      <c r="AB69" s="65">
        <v>15</v>
      </c>
      <c r="AC69" s="65">
        <v>15</v>
      </c>
      <c r="AD69" s="65">
        <v>15</v>
      </c>
      <c r="AE69" s="65">
        <v>15</v>
      </c>
      <c r="AF69" s="65">
        <v>15</v>
      </c>
      <c r="AG69" s="55">
        <v>24</v>
      </c>
      <c r="AH69" s="47">
        <f t="shared" si="2"/>
        <v>15</v>
      </c>
      <c r="AI69" s="48">
        <f t="shared" si="3"/>
        <v>15</v>
      </c>
      <c r="AK69" s="50"/>
    </row>
    <row r="70" spans="1:41" x14ac:dyDescent="0.25">
      <c r="A70" s="54" t="s">
        <v>70</v>
      </c>
      <c r="B70" s="65">
        <v>4.5</v>
      </c>
      <c r="C70" s="65">
        <v>4.5</v>
      </c>
      <c r="D70" s="65">
        <v>4.5</v>
      </c>
      <c r="E70" s="65">
        <v>4.5</v>
      </c>
      <c r="F70" s="65">
        <v>4.5</v>
      </c>
      <c r="G70" s="65">
        <v>4.5</v>
      </c>
      <c r="H70" s="65">
        <v>4.5</v>
      </c>
      <c r="I70" s="65">
        <v>4.5</v>
      </c>
      <c r="J70" s="65">
        <v>4.5</v>
      </c>
      <c r="K70" s="65">
        <v>4.5</v>
      </c>
      <c r="L70" s="65">
        <v>4.5</v>
      </c>
      <c r="M70" s="65">
        <v>4.5</v>
      </c>
      <c r="N70" s="65">
        <v>4.5</v>
      </c>
      <c r="O70" s="65">
        <v>4.5</v>
      </c>
      <c r="P70" s="65">
        <v>4.5</v>
      </c>
      <c r="Q70" s="65">
        <v>4.5</v>
      </c>
      <c r="R70" s="65">
        <v>4.5</v>
      </c>
      <c r="S70" s="65">
        <v>4.5</v>
      </c>
      <c r="T70" s="65">
        <v>4.5</v>
      </c>
      <c r="U70" s="65">
        <v>4.5</v>
      </c>
      <c r="V70" s="65">
        <v>4.5</v>
      </c>
      <c r="W70" s="65">
        <v>4.5</v>
      </c>
      <c r="X70" s="65">
        <v>4.5</v>
      </c>
      <c r="Y70" s="65">
        <v>4.5</v>
      </c>
      <c r="Z70" s="65">
        <v>4.5</v>
      </c>
      <c r="AA70" s="65">
        <v>4.5</v>
      </c>
      <c r="AB70" s="65">
        <v>4.5</v>
      </c>
      <c r="AC70" s="65">
        <v>4.5</v>
      </c>
      <c r="AD70" s="65">
        <v>4.5</v>
      </c>
      <c r="AE70" s="65">
        <v>4.5</v>
      </c>
      <c r="AF70" s="65">
        <v>4.5</v>
      </c>
      <c r="AG70" s="55">
        <v>15</v>
      </c>
      <c r="AH70" s="47">
        <f t="shared" si="2"/>
        <v>4.5</v>
      </c>
      <c r="AI70" s="48">
        <f t="shared" si="3"/>
        <v>4.5</v>
      </c>
      <c r="AK70" s="50"/>
      <c r="AL70" s="70"/>
      <c r="AO70" s="70"/>
    </row>
    <row r="71" spans="1:41" s="70" customFormat="1" x14ac:dyDescent="0.25">
      <c r="A71" s="54" t="s">
        <v>71</v>
      </c>
      <c r="B71" s="65">
        <v>10</v>
      </c>
      <c r="C71" s="65">
        <v>10</v>
      </c>
      <c r="D71" s="65">
        <v>10</v>
      </c>
      <c r="E71" s="65">
        <v>10</v>
      </c>
      <c r="F71" s="65">
        <v>10</v>
      </c>
      <c r="G71" s="65">
        <v>10</v>
      </c>
      <c r="H71" s="65">
        <v>10</v>
      </c>
      <c r="I71" s="65">
        <v>10</v>
      </c>
      <c r="J71" s="65">
        <v>10</v>
      </c>
      <c r="K71" s="65">
        <v>10</v>
      </c>
      <c r="L71" s="65">
        <v>10</v>
      </c>
      <c r="M71" s="65">
        <v>10</v>
      </c>
      <c r="N71" s="65">
        <v>10</v>
      </c>
      <c r="O71" s="65">
        <v>10</v>
      </c>
      <c r="P71" s="65">
        <v>10</v>
      </c>
      <c r="Q71" s="65">
        <v>10</v>
      </c>
      <c r="R71" s="65">
        <v>10</v>
      </c>
      <c r="S71" s="65">
        <v>10</v>
      </c>
      <c r="T71" s="65">
        <v>10</v>
      </c>
      <c r="U71" s="65">
        <v>10</v>
      </c>
      <c r="V71" s="65">
        <v>10</v>
      </c>
      <c r="W71" s="65">
        <v>10</v>
      </c>
      <c r="X71" s="65">
        <v>10</v>
      </c>
      <c r="Y71" s="65">
        <v>10</v>
      </c>
      <c r="Z71" s="65">
        <v>10</v>
      </c>
      <c r="AA71" s="65">
        <v>10</v>
      </c>
      <c r="AB71" s="65">
        <v>10</v>
      </c>
      <c r="AC71" s="65">
        <v>10</v>
      </c>
      <c r="AD71" s="65">
        <v>10</v>
      </c>
      <c r="AE71" s="65">
        <v>10</v>
      </c>
      <c r="AF71" s="65">
        <v>10</v>
      </c>
      <c r="AG71" s="55">
        <v>14.1</v>
      </c>
      <c r="AH71" s="47">
        <f t="shared" si="2"/>
        <v>10</v>
      </c>
      <c r="AI71" s="48">
        <f t="shared" si="3"/>
        <v>10</v>
      </c>
      <c r="AJ71" s="1"/>
      <c r="AK71" s="50"/>
      <c r="AL71" s="1"/>
      <c r="AM71" s="1"/>
      <c r="AN71" s="1"/>
      <c r="AO71" s="1"/>
    </row>
    <row r="72" spans="1:41" x14ac:dyDescent="0.25">
      <c r="A72" s="71" t="s">
        <v>72</v>
      </c>
      <c r="B72" s="65">
        <v>4.5999999999999996</v>
      </c>
      <c r="C72" s="65">
        <v>4.5999999999999996</v>
      </c>
      <c r="D72" s="65">
        <v>4.5999999999999996</v>
      </c>
      <c r="E72" s="65">
        <v>4.5999999999999996</v>
      </c>
      <c r="F72" s="65">
        <v>4.5999999999999996</v>
      </c>
      <c r="G72" s="65">
        <v>4.5999999999999996</v>
      </c>
      <c r="H72" s="65">
        <v>4.5999999999999996</v>
      </c>
      <c r="I72" s="65">
        <v>4.5999999999999996</v>
      </c>
      <c r="J72" s="65">
        <v>4.5999999999999996</v>
      </c>
      <c r="K72" s="65">
        <v>4.5999999999999996</v>
      </c>
      <c r="L72" s="65">
        <v>4.5999999999999996</v>
      </c>
      <c r="M72" s="65">
        <v>4.5999999999999996</v>
      </c>
      <c r="N72" s="65">
        <v>4.5999999999999996</v>
      </c>
      <c r="O72" s="65">
        <v>4.5999999999999996</v>
      </c>
      <c r="P72" s="65">
        <v>4.5999999999999996</v>
      </c>
      <c r="Q72" s="65">
        <v>4.5999999999999996</v>
      </c>
      <c r="R72" s="65">
        <v>4.5999999999999996</v>
      </c>
      <c r="S72" s="65">
        <v>4.5999999999999996</v>
      </c>
      <c r="T72" s="65">
        <v>4.5999999999999996</v>
      </c>
      <c r="U72" s="65">
        <v>4.5999999999999996</v>
      </c>
      <c r="V72" s="65">
        <v>4.5999999999999996</v>
      </c>
      <c r="W72" s="65">
        <v>4.5999999999999996</v>
      </c>
      <c r="X72" s="65">
        <v>4.5999999999999996</v>
      </c>
      <c r="Y72" s="65">
        <v>4.5999999999999996</v>
      </c>
      <c r="Z72" s="65">
        <v>4.5999999999999996</v>
      </c>
      <c r="AA72" s="65">
        <v>4.5999999999999996</v>
      </c>
      <c r="AB72" s="65">
        <v>4.5999999999999996</v>
      </c>
      <c r="AC72" s="65">
        <v>4.5999999999999996</v>
      </c>
      <c r="AD72" s="65">
        <v>4.5999999999999996</v>
      </c>
      <c r="AE72" s="65">
        <v>4.5999999999999996</v>
      </c>
      <c r="AF72" s="65">
        <v>4.5999999999999996</v>
      </c>
      <c r="AG72" s="55">
        <v>14</v>
      </c>
      <c r="AH72" s="47">
        <f t="shared" si="2"/>
        <v>4.5999999999999996</v>
      </c>
      <c r="AI72" s="48">
        <f t="shared" si="3"/>
        <v>4.5999999999999996</v>
      </c>
      <c r="AK72" s="50"/>
    </row>
    <row r="73" spans="1:41" x14ac:dyDescent="0.25">
      <c r="A73" s="54" t="s">
        <v>73</v>
      </c>
      <c r="B73" s="65">
        <v>5</v>
      </c>
      <c r="C73" s="65">
        <v>5</v>
      </c>
      <c r="D73" s="65">
        <v>5</v>
      </c>
      <c r="E73" s="65">
        <v>5</v>
      </c>
      <c r="F73" s="65">
        <v>5</v>
      </c>
      <c r="G73" s="65">
        <v>5</v>
      </c>
      <c r="H73" s="65">
        <v>5</v>
      </c>
      <c r="I73" s="65">
        <v>5</v>
      </c>
      <c r="J73" s="65">
        <v>5</v>
      </c>
      <c r="K73" s="65">
        <v>5</v>
      </c>
      <c r="L73" s="65">
        <v>5</v>
      </c>
      <c r="M73" s="65">
        <v>5</v>
      </c>
      <c r="N73" s="65">
        <v>5</v>
      </c>
      <c r="O73" s="65">
        <v>5</v>
      </c>
      <c r="P73" s="65">
        <v>5</v>
      </c>
      <c r="Q73" s="65">
        <v>5</v>
      </c>
      <c r="R73" s="65">
        <v>5</v>
      </c>
      <c r="S73" s="65">
        <v>0</v>
      </c>
      <c r="T73" s="65">
        <v>5</v>
      </c>
      <c r="U73" s="65">
        <v>5</v>
      </c>
      <c r="V73" s="65">
        <v>5</v>
      </c>
      <c r="W73" s="65">
        <v>5</v>
      </c>
      <c r="X73" s="65">
        <v>5</v>
      </c>
      <c r="Y73" s="65">
        <v>5</v>
      </c>
      <c r="Z73" s="65">
        <v>5</v>
      </c>
      <c r="AA73" s="65">
        <v>5</v>
      </c>
      <c r="AB73" s="65">
        <v>5</v>
      </c>
      <c r="AC73" s="65">
        <v>5</v>
      </c>
      <c r="AD73" s="65">
        <v>5</v>
      </c>
      <c r="AE73" s="65">
        <v>5</v>
      </c>
      <c r="AF73" s="65">
        <v>5</v>
      </c>
      <c r="AG73" s="55">
        <v>10.050000000000001</v>
      </c>
      <c r="AH73" s="47">
        <f t="shared" si="2"/>
        <v>5</v>
      </c>
      <c r="AI73" s="48">
        <f t="shared" si="3"/>
        <v>0</v>
      </c>
      <c r="AK73" s="50"/>
    </row>
    <row r="74" spans="1:41" x14ac:dyDescent="0.25">
      <c r="A74" s="54" t="s">
        <v>74</v>
      </c>
      <c r="B74" s="65">
        <v>3</v>
      </c>
      <c r="C74" s="65">
        <v>3</v>
      </c>
      <c r="D74" s="65">
        <v>3</v>
      </c>
      <c r="E74" s="65">
        <v>3</v>
      </c>
      <c r="F74" s="65">
        <v>3</v>
      </c>
      <c r="G74" s="65">
        <v>3</v>
      </c>
      <c r="H74" s="65">
        <v>3</v>
      </c>
      <c r="I74" s="65">
        <v>3</v>
      </c>
      <c r="J74" s="65">
        <v>3</v>
      </c>
      <c r="K74" s="65">
        <v>3</v>
      </c>
      <c r="L74" s="65">
        <v>3</v>
      </c>
      <c r="M74" s="65">
        <v>3</v>
      </c>
      <c r="N74" s="65">
        <v>3</v>
      </c>
      <c r="O74" s="65">
        <v>3</v>
      </c>
      <c r="P74" s="65">
        <v>3</v>
      </c>
      <c r="Q74" s="65">
        <v>3</v>
      </c>
      <c r="R74" s="65">
        <v>3</v>
      </c>
      <c r="S74" s="65">
        <v>3</v>
      </c>
      <c r="T74" s="65">
        <v>3</v>
      </c>
      <c r="U74" s="65">
        <v>3</v>
      </c>
      <c r="V74" s="65">
        <v>3</v>
      </c>
      <c r="W74" s="65">
        <v>3</v>
      </c>
      <c r="X74" s="65">
        <v>3</v>
      </c>
      <c r="Y74" s="65">
        <v>3</v>
      </c>
      <c r="Z74" s="65">
        <v>3</v>
      </c>
      <c r="AA74" s="65">
        <v>3</v>
      </c>
      <c r="AB74" s="65">
        <v>3</v>
      </c>
      <c r="AC74" s="65">
        <v>3</v>
      </c>
      <c r="AD74" s="65">
        <v>3</v>
      </c>
      <c r="AE74" s="65">
        <v>3</v>
      </c>
      <c r="AF74" s="65">
        <v>3</v>
      </c>
      <c r="AG74" s="55">
        <v>6.2</v>
      </c>
      <c r="AH74" s="47">
        <f t="shared" si="2"/>
        <v>3</v>
      </c>
      <c r="AI74" s="48">
        <f t="shared" si="3"/>
        <v>3</v>
      </c>
      <c r="AK74" s="50"/>
    </row>
    <row r="75" spans="1:41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3.54</v>
      </c>
      <c r="Z75" s="72">
        <v>3.54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2"/>
        <v>3.54</v>
      </c>
      <c r="AI75" s="48">
        <f t="shared" si="3"/>
        <v>3.54</v>
      </c>
      <c r="AK75" s="50"/>
    </row>
    <row r="76" spans="1:41" ht="15.75" thickBot="1" x14ac:dyDescent="0.3">
      <c r="A76" s="74" t="s">
        <v>76</v>
      </c>
      <c r="B76" s="60">
        <f t="shared" ref="B76:AG76" si="16">SUM(B63:B75)</f>
        <v>153.73999999999998</v>
      </c>
      <c r="C76" s="60">
        <f t="shared" si="16"/>
        <v>114.64</v>
      </c>
      <c r="D76" s="60">
        <f t="shared" si="16"/>
        <v>109.64</v>
      </c>
      <c r="E76" s="60">
        <f t="shared" si="16"/>
        <v>93.74</v>
      </c>
      <c r="F76" s="60">
        <f t="shared" si="16"/>
        <v>93.74</v>
      </c>
      <c r="G76" s="60">
        <f t="shared" si="16"/>
        <v>103.74</v>
      </c>
      <c r="H76" s="60">
        <f t="shared" si="16"/>
        <v>195.73999999999998</v>
      </c>
      <c r="I76" s="60">
        <f t="shared" si="16"/>
        <v>203.73999999999998</v>
      </c>
      <c r="J76" s="60">
        <f t="shared" si="16"/>
        <v>316.04000000000002</v>
      </c>
      <c r="K76" s="60">
        <f t="shared" ref="K76" si="17">SUM(K63:K75)</f>
        <v>366.54000000000008</v>
      </c>
      <c r="L76" s="60">
        <f t="shared" si="16"/>
        <v>359.44000000000005</v>
      </c>
      <c r="M76" s="60">
        <f t="shared" si="16"/>
        <v>385.74</v>
      </c>
      <c r="N76" s="60">
        <f t="shared" si="16"/>
        <v>333.94000000000005</v>
      </c>
      <c r="O76" s="60">
        <f t="shared" si="16"/>
        <v>343.94000000000005</v>
      </c>
      <c r="P76" s="60">
        <f t="shared" si="16"/>
        <v>335.44000000000005</v>
      </c>
      <c r="Q76" s="60">
        <f t="shared" si="16"/>
        <v>293.04000000000002</v>
      </c>
      <c r="R76" s="60">
        <f t="shared" si="16"/>
        <v>305.84000000000003</v>
      </c>
      <c r="S76" s="60">
        <f t="shared" si="16"/>
        <v>233.14</v>
      </c>
      <c r="T76" s="60">
        <f t="shared" si="16"/>
        <v>234.43999999999997</v>
      </c>
      <c r="U76" s="60">
        <f t="shared" ref="U76:V76" si="18">SUM(U63:U75)</f>
        <v>249.73999999999998</v>
      </c>
      <c r="V76" s="60">
        <f t="shared" si="18"/>
        <v>227.43999999999997</v>
      </c>
      <c r="W76" s="60">
        <f t="shared" si="16"/>
        <v>240.73999999999998</v>
      </c>
      <c r="X76" s="60">
        <f t="shared" si="16"/>
        <v>288.14000000000004</v>
      </c>
      <c r="Y76" s="60">
        <f t="shared" si="16"/>
        <v>362.14000000000004</v>
      </c>
      <c r="Z76" s="60">
        <f t="shared" si="16"/>
        <v>347.74000000000007</v>
      </c>
      <c r="AA76" s="60">
        <f t="shared" si="16"/>
        <v>326.74000000000007</v>
      </c>
      <c r="AB76" s="60">
        <f t="shared" si="16"/>
        <v>296.74000000000007</v>
      </c>
      <c r="AC76" s="60">
        <f t="shared" si="16"/>
        <v>296.74000000000007</v>
      </c>
      <c r="AD76" s="60">
        <f t="shared" si="16"/>
        <v>212.64</v>
      </c>
      <c r="AE76" s="60">
        <f t="shared" si="16"/>
        <v>202.64</v>
      </c>
      <c r="AF76" s="60">
        <f t="shared" si="16"/>
        <v>139.63999999999999</v>
      </c>
      <c r="AG76" s="61">
        <f t="shared" si="16"/>
        <v>489.91</v>
      </c>
      <c r="AH76" s="47">
        <f t="shared" si="2"/>
        <v>385.74</v>
      </c>
      <c r="AI76" s="48">
        <f t="shared" si="3"/>
        <v>93.74</v>
      </c>
      <c r="AK76" s="50"/>
    </row>
    <row r="77" spans="1:41" x14ac:dyDescent="0.25">
      <c r="A77" s="44" t="s">
        <v>77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>
        <v>29</v>
      </c>
      <c r="O77" s="45">
        <v>29.4</v>
      </c>
      <c r="P77" s="45">
        <v>60</v>
      </c>
      <c r="Q77" s="45">
        <v>59.7</v>
      </c>
      <c r="R77" s="45">
        <v>59.9</v>
      </c>
      <c r="S77" s="45">
        <v>59.4</v>
      </c>
      <c r="T77" s="45">
        <v>50.5</v>
      </c>
      <c r="U77" s="45">
        <v>60</v>
      </c>
      <c r="V77" s="45">
        <v>59.6</v>
      </c>
      <c r="W77" s="45">
        <v>59.6</v>
      </c>
      <c r="X77" s="45">
        <v>59.6</v>
      </c>
      <c r="Y77" s="45">
        <v>59.6</v>
      </c>
      <c r="Z77" s="45">
        <v>59.6</v>
      </c>
      <c r="AA77" s="45">
        <v>59.6</v>
      </c>
      <c r="AB77" s="45">
        <v>59.6</v>
      </c>
      <c r="AC77" s="45">
        <v>27</v>
      </c>
      <c r="AD77" s="45">
        <v>30</v>
      </c>
      <c r="AE77" s="45">
        <v>0</v>
      </c>
      <c r="AF77" s="45">
        <v>0</v>
      </c>
      <c r="AG77" s="52">
        <v>60</v>
      </c>
      <c r="AH77" s="47">
        <f t="shared" si="2"/>
        <v>60</v>
      </c>
      <c r="AI77" s="48">
        <f t="shared" si="3"/>
        <v>0</v>
      </c>
      <c r="AK77" s="50"/>
    </row>
    <row r="78" spans="1:41" x14ac:dyDescent="0.25">
      <c r="A78" s="54" t="s">
        <v>78</v>
      </c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>
        <v>14.1</v>
      </c>
      <c r="O78" s="65">
        <v>13.9</v>
      </c>
      <c r="P78" s="65">
        <v>27.8</v>
      </c>
      <c r="Q78" s="65">
        <v>27.7</v>
      </c>
      <c r="R78" s="65">
        <v>27.8</v>
      </c>
      <c r="S78" s="65">
        <v>27.4</v>
      </c>
      <c r="T78" s="65">
        <v>23.2</v>
      </c>
      <c r="U78" s="65">
        <v>28</v>
      </c>
      <c r="V78" s="65">
        <v>27.8</v>
      </c>
      <c r="W78" s="65">
        <v>27.8</v>
      </c>
      <c r="X78" s="65">
        <v>27.8</v>
      </c>
      <c r="Y78" s="65">
        <v>27.8</v>
      </c>
      <c r="Z78" s="65">
        <v>27.8</v>
      </c>
      <c r="AA78" s="65">
        <v>27.8</v>
      </c>
      <c r="AB78" s="65">
        <v>27.8</v>
      </c>
      <c r="AC78" s="65">
        <v>11</v>
      </c>
      <c r="AD78" s="65">
        <v>13</v>
      </c>
      <c r="AE78" s="65">
        <v>0</v>
      </c>
      <c r="AF78" s="65">
        <v>0</v>
      </c>
      <c r="AG78" s="55">
        <v>32</v>
      </c>
      <c r="AH78" s="47">
        <f t="shared" si="2"/>
        <v>28</v>
      </c>
      <c r="AI78" s="48">
        <f t="shared" si="3"/>
        <v>0</v>
      </c>
      <c r="AK78" s="50"/>
    </row>
    <row r="79" spans="1:41" ht="15.75" thickBot="1" x14ac:dyDescent="0.3">
      <c r="A79" s="71" t="s">
        <v>79</v>
      </c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>
        <v>5.0999999999999996</v>
      </c>
      <c r="O79" s="67">
        <v>5.0999999999999996</v>
      </c>
      <c r="P79" s="67">
        <v>10.199999999999999</v>
      </c>
      <c r="Q79" s="67">
        <v>10.1</v>
      </c>
      <c r="R79" s="67">
        <v>10.199999999999999</v>
      </c>
      <c r="S79" s="67">
        <v>10</v>
      </c>
      <c r="T79" s="67">
        <v>8.5</v>
      </c>
      <c r="U79" s="67">
        <v>10</v>
      </c>
      <c r="V79" s="67">
        <v>10.1</v>
      </c>
      <c r="W79" s="67">
        <v>10.1</v>
      </c>
      <c r="X79" s="67">
        <v>10.1</v>
      </c>
      <c r="Y79" s="67">
        <v>10.1</v>
      </c>
      <c r="Z79" s="67">
        <v>10.1</v>
      </c>
      <c r="AA79" s="67">
        <v>10.1</v>
      </c>
      <c r="AB79" s="67">
        <v>10.1</v>
      </c>
      <c r="AC79" s="67">
        <v>4.2</v>
      </c>
      <c r="AD79" s="67">
        <v>5</v>
      </c>
      <c r="AE79" s="67"/>
      <c r="AF79" s="67">
        <v>0</v>
      </c>
      <c r="AG79" s="68">
        <v>14</v>
      </c>
      <c r="AH79" s="47">
        <f t="shared" si="2"/>
        <v>10.199999999999999</v>
      </c>
      <c r="AI79" s="48">
        <f t="shared" si="3"/>
        <v>0</v>
      </c>
      <c r="AK79" s="50"/>
    </row>
    <row r="80" spans="1:41" ht="15.75" thickBot="1" x14ac:dyDescent="0.3">
      <c r="A80" s="74" t="s">
        <v>80</v>
      </c>
      <c r="B80" s="60">
        <f t="shared" ref="B80:AF80" si="19">B77+B78+B79</f>
        <v>0</v>
      </c>
      <c r="C80" s="60">
        <f t="shared" si="19"/>
        <v>0</v>
      </c>
      <c r="D80" s="60">
        <f t="shared" si="19"/>
        <v>0</v>
      </c>
      <c r="E80" s="60">
        <f t="shared" si="19"/>
        <v>0</v>
      </c>
      <c r="F80" s="60">
        <f t="shared" si="19"/>
        <v>0</v>
      </c>
      <c r="G80" s="60">
        <f t="shared" si="19"/>
        <v>0</v>
      </c>
      <c r="H80" s="60">
        <f t="shared" si="19"/>
        <v>0</v>
      </c>
      <c r="I80" s="60">
        <f t="shared" si="19"/>
        <v>0</v>
      </c>
      <c r="J80" s="60">
        <f t="shared" si="19"/>
        <v>0</v>
      </c>
      <c r="K80" s="60">
        <f t="shared" ref="K80" si="20">K77+K78+K79</f>
        <v>0</v>
      </c>
      <c r="L80" s="60">
        <f t="shared" si="19"/>
        <v>0</v>
      </c>
      <c r="M80" s="60">
        <f t="shared" si="19"/>
        <v>0</v>
      </c>
      <c r="N80" s="60">
        <f t="shared" si="19"/>
        <v>48.2</v>
      </c>
      <c r="O80" s="60">
        <f t="shared" si="19"/>
        <v>48.4</v>
      </c>
      <c r="P80" s="60">
        <f t="shared" si="19"/>
        <v>98</v>
      </c>
      <c r="Q80" s="60">
        <f t="shared" si="19"/>
        <v>97.5</v>
      </c>
      <c r="R80" s="60">
        <f t="shared" si="19"/>
        <v>97.9</v>
      </c>
      <c r="S80" s="60">
        <f t="shared" si="19"/>
        <v>96.8</v>
      </c>
      <c r="T80" s="60">
        <f t="shared" si="19"/>
        <v>82.2</v>
      </c>
      <c r="U80" s="60">
        <f t="shared" ref="U80:W80" si="21">U77+U78+U79</f>
        <v>98</v>
      </c>
      <c r="V80" s="60">
        <f t="shared" si="21"/>
        <v>97.5</v>
      </c>
      <c r="W80" s="60">
        <f t="shared" si="21"/>
        <v>97.5</v>
      </c>
      <c r="X80" s="60">
        <f t="shared" si="19"/>
        <v>97.5</v>
      </c>
      <c r="Y80" s="60">
        <f t="shared" si="19"/>
        <v>97.5</v>
      </c>
      <c r="Z80" s="60">
        <f t="shared" si="19"/>
        <v>97.5</v>
      </c>
      <c r="AA80" s="60">
        <f t="shared" si="19"/>
        <v>97.5</v>
      </c>
      <c r="AB80" s="60">
        <f t="shared" si="19"/>
        <v>97.5</v>
      </c>
      <c r="AC80" s="60">
        <f t="shared" si="19"/>
        <v>42.2</v>
      </c>
      <c r="AD80" s="60">
        <f t="shared" si="19"/>
        <v>48</v>
      </c>
      <c r="AE80" s="60">
        <f t="shared" si="19"/>
        <v>0</v>
      </c>
      <c r="AF80" s="60">
        <f t="shared" si="19"/>
        <v>0</v>
      </c>
      <c r="AG80" s="61">
        <f>SUM(AG77:AG79)</f>
        <v>106</v>
      </c>
      <c r="AH80" s="47">
        <f t="shared" si="2"/>
        <v>98</v>
      </c>
      <c r="AI80" s="48">
        <f t="shared" si="3"/>
        <v>0</v>
      </c>
      <c r="AK80" s="50"/>
    </row>
    <row r="81" spans="1:40" x14ac:dyDescent="0.25">
      <c r="A81" s="44" t="s">
        <v>81</v>
      </c>
      <c r="B81" s="45">
        <v>61</v>
      </c>
      <c r="C81" s="45">
        <v>59.3</v>
      </c>
      <c r="D81" s="45">
        <v>60.5</v>
      </c>
      <c r="E81" s="45">
        <v>60.7</v>
      </c>
      <c r="F81" s="45">
        <v>62.5</v>
      </c>
      <c r="G81" s="45">
        <v>68</v>
      </c>
      <c r="H81" s="45">
        <v>58.9</v>
      </c>
      <c r="I81" s="45">
        <v>62.9</v>
      </c>
      <c r="J81" s="45">
        <v>65.400000000000006</v>
      </c>
      <c r="K81" s="45">
        <v>60.3</v>
      </c>
      <c r="L81" s="45">
        <v>69.400000000000006</v>
      </c>
      <c r="M81" s="45">
        <v>61.1</v>
      </c>
      <c r="N81" s="45">
        <v>55</v>
      </c>
      <c r="O81" s="45">
        <v>56</v>
      </c>
      <c r="P81" s="45">
        <v>49</v>
      </c>
      <c r="Q81" s="45">
        <v>67.5</v>
      </c>
      <c r="R81" s="45">
        <v>65.5</v>
      </c>
      <c r="S81" s="45">
        <v>73</v>
      </c>
      <c r="T81" s="45">
        <v>71</v>
      </c>
      <c r="U81" s="45">
        <v>63</v>
      </c>
      <c r="V81" s="45">
        <v>63.2</v>
      </c>
      <c r="W81" s="45">
        <v>62.1</v>
      </c>
      <c r="X81" s="45">
        <v>68.2</v>
      </c>
      <c r="Y81" s="45">
        <v>65.900000000000006</v>
      </c>
      <c r="Z81" s="45">
        <v>64.3</v>
      </c>
      <c r="AA81" s="45">
        <v>69.5</v>
      </c>
      <c r="AB81" s="45">
        <v>61.5</v>
      </c>
      <c r="AC81" s="45">
        <v>53</v>
      </c>
      <c r="AD81" s="45">
        <v>55</v>
      </c>
      <c r="AE81" s="45">
        <v>59.3</v>
      </c>
      <c r="AF81" s="45">
        <v>58.9</v>
      </c>
      <c r="AG81" s="52"/>
      <c r="AH81" s="47">
        <f t="shared" si="2"/>
        <v>73</v>
      </c>
      <c r="AI81" s="48">
        <f t="shared" si="3"/>
        <v>49</v>
      </c>
      <c r="AK81" s="50"/>
    </row>
    <row r="82" spans="1:40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>
        <v>0.1</v>
      </c>
      <c r="AG82" s="55"/>
      <c r="AH82" s="47">
        <f t="shared" si="2"/>
        <v>0.1</v>
      </c>
      <c r="AI82" s="48">
        <f t="shared" si="3"/>
        <v>0.1</v>
      </c>
      <c r="AK82" s="50"/>
    </row>
    <row r="83" spans="1:40" x14ac:dyDescent="0.25">
      <c r="A83" s="54" t="s">
        <v>83</v>
      </c>
      <c r="B83" s="65">
        <v>322</v>
      </c>
      <c r="C83" s="65">
        <v>322.8</v>
      </c>
      <c r="D83" s="65">
        <v>325.39999999999998</v>
      </c>
      <c r="E83" s="65">
        <v>335.6</v>
      </c>
      <c r="F83" s="65">
        <v>322.2</v>
      </c>
      <c r="G83" s="65">
        <v>392</v>
      </c>
      <c r="H83" s="65">
        <v>373</v>
      </c>
      <c r="I83" s="65">
        <v>411</v>
      </c>
      <c r="J83" s="65">
        <v>414</v>
      </c>
      <c r="K83" s="65">
        <v>153</v>
      </c>
      <c r="L83" s="65">
        <v>97</v>
      </c>
      <c r="M83" s="65">
        <v>75</v>
      </c>
      <c r="N83" s="65">
        <v>50.4</v>
      </c>
      <c r="O83" s="65">
        <v>115.2</v>
      </c>
      <c r="P83" s="65">
        <v>245</v>
      </c>
      <c r="Q83" s="65">
        <v>434.2</v>
      </c>
      <c r="R83" s="65">
        <v>391.9</v>
      </c>
      <c r="S83" s="65">
        <v>422</v>
      </c>
      <c r="T83" s="65">
        <v>405</v>
      </c>
      <c r="U83" s="65">
        <v>420</v>
      </c>
      <c r="V83" s="65">
        <v>218</v>
      </c>
      <c r="W83" s="65">
        <v>299</v>
      </c>
      <c r="X83" s="65">
        <v>255.1</v>
      </c>
      <c r="Y83" s="65">
        <v>175</v>
      </c>
      <c r="Z83" s="65">
        <v>155.1</v>
      </c>
      <c r="AA83" s="65">
        <v>245.5</v>
      </c>
      <c r="AB83" s="65">
        <v>304</v>
      </c>
      <c r="AC83" s="65">
        <v>358</v>
      </c>
      <c r="AD83" s="65">
        <v>370</v>
      </c>
      <c r="AE83" s="65">
        <v>382</v>
      </c>
      <c r="AF83" s="65">
        <v>385</v>
      </c>
      <c r="AG83" s="75"/>
      <c r="AH83" s="47">
        <f t="shared" si="2"/>
        <v>434.2</v>
      </c>
      <c r="AI83" s="48">
        <f t="shared" si="3"/>
        <v>50.4</v>
      </c>
      <c r="AK83" s="50"/>
    </row>
    <row r="84" spans="1:40" x14ac:dyDescent="0.25">
      <c r="A84" s="54" t="s">
        <v>84</v>
      </c>
      <c r="B84" s="65"/>
      <c r="C84" s="65"/>
      <c r="D84" s="65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>
        <v>23</v>
      </c>
      <c r="T84" s="76">
        <v>33.9</v>
      </c>
      <c r="U84" s="76">
        <v>33.9</v>
      </c>
      <c r="V84" s="76">
        <v>0</v>
      </c>
      <c r="W84" s="76"/>
      <c r="X84" s="76"/>
      <c r="Y84" s="76"/>
      <c r="Z84" s="76"/>
      <c r="AA84" s="76"/>
      <c r="AB84" s="76"/>
      <c r="AC84" s="76"/>
      <c r="AD84" s="65"/>
      <c r="AE84" s="76"/>
      <c r="AF84" s="76"/>
      <c r="AG84" s="75"/>
      <c r="AH84" s="47">
        <f t="shared" si="2"/>
        <v>33.9</v>
      </c>
      <c r="AI84" s="48">
        <f t="shared" si="3"/>
        <v>0</v>
      </c>
      <c r="AK84" s="50"/>
    </row>
    <row r="85" spans="1:40" x14ac:dyDescent="0.25">
      <c r="A85" s="54" t="s">
        <v>85</v>
      </c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>
        <v>34</v>
      </c>
      <c r="T85" s="45">
        <v>22.5</v>
      </c>
      <c r="U85" s="45">
        <v>22.5</v>
      </c>
      <c r="V85" s="45">
        <v>0</v>
      </c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75"/>
      <c r="AH85" s="47">
        <f t="shared" ref="AH85:AH130" si="22">MAX(B85:AF85)</f>
        <v>34</v>
      </c>
      <c r="AI85" s="48">
        <f t="shared" ref="AI85:AI130" si="23">MIN(B85:AF85)</f>
        <v>0</v>
      </c>
      <c r="AK85" s="50"/>
    </row>
    <row r="86" spans="1:40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5"/>
      <c r="AH86" s="47">
        <f t="shared" si="22"/>
        <v>0</v>
      </c>
      <c r="AI86" s="48">
        <f t="shared" si="23"/>
        <v>0</v>
      </c>
      <c r="AK86" s="50"/>
    </row>
    <row r="87" spans="1:40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5"/>
      <c r="AH87" s="47">
        <f t="shared" si="22"/>
        <v>0</v>
      </c>
      <c r="AI87" s="48">
        <f t="shared" si="23"/>
        <v>0</v>
      </c>
      <c r="AK87" s="50"/>
      <c r="AL87" s="78" t="s">
        <v>88</v>
      </c>
      <c r="AM87" s="78"/>
    </row>
    <row r="88" spans="1:40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5"/>
      <c r="AH88" s="47">
        <f t="shared" si="22"/>
        <v>0</v>
      </c>
      <c r="AI88" s="48">
        <f t="shared" si="23"/>
        <v>0</v>
      </c>
      <c r="AK88" s="79"/>
      <c r="AL88" s="80"/>
      <c r="AM88" s="80"/>
      <c r="AN88" s="81"/>
    </row>
    <row r="89" spans="1:40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5"/>
      <c r="AH89" s="47">
        <f t="shared" si="22"/>
        <v>0</v>
      </c>
      <c r="AI89" s="48">
        <f t="shared" si="23"/>
        <v>0</v>
      </c>
      <c r="AK89" s="82" t="s">
        <v>91</v>
      </c>
      <c r="AL89" s="65"/>
      <c r="AM89" s="76"/>
      <c r="AN89" s="83"/>
    </row>
    <row r="90" spans="1:40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85"/>
      <c r="AH90" s="47">
        <f t="shared" si="22"/>
        <v>0</v>
      </c>
      <c r="AI90" s="48">
        <f t="shared" si="23"/>
        <v>0</v>
      </c>
      <c r="AK90" s="82" t="s">
        <v>93</v>
      </c>
      <c r="AL90" s="76"/>
      <c r="AM90" s="76"/>
      <c r="AN90" s="83"/>
    </row>
    <row r="91" spans="1:40" ht="15.75" thickBot="1" x14ac:dyDescent="0.3">
      <c r="A91" s="84" t="s">
        <v>94</v>
      </c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85"/>
      <c r="AH91" s="47">
        <f t="shared" si="22"/>
        <v>0</v>
      </c>
      <c r="AI91" s="48">
        <f t="shared" si="23"/>
        <v>0</v>
      </c>
      <c r="AK91" s="86"/>
      <c r="AL91" s="45"/>
      <c r="AM91" s="45"/>
      <c r="AN91" s="87"/>
    </row>
    <row r="92" spans="1:40" ht="15.75" thickBot="1" x14ac:dyDescent="0.3">
      <c r="A92" s="74" t="s">
        <v>95</v>
      </c>
      <c r="B92" s="60">
        <f t="shared" ref="B92:AF92" si="24">SUMIF(B81:B91,"&gt;0")</f>
        <v>383</v>
      </c>
      <c r="C92" s="60">
        <f t="shared" si="24"/>
        <v>382.1</v>
      </c>
      <c r="D92" s="60">
        <f t="shared" si="24"/>
        <v>385.9</v>
      </c>
      <c r="E92" s="60">
        <f t="shared" si="24"/>
        <v>396.3</v>
      </c>
      <c r="F92" s="60">
        <f t="shared" si="24"/>
        <v>384.7</v>
      </c>
      <c r="G92" s="60">
        <f t="shared" si="24"/>
        <v>460</v>
      </c>
      <c r="H92" s="60">
        <f t="shared" si="24"/>
        <v>431.9</v>
      </c>
      <c r="I92" s="60">
        <f t="shared" si="24"/>
        <v>473.9</v>
      </c>
      <c r="J92" s="60">
        <f t="shared" si="24"/>
        <v>479.4</v>
      </c>
      <c r="K92" s="60">
        <f t="shared" si="24"/>
        <v>213.3</v>
      </c>
      <c r="L92" s="60">
        <f t="shared" si="24"/>
        <v>166.4</v>
      </c>
      <c r="M92" s="60">
        <f t="shared" si="24"/>
        <v>136.1</v>
      </c>
      <c r="N92" s="60">
        <f t="shared" si="24"/>
        <v>105.4</v>
      </c>
      <c r="O92" s="60">
        <f t="shared" si="24"/>
        <v>171.2</v>
      </c>
      <c r="P92" s="60">
        <f t="shared" si="24"/>
        <v>294</v>
      </c>
      <c r="Q92" s="60">
        <f t="shared" si="24"/>
        <v>501.7</v>
      </c>
      <c r="R92" s="60">
        <f t="shared" si="24"/>
        <v>457.4</v>
      </c>
      <c r="S92" s="60">
        <f t="shared" si="24"/>
        <v>552</v>
      </c>
      <c r="T92" s="60">
        <f t="shared" si="24"/>
        <v>532.4</v>
      </c>
      <c r="U92" s="60">
        <f t="shared" ref="U92:V92" si="25">SUMIF(U81:U91,"&gt;0")</f>
        <v>539.4</v>
      </c>
      <c r="V92" s="60">
        <f t="shared" si="25"/>
        <v>281.2</v>
      </c>
      <c r="W92" s="60">
        <f t="shared" si="24"/>
        <v>361.1</v>
      </c>
      <c r="X92" s="60">
        <f t="shared" si="24"/>
        <v>323.3</v>
      </c>
      <c r="Y92" s="60">
        <f t="shared" si="24"/>
        <v>240.9</v>
      </c>
      <c r="Z92" s="60">
        <f t="shared" si="24"/>
        <v>219.39999999999998</v>
      </c>
      <c r="AA92" s="60">
        <f t="shared" si="24"/>
        <v>315</v>
      </c>
      <c r="AB92" s="60">
        <f t="shared" si="24"/>
        <v>365.5</v>
      </c>
      <c r="AC92" s="60">
        <f t="shared" si="24"/>
        <v>411</v>
      </c>
      <c r="AD92" s="60">
        <f t="shared" si="24"/>
        <v>425</v>
      </c>
      <c r="AE92" s="60">
        <f t="shared" si="24"/>
        <v>441.3</v>
      </c>
      <c r="AF92" s="60">
        <f t="shared" si="24"/>
        <v>444</v>
      </c>
      <c r="AG92" s="88">
        <f>SUM(AG81:AG91)</f>
        <v>0</v>
      </c>
      <c r="AH92" s="47">
        <f t="shared" si="22"/>
        <v>552</v>
      </c>
      <c r="AI92" s="48">
        <f t="shared" si="23"/>
        <v>105.4</v>
      </c>
      <c r="AK92" s="86"/>
      <c r="AL92" s="77"/>
      <c r="AM92" s="89"/>
      <c r="AN92" s="255"/>
    </row>
    <row r="93" spans="1:40" x14ac:dyDescent="0.25">
      <c r="A93" s="44" t="s">
        <v>96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22"/>
        <v>0</v>
      </c>
      <c r="AI93" s="48">
        <f t="shared" si="23"/>
        <v>0</v>
      </c>
      <c r="AK93" s="86"/>
      <c r="AL93" s="77"/>
      <c r="AM93" s="77"/>
      <c r="AN93" s="256"/>
    </row>
    <row r="94" spans="1:40" ht="15.75" thickBot="1" x14ac:dyDescent="0.3">
      <c r="A94" s="54" t="s">
        <v>97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22"/>
        <v>0</v>
      </c>
      <c r="AI94" s="48">
        <f t="shared" si="23"/>
        <v>0</v>
      </c>
      <c r="AK94" s="91"/>
      <c r="AL94" s="92"/>
      <c r="AM94" s="92"/>
      <c r="AN94" s="93"/>
    </row>
    <row r="95" spans="1:40" ht="15.75" thickBot="1" x14ac:dyDescent="0.3">
      <c r="A95" s="84" t="s">
        <v>98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22"/>
        <v>0</v>
      </c>
      <c r="AI95" s="48">
        <f t="shared" si="23"/>
        <v>0</v>
      </c>
    </row>
    <row r="96" spans="1:40" ht="15.75" thickBot="1" x14ac:dyDescent="0.3">
      <c r="A96" s="74" t="s">
        <v>99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>
        <v>0</v>
      </c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22"/>
        <v>0</v>
      </c>
      <c r="AI96" s="48">
        <f t="shared" si="23"/>
        <v>0</v>
      </c>
    </row>
    <row r="97" spans="1:37" ht="15.75" thickBot="1" x14ac:dyDescent="0.3">
      <c r="A97" s="74" t="s">
        <v>100</v>
      </c>
      <c r="B97" s="95">
        <f t="shared" ref="B97:AG97" si="26">B58+B62+B80+B76+B92+B96</f>
        <v>1132.44</v>
      </c>
      <c r="C97" s="95">
        <f t="shared" si="26"/>
        <v>1092.44</v>
      </c>
      <c r="D97" s="95">
        <f t="shared" si="26"/>
        <v>1091.24</v>
      </c>
      <c r="E97" s="95">
        <f t="shared" si="26"/>
        <v>1089.6400000000001</v>
      </c>
      <c r="F97" s="95">
        <f t="shared" si="26"/>
        <v>1078.04</v>
      </c>
      <c r="G97" s="95">
        <f t="shared" si="26"/>
        <v>1163.3400000000001</v>
      </c>
      <c r="H97" s="95">
        <f t="shared" si="26"/>
        <v>1227.24</v>
      </c>
      <c r="I97" s="95">
        <f t="shared" si="26"/>
        <v>1277.24</v>
      </c>
      <c r="J97" s="95">
        <f t="shared" si="26"/>
        <v>1395.04</v>
      </c>
      <c r="K97" s="95">
        <f t="shared" si="26"/>
        <v>1509.44</v>
      </c>
      <c r="L97" s="95">
        <f t="shared" si="26"/>
        <v>1525.44</v>
      </c>
      <c r="M97" s="95">
        <f t="shared" si="26"/>
        <v>1518.24</v>
      </c>
      <c r="N97" s="95">
        <f t="shared" si="26"/>
        <v>1483.9400000000003</v>
      </c>
      <c r="O97" s="95">
        <f t="shared" si="26"/>
        <v>1459.74</v>
      </c>
      <c r="P97" s="95">
        <f t="shared" si="26"/>
        <v>1412.0400000000002</v>
      </c>
      <c r="Q97" s="95">
        <f t="shared" si="26"/>
        <v>1506.94</v>
      </c>
      <c r="R97" s="95">
        <f t="shared" si="26"/>
        <v>1467.8400000000001</v>
      </c>
      <c r="S97" s="95">
        <f t="shared" si="26"/>
        <v>1489.94</v>
      </c>
      <c r="T97" s="95">
        <f t="shared" si="26"/>
        <v>1457.14</v>
      </c>
      <c r="U97" s="95">
        <f t="shared" ref="U97:V97" si="27">U58+U62+U80+U76+U92+U96</f>
        <v>1480.2400000000002</v>
      </c>
      <c r="V97" s="95">
        <f t="shared" si="27"/>
        <v>1339.2400000000002</v>
      </c>
      <c r="W97" s="95">
        <f t="shared" si="26"/>
        <v>1432.44</v>
      </c>
      <c r="X97" s="95">
        <f t="shared" si="26"/>
        <v>1562.0400000000002</v>
      </c>
      <c r="Y97" s="95">
        <f t="shared" si="26"/>
        <v>1553.6400000000003</v>
      </c>
      <c r="Z97" s="95">
        <f t="shared" si="26"/>
        <v>1557.7400000000002</v>
      </c>
      <c r="AA97" s="95">
        <f t="shared" si="26"/>
        <v>1532.3400000000001</v>
      </c>
      <c r="AB97" s="95">
        <f t="shared" si="26"/>
        <v>1452.8400000000001</v>
      </c>
      <c r="AC97" s="95">
        <f t="shared" si="26"/>
        <v>1403.0400000000002</v>
      </c>
      <c r="AD97" s="95">
        <f t="shared" si="26"/>
        <v>1318.7400000000002</v>
      </c>
      <c r="AE97" s="95">
        <f t="shared" si="26"/>
        <v>1237.0400000000002</v>
      </c>
      <c r="AF97" s="95">
        <f t="shared" si="26"/>
        <v>1176.7400000000002</v>
      </c>
      <c r="AG97" s="61">
        <f t="shared" si="26"/>
        <v>2231.81</v>
      </c>
      <c r="AH97" s="47">
        <f t="shared" si="22"/>
        <v>1562.0400000000002</v>
      </c>
      <c r="AI97" s="48">
        <f t="shared" si="23"/>
        <v>1078.04</v>
      </c>
    </row>
    <row r="98" spans="1:37" ht="15.75" thickBot="1" x14ac:dyDescent="0.3">
      <c r="A98" s="96" t="s">
        <v>101</v>
      </c>
      <c r="B98" s="97"/>
      <c r="C98" s="97"/>
      <c r="D98" s="97"/>
      <c r="E98" s="97"/>
      <c r="F98" s="97"/>
      <c r="G98" s="97"/>
      <c r="H98" s="97"/>
      <c r="I98" s="97"/>
      <c r="J98" s="97"/>
      <c r="K98" s="97">
        <v>200</v>
      </c>
      <c r="L98" s="97">
        <v>200</v>
      </c>
      <c r="M98" s="97">
        <v>200</v>
      </c>
      <c r="N98" s="97">
        <v>200</v>
      </c>
      <c r="O98" s="97">
        <v>200</v>
      </c>
      <c r="P98" s="97">
        <v>200</v>
      </c>
      <c r="Q98" s="97">
        <v>80</v>
      </c>
      <c r="R98" s="97">
        <v>80</v>
      </c>
      <c r="S98" s="97"/>
      <c r="T98" s="97"/>
      <c r="U98" s="97"/>
      <c r="V98" s="97">
        <v>50</v>
      </c>
      <c r="W98" s="97">
        <v>150</v>
      </c>
      <c r="X98" s="97">
        <v>235</v>
      </c>
      <c r="Y98" s="97">
        <v>235</v>
      </c>
      <c r="Z98" s="97">
        <v>235</v>
      </c>
      <c r="AA98" s="97">
        <v>235</v>
      </c>
      <c r="AB98" s="97">
        <v>235</v>
      </c>
      <c r="AC98" s="97">
        <v>235</v>
      </c>
      <c r="AD98" s="97"/>
      <c r="AE98" s="97"/>
      <c r="AF98" s="97"/>
      <c r="AG98" s="88"/>
      <c r="AH98" s="47">
        <f t="shared" si="22"/>
        <v>235</v>
      </c>
      <c r="AI98" s="48">
        <f t="shared" si="23"/>
        <v>50</v>
      </c>
    </row>
    <row r="99" spans="1:37" ht="15.75" thickBot="1" x14ac:dyDescent="0.3">
      <c r="A99" s="74" t="s">
        <v>102</v>
      </c>
      <c r="B99" s="95">
        <f t="shared" ref="B99:AF99" si="28">B97+B98</f>
        <v>1132.44</v>
      </c>
      <c r="C99" s="95">
        <f t="shared" si="28"/>
        <v>1092.44</v>
      </c>
      <c r="D99" s="95">
        <f t="shared" si="28"/>
        <v>1091.24</v>
      </c>
      <c r="E99" s="95">
        <f t="shared" si="28"/>
        <v>1089.6400000000001</v>
      </c>
      <c r="F99" s="95">
        <f t="shared" si="28"/>
        <v>1078.04</v>
      </c>
      <c r="G99" s="95">
        <f t="shared" si="28"/>
        <v>1163.3400000000001</v>
      </c>
      <c r="H99" s="95">
        <f t="shared" si="28"/>
        <v>1227.24</v>
      </c>
      <c r="I99" s="95">
        <f t="shared" si="28"/>
        <v>1277.24</v>
      </c>
      <c r="J99" s="95">
        <f t="shared" si="28"/>
        <v>1395.04</v>
      </c>
      <c r="K99" s="95">
        <f t="shared" si="28"/>
        <v>1709.44</v>
      </c>
      <c r="L99" s="95">
        <f t="shared" si="28"/>
        <v>1725.44</v>
      </c>
      <c r="M99" s="95">
        <f t="shared" si="28"/>
        <v>1718.24</v>
      </c>
      <c r="N99" s="95">
        <f t="shared" si="28"/>
        <v>1683.9400000000003</v>
      </c>
      <c r="O99" s="95">
        <f t="shared" si="28"/>
        <v>1659.74</v>
      </c>
      <c r="P99" s="95">
        <f t="shared" si="28"/>
        <v>1612.0400000000002</v>
      </c>
      <c r="Q99" s="95">
        <f t="shared" si="28"/>
        <v>1586.94</v>
      </c>
      <c r="R99" s="95">
        <f t="shared" si="28"/>
        <v>1547.8400000000001</v>
      </c>
      <c r="S99" s="95">
        <f t="shared" si="28"/>
        <v>1489.94</v>
      </c>
      <c r="T99" s="95">
        <f t="shared" si="28"/>
        <v>1457.14</v>
      </c>
      <c r="U99" s="95">
        <f t="shared" ref="U99:V99" si="29">U97+U98</f>
        <v>1480.2400000000002</v>
      </c>
      <c r="V99" s="95">
        <f t="shared" si="29"/>
        <v>1389.2400000000002</v>
      </c>
      <c r="W99" s="95">
        <f t="shared" si="28"/>
        <v>1582.44</v>
      </c>
      <c r="X99" s="95">
        <f t="shared" si="28"/>
        <v>1797.0400000000002</v>
      </c>
      <c r="Y99" s="95">
        <f t="shared" si="28"/>
        <v>1788.6400000000003</v>
      </c>
      <c r="Z99" s="95">
        <f t="shared" si="28"/>
        <v>1792.7400000000002</v>
      </c>
      <c r="AA99" s="95">
        <f t="shared" si="28"/>
        <v>1767.3400000000001</v>
      </c>
      <c r="AB99" s="95">
        <f t="shared" si="28"/>
        <v>1687.8400000000001</v>
      </c>
      <c r="AC99" s="95">
        <f t="shared" si="28"/>
        <v>1638.0400000000002</v>
      </c>
      <c r="AD99" s="95">
        <f t="shared" si="28"/>
        <v>1318.7400000000002</v>
      </c>
      <c r="AE99" s="95">
        <f t="shared" si="28"/>
        <v>1237.0400000000002</v>
      </c>
      <c r="AF99" s="95">
        <f t="shared" si="28"/>
        <v>1176.7400000000002</v>
      </c>
      <c r="AG99" s="88">
        <f>AG96+AG92+AG80+AG76+AG58+AG98</f>
        <v>1693.71</v>
      </c>
      <c r="AH99" s="47">
        <f t="shared" si="22"/>
        <v>1797.0400000000002</v>
      </c>
      <c r="AI99" s="48">
        <f t="shared" si="23"/>
        <v>1078.04</v>
      </c>
    </row>
    <row r="100" spans="1:37" ht="15.75" thickBot="1" x14ac:dyDescent="0.3">
      <c r="A100" s="74" t="s">
        <v>103</v>
      </c>
      <c r="B100" s="95">
        <f t="shared" ref="B100:M100" si="30">B99-(B107)</f>
        <v>1132.44</v>
      </c>
      <c r="C100" s="95">
        <f t="shared" si="30"/>
        <v>1092.44</v>
      </c>
      <c r="D100" s="95">
        <f t="shared" si="30"/>
        <v>1091.24</v>
      </c>
      <c r="E100" s="95">
        <f t="shared" si="30"/>
        <v>1089.6400000000001</v>
      </c>
      <c r="F100" s="95">
        <f t="shared" si="30"/>
        <v>1078.04</v>
      </c>
      <c r="G100" s="95">
        <f t="shared" si="30"/>
        <v>1163.3400000000001</v>
      </c>
      <c r="H100" s="95">
        <f t="shared" si="30"/>
        <v>1227.24</v>
      </c>
      <c r="I100" s="95">
        <f t="shared" si="30"/>
        <v>1277.24</v>
      </c>
      <c r="J100" s="95">
        <f t="shared" si="30"/>
        <v>1395.04</v>
      </c>
      <c r="K100" s="95">
        <f t="shared" si="30"/>
        <v>1709.44</v>
      </c>
      <c r="L100" s="95">
        <f t="shared" si="30"/>
        <v>1725.44</v>
      </c>
      <c r="M100" s="95">
        <f t="shared" si="30"/>
        <v>1718.24</v>
      </c>
      <c r="N100" s="95">
        <f>N99-(N107)</f>
        <v>1683.9400000000003</v>
      </c>
      <c r="O100" s="95">
        <f t="shared" ref="O100:AF100" si="31">O99-(O107)</f>
        <v>1659.74</v>
      </c>
      <c r="P100" s="95">
        <f t="shared" si="31"/>
        <v>1612.0400000000002</v>
      </c>
      <c r="Q100" s="95">
        <f t="shared" si="31"/>
        <v>1586.94</v>
      </c>
      <c r="R100" s="95">
        <f t="shared" si="31"/>
        <v>1547.8400000000001</v>
      </c>
      <c r="S100" s="95">
        <f t="shared" si="31"/>
        <v>1489.94</v>
      </c>
      <c r="T100" s="95">
        <f t="shared" si="31"/>
        <v>1457.14</v>
      </c>
      <c r="U100" s="95">
        <f t="shared" ref="U100:V100" si="32">U99-(U107)</f>
        <v>1479.2400000000002</v>
      </c>
      <c r="V100" s="95">
        <f t="shared" si="32"/>
        <v>1387.2400000000002</v>
      </c>
      <c r="W100" s="95">
        <f t="shared" si="31"/>
        <v>1582.44</v>
      </c>
      <c r="X100" s="95">
        <f t="shared" si="31"/>
        <v>1797.0400000000002</v>
      </c>
      <c r="Y100" s="95">
        <f t="shared" si="31"/>
        <v>1788.6400000000003</v>
      </c>
      <c r="Z100" s="95">
        <f t="shared" si="31"/>
        <v>1792.7400000000002</v>
      </c>
      <c r="AA100" s="95">
        <f t="shared" si="31"/>
        <v>1767.3400000000001</v>
      </c>
      <c r="AB100" s="95">
        <f t="shared" si="31"/>
        <v>1687.8400000000001</v>
      </c>
      <c r="AC100" s="95">
        <f t="shared" si="31"/>
        <v>1638.0400000000002</v>
      </c>
      <c r="AD100" s="95">
        <f t="shared" si="31"/>
        <v>1318.7400000000002</v>
      </c>
      <c r="AE100" s="95">
        <f t="shared" si="31"/>
        <v>1237.0400000000002</v>
      </c>
      <c r="AF100" s="95">
        <f t="shared" si="31"/>
        <v>1176.7400000000002</v>
      </c>
      <c r="AG100" s="88"/>
      <c r="AH100" s="47">
        <f t="shared" si="22"/>
        <v>1797.0400000000002</v>
      </c>
      <c r="AI100" s="48">
        <f t="shared" si="23"/>
        <v>1078.04</v>
      </c>
    </row>
    <row r="101" spans="1:37" x14ac:dyDescent="0.25">
      <c r="A101" s="44" t="s">
        <v>84</v>
      </c>
      <c r="B101" s="76">
        <f>IF(B84&lt;0,B84*-1,0)</f>
        <v>0</v>
      </c>
      <c r="C101" s="76">
        <f t="shared" ref="C101:AF101" si="33">IF(C84&lt;0,C84*-1,0)</f>
        <v>0</v>
      </c>
      <c r="D101" s="76">
        <f t="shared" si="33"/>
        <v>0</v>
      </c>
      <c r="E101" s="76">
        <f t="shared" si="33"/>
        <v>0</v>
      </c>
      <c r="F101" s="76">
        <f t="shared" si="33"/>
        <v>0</v>
      </c>
      <c r="G101" s="76">
        <f t="shared" si="33"/>
        <v>0</v>
      </c>
      <c r="H101" s="76">
        <f t="shared" si="33"/>
        <v>0</v>
      </c>
      <c r="I101" s="76">
        <f t="shared" si="33"/>
        <v>0</v>
      </c>
      <c r="J101" s="76">
        <f t="shared" si="33"/>
        <v>0</v>
      </c>
      <c r="K101" s="76">
        <f t="shared" si="33"/>
        <v>0</v>
      </c>
      <c r="L101" s="76">
        <f t="shared" si="33"/>
        <v>0</v>
      </c>
      <c r="M101" s="76">
        <f t="shared" si="33"/>
        <v>0</v>
      </c>
      <c r="N101" s="76">
        <f t="shared" si="33"/>
        <v>0</v>
      </c>
      <c r="O101" s="76">
        <f t="shared" si="33"/>
        <v>0</v>
      </c>
      <c r="P101" s="76">
        <f t="shared" si="33"/>
        <v>0</v>
      </c>
      <c r="Q101" s="76">
        <f t="shared" si="33"/>
        <v>0</v>
      </c>
      <c r="R101" s="76">
        <f t="shared" si="33"/>
        <v>0</v>
      </c>
      <c r="S101" s="76">
        <f t="shared" si="33"/>
        <v>0</v>
      </c>
      <c r="T101" s="76">
        <f t="shared" si="33"/>
        <v>0</v>
      </c>
      <c r="U101" s="76">
        <f t="shared" ref="U101:V101" si="34">IF(U84&lt;0,U84*-1,0)</f>
        <v>0</v>
      </c>
      <c r="V101" s="76">
        <f t="shared" si="34"/>
        <v>0</v>
      </c>
      <c r="W101" s="76">
        <f t="shared" si="33"/>
        <v>0</v>
      </c>
      <c r="X101" s="76">
        <f t="shared" si="33"/>
        <v>0</v>
      </c>
      <c r="Y101" s="76">
        <f t="shared" si="33"/>
        <v>0</v>
      </c>
      <c r="Z101" s="76">
        <f t="shared" si="33"/>
        <v>0</v>
      </c>
      <c r="AA101" s="76">
        <f t="shared" si="33"/>
        <v>0</v>
      </c>
      <c r="AB101" s="76">
        <f t="shared" si="33"/>
        <v>0</v>
      </c>
      <c r="AC101" s="76">
        <f t="shared" si="33"/>
        <v>0</v>
      </c>
      <c r="AD101" s="76">
        <f t="shared" si="33"/>
        <v>0</v>
      </c>
      <c r="AE101" s="76">
        <f t="shared" si="33"/>
        <v>0</v>
      </c>
      <c r="AF101" s="76">
        <f t="shared" si="33"/>
        <v>0</v>
      </c>
      <c r="AG101" s="52"/>
      <c r="AH101" s="47">
        <f t="shared" si="22"/>
        <v>0</v>
      </c>
      <c r="AI101" s="48">
        <f t="shared" si="23"/>
        <v>0</v>
      </c>
    </row>
    <row r="102" spans="1:37" x14ac:dyDescent="0.25">
      <c r="A102" s="54" t="s">
        <v>82</v>
      </c>
      <c r="B102" s="76">
        <f>IF(B82&lt;0,B82*-1,0)</f>
        <v>0</v>
      </c>
      <c r="C102" s="76">
        <f t="shared" ref="C102:AF102" si="35">IF(C82&lt;0,C82*-1,0)</f>
        <v>0</v>
      </c>
      <c r="D102" s="76">
        <f t="shared" si="35"/>
        <v>0</v>
      </c>
      <c r="E102" s="76">
        <f t="shared" si="35"/>
        <v>0</v>
      </c>
      <c r="F102" s="76">
        <f t="shared" si="35"/>
        <v>0</v>
      </c>
      <c r="G102" s="76">
        <f t="shared" si="35"/>
        <v>0</v>
      </c>
      <c r="H102" s="76">
        <f t="shared" si="35"/>
        <v>0</v>
      </c>
      <c r="I102" s="76">
        <f t="shared" si="35"/>
        <v>0</v>
      </c>
      <c r="J102" s="76">
        <f t="shared" si="35"/>
        <v>0</v>
      </c>
      <c r="K102" s="76">
        <f t="shared" si="35"/>
        <v>0</v>
      </c>
      <c r="L102" s="76">
        <f t="shared" si="35"/>
        <v>0</v>
      </c>
      <c r="M102" s="76">
        <f t="shared" si="35"/>
        <v>0</v>
      </c>
      <c r="N102" s="76">
        <f t="shared" si="35"/>
        <v>0</v>
      </c>
      <c r="O102" s="76">
        <f t="shared" si="35"/>
        <v>0</v>
      </c>
      <c r="P102" s="76">
        <f t="shared" si="35"/>
        <v>0</v>
      </c>
      <c r="Q102" s="76">
        <f t="shared" si="35"/>
        <v>0</v>
      </c>
      <c r="R102" s="76">
        <f t="shared" si="35"/>
        <v>0</v>
      </c>
      <c r="S102" s="76">
        <f t="shared" si="35"/>
        <v>0</v>
      </c>
      <c r="T102" s="76">
        <f t="shared" si="35"/>
        <v>0</v>
      </c>
      <c r="U102" s="76">
        <f t="shared" ref="U102:V102" si="36">IF(U82&lt;0,U82*-1,0)</f>
        <v>0</v>
      </c>
      <c r="V102" s="76">
        <f t="shared" si="36"/>
        <v>0</v>
      </c>
      <c r="W102" s="76">
        <f t="shared" si="35"/>
        <v>0</v>
      </c>
      <c r="X102" s="76">
        <f t="shared" si="35"/>
        <v>0</v>
      </c>
      <c r="Y102" s="76">
        <f t="shared" si="35"/>
        <v>0</v>
      </c>
      <c r="Z102" s="76">
        <f t="shared" si="35"/>
        <v>0</v>
      </c>
      <c r="AA102" s="76">
        <f t="shared" si="35"/>
        <v>0</v>
      </c>
      <c r="AB102" s="76">
        <f t="shared" si="35"/>
        <v>0</v>
      </c>
      <c r="AC102" s="76">
        <f t="shared" si="35"/>
        <v>0</v>
      </c>
      <c r="AD102" s="76">
        <f t="shared" si="35"/>
        <v>0</v>
      </c>
      <c r="AE102" s="76">
        <f t="shared" si="35"/>
        <v>0</v>
      </c>
      <c r="AF102" s="76">
        <f t="shared" si="35"/>
        <v>0</v>
      </c>
      <c r="AG102" s="55"/>
      <c r="AH102" s="47">
        <f t="shared" si="22"/>
        <v>0</v>
      </c>
      <c r="AI102" s="48">
        <f t="shared" si="23"/>
        <v>0</v>
      </c>
    </row>
    <row r="103" spans="1:37" x14ac:dyDescent="0.25">
      <c r="A103" s="84" t="s">
        <v>104</v>
      </c>
      <c r="B103" s="76">
        <f>IF(B85&lt;0,B85*-1,0)</f>
        <v>0</v>
      </c>
      <c r="C103" s="76">
        <f t="shared" ref="C103:AF103" si="37">IF(C85&lt;0,C85*-1,0)</f>
        <v>0</v>
      </c>
      <c r="D103" s="76">
        <f t="shared" si="37"/>
        <v>0</v>
      </c>
      <c r="E103" s="76">
        <f t="shared" si="37"/>
        <v>0</v>
      </c>
      <c r="F103" s="76">
        <f t="shared" si="37"/>
        <v>0</v>
      </c>
      <c r="G103" s="76">
        <f t="shared" si="37"/>
        <v>0</v>
      </c>
      <c r="H103" s="76">
        <f t="shared" si="37"/>
        <v>0</v>
      </c>
      <c r="I103" s="76">
        <f t="shared" si="37"/>
        <v>0</v>
      </c>
      <c r="J103" s="76">
        <f t="shared" si="37"/>
        <v>0</v>
      </c>
      <c r="K103" s="76">
        <f t="shared" si="37"/>
        <v>0</v>
      </c>
      <c r="L103" s="76">
        <f t="shared" si="37"/>
        <v>0</v>
      </c>
      <c r="M103" s="76">
        <f t="shared" si="37"/>
        <v>0</v>
      </c>
      <c r="N103" s="76">
        <f t="shared" si="37"/>
        <v>0</v>
      </c>
      <c r="O103" s="76">
        <f t="shared" si="37"/>
        <v>0</v>
      </c>
      <c r="P103" s="76">
        <f t="shared" si="37"/>
        <v>0</v>
      </c>
      <c r="Q103" s="76">
        <f t="shared" si="37"/>
        <v>0</v>
      </c>
      <c r="R103" s="76">
        <f t="shared" si="37"/>
        <v>0</v>
      </c>
      <c r="S103" s="76">
        <f t="shared" si="37"/>
        <v>0</v>
      </c>
      <c r="T103" s="76">
        <f t="shared" si="37"/>
        <v>0</v>
      </c>
      <c r="U103" s="76">
        <f t="shared" ref="U103:V103" si="38">IF(U85&lt;0,U85*-1,0)</f>
        <v>0</v>
      </c>
      <c r="V103" s="76">
        <f t="shared" si="38"/>
        <v>0</v>
      </c>
      <c r="W103" s="76">
        <f t="shared" si="37"/>
        <v>0</v>
      </c>
      <c r="X103" s="76">
        <f t="shared" si="37"/>
        <v>0</v>
      </c>
      <c r="Y103" s="76">
        <f t="shared" si="37"/>
        <v>0</v>
      </c>
      <c r="Z103" s="76">
        <f t="shared" si="37"/>
        <v>0</v>
      </c>
      <c r="AA103" s="76">
        <f t="shared" si="37"/>
        <v>0</v>
      </c>
      <c r="AB103" s="76">
        <f t="shared" si="37"/>
        <v>0</v>
      </c>
      <c r="AC103" s="76">
        <f t="shared" si="37"/>
        <v>0</v>
      </c>
      <c r="AD103" s="76">
        <f t="shared" si="37"/>
        <v>0</v>
      </c>
      <c r="AE103" s="76">
        <f t="shared" si="37"/>
        <v>0</v>
      </c>
      <c r="AF103" s="76">
        <f t="shared" si="37"/>
        <v>0</v>
      </c>
      <c r="AG103" s="98"/>
      <c r="AH103" s="47">
        <f t="shared" si="22"/>
        <v>0</v>
      </c>
      <c r="AI103" s="48">
        <f t="shared" si="23"/>
        <v>0</v>
      </c>
    </row>
    <row r="104" spans="1:37" x14ac:dyDescent="0.25">
      <c r="A104" s="84" t="s">
        <v>105</v>
      </c>
      <c r="B104" s="76">
        <f>IF(B83&lt;0,B83*-1,0)</f>
        <v>0</v>
      </c>
      <c r="C104" s="76">
        <f t="shared" ref="C104:AF104" si="39">IF(C83&lt;0,C83*-1,0)</f>
        <v>0</v>
      </c>
      <c r="D104" s="76">
        <f t="shared" si="39"/>
        <v>0</v>
      </c>
      <c r="E104" s="76">
        <f t="shared" si="39"/>
        <v>0</v>
      </c>
      <c r="F104" s="76">
        <f t="shared" si="39"/>
        <v>0</v>
      </c>
      <c r="G104" s="76">
        <f t="shared" si="39"/>
        <v>0</v>
      </c>
      <c r="H104" s="76">
        <f t="shared" si="39"/>
        <v>0</v>
      </c>
      <c r="I104" s="76">
        <f t="shared" si="39"/>
        <v>0</v>
      </c>
      <c r="J104" s="76">
        <f t="shared" si="39"/>
        <v>0</v>
      </c>
      <c r="K104" s="76">
        <f t="shared" si="39"/>
        <v>0</v>
      </c>
      <c r="L104" s="76">
        <f t="shared" si="39"/>
        <v>0</v>
      </c>
      <c r="M104" s="76">
        <f t="shared" si="39"/>
        <v>0</v>
      </c>
      <c r="N104" s="76">
        <f t="shared" si="39"/>
        <v>0</v>
      </c>
      <c r="O104" s="76">
        <f t="shared" si="39"/>
        <v>0</v>
      </c>
      <c r="P104" s="76">
        <f t="shared" si="39"/>
        <v>0</v>
      </c>
      <c r="Q104" s="76">
        <f t="shared" si="39"/>
        <v>0</v>
      </c>
      <c r="R104" s="76">
        <f t="shared" si="39"/>
        <v>0</v>
      </c>
      <c r="S104" s="76">
        <f t="shared" si="39"/>
        <v>0</v>
      </c>
      <c r="T104" s="76">
        <f t="shared" si="39"/>
        <v>0</v>
      </c>
      <c r="U104" s="76">
        <f t="shared" ref="U104:V104" si="40">IF(U83&lt;0,U83*-1,0)</f>
        <v>0</v>
      </c>
      <c r="V104" s="76">
        <f t="shared" si="40"/>
        <v>0</v>
      </c>
      <c r="W104" s="76">
        <f t="shared" si="39"/>
        <v>0</v>
      </c>
      <c r="X104" s="76">
        <f t="shared" si="39"/>
        <v>0</v>
      </c>
      <c r="Y104" s="76">
        <f t="shared" si="39"/>
        <v>0</v>
      </c>
      <c r="Z104" s="76">
        <f t="shared" si="39"/>
        <v>0</v>
      </c>
      <c r="AA104" s="76">
        <f t="shared" si="39"/>
        <v>0</v>
      </c>
      <c r="AB104" s="76">
        <f t="shared" si="39"/>
        <v>0</v>
      </c>
      <c r="AC104" s="76">
        <f t="shared" si="39"/>
        <v>0</v>
      </c>
      <c r="AD104" s="76">
        <f t="shared" si="39"/>
        <v>0</v>
      </c>
      <c r="AE104" s="76">
        <f t="shared" si="39"/>
        <v>0</v>
      </c>
      <c r="AF104" s="76">
        <f t="shared" si="39"/>
        <v>0</v>
      </c>
      <c r="AG104" s="98"/>
      <c r="AH104" s="47">
        <f t="shared" si="22"/>
        <v>0</v>
      </c>
      <c r="AI104" s="48">
        <f t="shared" si="23"/>
        <v>0</v>
      </c>
    </row>
    <row r="105" spans="1:37" x14ac:dyDescent="0.25">
      <c r="A105" s="84" t="s">
        <v>81</v>
      </c>
      <c r="B105" s="76">
        <f>IF(B81&lt;0,B81*-1,0)</f>
        <v>0</v>
      </c>
      <c r="C105" s="76">
        <f t="shared" ref="C105:AF105" si="41">IF(C81&lt;0,C81*-1,0)</f>
        <v>0</v>
      </c>
      <c r="D105" s="76">
        <f t="shared" si="41"/>
        <v>0</v>
      </c>
      <c r="E105" s="76">
        <f t="shared" si="41"/>
        <v>0</v>
      </c>
      <c r="F105" s="76">
        <f t="shared" si="41"/>
        <v>0</v>
      </c>
      <c r="G105" s="76">
        <f t="shared" si="41"/>
        <v>0</v>
      </c>
      <c r="H105" s="76">
        <f t="shared" si="41"/>
        <v>0</v>
      </c>
      <c r="I105" s="76">
        <f t="shared" si="41"/>
        <v>0</v>
      </c>
      <c r="J105" s="76">
        <f t="shared" si="41"/>
        <v>0</v>
      </c>
      <c r="K105" s="76">
        <f t="shared" si="41"/>
        <v>0</v>
      </c>
      <c r="L105" s="76">
        <f t="shared" si="41"/>
        <v>0</v>
      </c>
      <c r="M105" s="76">
        <f t="shared" si="41"/>
        <v>0</v>
      </c>
      <c r="N105" s="76">
        <f t="shared" si="41"/>
        <v>0</v>
      </c>
      <c r="O105" s="76">
        <f t="shared" si="41"/>
        <v>0</v>
      </c>
      <c r="P105" s="76">
        <f t="shared" si="41"/>
        <v>0</v>
      </c>
      <c r="Q105" s="76">
        <f t="shared" si="41"/>
        <v>0</v>
      </c>
      <c r="R105" s="76">
        <f t="shared" si="41"/>
        <v>0</v>
      </c>
      <c r="S105" s="76">
        <f t="shared" si="41"/>
        <v>0</v>
      </c>
      <c r="T105" s="76">
        <f t="shared" si="41"/>
        <v>0</v>
      </c>
      <c r="U105" s="76">
        <f t="shared" ref="U105:V105" si="42">IF(U81&lt;0,U81*-1,0)</f>
        <v>0</v>
      </c>
      <c r="V105" s="76">
        <f t="shared" si="42"/>
        <v>0</v>
      </c>
      <c r="W105" s="76">
        <f t="shared" si="41"/>
        <v>0</v>
      </c>
      <c r="X105" s="76">
        <f t="shared" si="41"/>
        <v>0</v>
      </c>
      <c r="Y105" s="76">
        <f t="shared" si="41"/>
        <v>0</v>
      </c>
      <c r="Z105" s="76">
        <f t="shared" si="41"/>
        <v>0</v>
      </c>
      <c r="AA105" s="76">
        <f t="shared" si="41"/>
        <v>0</v>
      </c>
      <c r="AB105" s="76">
        <f t="shared" si="41"/>
        <v>0</v>
      </c>
      <c r="AC105" s="76">
        <f t="shared" si="41"/>
        <v>0</v>
      </c>
      <c r="AD105" s="76">
        <f t="shared" si="41"/>
        <v>0</v>
      </c>
      <c r="AE105" s="76">
        <f t="shared" si="41"/>
        <v>0</v>
      </c>
      <c r="AF105" s="76">
        <f t="shared" si="41"/>
        <v>0</v>
      </c>
      <c r="AG105" s="98"/>
      <c r="AH105" s="47">
        <f t="shared" si="22"/>
        <v>0</v>
      </c>
      <c r="AI105" s="48">
        <f t="shared" si="23"/>
        <v>0</v>
      </c>
    </row>
    <row r="106" spans="1:37" ht="15.75" thickBot="1" x14ac:dyDescent="0.3">
      <c r="A106" s="84" t="s">
        <v>106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1</v>
      </c>
      <c r="V106" s="94">
        <v>2</v>
      </c>
      <c r="W106" s="94">
        <v>0</v>
      </c>
      <c r="X106" s="94">
        <v>0</v>
      </c>
      <c r="Y106" s="94">
        <v>0</v>
      </c>
      <c r="Z106" s="94">
        <v>0</v>
      </c>
      <c r="AA106" s="94">
        <v>0</v>
      </c>
      <c r="AB106" s="94">
        <v>0</v>
      </c>
      <c r="AC106" s="94">
        <v>0</v>
      </c>
      <c r="AD106" s="94">
        <v>0</v>
      </c>
      <c r="AE106" s="94">
        <v>0</v>
      </c>
      <c r="AF106" s="94">
        <v>0</v>
      </c>
      <c r="AG106" s="85"/>
      <c r="AH106" s="47">
        <f t="shared" si="22"/>
        <v>2</v>
      </c>
      <c r="AI106" s="48">
        <f t="shared" si="23"/>
        <v>0</v>
      </c>
    </row>
    <row r="107" spans="1:37" ht="15.75" thickBot="1" x14ac:dyDescent="0.3">
      <c r="A107" s="99" t="s">
        <v>107</v>
      </c>
      <c r="B107" s="60">
        <f>SUM(B101:B106)</f>
        <v>0</v>
      </c>
      <c r="C107" s="60">
        <f t="shared" ref="C107:AF107" si="43">SUM(C101:C106)</f>
        <v>0</v>
      </c>
      <c r="D107" s="60">
        <f t="shared" si="43"/>
        <v>0</v>
      </c>
      <c r="E107" s="60">
        <f t="shared" si="43"/>
        <v>0</v>
      </c>
      <c r="F107" s="60">
        <f t="shared" si="43"/>
        <v>0</v>
      </c>
      <c r="G107" s="60">
        <f t="shared" si="43"/>
        <v>0</v>
      </c>
      <c r="H107" s="60">
        <f t="shared" si="43"/>
        <v>0</v>
      </c>
      <c r="I107" s="60">
        <f t="shared" si="43"/>
        <v>0</v>
      </c>
      <c r="J107" s="60">
        <f t="shared" si="43"/>
        <v>0</v>
      </c>
      <c r="K107" s="60">
        <f t="shared" si="43"/>
        <v>0</v>
      </c>
      <c r="L107" s="60">
        <f t="shared" si="43"/>
        <v>0</v>
      </c>
      <c r="M107" s="60">
        <f t="shared" si="43"/>
        <v>0</v>
      </c>
      <c r="N107" s="60">
        <f t="shared" si="43"/>
        <v>0</v>
      </c>
      <c r="O107" s="60">
        <f t="shared" si="43"/>
        <v>0</v>
      </c>
      <c r="P107" s="60">
        <f t="shared" si="43"/>
        <v>0</v>
      </c>
      <c r="Q107" s="60">
        <f t="shared" si="43"/>
        <v>0</v>
      </c>
      <c r="R107" s="60">
        <f t="shared" si="43"/>
        <v>0</v>
      </c>
      <c r="S107" s="60">
        <f t="shared" si="43"/>
        <v>0</v>
      </c>
      <c r="T107" s="60">
        <f t="shared" si="43"/>
        <v>0</v>
      </c>
      <c r="U107" s="60">
        <f t="shared" ref="U107:V107" si="44">SUM(U101:U106)</f>
        <v>1</v>
      </c>
      <c r="V107" s="60">
        <f t="shared" si="44"/>
        <v>2</v>
      </c>
      <c r="W107" s="60">
        <f t="shared" si="43"/>
        <v>0</v>
      </c>
      <c r="X107" s="60">
        <f t="shared" si="43"/>
        <v>0</v>
      </c>
      <c r="Y107" s="60">
        <f t="shared" si="43"/>
        <v>0</v>
      </c>
      <c r="Z107" s="60">
        <f t="shared" si="43"/>
        <v>0</v>
      </c>
      <c r="AA107" s="60">
        <f t="shared" si="43"/>
        <v>0</v>
      </c>
      <c r="AB107" s="60">
        <f t="shared" si="43"/>
        <v>0</v>
      </c>
      <c r="AC107" s="60">
        <f t="shared" si="43"/>
        <v>0</v>
      </c>
      <c r="AD107" s="60">
        <f t="shared" si="43"/>
        <v>0</v>
      </c>
      <c r="AE107" s="60">
        <f t="shared" si="43"/>
        <v>0</v>
      </c>
      <c r="AF107" s="60">
        <f t="shared" si="43"/>
        <v>0</v>
      </c>
      <c r="AG107" s="88"/>
      <c r="AH107" s="47">
        <f t="shared" si="22"/>
        <v>2</v>
      </c>
      <c r="AI107" s="48">
        <f t="shared" si="23"/>
        <v>0</v>
      </c>
      <c r="AK107" s="50"/>
    </row>
    <row r="108" spans="1:37" ht="15.75" thickBot="1" x14ac:dyDescent="0.3">
      <c r="A108" s="74" t="s">
        <v>108</v>
      </c>
      <c r="B108" s="60">
        <f t="shared" ref="B108:AF108" si="45">B92-B107</f>
        <v>383</v>
      </c>
      <c r="C108" s="60">
        <f t="shared" si="45"/>
        <v>382.1</v>
      </c>
      <c r="D108" s="60">
        <f t="shared" si="45"/>
        <v>385.9</v>
      </c>
      <c r="E108" s="60">
        <f t="shared" si="45"/>
        <v>396.3</v>
      </c>
      <c r="F108" s="60">
        <f t="shared" si="45"/>
        <v>384.7</v>
      </c>
      <c r="G108" s="60">
        <f t="shared" si="45"/>
        <v>460</v>
      </c>
      <c r="H108" s="60">
        <f t="shared" si="45"/>
        <v>431.9</v>
      </c>
      <c r="I108" s="60">
        <f t="shared" si="45"/>
        <v>473.9</v>
      </c>
      <c r="J108" s="60">
        <f t="shared" si="45"/>
        <v>479.4</v>
      </c>
      <c r="K108" s="60">
        <f t="shared" si="45"/>
        <v>213.3</v>
      </c>
      <c r="L108" s="60">
        <f t="shared" si="45"/>
        <v>166.4</v>
      </c>
      <c r="M108" s="60">
        <f t="shared" si="45"/>
        <v>136.1</v>
      </c>
      <c r="N108" s="60">
        <f t="shared" si="45"/>
        <v>105.4</v>
      </c>
      <c r="O108" s="60">
        <f t="shared" si="45"/>
        <v>171.2</v>
      </c>
      <c r="P108" s="60">
        <f t="shared" si="45"/>
        <v>294</v>
      </c>
      <c r="Q108" s="60">
        <f t="shared" si="45"/>
        <v>501.7</v>
      </c>
      <c r="R108" s="60">
        <f t="shared" si="45"/>
        <v>457.4</v>
      </c>
      <c r="S108" s="60">
        <f t="shared" si="45"/>
        <v>552</v>
      </c>
      <c r="T108" s="60">
        <f t="shared" si="45"/>
        <v>532.4</v>
      </c>
      <c r="U108" s="60">
        <f t="shared" ref="U108:V108" si="46">U92-U107</f>
        <v>538.4</v>
      </c>
      <c r="V108" s="60">
        <f t="shared" si="46"/>
        <v>279.2</v>
      </c>
      <c r="W108" s="60">
        <f t="shared" si="45"/>
        <v>361.1</v>
      </c>
      <c r="X108" s="60">
        <f t="shared" si="45"/>
        <v>323.3</v>
      </c>
      <c r="Y108" s="60">
        <f t="shared" si="45"/>
        <v>240.9</v>
      </c>
      <c r="Z108" s="60">
        <f t="shared" si="45"/>
        <v>219.39999999999998</v>
      </c>
      <c r="AA108" s="60">
        <f t="shared" si="45"/>
        <v>315</v>
      </c>
      <c r="AB108" s="60">
        <f t="shared" si="45"/>
        <v>365.5</v>
      </c>
      <c r="AC108" s="60">
        <f t="shared" si="45"/>
        <v>411</v>
      </c>
      <c r="AD108" s="60">
        <f t="shared" si="45"/>
        <v>425</v>
      </c>
      <c r="AE108" s="60">
        <f t="shared" si="45"/>
        <v>441.3</v>
      </c>
      <c r="AF108" s="60">
        <f t="shared" si="45"/>
        <v>444</v>
      </c>
      <c r="AG108" s="88"/>
      <c r="AH108" s="47">
        <f t="shared" si="22"/>
        <v>552</v>
      </c>
      <c r="AI108" s="48">
        <f t="shared" si="23"/>
        <v>105.4</v>
      </c>
    </row>
    <row r="109" spans="1:37" x14ac:dyDescent="0.25">
      <c r="A109" s="100" t="s">
        <v>109</v>
      </c>
      <c r="B109" s="101">
        <v>49.954999999999998</v>
      </c>
      <c r="C109" s="101">
        <v>49.945999999999998</v>
      </c>
      <c r="D109" s="101">
        <v>49.997999999999998</v>
      </c>
      <c r="E109" s="101">
        <v>50.030999999999999</v>
      </c>
      <c r="F109" s="101">
        <v>50</v>
      </c>
      <c r="G109" s="101">
        <v>50.061</v>
      </c>
      <c r="H109" s="101">
        <v>50.106999999999999</v>
      </c>
      <c r="I109" s="101">
        <v>50.039000000000001</v>
      </c>
      <c r="J109" s="101">
        <v>50.043999999999997</v>
      </c>
      <c r="K109" s="101">
        <v>49.97</v>
      </c>
      <c r="L109" s="101">
        <v>49.941000000000003</v>
      </c>
      <c r="M109" s="101">
        <v>49.984000000000002</v>
      </c>
      <c r="N109" s="101">
        <v>50.015999999999998</v>
      </c>
      <c r="O109" s="101">
        <v>50.024999999999999</v>
      </c>
      <c r="P109" s="101">
        <v>49.942</v>
      </c>
      <c r="Q109" s="101">
        <v>49.963000000000001</v>
      </c>
      <c r="R109" s="101">
        <v>50.213999999999999</v>
      </c>
      <c r="S109" s="101">
        <v>49.97</v>
      </c>
      <c r="T109" s="101">
        <v>49.988</v>
      </c>
      <c r="U109" s="101">
        <v>49.988</v>
      </c>
      <c r="V109" s="101">
        <v>49.892000000000003</v>
      </c>
      <c r="W109" s="101">
        <v>50.034999999999997</v>
      </c>
      <c r="X109" s="101">
        <v>50.005000000000003</v>
      </c>
      <c r="Y109" s="101">
        <v>50.018000000000001</v>
      </c>
      <c r="Z109" s="101">
        <v>50.018000000000001</v>
      </c>
      <c r="AA109" s="101">
        <v>50.037999999999997</v>
      </c>
      <c r="AB109" s="101">
        <v>50.06</v>
      </c>
      <c r="AC109" s="101">
        <v>50.091000000000001</v>
      </c>
      <c r="AD109" s="101">
        <v>49.994999999999997</v>
      </c>
      <c r="AE109" s="101">
        <v>50.023000000000003</v>
      </c>
      <c r="AF109" s="101">
        <v>50.000999999999998</v>
      </c>
      <c r="AG109" s="102"/>
      <c r="AH109" s="47">
        <f t="shared" si="22"/>
        <v>50.213999999999999</v>
      </c>
      <c r="AI109" s="48">
        <f t="shared" si="23"/>
        <v>49.892000000000003</v>
      </c>
    </row>
    <row r="110" spans="1:37" x14ac:dyDescent="0.25">
      <c r="A110" s="103" t="s">
        <v>110</v>
      </c>
      <c r="B110" s="65">
        <v>128.9</v>
      </c>
      <c r="C110" s="65">
        <v>129</v>
      </c>
      <c r="D110" s="65">
        <v>129.6</v>
      </c>
      <c r="E110" s="65">
        <v>129</v>
      </c>
      <c r="F110" s="65">
        <v>129</v>
      </c>
      <c r="G110" s="65">
        <v>127</v>
      </c>
      <c r="H110" s="65">
        <v>127.4</v>
      </c>
      <c r="I110" s="65">
        <v>126.3</v>
      </c>
      <c r="J110" s="65">
        <v>125.9</v>
      </c>
      <c r="K110" s="65">
        <v>124.6</v>
      </c>
      <c r="L110" s="65">
        <v>124.5</v>
      </c>
      <c r="M110" s="65">
        <v>125.1</v>
      </c>
      <c r="N110" s="65">
        <v>124.9</v>
      </c>
      <c r="O110" s="65">
        <v>126.3</v>
      </c>
      <c r="P110" s="65">
        <v>128.5</v>
      </c>
      <c r="Q110" s="65">
        <v>125.3</v>
      </c>
      <c r="R110" s="65">
        <v>127.3</v>
      </c>
      <c r="S110" s="65">
        <v>126</v>
      </c>
      <c r="T110" s="65">
        <v>126.8</v>
      </c>
      <c r="U110" s="65">
        <v>126.8</v>
      </c>
      <c r="V110" s="65">
        <v>129</v>
      </c>
      <c r="W110" s="65">
        <v>128.69999999999999</v>
      </c>
      <c r="X110" s="65">
        <v>127.7</v>
      </c>
      <c r="Y110" s="65">
        <v>128.30000000000001</v>
      </c>
      <c r="Z110" s="65">
        <v>128.30000000000001</v>
      </c>
      <c r="AA110" s="65">
        <v>127.7</v>
      </c>
      <c r="AB110" s="65">
        <v>128.5</v>
      </c>
      <c r="AC110" s="65">
        <v>127.7</v>
      </c>
      <c r="AD110" s="65">
        <v>128.19999999999999</v>
      </c>
      <c r="AE110" s="65">
        <v>127</v>
      </c>
      <c r="AF110" s="65">
        <v>128.30000000000001</v>
      </c>
      <c r="AG110" s="104"/>
      <c r="AH110" s="47">
        <f t="shared" si="22"/>
        <v>129.6</v>
      </c>
      <c r="AI110" s="48">
        <f t="shared" si="23"/>
        <v>124.5</v>
      </c>
    </row>
    <row r="111" spans="1:37" x14ac:dyDescent="0.25">
      <c r="A111" s="103" t="s">
        <v>111</v>
      </c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104"/>
      <c r="AH111" s="47">
        <f t="shared" si="22"/>
        <v>0</v>
      </c>
      <c r="AI111" s="48">
        <f t="shared" si="23"/>
        <v>0</v>
      </c>
    </row>
    <row r="112" spans="1:37" x14ac:dyDescent="0.25">
      <c r="A112" s="103" t="s">
        <v>112</v>
      </c>
      <c r="B112" s="65">
        <v>131.4</v>
      </c>
      <c r="C112" s="65">
        <v>132.1</v>
      </c>
      <c r="D112" s="65">
        <v>132.80000000000001</v>
      </c>
      <c r="E112" s="65">
        <v>131.6</v>
      </c>
      <c r="F112" s="65">
        <v>132.9</v>
      </c>
      <c r="G112" s="65">
        <v>127.7</v>
      </c>
      <c r="H112" s="65">
        <v>127.8</v>
      </c>
      <c r="I112" s="65">
        <v>126.8</v>
      </c>
      <c r="J112" s="65">
        <v>125.3</v>
      </c>
      <c r="K112" s="65">
        <v>125.1</v>
      </c>
      <c r="L112" s="65">
        <v>129.19999999999999</v>
      </c>
      <c r="M112" s="65">
        <v>127.6</v>
      </c>
      <c r="N112" s="65">
        <v>126.7</v>
      </c>
      <c r="O112" s="65">
        <v>127.8</v>
      </c>
      <c r="P112" s="65">
        <v>128.9</v>
      </c>
      <c r="Q112" s="65">
        <v>128.1</v>
      </c>
      <c r="R112" s="65">
        <v>127.4</v>
      </c>
      <c r="S112" s="65">
        <v>127.3</v>
      </c>
      <c r="T112" s="65">
        <v>127.2</v>
      </c>
      <c r="U112" s="65">
        <v>127.2</v>
      </c>
      <c r="V112" s="65">
        <v>131.19999999999999</v>
      </c>
      <c r="W112" s="65">
        <v>124</v>
      </c>
      <c r="X112" s="65">
        <v>127.8</v>
      </c>
      <c r="Y112" s="65">
        <v>131.19999999999999</v>
      </c>
      <c r="Z112" s="65">
        <v>131.19999999999999</v>
      </c>
      <c r="AA112" s="65">
        <v>131.69999999999999</v>
      </c>
      <c r="AB112" s="65">
        <v>132.6</v>
      </c>
      <c r="AC112" s="65">
        <v>131.4</v>
      </c>
      <c r="AD112" s="65">
        <v>129.19999999999999</v>
      </c>
      <c r="AE112" s="65">
        <v>129.19999999999999</v>
      </c>
      <c r="AF112" s="65">
        <v>130.69999999999999</v>
      </c>
      <c r="AG112" s="104"/>
      <c r="AH112" s="47">
        <f t="shared" si="22"/>
        <v>132.9</v>
      </c>
      <c r="AI112" s="48">
        <f t="shared" si="23"/>
        <v>124</v>
      </c>
    </row>
    <row r="113" spans="1:35" x14ac:dyDescent="0.25">
      <c r="A113" s="105" t="s">
        <v>113</v>
      </c>
      <c r="B113" s="65">
        <v>134.1</v>
      </c>
      <c r="C113" s="65">
        <v>134.1</v>
      </c>
      <c r="D113" s="65">
        <v>134.4</v>
      </c>
      <c r="E113" s="65">
        <v>135</v>
      </c>
      <c r="F113" s="65">
        <v>135.80000000000001</v>
      </c>
      <c r="G113" s="65">
        <v>131.19999999999999</v>
      </c>
      <c r="H113" s="65">
        <v>130.9</v>
      </c>
      <c r="I113" s="65">
        <v>131.4</v>
      </c>
      <c r="J113" s="65">
        <v>129.69999999999999</v>
      </c>
      <c r="K113" s="65">
        <v>128.19999999999999</v>
      </c>
      <c r="L113" s="65">
        <v>131.1</v>
      </c>
      <c r="M113" s="65">
        <v>128.69999999999999</v>
      </c>
      <c r="N113" s="65">
        <v>127.9</v>
      </c>
      <c r="O113" s="65">
        <v>128.9</v>
      </c>
      <c r="P113" s="65">
        <v>130.9</v>
      </c>
      <c r="Q113" s="65">
        <v>131.19999999999999</v>
      </c>
      <c r="R113" s="65">
        <v>130.4</v>
      </c>
      <c r="S113" s="65">
        <v>130.19999999999999</v>
      </c>
      <c r="T113" s="65">
        <v>130.6</v>
      </c>
      <c r="U113" s="65">
        <v>130.6</v>
      </c>
      <c r="V113" s="65">
        <v>132.4</v>
      </c>
      <c r="W113" s="65">
        <v>125.6</v>
      </c>
      <c r="X113" s="65">
        <v>127.4</v>
      </c>
      <c r="Y113" s="65">
        <v>133.19999999999999</v>
      </c>
      <c r="Z113" s="65">
        <v>133.19999999999999</v>
      </c>
      <c r="AA113" s="65">
        <v>132.9</v>
      </c>
      <c r="AB113" s="65">
        <v>134.6</v>
      </c>
      <c r="AC113" s="65">
        <v>134.5</v>
      </c>
      <c r="AD113" s="65">
        <v>132.19999999999999</v>
      </c>
      <c r="AE113" s="65">
        <v>133.1</v>
      </c>
      <c r="AF113" s="65">
        <v>134.4</v>
      </c>
      <c r="AG113" s="104"/>
      <c r="AH113" s="47">
        <f t="shared" si="22"/>
        <v>135.80000000000001</v>
      </c>
      <c r="AI113" s="48">
        <f t="shared" si="23"/>
        <v>125.6</v>
      </c>
    </row>
    <row r="114" spans="1:35" x14ac:dyDescent="0.25">
      <c r="A114" s="105" t="s">
        <v>114</v>
      </c>
      <c r="B114" s="106">
        <v>133.1</v>
      </c>
      <c r="C114" s="106">
        <v>132.4</v>
      </c>
      <c r="D114" s="106">
        <v>133.1</v>
      </c>
      <c r="E114" s="106">
        <v>134.30000000000001</v>
      </c>
      <c r="F114" s="106">
        <v>132.80000000000001</v>
      </c>
      <c r="G114" s="106">
        <v>132.4</v>
      </c>
      <c r="H114" s="106">
        <v>132.80000000000001</v>
      </c>
      <c r="I114" s="106">
        <v>135</v>
      </c>
      <c r="J114" s="106">
        <v>133.69999999999999</v>
      </c>
      <c r="K114" s="106">
        <v>133.30000000000001</v>
      </c>
      <c r="L114" s="106">
        <v>133.80000000000001</v>
      </c>
      <c r="M114" s="106">
        <v>131.9</v>
      </c>
      <c r="N114" s="106">
        <v>131.80000000000001</v>
      </c>
      <c r="O114" s="106">
        <v>133.5</v>
      </c>
      <c r="P114" s="106">
        <v>133.80000000000001</v>
      </c>
      <c r="Q114" s="106">
        <v>131.80000000000001</v>
      </c>
      <c r="R114" s="106">
        <v>130.80000000000001</v>
      </c>
      <c r="S114" s="106">
        <v>131.19999999999999</v>
      </c>
      <c r="T114" s="106">
        <v>133.9</v>
      </c>
      <c r="U114" s="106">
        <v>133.9</v>
      </c>
      <c r="V114" s="106">
        <v>133.80000000000001</v>
      </c>
      <c r="W114" s="106">
        <v>134.5</v>
      </c>
      <c r="X114" s="106">
        <v>134.6</v>
      </c>
      <c r="Y114" s="106">
        <v>134.6</v>
      </c>
      <c r="Z114" s="106">
        <v>134.6</v>
      </c>
      <c r="AA114" s="106">
        <v>135.5</v>
      </c>
      <c r="AB114" s="106">
        <v>135.30000000000001</v>
      </c>
      <c r="AC114" s="106">
        <v>134.5</v>
      </c>
      <c r="AD114" s="106">
        <v>135</v>
      </c>
      <c r="AE114" s="106">
        <v>134</v>
      </c>
      <c r="AF114" s="106">
        <v>134.19999999999999</v>
      </c>
      <c r="AG114" s="107"/>
      <c r="AH114" s="47">
        <f t="shared" si="22"/>
        <v>135.5</v>
      </c>
      <c r="AI114" s="48">
        <f t="shared" si="23"/>
        <v>130.80000000000001</v>
      </c>
    </row>
    <row r="115" spans="1:35" x14ac:dyDescent="0.25">
      <c r="A115" s="103" t="s">
        <v>115</v>
      </c>
      <c r="B115" s="65">
        <v>135.1</v>
      </c>
      <c r="C115" s="65">
        <v>135.5</v>
      </c>
      <c r="D115" s="65">
        <v>132.6</v>
      </c>
      <c r="E115" s="65">
        <v>130.6</v>
      </c>
      <c r="F115" s="65">
        <v>130.69999999999999</v>
      </c>
      <c r="G115" s="65">
        <v>126.7</v>
      </c>
      <c r="H115" s="65">
        <v>129.80000000000001</v>
      </c>
      <c r="I115" s="65">
        <v>129.19999999999999</v>
      </c>
      <c r="J115" s="65">
        <v>129</v>
      </c>
      <c r="K115" s="65">
        <v>130.69999999999999</v>
      </c>
      <c r="L115" s="65">
        <v>131</v>
      </c>
      <c r="M115" s="65">
        <v>128.80000000000001</v>
      </c>
      <c r="N115" s="65">
        <v>130.9</v>
      </c>
      <c r="O115" s="65">
        <v>129.9</v>
      </c>
      <c r="P115" s="65">
        <v>127.4</v>
      </c>
      <c r="Q115" s="65">
        <v>129</v>
      </c>
      <c r="R115" s="65">
        <v>132.19999999999999</v>
      </c>
      <c r="S115" s="65">
        <v>133.74</v>
      </c>
      <c r="T115" s="65">
        <v>129</v>
      </c>
      <c r="U115" s="65">
        <v>129</v>
      </c>
      <c r="V115" s="65">
        <v>130.69999999999999</v>
      </c>
      <c r="W115" s="65">
        <v>129.4</v>
      </c>
      <c r="X115" s="65">
        <v>130.1</v>
      </c>
      <c r="Y115" s="65">
        <v>129</v>
      </c>
      <c r="Z115" s="65">
        <v>129</v>
      </c>
      <c r="AA115" s="65">
        <v>130.1</v>
      </c>
      <c r="AB115" s="65">
        <v>134.19999999999999</v>
      </c>
      <c r="AC115" s="65">
        <v>130.19999999999999</v>
      </c>
      <c r="AD115" s="65">
        <v>131.1</v>
      </c>
      <c r="AE115" s="65">
        <v>135.19999999999999</v>
      </c>
      <c r="AF115" s="65">
        <v>131.4</v>
      </c>
      <c r="AG115" s="104"/>
      <c r="AH115" s="47">
        <f t="shared" si="22"/>
        <v>135.5</v>
      </c>
      <c r="AI115" s="48">
        <f t="shared" si="23"/>
        <v>126.7</v>
      </c>
    </row>
    <row r="116" spans="1:35" ht="15.75" thickBot="1" x14ac:dyDescent="0.3">
      <c r="A116" s="103" t="s">
        <v>116</v>
      </c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108"/>
      <c r="AH116" s="47">
        <f t="shared" si="22"/>
        <v>0</v>
      </c>
      <c r="AI116" s="48">
        <f t="shared" si="23"/>
        <v>0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 t="s">
        <v>117</v>
      </c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22"/>
        <v>0</v>
      </c>
      <c r="AI117" s="48">
        <f t="shared" si="23"/>
        <v>0</v>
      </c>
    </row>
    <row r="118" spans="1:35" ht="15.75" thickBot="1" x14ac:dyDescent="0.3">
      <c r="A118" s="110" t="s">
        <v>118</v>
      </c>
      <c r="B118" s="111">
        <f t="shared" ref="B118:O118" si="47">SUM(B22,B28,B31:B32,B66,B68:B69,B71,B73,B119:B123,B155,B161,B167,B176,B178,B190,B197,B200:B201,B208,B210,B212,B216:B218,B220:B222,B227,B233:B234,B236:B238,B246,B251)</f>
        <v>132.04</v>
      </c>
      <c r="C118" s="111">
        <f t="shared" si="47"/>
        <v>129.08999999999997</v>
      </c>
      <c r="D118" s="111">
        <f t="shared" si="47"/>
        <v>128.41999999999999</v>
      </c>
      <c r="E118" s="111">
        <f t="shared" si="47"/>
        <v>128.07999999999998</v>
      </c>
      <c r="F118" s="111">
        <f t="shared" si="47"/>
        <v>130.452</v>
      </c>
      <c r="G118" s="111">
        <f t="shared" si="47"/>
        <v>160.672</v>
      </c>
      <c r="H118" s="111">
        <f t="shared" si="47"/>
        <v>179.21599999999998</v>
      </c>
      <c r="I118" s="111">
        <f t="shared" si="47"/>
        <v>218.44799999999998</v>
      </c>
      <c r="J118" s="111">
        <f t="shared" si="47"/>
        <v>266.62799999999999</v>
      </c>
      <c r="K118" s="111">
        <f t="shared" si="47"/>
        <v>346.58</v>
      </c>
      <c r="L118" s="111">
        <f t="shared" si="47"/>
        <v>373.79999999999995</v>
      </c>
      <c r="M118" s="111">
        <f t="shared" si="47"/>
        <v>363.44</v>
      </c>
      <c r="N118" s="111">
        <f t="shared" si="47"/>
        <v>269.83999999999997</v>
      </c>
      <c r="O118" s="111">
        <f t="shared" si="47"/>
        <v>265.84000000000003</v>
      </c>
      <c r="P118" s="111">
        <v>42</v>
      </c>
      <c r="Q118" s="111">
        <f t="shared" ref="Q118:AC118" si="48">SUM(Q22,Q28,Q31:Q32,Q66,Q68:Q69,Q71,Q73,Q119:Q123,Q155,Q161,Q167,Q176,Q178,Q190,Q197,Q200:Q201,Q208,Q210,Q212,Q216:Q218,Q220:Q222,Q227,Q233:Q234,Q236:Q238,Q246,Q251)</f>
        <v>257.74</v>
      </c>
      <c r="R118" s="111">
        <f t="shared" si="48"/>
        <v>257.04000000000002</v>
      </c>
      <c r="S118" s="111">
        <f t="shared" si="48"/>
        <v>239.14</v>
      </c>
      <c r="T118" s="111">
        <f t="shared" si="48"/>
        <v>247.04</v>
      </c>
      <c r="U118" s="111">
        <f t="shared" ref="U118:V118" si="49">SUM(U22,U28,U31:U32,U66,U68:U69,U71,U73,U119:U123,U155,U161,U167,U176,U178,U190,U197,U200:U201,U208,U210,U212,U216:U218,U220:U222,U227,U233:U234,U236:U238,U246,U251)</f>
        <v>242.04</v>
      </c>
      <c r="V118" s="111">
        <f t="shared" si="49"/>
        <v>304.83999999999997</v>
      </c>
      <c r="W118" s="111">
        <f t="shared" si="48"/>
        <v>332.29</v>
      </c>
      <c r="X118" s="111">
        <f t="shared" si="48"/>
        <v>379.24499999999995</v>
      </c>
      <c r="Y118" s="111">
        <f t="shared" si="48"/>
        <v>402.08499999999998</v>
      </c>
      <c r="Z118" s="111">
        <f t="shared" si="48"/>
        <v>402.08499999999998</v>
      </c>
      <c r="AA118" s="111">
        <f t="shared" si="48"/>
        <v>380.29</v>
      </c>
      <c r="AB118" s="111">
        <f t="shared" si="48"/>
        <v>357.24</v>
      </c>
      <c r="AC118" s="111">
        <f t="shared" si="48"/>
        <v>314.24</v>
      </c>
      <c r="AD118" s="111"/>
      <c r="AE118" s="111">
        <f>SUM(AE22,AE28,AE31:AE32,AE66,AE68:AE69,AE71,AE73,AE119:AE123,AE155,AE161,AE167,AE176,AE178,AE190,AE197,AE200:AE201,AE208,AE210,AE212,AE216:AE218,AE220:AE222,AE227,AE233:AE234,AE236:AE238,AE246,AE251)</f>
        <v>180.84</v>
      </c>
      <c r="AF118" s="111">
        <f>SUM(AF22,AF28,AF31:AF32,AF66,AF68:AF69,AF71,AF73,AF119:AF123,AF155,AF161,AF167,AF176,AF178,AF190,AF197,AF200:AF201,AF208,AF210,AF212,AF216:AF218,AF220:AF222,AF227,AF233:AF234,AF236:AF238,AF246,AF251)</f>
        <v>146.84</v>
      </c>
      <c r="AG118" s="112"/>
      <c r="AH118" s="47">
        <f t="shared" si="22"/>
        <v>402.08499999999998</v>
      </c>
      <c r="AI118" s="48">
        <f t="shared" si="23"/>
        <v>42</v>
      </c>
    </row>
    <row r="119" spans="1:35" x14ac:dyDescent="0.25">
      <c r="A119" s="172" t="s">
        <v>119</v>
      </c>
      <c r="B119" s="113"/>
      <c r="C119" s="113"/>
      <c r="D119" s="113"/>
      <c r="E119" s="113">
        <v>3.5</v>
      </c>
      <c r="F119" s="113">
        <v>-2.2000000000000002</v>
      </c>
      <c r="G119" s="113">
        <v>7.9</v>
      </c>
      <c r="H119" s="113">
        <v>34.5</v>
      </c>
      <c r="I119" s="113">
        <v>36.5</v>
      </c>
      <c r="J119" s="113">
        <v>70.8</v>
      </c>
      <c r="K119" s="113">
        <v>77.3</v>
      </c>
      <c r="L119" s="113">
        <v>72.599999999999994</v>
      </c>
      <c r="M119" s="113">
        <v>77.900000000000006</v>
      </c>
      <c r="N119" s="113">
        <v>61.1</v>
      </c>
      <c r="O119" s="113">
        <v>69.900000000000006</v>
      </c>
      <c r="P119" s="113">
        <v>55.8</v>
      </c>
      <c r="Q119" s="113">
        <v>32.9</v>
      </c>
      <c r="R119" s="113">
        <v>51.8</v>
      </c>
      <c r="S119" s="113">
        <v>16</v>
      </c>
      <c r="T119" s="113">
        <v>25.1</v>
      </c>
      <c r="U119" s="113">
        <v>25.1</v>
      </c>
      <c r="V119" s="113">
        <v>33.1</v>
      </c>
      <c r="W119" s="113">
        <v>23.1</v>
      </c>
      <c r="X119" s="113">
        <v>37.1</v>
      </c>
      <c r="Y119" s="113">
        <v>56.2</v>
      </c>
      <c r="Z119" s="113">
        <v>56.2</v>
      </c>
      <c r="AA119" s="113">
        <v>50.5</v>
      </c>
      <c r="AB119" s="113">
        <v>45</v>
      </c>
      <c r="AC119" s="113">
        <v>25</v>
      </c>
      <c r="AD119" s="113">
        <v>28.6</v>
      </c>
      <c r="AE119" s="113">
        <v>34</v>
      </c>
      <c r="AF119" s="113">
        <v>13.4</v>
      </c>
      <c r="AG119" s="114">
        <v>75</v>
      </c>
      <c r="AH119" s="47">
        <f t="shared" si="22"/>
        <v>77.900000000000006</v>
      </c>
      <c r="AI119" s="48">
        <f t="shared" si="23"/>
        <v>-2.2000000000000002</v>
      </c>
    </row>
    <row r="120" spans="1:35" x14ac:dyDescent="0.25">
      <c r="A120" s="173" t="s">
        <v>120</v>
      </c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115"/>
      <c r="AF120" s="115"/>
      <c r="AG120" s="114">
        <v>240</v>
      </c>
      <c r="AH120" s="47">
        <f t="shared" si="22"/>
        <v>0</v>
      </c>
      <c r="AI120" s="48">
        <f t="shared" si="23"/>
        <v>0</v>
      </c>
    </row>
    <row r="121" spans="1:35" x14ac:dyDescent="0.25">
      <c r="A121" s="173" t="s">
        <v>121</v>
      </c>
      <c r="B121" s="115">
        <v>-63</v>
      </c>
      <c r="C121" s="115">
        <v>-61</v>
      </c>
      <c r="D121" s="115">
        <v>-62</v>
      </c>
      <c r="E121" s="115">
        <v>-65</v>
      </c>
      <c r="F121" s="115">
        <v>-60.7</v>
      </c>
      <c r="G121" s="115">
        <v>-57.8</v>
      </c>
      <c r="H121" s="115">
        <v>-52.9</v>
      </c>
      <c r="I121" s="115">
        <v>-38.299999999999997</v>
      </c>
      <c r="J121" s="115">
        <v>-19.5</v>
      </c>
      <c r="K121" s="115">
        <v>10</v>
      </c>
      <c r="L121" s="115">
        <v>28.7</v>
      </c>
      <c r="M121" s="115">
        <f>14.5+16.4</f>
        <v>30.9</v>
      </c>
      <c r="N121" s="115">
        <f>-16-15</f>
        <v>-31</v>
      </c>
      <c r="O121" s="115">
        <f>-17.6-15.6</f>
        <v>-33.200000000000003</v>
      </c>
      <c r="P121" s="115">
        <f>-18-13</f>
        <v>-31</v>
      </c>
      <c r="Q121" s="115">
        <f>-7.1-0</f>
        <v>-7.1</v>
      </c>
      <c r="R121" s="115">
        <v>-7.1</v>
      </c>
      <c r="S121" s="115">
        <v>19</v>
      </c>
      <c r="T121" s="115">
        <v>23</v>
      </c>
      <c r="U121" s="115">
        <v>23</v>
      </c>
      <c r="V121" s="115">
        <v>46</v>
      </c>
      <c r="W121" s="115">
        <v>64</v>
      </c>
      <c r="X121" s="115">
        <v>77</v>
      </c>
      <c r="Y121" s="115">
        <v>88</v>
      </c>
      <c r="Z121" s="115">
        <v>88</v>
      </c>
      <c r="AA121" s="115">
        <v>79</v>
      </c>
      <c r="AB121" s="115">
        <v>75</v>
      </c>
      <c r="AC121" s="115">
        <v>56</v>
      </c>
      <c r="AD121" s="115">
        <v>40</v>
      </c>
      <c r="AE121" s="115">
        <v>-19</v>
      </c>
      <c r="AF121" s="115">
        <v>-34</v>
      </c>
      <c r="AG121" s="114">
        <v>240</v>
      </c>
      <c r="AH121" s="47">
        <f t="shared" si="22"/>
        <v>88</v>
      </c>
      <c r="AI121" s="48">
        <f t="shared" si="23"/>
        <v>-65</v>
      </c>
    </row>
    <row r="122" spans="1:35" ht="15.75" thickBot="1" x14ac:dyDescent="0.3">
      <c r="A122" s="173" t="s">
        <v>122</v>
      </c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15"/>
      <c r="AF122" s="115"/>
      <c r="AG122" s="114">
        <v>60</v>
      </c>
      <c r="AH122" s="47">
        <f t="shared" si="22"/>
        <v>0</v>
      </c>
      <c r="AI122" s="48">
        <f t="shared" si="23"/>
        <v>0</v>
      </c>
    </row>
    <row r="123" spans="1:35" x14ac:dyDescent="0.25">
      <c r="A123" s="172" t="s">
        <v>260</v>
      </c>
      <c r="B123" s="117">
        <f>54*1.65</f>
        <v>89.1</v>
      </c>
      <c r="C123" s="117">
        <f>51*1.65</f>
        <v>84.149999999999991</v>
      </c>
      <c r="D123" s="117">
        <f>51.2*1.65</f>
        <v>84.48</v>
      </c>
      <c r="E123" s="117">
        <f>1.64*51</f>
        <v>83.64</v>
      </c>
      <c r="F123" s="117">
        <f>1.64*53.3</f>
        <v>87.411999999999992</v>
      </c>
      <c r="G123" s="117">
        <f>1.64*63.8</f>
        <v>104.63199999999999</v>
      </c>
      <c r="H123" s="117">
        <f>1.64*55.9</f>
        <v>91.675999999999988</v>
      </c>
      <c r="I123" s="117">
        <f>1.64*69.7</f>
        <v>114.30799999999999</v>
      </c>
      <c r="J123" s="117">
        <f>1.64*66.7</f>
        <v>109.38800000000001</v>
      </c>
      <c r="K123" s="117">
        <f>1.64*93.5</f>
        <v>153.34</v>
      </c>
      <c r="L123" s="117">
        <f>1.64*101.5</f>
        <v>166.45999999999998</v>
      </c>
      <c r="M123" s="117">
        <f>97*1.5</f>
        <v>145.5</v>
      </c>
      <c r="N123" s="117">
        <f>88*1.5</f>
        <v>132</v>
      </c>
      <c r="O123" s="117">
        <f>80*1.5</f>
        <v>120</v>
      </c>
      <c r="P123" s="117">
        <f>56*1.5</f>
        <v>84</v>
      </c>
      <c r="Q123" s="117">
        <f>75*1.5</f>
        <v>112.5</v>
      </c>
      <c r="R123" s="117">
        <f>61*1.5</f>
        <v>91.5</v>
      </c>
      <c r="S123" s="117">
        <v>90</v>
      </c>
      <c r="T123" s="117">
        <v>85</v>
      </c>
      <c r="U123" s="117">
        <v>85</v>
      </c>
      <c r="V123" s="117">
        <f>72*1.65</f>
        <v>118.8</v>
      </c>
      <c r="W123" s="117">
        <f>85*1.65</f>
        <v>140.25</v>
      </c>
      <c r="X123" s="117">
        <v>161.20499999999998</v>
      </c>
      <c r="Y123" s="117">
        <f>93.3*1.65</f>
        <v>153.94499999999999</v>
      </c>
      <c r="Z123" s="117">
        <f>93.3*1.65</f>
        <v>153.94499999999999</v>
      </c>
      <c r="AA123" s="117">
        <f>87*1.65</f>
        <v>143.54999999999998</v>
      </c>
      <c r="AB123" s="117">
        <v>130</v>
      </c>
      <c r="AC123" s="117">
        <v>126</v>
      </c>
      <c r="AD123" s="117">
        <v>125</v>
      </c>
      <c r="AE123" s="117">
        <v>62</v>
      </c>
      <c r="AF123" s="117">
        <v>63.6</v>
      </c>
      <c r="AG123" s="118">
        <v>120</v>
      </c>
      <c r="AH123" s="47">
        <f t="shared" si="22"/>
        <v>166.45999999999998</v>
      </c>
      <c r="AI123" s="48">
        <f t="shared" si="23"/>
        <v>62</v>
      </c>
    </row>
    <row r="124" spans="1:35" x14ac:dyDescent="0.25">
      <c r="A124" s="173" t="s">
        <v>259</v>
      </c>
      <c r="B124" s="117">
        <v>73</v>
      </c>
      <c r="C124" s="117">
        <v>71</v>
      </c>
      <c r="D124" s="117">
        <v>70.3</v>
      </c>
      <c r="E124" s="117">
        <v>70.7</v>
      </c>
      <c r="F124" s="117">
        <v>73.900000000000006</v>
      </c>
      <c r="G124" s="117">
        <v>79.599999999999994</v>
      </c>
      <c r="H124" s="117">
        <v>74.099999999999994</v>
      </c>
      <c r="I124" s="117">
        <v>85.4</v>
      </c>
      <c r="J124" s="117">
        <v>82.3</v>
      </c>
      <c r="K124" s="117">
        <v>103.3</v>
      </c>
      <c r="L124" s="117">
        <v>109.2</v>
      </c>
      <c r="M124" s="117">
        <v>105.7</v>
      </c>
      <c r="N124" s="117">
        <v>99.6</v>
      </c>
      <c r="O124" s="117">
        <v>91.8</v>
      </c>
      <c r="P124" s="117">
        <v>74</v>
      </c>
      <c r="Q124" s="117">
        <v>88</v>
      </c>
      <c r="R124" s="117">
        <v>77.5</v>
      </c>
      <c r="S124" s="117">
        <v>86.2</v>
      </c>
      <c r="T124" s="117">
        <v>81</v>
      </c>
      <c r="U124" s="117">
        <v>81</v>
      </c>
      <c r="V124" s="117">
        <v>82</v>
      </c>
      <c r="W124" s="117">
        <v>93</v>
      </c>
      <c r="X124" s="117">
        <v>102.1</v>
      </c>
      <c r="Y124" s="117">
        <v>104.3</v>
      </c>
      <c r="Z124" s="117">
        <v>104.3</v>
      </c>
      <c r="AA124" s="117">
        <v>100</v>
      </c>
      <c r="AB124" s="117">
        <v>93</v>
      </c>
      <c r="AC124" s="117">
        <v>101</v>
      </c>
      <c r="AD124" s="117">
        <v>92</v>
      </c>
      <c r="AE124" s="117">
        <v>80</v>
      </c>
      <c r="AF124" s="117">
        <v>82</v>
      </c>
      <c r="AG124" s="118"/>
      <c r="AH124" s="47"/>
      <c r="AI124" s="48"/>
    </row>
    <row r="125" spans="1:35" x14ac:dyDescent="0.25">
      <c r="A125" s="173" t="s">
        <v>256</v>
      </c>
      <c r="B125" s="117">
        <v>70</v>
      </c>
      <c r="C125" s="117">
        <v>70</v>
      </c>
      <c r="D125" s="117">
        <v>73</v>
      </c>
      <c r="E125" s="117">
        <v>72.099999999999994</v>
      </c>
      <c r="F125" s="117">
        <v>76.099999999999994</v>
      </c>
      <c r="G125" s="117">
        <v>71.7</v>
      </c>
      <c r="H125" s="117">
        <v>46.8</v>
      </c>
      <c r="I125" s="117">
        <v>51.7</v>
      </c>
      <c r="J125" s="117">
        <v>16.5</v>
      </c>
      <c r="K125" s="117">
        <v>3.4</v>
      </c>
      <c r="L125" s="117">
        <v>0.2</v>
      </c>
      <c r="M125" s="117">
        <v>-5.0999999999999996</v>
      </c>
      <c r="N125" s="117">
        <v>-3</v>
      </c>
      <c r="O125" s="117">
        <v>-11</v>
      </c>
      <c r="P125" s="117">
        <v>-7.8</v>
      </c>
      <c r="Q125" s="117">
        <v>27.4</v>
      </c>
      <c r="R125" s="117">
        <v>11.2</v>
      </c>
      <c r="S125" s="117">
        <v>26.5</v>
      </c>
      <c r="T125" s="117">
        <v>15.3</v>
      </c>
      <c r="U125" s="117">
        <v>15.3</v>
      </c>
      <c r="V125" s="117">
        <v>-14</v>
      </c>
      <c r="W125" s="117">
        <v>-13</v>
      </c>
      <c r="X125" s="117">
        <v>-26.4</v>
      </c>
      <c r="Y125" s="117">
        <v>-41.4</v>
      </c>
      <c r="Z125" s="117">
        <v>-41.4</v>
      </c>
      <c r="AA125" s="117">
        <v>-40</v>
      </c>
      <c r="AB125" s="117">
        <v>-37</v>
      </c>
      <c r="AC125" s="117">
        <v>-0.1</v>
      </c>
      <c r="AD125" s="117">
        <v>-4.8</v>
      </c>
      <c r="AE125" s="117">
        <v>-37</v>
      </c>
      <c r="AF125" s="117">
        <v>-64</v>
      </c>
      <c r="AG125" s="118"/>
      <c r="AH125" s="47"/>
      <c r="AI125" s="48"/>
    </row>
    <row r="126" spans="1:35" ht="15.75" thickBot="1" x14ac:dyDescent="0.3">
      <c r="A126" s="173" t="s">
        <v>255</v>
      </c>
      <c r="B126" s="117">
        <v>91</v>
      </c>
      <c r="C126" s="117">
        <v>86</v>
      </c>
      <c r="D126" s="117">
        <v>89</v>
      </c>
      <c r="E126" s="117">
        <v>91.1</v>
      </c>
      <c r="F126" s="117">
        <v>92</v>
      </c>
      <c r="G126" s="117">
        <v>102</v>
      </c>
      <c r="H126" s="117">
        <v>92.9</v>
      </c>
      <c r="I126" s="117">
        <v>110</v>
      </c>
      <c r="J126" s="117">
        <v>101</v>
      </c>
      <c r="K126" s="117">
        <v>104.3</v>
      </c>
      <c r="L126" s="117">
        <v>99.9</v>
      </c>
      <c r="M126" s="117">
        <v>92.7</v>
      </c>
      <c r="N126" s="117">
        <v>81.2</v>
      </c>
      <c r="O126" s="117">
        <v>77.599999999999994</v>
      </c>
      <c r="P126" s="117">
        <v>65.900000000000006</v>
      </c>
      <c r="Q126" s="117">
        <v>104.9</v>
      </c>
      <c r="R126" s="117">
        <v>82</v>
      </c>
      <c r="S126" s="117">
        <v>91</v>
      </c>
      <c r="T126" s="117">
        <v>89</v>
      </c>
      <c r="U126" s="117">
        <v>89</v>
      </c>
      <c r="V126" s="117">
        <v>77</v>
      </c>
      <c r="W126" s="117">
        <v>85</v>
      </c>
      <c r="X126" s="117">
        <v>95</v>
      </c>
      <c r="Y126" s="117">
        <v>81</v>
      </c>
      <c r="Z126" s="117">
        <v>81</v>
      </c>
      <c r="AA126" s="117">
        <v>84</v>
      </c>
      <c r="AB126" s="117">
        <v>80</v>
      </c>
      <c r="AC126" s="117">
        <v>102</v>
      </c>
      <c r="AD126" s="117">
        <v>95</v>
      </c>
      <c r="AE126" s="117">
        <v>91.3</v>
      </c>
      <c r="AF126" s="117">
        <v>105</v>
      </c>
      <c r="AG126" s="114"/>
      <c r="AH126" s="47">
        <f t="shared" si="22"/>
        <v>110</v>
      </c>
      <c r="AI126" s="48">
        <f t="shared" si="23"/>
        <v>65.900000000000006</v>
      </c>
    </row>
    <row r="127" spans="1:35" x14ac:dyDescent="0.25">
      <c r="A127" s="172" t="s">
        <v>257</v>
      </c>
      <c r="B127" s="117">
        <v>9</v>
      </c>
      <c r="C127" s="117">
        <v>8</v>
      </c>
      <c r="D127" s="117">
        <v>13</v>
      </c>
      <c r="E127" s="117">
        <v>9.1999999999999993</v>
      </c>
      <c r="F127" s="117">
        <v>15.7</v>
      </c>
      <c r="G127" s="117">
        <v>11.2</v>
      </c>
      <c r="H127" s="117">
        <v>-4.7</v>
      </c>
      <c r="I127" s="117">
        <v>0</v>
      </c>
      <c r="J127" s="117">
        <v>-22.9</v>
      </c>
      <c r="K127" s="117">
        <v>16.7</v>
      </c>
      <c r="L127" s="117">
        <v>-17.100000000000001</v>
      </c>
      <c r="M127" s="117">
        <v>-20.9</v>
      </c>
      <c r="N127" s="117">
        <v>-3.7</v>
      </c>
      <c r="O127" s="117">
        <v>-7.7</v>
      </c>
      <c r="P127" s="117">
        <v>-5.2</v>
      </c>
      <c r="Q127" s="117">
        <v>8.1999999999999993</v>
      </c>
      <c r="R127" s="117">
        <v>-1</v>
      </c>
      <c r="S127" s="117">
        <v>-9.1</v>
      </c>
      <c r="T127" s="117">
        <v>12.3</v>
      </c>
      <c r="U127" s="117">
        <v>12.3</v>
      </c>
      <c r="V127" s="117">
        <v>38</v>
      </c>
      <c r="W127" s="117">
        <v>47</v>
      </c>
      <c r="X127" s="117">
        <v>45.2</v>
      </c>
      <c r="Y127" s="117">
        <v>32.4</v>
      </c>
      <c r="Z127" s="117">
        <v>32.4</v>
      </c>
      <c r="AA127" s="117">
        <v>42</v>
      </c>
      <c r="AB127" s="117">
        <v>39</v>
      </c>
      <c r="AC127" s="117">
        <v>49</v>
      </c>
      <c r="AD127" s="117">
        <v>46</v>
      </c>
      <c r="AE127" s="117">
        <v>47</v>
      </c>
      <c r="AF127" s="106">
        <v>56</v>
      </c>
      <c r="AG127" s="114"/>
      <c r="AH127" s="47">
        <f t="shared" si="22"/>
        <v>56</v>
      </c>
      <c r="AI127" s="48">
        <f t="shared" si="23"/>
        <v>-22.9</v>
      </c>
    </row>
    <row r="128" spans="1:35" x14ac:dyDescent="0.25">
      <c r="A128" s="173" t="s">
        <v>124</v>
      </c>
      <c r="B128" s="106">
        <v>-3.5</v>
      </c>
      <c r="C128" s="106">
        <v>-1.7</v>
      </c>
      <c r="D128" s="106">
        <v>-0.7</v>
      </c>
      <c r="E128" s="106">
        <v>-1</v>
      </c>
      <c r="F128" s="106">
        <v>0.7</v>
      </c>
      <c r="G128" s="106">
        <v>-1.7</v>
      </c>
      <c r="H128" s="106">
        <v>-5.5</v>
      </c>
      <c r="I128" s="106">
        <v>-10.6</v>
      </c>
      <c r="J128" s="106">
        <v>-17.600000000000001</v>
      </c>
      <c r="K128" s="106">
        <v>-29.3</v>
      </c>
      <c r="L128" s="106">
        <v>-35.5</v>
      </c>
      <c r="M128" s="106">
        <v>-35.799999999999997</v>
      </c>
      <c r="N128" s="106">
        <v>-31.8</v>
      </c>
      <c r="O128" s="106">
        <v>-27.1</v>
      </c>
      <c r="P128" s="106">
        <v>-13.8</v>
      </c>
      <c r="Q128" s="106">
        <v>-10</v>
      </c>
      <c r="R128" s="106">
        <v>-11.7</v>
      </c>
      <c r="S128" s="106">
        <v>-13.3</v>
      </c>
      <c r="T128" s="106">
        <v>-11.7</v>
      </c>
      <c r="U128" s="106">
        <v>-11.7</v>
      </c>
      <c r="V128" s="106">
        <v>-30</v>
      </c>
      <c r="W128" s="106">
        <v>-37</v>
      </c>
      <c r="X128" s="106">
        <v>-55</v>
      </c>
      <c r="Y128" s="106">
        <v>-36.200000000000003</v>
      </c>
      <c r="Z128" s="106">
        <v>-36.200000000000003</v>
      </c>
      <c r="AA128" s="106">
        <v>-37</v>
      </c>
      <c r="AB128" s="106">
        <v>-34</v>
      </c>
      <c r="AC128" s="106">
        <v>-23</v>
      </c>
      <c r="AD128" s="106">
        <v>-17</v>
      </c>
      <c r="AE128" s="106">
        <v>-7.7</v>
      </c>
      <c r="AF128" s="106">
        <v>5.7</v>
      </c>
      <c r="AG128" s="114"/>
      <c r="AH128" s="47">
        <f t="shared" si="22"/>
        <v>5.7</v>
      </c>
      <c r="AI128" s="48">
        <f t="shared" si="23"/>
        <v>-55</v>
      </c>
    </row>
    <row r="129" spans="1:37" x14ac:dyDescent="0.25">
      <c r="A129" s="173" t="s">
        <v>261</v>
      </c>
      <c r="B129" s="106">
        <v>15</v>
      </c>
      <c r="C129" s="106">
        <v>14</v>
      </c>
      <c r="D129" s="106">
        <v>11</v>
      </c>
      <c r="E129" s="106">
        <v>12.7</v>
      </c>
      <c r="F129" s="106">
        <v>10.1</v>
      </c>
      <c r="G129" s="106">
        <v>7.2</v>
      </c>
      <c r="H129" s="106">
        <v>18.5</v>
      </c>
      <c r="I129" s="106">
        <v>5.9</v>
      </c>
      <c r="J129" s="106">
        <v>1.7</v>
      </c>
      <c r="K129" s="106">
        <v>-9.6999999999999993</v>
      </c>
      <c r="L129" s="106">
        <v>-20.5</v>
      </c>
      <c r="M129" s="106">
        <v>-20.2</v>
      </c>
      <c r="N129" s="106">
        <v>-15.3</v>
      </c>
      <c r="O129" s="106">
        <v>-11.7</v>
      </c>
      <c r="P129" s="106">
        <v>1.9</v>
      </c>
      <c r="Q129" s="106">
        <v>7.4</v>
      </c>
      <c r="R129" s="106">
        <v>7.1</v>
      </c>
      <c r="S129" s="106">
        <v>-1.3</v>
      </c>
      <c r="T129" s="106">
        <v>6.2</v>
      </c>
      <c r="U129" s="106">
        <v>6.2</v>
      </c>
      <c r="V129" s="106">
        <v>-4</v>
      </c>
      <c r="W129" s="106">
        <v>-25</v>
      </c>
      <c r="X129" s="106">
        <v>-26</v>
      </c>
      <c r="Y129" s="106">
        <v>-21.8</v>
      </c>
      <c r="Z129" s="106">
        <v>-21.8</v>
      </c>
      <c r="AA129" s="106">
        <v>-19</v>
      </c>
      <c r="AB129" s="106">
        <v>-17</v>
      </c>
      <c r="AC129" s="106">
        <v>-35</v>
      </c>
      <c r="AD129" s="106">
        <v>-16</v>
      </c>
      <c r="AE129" s="106">
        <v>17</v>
      </c>
      <c r="AF129" s="106">
        <v>8.6</v>
      </c>
      <c r="AG129" s="114"/>
      <c r="AH129" s="47">
        <f t="shared" si="22"/>
        <v>18.5</v>
      </c>
      <c r="AI129" s="48">
        <f t="shared" si="23"/>
        <v>-35</v>
      </c>
    </row>
    <row r="130" spans="1:37" ht="15.75" thickBot="1" x14ac:dyDescent="0.3">
      <c r="A130" s="173" t="s">
        <v>258</v>
      </c>
      <c r="B130" s="106">
        <v>79</v>
      </c>
      <c r="C130" s="106">
        <v>74.2</v>
      </c>
      <c r="D130" s="106">
        <v>76</v>
      </c>
      <c r="E130" s="106">
        <v>73.3</v>
      </c>
      <c r="F130" s="106">
        <v>70.400000000000006</v>
      </c>
      <c r="G130" s="106">
        <v>78.3</v>
      </c>
      <c r="H130" s="106">
        <v>75</v>
      </c>
      <c r="I130" s="106">
        <v>82.7</v>
      </c>
      <c r="J130" s="106">
        <v>90.8</v>
      </c>
      <c r="K130" s="106">
        <v>86.6</v>
      </c>
      <c r="L130" s="106">
        <v>86.9</v>
      </c>
      <c r="M130" s="106">
        <v>101.8</v>
      </c>
      <c r="N130" s="106">
        <v>100.8</v>
      </c>
      <c r="O130" s="106">
        <v>93.6</v>
      </c>
      <c r="P130" s="106">
        <v>90.1</v>
      </c>
      <c r="Q130" s="106">
        <v>93</v>
      </c>
      <c r="R130" s="106">
        <v>102.4</v>
      </c>
      <c r="S130" s="106">
        <v>98</v>
      </c>
      <c r="T130" s="106">
        <v>98</v>
      </c>
      <c r="U130" s="106">
        <v>98</v>
      </c>
      <c r="V130" s="106">
        <v>101</v>
      </c>
      <c r="W130" s="106">
        <v>111</v>
      </c>
      <c r="X130" s="106">
        <v>113</v>
      </c>
      <c r="Y130" s="106">
        <v>97</v>
      </c>
      <c r="Z130" s="106">
        <v>97</v>
      </c>
      <c r="AA130" s="106">
        <v>97</v>
      </c>
      <c r="AB130" s="106">
        <v>89</v>
      </c>
      <c r="AC130" s="106">
        <v>77</v>
      </c>
      <c r="AD130" s="106">
        <v>89</v>
      </c>
      <c r="AE130" s="106">
        <v>90.8</v>
      </c>
      <c r="AF130" s="106">
        <v>85</v>
      </c>
      <c r="AG130" s="114"/>
      <c r="AH130" s="47">
        <f t="shared" si="22"/>
        <v>113</v>
      </c>
      <c r="AI130" s="48">
        <f t="shared" si="23"/>
        <v>70.400000000000006</v>
      </c>
    </row>
    <row r="131" spans="1:37" x14ac:dyDescent="0.25">
      <c r="A131" s="144" t="s">
        <v>238</v>
      </c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6"/>
      <c r="AG131" s="43"/>
      <c r="AH131" s="47"/>
      <c r="AI131" s="48"/>
    </row>
    <row r="132" spans="1:37" x14ac:dyDescent="0.25">
      <c r="A132" s="189" t="s">
        <v>368</v>
      </c>
      <c r="B132" s="147">
        <v>1983.58</v>
      </c>
      <c r="C132" s="147">
        <v>1983.9</v>
      </c>
      <c r="D132" s="147">
        <v>1984.2</v>
      </c>
      <c r="E132" s="147">
        <v>1984.49</v>
      </c>
      <c r="F132" s="147">
        <v>1984.75</v>
      </c>
      <c r="G132" s="147">
        <v>1985.02</v>
      </c>
      <c r="H132" s="147"/>
      <c r="I132" s="147">
        <v>1985.28</v>
      </c>
      <c r="J132" s="147"/>
      <c r="K132" s="147">
        <v>1985.5</v>
      </c>
      <c r="L132" s="147"/>
      <c r="M132" s="147">
        <v>1984.6</v>
      </c>
      <c r="N132" s="147">
        <v>1983.7</v>
      </c>
      <c r="O132" s="147">
        <v>1982.7</v>
      </c>
      <c r="P132" s="147">
        <v>1982.58</v>
      </c>
      <c r="Q132" s="147">
        <v>1982.7</v>
      </c>
      <c r="R132" s="147">
        <v>1982.95</v>
      </c>
      <c r="S132" s="147">
        <v>1983.48</v>
      </c>
      <c r="T132" s="147"/>
      <c r="U132" s="147">
        <v>1983.75</v>
      </c>
      <c r="V132" s="147"/>
      <c r="W132" s="147"/>
      <c r="X132" s="147">
        <v>1983.71</v>
      </c>
      <c r="Y132" s="147"/>
      <c r="Z132" s="147">
        <v>1982.9</v>
      </c>
      <c r="AA132" s="147">
        <v>1982.5</v>
      </c>
      <c r="AB132" s="147">
        <v>1982.55</v>
      </c>
      <c r="AC132" s="147"/>
      <c r="AD132" s="147">
        <v>1982.55</v>
      </c>
      <c r="AE132" s="147">
        <v>1982.8</v>
      </c>
      <c r="AF132" s="148">
        <v>1983.1</v>
      </c>
      <c r="AG132" s="149"/>
      <c r="AH132" s="47"/>
      <c r="AI132" s="48"/>
    </row>
    <row r="133" spans="1:37" x14ac:dyDescent="0.25">
      <c r="A133" s="189" t="s">
        <v>239</v>
      </c>
      <c r="B133" s="150">
        <v>520.12</v>
      </c>
      <c r="C133" s="150">
        <v>520.59</v>
      </c>
      <c r="D133" s="150">
        <v>521</v>
      </c>
      <c r="E133" s="150">
        <v>521.41999999999996</v>
      </c>
      <c r="F133" s="150"/>
      <c r="G133" s="150">
        <v>522.20000000000005</v>
      </c>
      <c r="H133" s="150"/>
      <c r="I133" s="150">
        <v>522.48</v>
      </c>
      <c r="J133" s="150"/>
      <c r="K133" s="150">
        <v>522.37</v>
      </c>
      <c r="L133" s="150"/>
      <c r="M133" s="150">
        <v>521.88</v>
      </c>
      <c r="N133" s="150">
        <v>521.37</v>
      </c>
      <c r="O133" s="150">
        <v>521.22</v>
      </c>
      <c r="P133" s="150">
        <v>520.97</v>
      </c>
      <c r="Q133" s="150">
        <v>520.66</v>
      </c>
      <c r="R133" s="150">
        <v>520.34</v>
      </c>
      <c r="S133" s="150">
        <v>520.12</v>
      </c>
      <c r="T133" s="150"/>
      <c r="U133" s="150">
        <v>519.94000000000005</v>
      </c>
      <c r="V133" s="150">
        <v>519.89</v>
      </c>
      <c r="W133" s="150"/>
      <c r="X133" s="150">
        <v>519.87</v>
      </c>
      <c r="Y133" s="150"/>
      <c r="Z133" s="150">
        <v>519.47</v>
      </c>
      <c r="AA133" s="150">
        <v>519.41</v>
      </c>
      <c r="AB133" s="150">
        <v>519.4</v>
      </c>
      <c r="AC133" s="150"/>
      <c r="AD133" s="150">
        <v>519.45000000000005</v>
      </c>
      <c r="AE133" s="150">
        <v>519.66</v>
      </c>
      <c r="AF133" s="151">
        <v>519.88</v>
      </c>
      <c r="AG133" s="149"/>
      <c r="AH133" s="47"/>
      <c r="AI133" s="48"/>
    </row>
    <row r="134" spans="1:37" x14ac:dyDescent="0.25">
      <c r="A134" s="189" t="s">
        <v>240</v>
      </c>
      <c r="B134" s="150">
        <v>622.6</v>
      </c>
      <c r="C134" s="150">
        <v>623</v>
      </c>
      <c r="D134" s="150">
        <v>623.5</v>
      </c>
      <c r="E134" s="150">
        <v>623.96</v>
      </c>
      <c r="F134" s="150">
        <v>624.35</v>
      </c>
      <c r="G134" s="150">
        <v>624.75</v>
      </c>
      <c r="H134" s="150"/>
      <c r="I134" s="150">
        <v>625.01</v>
      </c>
      <c r="J134" s="150"/>
      <c r="K134" s="150">
        <v>624.79</v>
      </c>
      <c r="L134" s="150"/>
      <c r="M134" s="150">
        <v>624.30999999999995</v>
      </c>
      <c r="N134" s="150">
        <v>624.1</v>
      </c>
      <c r="O134" s="150">
        <v>623.78</v>
      </c>
      <c r="P134" s="150">
        <v>623.20000000000005</v>
      </c>
      <c r="Q134" s="150">
        <v>623.04</v>
      </c>
      <c r="R134" s="150">
        <v>622.69000000000005</v>
      </c>
      <c r="S134" s="150"/>
      <c r="T134" s="150">
        <v>622.84</v>
      </c>
      <c r="U134" s="150"/>
      <c r="V134" s="150"/>
      <c r="W134" s="150"/>
      <c r="X134" s="150"/>
      <c r="Y134" s="150"/>
      <c r="Z134" s="150">
        <v>622.23</v>
      </c>
      <c r="AA134" s="150">
        <v>621.78</v>
      </c>
      <c r="AB134" s="150">
        <v>621.42999999999995</v>
      </c>
      <c r="AC134" s="150"/>
      <c r="AD134" s="150">
        <v>621.49</v>
      </c>
      <c r="AE134" s="150">
        <v>621.64</v>
      </c>
      <c r="AF134" s="151">
        <v>621.75</v>
      </c>
      <c r="AG134" s="149"/>
      <c r="AH134" s="47"/>
      <c r="AI134" s="48"/>
    </row>
    <row r="135" spans="1:37" x14ac:dyDescent="0.25">
      <c r="A135" s="189" t="s">
        <v>241</v>
      </c>
      <c r="B135" s="150">
        <v>334.97</v>
      </c>
      <c r="C135" s="150">
        <v>335.14</v>
      </c>
      <c r="D135" s="150">
        <v>335.28</v>
      </c>
      <c r="E135" s="150">
        <v>335.55</v>
      </c>
      <c r="F135" s="150"/>
      <c r="G135" s="150">
        <v>336.19</v>
      </c>
      <c r="H135" s="150"/>
      <c r="I135" s="150">
        <v>336.26</v>
      </c>
      <c r="J135" s="150"/>
      <c r="K135" s="150">
        <v>336.1</v>
      </c>
      <c r="L135" s="150"/>
      <c r="M135" s="150">
        <v>335.72</v>
      </c>
      <c r="N135" s="150">
        <v>335.29</v>
      </c>
      <c r="O135" s="150">
        <v>334.68</v>
      </c>
      <c r="P135" s="150"/>
      <c r="Q135" s="150">
        <v>333.66</v>
      </c>
      <c r="R135" s="150">
        <v>334.18</v>
      </c>
      <c r="S135" s="150"/>
      <c r="T135" s="150">
        <v>35.020000000000003</v>
      </c>
      <c r="U135" s="150">
        <v>335.46</v>
      </c>
      <c r="V135" s="150">
        <v>335.74</v>
      </c>
      <c r="W135" s="150"/>
      <c r="X135" s="150">
        <v>335.8</v>
      </c>
      <c r="Y135" s="150"/>
      <c r="Z135" s="150">
        <v>335.62</v>
      </c>
      <c r="AA135" s="150">
        <v>335.35</v>
      </c>
      <c r="AB135" s="150">
        <v>335.28</v>
      </c>
      <c r="AC135" s="150"/>
      <c r="AD135" s="150">
        <v>334.93</v>
      </c>
      <c r="AE135" s="150">
        <v>334.82</v>
      </c>
      <c r="AF135" s="151">
        <v>334.73</v>
      </c>
      <c r="AG135" s="149"/>
      <c r="AH135" s="47"/>
      <c r="AI135" s="48"/>
    </row>
    <row r="136" spans="1:37" x14ac:dyDescent="0.25">
      <c r="A136" s="189" t="s">
        <v>407</v>
      </c>
      <c r="B136" s="150">
        <v>883.9</v>
      </c>
      <c r="C136" s="150">
        <v>884.7</v>
      </c>
      <c r="D136" s="150">
        <v>885.5</v>
      </c>
      <c r="E136" s="150">
        <v>886.2</v>
      </c>
      <c r="F136" s="150"/>
      <c r="G136" s="150">
        <v>887.2</v>
      </c>
      <c r="H136" s="150"/>
      <c r="I136" s="150">
        <v>887</v>
      </c>
      <c r="J136" s="150"/>
      <c r="K136" s="150"/>
      <c r="L136" s="150"/>
      <c r="M136" s="150">
        <v>886.8</v>
      </c>
      <c r="N136" s="150">
        <v>885.9</v>
      </c>
      <c r="O136" s="150">
        <v>885.1</v>
      </c>
      <c r="P136" s="150">
        <v>883.5</v>
      </c>
      <c r="Q136" s="150">
        <v>883.2</v>
      </c>
      <c r="R136" s="150"/>
      <c r="S136" s="150"/>
      <c r="T136" s="150"/>
      <c r="U136" s="150"/>
      <c r="V136" s="150"/>
      <c r="W136" s="150"/>
      <c r="X136" s="150"/>
      <c r="Y136" s="150"/>
      <c r="Z136" s="150">
        <v>883.7</v>
      </c>
      <c r="AA136" s="150">
        <v>883</v>
      </c>
      <c r="AB136" s="150">
        <v>882.4</v>
      </c>
      <c r="AC136" s="150"/>
      <c r="AD136" s="150">
        <v>881.8</v>
      </c>
      <c r="AE136" s="150">
        <v>881.9</v>
      </c>
      <c r="AF136" s="151">
        <v>883.2</v>
      </c>
      <c r="AG136" s="149"/>
      <c r="AH136" s="47"/>
      <c r="AI136" s="48"/>
    </row>
    <row r="137" spans="1:37" ht="15.75" thickBot="1" x14ac:dyDescent="0.3">
      <c r="A137" s="189" t="s">
        <v>242</v>
      </c>
      <c r="B137" s="152">
        <v>1521.78</v>
      </c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  <c r="AC137" s="152"/>
      <c r="AD137" s="152"/>
      <c r="AE137" s="152"/>
      <c r="AF137" s="153"/>
      <c r="AG137" s="149"/>
      <c r="AH137" s="47"/>
      <c r="AI137" s="48"/>
    </row>
    <row r="138" spans="1:37" ht="15.75" thickBot="1" x14ac:dyDescent="0.3">
      <c r="A138" s="120" t="s">
        <v>125</v>
      </c>
      <c r="B138" s="121"/>
      <c r="C138" s="121"/>
      <c r="D138" s="121"/>
      <c r="E138" s="121"/>
      <c r="F138" s="170" t="s">
        <v>254</v>
      </c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74"/>
      <c r="AH138" s="47"/>
      <c r="AI138" s="48"/>
      <c r="AK138" s="50"/>
    </row>
    <row r="139" spans="1:37" x14ac:dyDescent="0.25">
      <c r="A139" s="122" t="s">
        <v>126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5">
        <v>9.94</v>
      </c>
      <c r="AH139" s="47"/>
      <c r="AI139" s="48"/>
      <c r="AK139" s="50"/>
    </row>
    <row r="140" spans="1:37" x14ac:dyDescent="0.25">
      <c r="A140" s="103" t="s">
        <v>127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5"/>
      <c r="AH140" s="47"/>
      <c r="AI140" s="48"/>
      <c r="AK140" s="50"/>
    </row>
    <row r="141" spans="1:37" x14ac:dyDescent="0.25">
      <c r="A141" s="103" t="s">
        <v>128</v>
      </c>
      <c r="B141" s="123"/>
      <c r="C141" s="124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5"/>
      <c r="AH141" s="47"/>
      <c r="AI141" s="48"/>
      <c r="AK141" s="50"/>
    </row>
    <row r="142" spans="1:37" x14ac:dyDescent="0.25">
      <c r="A142" s="103" t="s">
        <v>129</v>
      </c>
      <c r="B142" s="123"/>
      <c r="C142" s="124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5"/>
      <c r="AH142" s="47"/>
      <c r="AI142" s="48"/>
      <c r="AK142" s="50"/>
    </row>
    <row r="143" spans="1:37" x14ac:dyDescent="0.25">
      <c r="A143" s="103" t="s">
        <v>130</v>
      </c>
      <c r="B143" s="123"/>
      <c r="C143" s="124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5"/>
      <c r="AH143" s="47"/>
      <c r="AI143" s="48"/>
      <c r="AK143" s="50"/>
    </row>
    <row r="144" spans="1:37" x14ac:dyDescent="0.25">
      <c r="A144" s="103" t="s">
        <v>131</v>
      </c>
      <c r="B144" s="123"/>
      <c r="C144" s="124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5"/>
      <c r="AH144" s="47"/>
      <c r="AI144" s="48"/>
      <c r="AK144" s="50"/>
    </row>
    <row r="145" spans="1:37" x14ac:dyDescent="0.25">
      <c r="A145" s="103" t="s">
        <v>132</v>
      </c>
      <c r="B145" s="123"/>
      <c r="C145" s="124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5"/>
      <c r="AH145" s="47"/>
      <c r="AI145" s="48"/>
      <c r="AK145" s="50"/>
    </row>
    <row r="146" spans="1:37" x14ac:dyDescent="0.25">
      <c r="A146" s="103" t="s">
        <v>133</v>
      </c>
      <c r="B146" s="123"/>
      <c r="C146" s="124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5"/>
      <c r="AH146" s="47"/>
      <c r="AI146" s="48"/>
      <c r="AK146" s="50"/>
    </row>
    <row r="147" spans="1:37" x14ac:dyDescent="0.25">
      <c r="A147" s="103" t="s">
        <v>134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5"/>
      <c r="AH147" s="47"/>
      <c r="AI147" s="48"/>
      <c r="AK147" s="50"/>
    </row>
    <row r="148" spans="1:37" x14ac:dyDescent="0.25">
      <c r="A148" s="103" t="s">
        <v>135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5"/>
      <c r="AH148" s="47"/>
      <c r="AI148" s="48"/>
      <c r="AK148" s="50"/>
    </row>
    <row r="149" spans="1:37" x14ac:dyDescent="0.25">
      <c r="A149" s="103" t="s">
        <v>136</v>
      </c>
      <c r="B149" s="123"/>
      <c r="C149" s="124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5"/>
      <c r="AH149" s="47"/>
      <c r="AI149" s="48"/>
      <c r="AK149" s="50"/>
    </row>
    <row r="150" spans="1:37" x14ac:dyDescent="0.25">
      <c r="A150" s="103" t="s">
        <v>137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5"/>
      <c r="AH150" s="47"/>
      <c r="AI150" s="48"/>
      <c r="AK150" s="50"/>
    </row>
    <row r="151" spans="1:37" x14ac:dyDescent="0.25">
      <c r="A151" s="103" t="s">
        <v>138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5"/>
      <c r="AH151" s="47"/>
      <c r="AI151" s="48"/>
      <c r="AK151" s="50"/>
    </row>
    <row r="152" spans="1:37" x14ac:dyDescent="0.25">
      <c r="A152" s="103" t="s">
        <v>139</v>
      </c>
      <c r="B152" s="123"/>
      <c r="C152" s="124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5"/>
      <c r="AH152" s="47"/>
      <c r="AI152" s="48"/>
      <c r="AK152" s="50"/>
    </row>
    <row r="153" spans="1:37" x14ac:dyDescent="0.25">
      <c r="A153" s="103" t="s">
        <v>140</v>
      </c>
      <c r="B153" s="123"/>
      <c r="C153" s="124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5"/>
      <c r="AH153" s="47"/>
      <c r="AI153" s="48"/>
      <c r="AK153" s="50"/>
    </row>
    <row r="154" spans="1:37" x14ac:dyDescent="0.25">
      <c r="A154" s="103" t="s">
        <v>141</v>
      </c>
      <c r="B154" s="123"/>
      <c r="C154" s="124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5"/>
      <c r="AH154" s="47"/>
      <c r="AI154" s="48"/>
      <c r="AK154" s="50"/>
    </row>
    <row r="155" spans="1:37" x14ac:dyDescent="0.25">
      <c r="A155" s="103" t="s">
        <v>142</v>
      </c>
      <c r="B155" s="126"/>
      <c r="C155" s="127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8">
        <v>9.9</v>
      </c>
      <c r="AH155" s="47"/>
      <c r="AI155" s="48"/>
      <c r="AK155" s="50"/>
    </row>
    <row r="156" spans="1:37" x14ac:dyDescent="0.25">
      <c r="A156" s="116" t="s">
        <v>143</v>
      </c>
      <c r="B156" s="126"/>
      <c r="C156" s="127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9">
        <v>9.6579999999999995</v>
      </c>
      <c r="AH156" s="47"/>
      <c r="AI156" s="48"/>
      <c r="AK156" s="50"/>
    </row>
    <row r="157" spans="1:37" x14ac:dyDescent="0.25">
      <c r="A157" s="116" t="s">
        <v>144</v>
      </c>
      <c r="B157" s="126"/>
      <c r="C157" s="127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9">
        <v>9.6</v>
      </c>
      <c r="AH157" s="47"/>
      <c r="AI157" s="48"/>
      <c r="AK157" s="50"/>
    </row>
    <row r="158" spans="1:37" x14ac:dyDescent="0.25">
      <c r="A158" s="116" t="s">
        <v>145</v>
      </c>
      <c r="B158" s="126"/>
      <c r="C158" s="127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9">
        <v>9.51</v>
      </c>
      <c r="AH158" s="47"/>
      <c r="AI158" s="48"/>
      <c r="AK158" s="50"/>
    </row>
    <row r="159" spans="1:37" x14ac:dyDescent="0.25">
      <c r="A159" s="116" t="s">
        <v>146</v>
      </c>
      <c r="B159" s="126"/>
      <c r="C159" s="127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9">
        <v>9.4</v>
      </c>
      <c r="AH159" s="47"/>
      <c r="AI159" s="48"/>
      <c r="AK159" s="50"/>
    </row>
    <row r="160" spans="1:37" x14ac:dyDescent="0.25">
      <c r="A160" s="116" t="s">
        <v>147</v>
      </c>
      <c r="B160" s="126"/>
      <c r="C160" s="127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9">
        <v>8.8000000000000007</v>
      </c>
      <c r="AH160" s="47"/>
      <c r="AI160" s="48"/>
      <c r="AK160" s="50"/>
    </row>
    <row r="161" spans="1:37" x14ac:dyDescent="0.25">
      <c r="A161" s="116" t="s">
        <v>148</v>
      </c>
      <c r="B161" s="126"/>
      <c r="C161" s="127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9">
        <v>8.5</v>
      </c>
      <c r="AH161" s="47"/>
      <c r="AI161" s="48"/>
      <c r="AK161" s="50"/>
    </row>
    <row r="162" spans="1:37" x14ac:dyDescent="0.25">
      <c r="A162" s="116" t="s">
        <v>149</v>
      </c>
      <c r="B162" s="126"/>
      <c r="C162" s="127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9">
        <v>8.5</v>
      </c>
      <c r="AH162" s="47"/>
      <c r="AI162" s="48"/>
      <c r="AK162" s="50"/>
    </row>
    <row r="163" spans="1:37" x14ac:dyDescent="0.25">
      <c r="A163" s="116" t="s">
        <v>150</v>
      </c>
      <c r="B163" s="126"/>
      <c r="C163" s="127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9">
        <v>8.4</v>
      </c>
      <c r="AH163" s="47"/>
      <c r="AI163" s="48"/>
      <c r="AK163" s="50"/>
    </row>
    <row r="164" spans="1:37" ht="13.5" customHeight="1" x14ac:dyDescent="0.25">
      <c r="A164" s="116" t="s">
        <v>151</v>
      </c>
      <c r="B164" s="126"/>
      <c r="C164" s="127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9">
        <v>8</v>
      </c>
      <c r="AH164" s="47"/>
      <c r="AI164" s="48"/>
      <c r="AK164" s="50"/>
    </row>
    <row r="165" spans="1:37" x14ac:dyDescent="0.25">
      <c r="A165" s="116" t="s">
        <v>152</v>
      </c>
      <c r="B165" s="126"/>
      <c r="C165" s="127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9">
        <v>8</v>
      </c>
      <c r="AH165" s="47"/>
      <c r="AI165" s="48"/>
      <c r="AK165" s="50"/>
    </row>
    <row r="166" spans="1:37" x14ac:dyDescent="0.25">
      <c r="A166" s="116" t="s">
        <v>153</v>
      </c>
      <c r="B166" s="126"/>
      <c r="C166" s="127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9">
        <v>8</v>
      </c>
      <c r="AH166" s="47"/>
      <c r="AI166" s="48"/>
      <c r="AK166" s="50"/>
    </row>
    <row r="167" spans="1:37" x14ac:dyDescent="0.25">
      <c r="A167" s="116" t="s">
        <v>154</v>
      </c>
      <c r="B167" s="126"/>
      <c r="C167" s="127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9">
        <v>7.8</v>
      </c>
      <c r="AH167" s="47"/>
      <c r="AI167" s="48"/>
      <c r="AK167" s="50"/>
    </row>
    <row r="168" spans="1:37" x14ac:dyDescent="0.25">
      <c r="A168" s="116" t="s">
        <v>155</v>
      </c>
      <c r="B168" s="126"/>
      <c r="C168" s="127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9">
        <v>7.6</v>
      </c>
      <c r="AH168" s="47"/>
      <c r="AI168" s="48"/>
      <c r="AK168" s="50"/>
    </row>
    <row r="169" spans="1:37" x14ac:dyDescent="0.25">
      <c r="A169" s="116" t="s">
        <v>156</v>
      </c>
      <c r="B169" s="126"/>
      <c r="C169" s="127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9">
        <v>7.5</v>
      </c>
      <c r="AH169" s="47"/>
      <c r="AI169" s="48"/>
      <c r="AK169" s="50"/>
    </row>
    <row r="170" spans="1:37" x14ac:dyDescent="0.25">
      <c r="A170" s="116" t="s">
        <v>157</v>
      </c>
      <c r="B170" s="126"/>
      <c r="C170" s="127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9">
        <v>7.5</v>
      </c>
      <c r="AH170" s="47"/>
      <c r="AI170" s="48"/>
      <c r="AK170" s="50"/>
    </row>
    <row r="171" spans="1:37" x14ac:dyDescent="0.25">
      <c r="A171" s="116" t="s">
        <v>158</v>
      </c>
      <c r="B171" s="126"/>
      <c r="C171" s="127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9">
        <v>7</v>
      </c>
      <c r="AH171" s="47"/>
      <c r="AI171" s="48"/>
      <c r="AK171" s="50"/>
    </row>
    <row r="172" spans="1:37" x14ac:dyDescent="0.25">
      <c r="A172" s="116" t="s">
        <v>159</v>
      </c>
      <c r="B172" s="126"/>
      <c r="C172" s="127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9">
        <v>7</v>
      </c>
      <c r="AH172" s="47"/>
      <c r="AI172" s="48"/>
      <c r="AK172" s="50"/>
    </row>
    <row r="173" spans="1:37" x14ac:dyDescent="0.25">
      <c r="A173" s="116" t="s">
        <v>160</v>
      </c>
      <c r="B173" s="126"/>
      <c r="C173" s="127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9">
        <v>7</v>
      </c>
      <c r="AH173" s="47"/>
      <c r="AI173" s="48"/>
      <c r="AK173" s="50"/>
    </row>
    <row r="174" spans="1:37" x14ac:dyDescent="0.25">
      <c r="A174" s="116" t="s">
        <v>161</v>
      </c>
      <c r="B174" s="126"/>
      <c r="C174" s="127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9">
        <v>7</v>
      </c>
      <c r="AH174" s="47"/>
      <c r="AI174" s="48"/>
      <c r="AK174" s="50"/>
    </row>
    <row r="175" spans="1:37" x14ac:dyDescent="0.25">
      <c r="A175" s="116" t="s">
        <v>162</v>
      </c>
      <c r="B175" s="126"/>
      <c r="C175" s="127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9">
        <v>6.6</v>
      </c>
      <c r="AH175" s="47"/>
      <c r="AI175" s="48"/>
      <c r="AK175" s="50"/>
    </row>
    <row r="176" spans="1:37" x14ac:dyDescent="0.25">
      <c r="A176" s="116" t="s">
        <v>163</v>
      </c>
      <c r="B176" s="126"/>
      <c r="C176" s="127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9">
        <v>6.6</v>
      </c>
      <c r="AH176" s="47"/>
      <c r="AI176" s="48"/>
      <c r="AK176" s="50"/>
    </row>
    <row r="177" spans="1:37" x14ac:dyDescent="0.25">
      <c r="A177" s="116" t="s">
        <v>164</v>
      </c>
      <c r="B177" s="126"/>
      <c r="C177" s="127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9">
        <v>6.4</v>
      </c>
      <c r="AH177" s="47"/>
      <c r="AI177" s="48"/>
      <c r="AK177" s="50"/>
    </row>
    <row r="178" spans="1:37" x14ac:dyDescent="0.25">
      <c r="A178" s="116" t="s">
        <v>165</v>
      </c>
      <c r="B178" s="126"/>
      <c r="C178" s="127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9">
        <v>6</v>
      </c>
      <c r="AH178" s="47"/>
      <c r="AI178" s="48"/>
      <c r="AK178" s="50"/>
    </row>
    <row r="179" spans="1:37" x14ac:dyDescent="0.25">
      <c r="A179" s="116" t="s">
        <v>166</v>
      </c>
      <c r="B179" s="126"/>
      <c r="C179" s="127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9">
        <v>5.0999999999999996</v>
      </c>
      <c r="AH179" s="47"/>
      <c r="AI179" s="48"/>
      <c r="AK179" s="50"/>
    </row>
    <row r="180" spans="1:37" x14ac:dyDescent="0.25">
      <c r="A180" s="116" t="s">
        <v>167</v>
      </c>
      <c r="B180" s="126"/>
      <c r="C180" s="127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9">
        <v>5</v>
      </c>
      <c r="AH180" s="47"/>
      <c r="AI180" s="48"/>
      <c r="AK180" s="50"/>
    </row>
    <row r="181" spans="1:37" x14ac:dyDescent="0.25">
      <c r="A181" s="103" t="s">
        <v>168</v>
      </c>
      <c r="B181" s="126"/>
      <c r="C181" s="127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8">
        <v>5</v>
      </c>
      <c r="AH181" s="47"/>
      <c r="AI181" s="48"/>
      <c r="AK181" s="50"/>
    </row>
    <row r="182" spans="1:37" x14ac:dyDescent="0.25">
      <c r="A182" s="116" t="s">
        <v>169</v>
      </c>
      <c r="B182" s="126"/>
      <c r="C182" s="127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9">
        <v>5</v>
      </c>
      <c r="AH182" s="47"/>
      <c r="AI182" s="48"/>
      <c r="AK182" s="50"/>
    </row>
    <row r="183" spans="1:37" x14ac:dyDescent="0.25">
      <c r="A183" s="116" t="s">
        <v>170</v>
      </c>
      <c r="B183" s="126"/>
      <c r="C183" s="127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9">
        <v>5</v>
      </c>
      <c r="AH183" s="47"/>
      <c r="AI183" s="48"/>
      <c r="AK183" s="50"/>
    </row>
    <row r="184" spans="1:37" x14ac:dyDescent="0.25">
      <c r="A184" s="116" t="s">
        <v>171</v>
      </c>
      <c r="B184" s="126"/>
      <c r="C184" s="127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9">
        <v>5</v>
      </c>
      <c r="AH184" s="47"/>
      <c r="AI184" s="48"/>
      <c r="AK184" s="50"/>
    </row>
    <row r="185" spans="1:37" x14ac:dyDescent="0.25">
      <c r="A185" s="116" t="s">
        <v>172</v>
      </c>
      <c r="B185" s="126"/>
      <c r="C185" s="127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9">
        <v>5</v>
      </c>
      <c r="AH185" s="47"/>
      <c r="AI185" s="48"/>
      <c r="AK185" s="50"/>
    </row>
    <row r="186" spans="1:37" x14ac:dyDescent="0.25">
      <c r="A186" s="116" t="s">
        <v>173</v>
      </c>
      <c r="B186" s="126"/>
      <c r="C186" s="127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9">
        <v>5</v>
      </c>
      <c r="AH186" s="47"/>
      <c r="AI186" s="48"/>
      <c r="AK186" s="50"/>
    </row>
    <row r="187" spans="1:37" x14ac:dyDescent="0.25">
      <c r="A187" s="116" t="s">
        <v>174</v>
      </c>
      <c r="B187" s="126"/>
      <c r="C187" s="127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9">
        <v>4.9930000000000003</v>
      </c>
      <c r="AH187" s="47"/>
      <c r="AI187" s="48"/>
      <c r="AK187" s="50"/>
    </row>
    <row r="188" spans="1:37" x14ac:dyDescent="0.25">
      <c r="A188" s="116" t="s">
        <v>175</v>
      </c>
      <c r="B188" s="126"/>
      <c r="C188" s="127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9">
        <v>4.9800000000000004</v>
      </c>
      <c r="AH188" s="47"/>
      <c r="AI188" s="48"/>
      <c r="AK188" s="50"/>
    </row>
    <row r="189" spans="1:37" x14ac:dyDescent="0.25">
      <c r="A189" s="116" t="s">
        <v>176</v>
      </c>
      <c r="B189" s="126"/>
      <c r="C189" s="127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9">
        <v>4.95</v>
      </c>
      <c r="AH189" s="47"/>
      <c r="AI189" s="48"/>
      <c r="AK189" s="50"/>
    </row>
    <row r="190" spans="1:37" x14ac:dyDescent="0.25">
      <c r="A190" s="116" t="s">
        <v>177</v>
      </c>
      <c r="B190" s="126"/>
      <c r="C190" s="127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9">
        <v>4.95</v>
      </c>
      <c r="AH190" s="47"/>
      <c r="AI190" s="48"/>
      <c r="AK190" s="50"/>
    </row>
    <row r="191" spans="1:37" x14ac:dyDescent="0.25">
      <c r="A191" s="116" t="s">
        <v>178</v>
      </c>
      <c r="B191" s="126"/>
      <c r="C191" s="127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9">
        <v>4.8</v>
      </c>
      <c r="AH191" s="47"/>
      <c r="AI191" s="48"/>
      <c r="AK191" s="50"/>
    </row>
    <row r="192" spans="1:37" x14ac:dyDescent="0.25">
      <c r="A192" s="116" t="s">
        <v>179</v>
      </c>
      <c r="B192" s="126"/>
      <c r="C192" s="127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9">
        <v>4.8</v>
      </c>
      <c r="AH192" s="47"/>
      <c r="AI192" s="48"/>
      <c r="AK192" s="50"/>
    </row>
    <row r="193" spans="1:37" x14ac:dyDescent="0.25">
      <c r="A193" s="116" t="s">
        <v>180</v>
      </c>
      <c r="B193" s="126"/>
      <c r="C193" s="127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9">
        <v>4.8</v>
      </c>
      <c r="AH193" s="47"/>
      <c r="AI193" s="48"/>
      <c r="AK193" s="50"/>
    </row>
    <row r="194" spans="1:37" x14ac:dyDescent="0.25">
      <c r="A194" s="116" t="s">
        <v>181</v>
      </c>
      <c r="B194" s="126"/>
      <c r="C194" s="127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9">
        <v>4.5</v>
      </c>
      <c r="AH194" s="47"/>
      <c r="AI194" s="48"/>
      <c r="AK194" s="50"/>
    </row>
    <row r="195" spans="1:37" x14ac:dyDescent="0.25">
      <c r="A195" s="116" t="s">
        <v>182</v>
      </c>
      <c r="B195" s="126"/>
      <c r="C195" s="127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9">
        <v>4.5</v>
      </c>
      <c r="AH195" s="47"/>
      <c r="AI195" s="48"/>
      <c r="AK195" s="50"/>
    </row>
    <row r="196" spans="1:37" x14ac:dyDescent="0.25">
      <c r="A196" s="116" t="s">
        <v>183</v>
      </c>
      <c r="B196" s="126"/>
      <c r="C196" s="127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9">
        <v>4.4550000000000001</v>
      </c>
      <c r="AH196" s="47"/>
      <c r="AI196" s="48"/>
      <c r="AK196" s="50"/>
    </row>
    <row r="197" spans="1:37" x14ac:dyDescent="0.25">
      <c r="A197" s="116" t="s">
        <v>184</v>
      </c>
      <c r="B197" s="126"/>
      <c r="C197" s="127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9">
        <v>4.41</v>
      </c>
      <c r="AH197" s="47"/>
      <c r="AI197" s="48"/>
      <c r="AK197" s="50"/>
    </row>
    <row r="198" spans="1:37" x14ac:dyDescent="0.25">
      <c r="A198" s="116" t="s">
        <v>185</v>
      </c>
      <c r="B198" s="126"/>
      <c r="C198" s="127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9">
        <v>4.4000000000000004</v>
      </c>
      <c r="AH198" s="47"/>
      <c r="AI198" s="48"/>
      <c r="AK198" s="50"/>
    </row>
    <row r="199" spans="1:37" x14ac:dyDescent="0.25">
      <c r="A199" s="116" t="s">
        <v>186</v>
      </c>
      <c r="B199" s="126"/>
      <c r="C199" s="127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9">
        <v>4.3600000000000003</v>
      </c>
      <c r="AH199" s="47"/>
      <c r="AI199" s="48"/>
      <c r="AK199" s="50"/>
    </row>
    <row r="200" spans="1:37" x14ac:dyDescent="0.25">
      <c r="A200" s="116" t="s">
        <v>187</v>
      </c>
      <c r="B200" s="126"/>
      <c r="C200" s="127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9">
        <v>4.2</v>
      </c>
      <c r="AH200" s="47"/>
      <c r="AI200" s="48"/>
      <c r="AK200" s="50"/>
    </row>
    <row r="201" spans="1:37" x14ac:dyDescent="0.25">
      <c r="A201" s="116" t="s">
        <v>188</v>
      </c>
      <c r="B201" s="126"/>
      <c r="C201" s="127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9">
        <v>4</v>
      </c>
      <c r="AH201" s="47"/>
      <c r="AI201" s="48"/>
      <c r="AK201" s="50"/>
    </row>
    <row r="202" spans="1:37" x14ac:dyDescent="0.25">
      <c r="A202" s="116" t="s">
        <v>189</v>
      </c>
      <c r="B202" s="126"/>
      <c r="C202" s="127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9">
        <v>4</v>
      </c>
      <c r="AH202" s="47"/>
      <c r="AI202" s="48"/>
      <c r="AK202" s="50"/>
    </row>
    <row r="203" spans="1:37" x14ac:dyDescent="0.25">
      <c r="A203" s="116" t="s">
        <v>190</v>
      </c>
      <c r="B203" s="126"/>
      <c r="C203" s="127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9">
        <v>4</v>
      </c>
      <c r="AH203" s="47"/>
      <c r="AI203" s="48"/>
      <c r="AK203" s="50"/>
    </row>
    <row r="204" spans="1:37" x14ac:dyDescent="0.25">
      <c r="A204" s="116" t="s">
        <v>191</v>
      </c>
      <c r="B204" s="126"/>
      <c r="C204" s="127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9">
        <v>4</v>
      </c>
      <c r="AH204" s="47"/>
      <c r="AI204" s="48"/>
      <c r="AK204" s="50"/>
    </row>
    <row r="205" spans="1:37" x14ac:dyDescent="0.25">
      <c r="A205" s="116" t="s">
        <v>192</v>
      </c>
      <c r="B205" s="126"/>
      <c r="C205" s="127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9">
        <v>4</v>
      </c>
      <c r="AH205" s="47"/>
      <c r="AI205" s="48"/>
      <c r="AK205" s="50"/>
    </row>
    <row r="206" spans="1:37" x14ac:dyDescent="0.25">
      <c r="A206" s="116" t="s">
        <v>193</v>
      </c>
      <c r="B206" s="126"/>
      <c r="C206" s="127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9">
        <v>4</v>
      </c>
      <c r="AH206" s="47"/>
      <c r="AI206" s="48"/>
      <c r="AK206" s="50"/>
    </row>
    <row r="207" spans="1:37" x14ac:dyDescent="0.25">
      <c r="A207" s="116" t="s">
        <v>194</v>
      </c>
      <c r="B207" s="126"/>
      <c r="C207" s="127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9">
        <v>4</v>
      </c>
      <c r="AH207" s="47"/>
      <c r="AI207" s="48"/>
      <c r="AK207" s="50"/>
    </row>
    <row r="208" spans="1:37" x14ac:dyDescent="0.25">
      <c r="A208" s="116" t="s">
        <v>195</v>
      </c>
      <c r="B208" s="126"/>
      <c r="C208" s="127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9">
        <v>4</v>
      </c>
      <c r="AH208" s="47"/>
      <c r="AI208" s="48"/>
      <c r="AK208" s="50"/>
    </row>
    <row r="209" spans="1:37" x14ac:dyDescent="0.25">
      <c r="A209" s="116" t="s">
        <v>196</v>
      </c>
      <c r="B209" s="126"/>
      <c r="C209" s="127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9">
        <v>3.75</v>
      </c>
      <c r="AH209" s="47"/>
      <c r="AI209" s="48"/>
      <c r="AK209" s="50"/>
    </row>
    <row r="210" spans="1:37" x14ac:dyDescent="0.25">
      <c r="A210" s="116" t="s">
        <v>197</v>
      </c>
      <c r="B210" s="126"/>
      <c r="C210" s="127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9">
        <v>3.52</v>
      </c>
      <c r="AH210" s="47"/>
      <c r="AI210" s="48"/>
      <c r="AK210" s="50"/>
    </row>
    <row r="211" spans="1:37" x14ac:dyDescent="0.25">
      <c r="A211" s="116" t="s">
        <v>198</v>
      </c>
      <c r="B211" s="126"/>
      <c r="C211" s="127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9">
        <v>3.33</v>
      </c>
      <c r="AH211" s="47"/>
      <c r="AI211" s="48"/>
      <c r="AK211" s="50"/>
    </row>
    <row r="212" spans="1:37" x14ac:dyDescent="0.25">
      <c r="A212" s="116" t="s">
        <v>199</v>
      </c>
      <c r="B212" s="126"/>
      <c r="C212" s="127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9">
        <v>3.2</v>
      </c>
      <c r="AH212" s="47"/>
      <c r="AI212" s="48"/>
      <c r="AK212" s="50"/>
    </row>
    <row r="213" spans="1:37" x14ac:dyDescent="0.25">
      <c r="A213" s="116" t="s">
        <v>200</v>
      </c>
      <c r="B213" s="126"/>
      <c r="C213" s="127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9">
        <v>3</v>
      </c>
      <c r="AH213" s="47"/>
      <c r="AI213" s="48"/>
      <c r="AK213" s="50"/>
    </row>
    <row r="214" spans="1:37" x14ac:dyDescent="0.25">
      <c r="A214" s="116" t="s">
        <v>201</v>
      </c>
      <c r="B214" s="126"/>
      <c r="C214" s="127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9">
        <v>3</v>
      </c>
      <c r="AH214" s="47"/>
      <c r="AI214" s="48"/>
      <c r="AK214" s="50"/>
    </row>
    <row r="215" spans="1:37" x14ac:dyDescent="0.25">
      <c r="A215" s="116" t="s">
        <v>202</v>
      </c>
      <c r="B215" s="126"/>
      <c r="C215" s="127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9">
        <v>3</v>
      </c>
      <c r="AH215" s="47"/>
      <c r="AI215" s="48"/>
      <c r="AK215" s="50"/>
    </row>
    <row r="216" spans="1:37" x14ac:dyDescent="0.25">
      <c r="A216" s="116" t="s">
        <v>203</v>
      </c>
      <c r="B216" s="126"/>
      <c r="C216" s="127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9">
        <v>3</v>
      </c>
      <c r="AH216" s="47"/>
      <c r="AI216" s="48"/>
      <c r="AK216" s="50"/>
    </row>
    <row r="217" spans="1:37" x14ac:dyDescent="0.25">
      <c r="A217" s="116" t="s">
        <v>204</v>
      </c>
      <c r="B217" s="126"/>
      <c r="C217" s="127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9">
        <v>3</v>
      </c>
      <c r="AH217" s="47"/>
      <c r="AI217" s="48"/>
      <c r="AK217" s="50"/>
    </row>
    <row r="218" spans="1:37" x14ac:dyDescent="0.25">
      <c r="A218" s="116" t="s">
        <v>205</v>
      </c>
      <c r="B218" s="126"/>
      <c r="C218" s="127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9">
        <v>3</v>
      </c>
      <c r="AH218" s="47"/>
      <c r="AI218" s="48"/>
      <c r="AK218" s="50"/>
    </row>
    <row r="219" spans="1:37" x14ac:dyDescent="0.25">
      <c r="A219" s="116" t="s">
        <v>206</v>
      </c>
      <c r="B219" s="126"/>
      <c r="C219" s="127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9">
        <v>3</v>
      </c>
      <c r="AH219" s="47"/>
      <c r="AI219" s="48"/>
      <c r="AK219" s="50"/>
    </row>
    <row r="220" spans="1:37" x14ac:dyDescent="0.25">
      <c r="A220" s="116" t="s">
        <v>207</v>
      </c>
      <c r="B220" s="126"/>
      <c r="C220" s="127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9">
        <v>3</v>
      </c>
      <c r="AH220" s="47"/>
      <c r="AI220" s="48"/>
      <c r="AK220" s="50"/>
    </row>
    <row r="221" spans="1:37" x14ac:dyDescent="0.25">
      <c r="A221" s="116" t="s">
        <v>208</v>
      </c>
      <c r="B221" s="126"/>
      <c r="C221" s="127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9">
        <v>2.83</v>
      </c>
      <c r="AH221" s="47"/>
      <c r="AI221" s="48"/>
      <c r="AK221" s="50"/>
    </row>
    <row r="222" spans="1:37" x14ac:dyDescent="0.25">
      <c r="A222" s="116" t="s">
        <v>209</v>
      </c>
      <c r="B222" s="126"/>
      <c r="C222" s="127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9">
        <v>2.5</v>
      </c>
      <c r="AH222" s="47"/>
      <c r="AI222" s="48"/>
      <c r="AK222" s="50"/>
    </row>
    <row r="223" spans="1:37" x14ac:dyDescent="0.25">
      <c r="A223" s="116" t="s">
        <v>210</v>
      </c>
      <c r="B223" s="126"/>
      <c r="C223" s="127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9">
        <v>2.5</v>
      </c>
      <c r="AH223" s="47"/>
      <c r="AI223" s="48"/>
      <c r="AK223" s="50"/>
    </row>
    <row r="224" spans="1:37" x14ac:dyDescent="0.25">
      <c r="A224" s="116" t="s">
        <v>211</v>
      </c>
      <c r="B224" s="126"/>
      <c r="C224" s="127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9">
        <v>2.4</v>
      </c>
      <c r="AH224" s="47"/>
      <c r="AI224" s="48"/>
      <c r="AK224" s="50"/>
    </row>
    <row r="225" spans="1:37" x14ac:dyDescent="0.25">
      <c r="A225" s="116" t="s">
        <v>212</v>
      </c>
      <c r="B225" s="126"/>
      <c r="C225" s="127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9">
        <v>2.4</v>
      </c>
      <c r="AH225" s="47"/>
      <c r="AI225" s="48"/>
      <c r="AK225" s="50"/>
    </row>
    <row r="226" spans="1:37" x14ac:dyDescent="0.25">
      <c r="A226" s="116" t="s">
        <v>213</v>
      </c>
      <c r="B226" s="126"/>
      <c r="C226" s="127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9">
        <v>2.2000000000000002</v>
      </c>
      <c r="AH226" s="47"/>
      <c r="AI226" s="48"/>
      <c r="AK226" s="50"/>
    </row>
    <row r="227" spans="1:37" x14ac:dyDescent="0.25">
      <c r="A227" s="116" t="s">
        <v>214</v>
      </c>
      <c r="B227" s="126"/>
      <c r="C227" s="127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9">
        <v>2</v>
      </c>
      <c r="AH227" s="47"/>
      <c r="AI227" s="48"/>
      <c r="AK227" s="50"/>
    </row>
    <row r="228" spans="1:37" x14ac:dyDescent="0.25">
      <c r="A228" s="116" t="s">
        <v>215</v>
      </c>
      <c r="B228" s="126"/>
      <c r="C228" s="127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9">
        <v>2</v>
      </c>
      <c r="AH228" s="47"/>
      <c r="AI228" s="48"/>
      <c r="AK228" s="50"/>
    </row>
    <row r="229" spans="1:37" x14ac:dyDescent="0.25">
      <c r="A229" s="116" t="s">
        <v>216</v>
      </c>
      <c r="B229" s="126"/>
      <c r="C229" s="127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9">
        <v>2</v>
      </c>
      <c r="AH229" s="47"/>
      <c r="AI229" s="48"/>
      <c r="AK229" s="50"/>
    </row>
    <row r="230" spans="1:37" x14ac:dyDescent="0.25">
      <c r="A230" s="116" t="s">
        <v>217</v>
      </c>
      <c r="B230" s="126"/>
      <c r="C230" s="127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9">
        <v>1.8</v>
      </c>
      <c r="AH230" s="47"/>
      <c r="AI230" s="48"/>
      <c r="AK230" s="50"/>
    </row>
    <row r="231" spans="1:37" x14ac:dyDescent="0.25">
      <c r="A231" s="116" t="s">
        <v>218</v>
      </c>
      <c r="B231" s="126"/>
      <c r="C231" s="127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9">
        <v>1.8</v>
      </c>
      <c r="AH231" s="47"/>
      <c r="AI231" s="48"/>
      <c r="AK231" s="50"/>
    </row>
    <row r="232" spans="1:37" x14ac:dyDescent="0.25">
      <c r="A232" s="116" t="s">
        <v>219</v>
      </c>
      <c r="B232" s="126"/>
      <c r="C232" s="127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9">
        <v>1.65</v>
      </c>
      <c r="AH232" s="47"/>
      <c r="AI232" s="48"/>
      <c r="AK232" s="50"/>
    </row>
    <row r="233" spans="1:37" x14ac:dyDescent="0.25">
      <c r="A233" s="116" t="s">
        <v>220</v>
      </c>
      <c r="B233" s="126"/>
      <c r="C233" s="127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9">
        <v>1.5</v>
      </c>
      <c r="AH233" s="47"/>
      <c r="AI233" s="48"/>
      <c r="AK233" s="50"/>
    </row>
    <row r="234" spans="1:37" x14ac:dyDescent="0.25">
      <c r="A234" s="116" t="s">
        <v>221</v>
      </c>
      <c r="B234" s="126"/>
      <c r="C234" s="127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9">
        <v>0.998</v>
      </c>
      <c r="AH234" s="47"/>
      <c r="AI234" s="48"/>
      <c r="AK234" s="50"/>
    </row>
    <row r="235" spans="1:37" x14ac:dyDescent="0.25">
      <c r="A235" s="116" t="s">
        <v>222</v>
      </c>
      <c r="B235" s="126"/>
      <c r="C235" s="127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9">
        <v>0.997</v>
      </c>
      <c r="AH235" s="47"/>
      <c r="AI235" s="48"/>
      <c r="AK235" s="50"/>
    </row>
    <row r="236" spans="1:37" x14ac:dyDescent="0.25">
      <c r="A236" s="116" t="s">
        <v>223</v>
      </c>
      <c r="B236" s="126"/>
      <c r="C236" s="127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9">
        <v>0.997</v>
      </c>
      <c r="AH236" s="47"/>
      <c r="AI236" s="48"/>
      <c r="AK236" s="50"/>
    </row>
    <row r="237" spans="1:37" x14ac:dyDescent="0.25">
      <c r="A237" s="116" t="s">
        <v>224</v>
      </c>
      <c r="B237" s="126"/>
      <c r="C237" s="127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9">
        <v>0.996</v>
      </c>
      <c r="AH237" s="47"/>
      <c r="AI237" s="48"/>
      <c r="AK237" s="50"/>
    </row>
    <row r="238" spans="1:37" x14ac:dyDescent="0.25">
      <c r="A238" s="116" t="s">
        <v>225</v>
      </c>
      <c r="B238" s="126"/>
      <c r="C238" s="127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9">
        <v>0.996</v>
      </c>
      <c r="AH238" s="47"/>
      <c r="AI238" s="48"/>
      <c r="AK238" s="50"/>
    </row>
    <row r="239" spans="1:37" x14ac:dyDescent="0.25">
      <c r="A239" s="116" t="s">
        <v>226</v>
      </c>
      <c r="B239" s="126"/>
      <c r="C239" s="127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9">
        <v>0.996</v>
      </c>
      <c r="AH239" s="47"/>
      <c r="AI239" s="48"/>
      <c r="AK239" s="50"/>
    </row>
    <row r="240" spans="1:37" x14ac:dyDescent="0.25">
      <c r="A240" s="116" t="s">
        <v>227</v>
      </c>
      <c r="B240" s="126"/>
      <c r="C240" s="127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9">
        <v>0.995</v>
      </c>
      <c r="AH240" s="47"/>
      <c r="AI240" s="48"/>
      <c r="AK240" s="50"/>
    </row>
    <row r="241" spans="1:37" x14ac:dyDescent="0.25">
      <c r="A241" s="116" t="s">
        <v>228</v>
      </c>
      <c r="B241" s="126"/>
      <c r="C241" s="127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9">
        <v>0.99299999999999999</v>
      </c>
      <c r="AH241" s="47"/>
      <c r="AI241" s="48"/>
      <c r="AK241" s="50"/>
    </row>
    <row r="242" spans="1:37" x14ac:dyDescent="0.25">
      <c r="A242" s="116" t="s">
        <v>229</v>
      </c>
      <c r="B242" s="126"/>
      <c r="C242" s="124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9">
        <v>0.99</v>
      </c>
      <c r="AH242" s="47"/>
      <c r="AI242" s="48"/>
      <c r="AK242" s="50"/>
    </row>
    <row r="243" spans="1:37" ht="15.75" thickBot="1" x14ac:dyDescent="0.3">
      <c r="A243" s="116" t="s">
        <v>230</v>
      </c>
      <c r="B243" s="130"/>
      <c r="C243" s="131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29">
        <v>0.97899999999999998</v>
      </c>
      <c r="AH243" s="47"/>
      <c r="AI243" s="48"/>
      <c r="AK243" s="50"/>
    </row>
    <row r="244" spans="1:37" ht="15.75" thickBot="1" x14ac:dyDescent="0.3">
      <c r="A244" s="132" t="s">
        <v>231</v>
      </c>
      <c r="B244" s="133">
        <f t="shared" ref="B244:AG244" si="50">SUM(B139:B243)</f>
        <v>0</v>
      </c>
      <c r="C244" s="134">
        <f t="shared" si="50"/>
        <v>0</v>
      </c>
      <c r="D244" s="134">
        <f t="shared" si="50"/>
        <v>0</v>
      </c>
      <c r="E244" s="134">
        <f t="shared" si="50"/>
        <v>0</v>
      </c>
      <c r="F244" s="134">
        <f t="shared" si="50"/>
        <v>0</v>
      </c>
      <c r="G244" s="134">
        <f t="shared" si="50"/>
        <v>0</v>
      </c>
      <c r="H244" s="134">
        <f t="shared" si="50"/>
        <v>0</v>
      </c>
      <c r="I244" s="134">
        <f t="shared" si="50"/>
        <v>0</v>
      </c>
      <c r="J244" s="134">
        <f t="shared" si="50"/>
        <v>0</v>
      </c>
      <c r="K244" s="134">
        <f t="shared" si="50"/>
        <v>0</v>
      </c>
      <c r="L244" s="134">
        <f t="shared" si="50"/>
        <v>0</v>
      </c>
      <c r="M244" s="134">
        <f t="shared" si="50"/>
        <v>0</v>
      </c>
      <c r="N244" s="134">
        <f t="shared" si="50"/>
        <v>0</v>
      </c>
      <c r="O244" s="134">
        <f t="shared" si="50"/>
        <v>0</v>
      </c>
      <c r="P244" s="134">
        <f t="shared" si="50"/>
        <v>0</v>
      </c>
      <c r="Q244" s="134">
        <f t="shared" si="50"/>
        <v>0</v>
      </c>
      <c r="R244" s="134">
        <f t="shared" si="50"/>
        <v>0</v>
      </c>
      <c r="S244" s="134">
        <f t="shared" si="50"/>
        <v>0</v>
      </c>
      <c r="T244" s="134">
        <f t="shared" si="50"/>
        <v>0</v>
      </c>
      <c r="U244" s="134">
        <f t="shared" si="50"/>
        <v>0</v>
      </c>
      <c r="V244" s="134">
        <f t="shared" si="50"/>
        <v>0</v>
      </c>
      <c r="W244" s="134">
        <f t="shared" si="50"/>
        <v>0</v>
      </c>
      <c r="X244" s="134">
        <f t="shared" si="50"/>
        <v>0</v>
      </c>
      <c r="Y244" s="134">
        <f t="shared" si="50"/>
        <v>0</v>
      </c>
      <c r="Z244" s="134">
        <f t="shared" si="50"/>
        <v>0</v>
      </c>
      <c r="AA244" s="134">
        <f t="shared" si="50"/>
        <v>0</v>
      </c>
      <c r="AB244" s="134">
        <f t="shared" si="50"/>
        <v>0</v>
      </c>
      <c r="AC244" s="134">
        <f t="shared" si="50"/>
        <v>0</v>
      </c>
      <c r="AD244" s="134">
        <f t="shared" si="50"/>
        <v>0</v>
      </c>
      <c r="AE244" s="134">
        <f t="shared" si="50"/>
        <v>0</v>
      </c>
      <c r="AF244" s="135">
        <f t="shared" si="50"/>
        <v>0</v>
      </c>
      <c r="AG244" s="136">
        <f t="shared" si="50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19"/>
      <c r="AH245" s="47"/>
      <c r="AI245" s="48"/>
      <c r="AK245" s="50"/>
    </row>
    <row r="246" spans="1:37" x14ac:dyDescent="0.25">
      <c r="A246" s="100" t="s">
        <v>232</v>
      </c>
      <c r="B246" s="138">
        <f t="shared" ref="B246:B251" si="51">AF246</f>
        <v>0.3</v>
      </c>
      <c r="C246" s="138">
        <v>0.3</v>
      </c>
      <c r="D246" s="138">
        <f t="shared" ref="D246:S251" si="52">C246</f>
        <v>0.3</v>
      </c>
      <c r="E246" s="138">
        <f t="shared" si="52"/>
        <v>0.3</v>
      </c>
      <c r="F246" s="138">
        <f t="shared" si="52"/>
        <v>0.3</v>
      </c>
      <c r="G246" s="138">
        <f t="shared" si="52"/>
        <v>0.3</v>
      </c>
      <c r="H246" s="138">
        <f t="shared" si="52"/>
        <v>0.3</v>
      </c>
      <c r="I246" s="138">
        <f t="shared" si="52"/>
        <v>0.3</v>
      </c>
      <c r="J246" s="138">
        <f t="shared" si="52"/>
        <v>0.3</v>
      </c>
      <c r="K246" s="138">
        <f t="shared" si="52"/>
        <v>0.3</v>
      </c>
      <c r="L246" s="138">
        <f t="shared" si="52"/>
        <v>0.3</v>
      </c>
      <c r="M246" s="138">
        <f t="shared" si="52"/>
        <v>0.3</v>
      </c>
      <c r="N246" s="138">
        <f t="shared" si="52"/>
        <v>0.3</v>
      </c>
      <c r="O246" s="138">
        <f t="shared" si="52"/>
        <v>0.3</v>
      </c>
      <c r="P246" s="138">
        <f t="shared" si="52"/>
        <v>0.3</v>
      </c>
      <c r="Q246" s="138">
        <f t="shared" si="52"/>
        <v>0.3</v>
      </c>
      <c r="R246" s="138">
        <f t="shared" si="52"/>
        <v>0.3</v>
      </c>
      <c r="S246" s="138">
        <f t="shared" si="52"/>
        <v>0.3</v>
      </c>
      <c r="T246" s="138">
        <f t="shared" ref="T246:AF251" si="53">S246</f>
        <v>0.3</v>
      </c>
      <c r="U246" s="138">
        <f t="shared" si="53"/>
        <v>0.3</v>
      </c>
      <c r="V246" s="138">
        <f t="shared" si="53"/>
        <v>0.3</v>
      </c>
      <c r="W246" s="138">
        <f t="shared" si="53"/>
        <v>0.3</v>
      </c>
      <c r="X246" s="138">
        <f t="shared" si="53"/>
        <v>0.3</v>
      </c>
      <c r="Y246" s="138">
        <f t="shared" si="53"/>
        <v>0.3</v>
      </c>
      <c r="Z246" s="138">
        <f t="shared" si="53"/>
        <v>0.3</v>
      </c>
      <c r="AA246" s="138">
        <f t="shared" si="53"/>
        <v>0.3</v>
      </c>
      <c r="AB246" s="138">
        <f t="shared" si="53"/>
        <v>0.3</v>
      </c>
      <c r="AC246" s="138">
        <f t="shared" si="53"/>
        <v>0.3</v>
      </c>
      <c r="AD246" s="138">
        <f t="shared" si="53"/>
        <v>0.3</v>
      </c>
      <c r="AE246" s="138">
        <f t="shared" si="53"/>
        <v>0.3</v>
      </c>
      <c r="AF246" s="138">
        <f t="shared" si="53"/>
        <v>0.3</v>
      </c>
      <c r="AG246" s="139">
        <v>2.4</v>
      </c>
      <c r="AH246" s="47"/>
      <c r="AI246" s="48"/>
      <c r="AK246" s="50"/>
    </row>
    <row r="247" spans="1:37" x14ac:dyDescent="0.25">
      <c r="A247" s="103" t="s">
        <v>233</v>
      </c>
      <c r="B247" s="126">
        <f t="shared" si="51"/>
        <v>0.4</v>
      </c>
      <c r="C247" s="126">
        <v>0.4</v>
      </c>
      <c r="D247" s="126">
        <f t="shared" si="52"/>
        <v>0.4</v>
      </c>
      <c r="E247" s="126">
        <f t="shared" si="52"/>
        <v>0.4</v>
      </c>
      <c r="F247" s="126">
        <f t="shared" si="52"/>
        <v>0.4</v>
      </c>
      <c r="G247" s="126">
        <f t="shared" si="52"/>
        <v>0.4</v>
      </c>
      <c r="H247" s="126">
        <f t="shared" si="52"/>
        <v>0.4</v>
      </c>
      <c r="I247" s="126">
        <f t="shared" si="52"/>
        <v>0.4</v>
      </c>
      <c r="J247" s="126">
        <f t="shared" si="52"/>
        <v>0.4</v>
      </c>
      <c r="K247" s="126">
        <f t="shared" si="52"/>
        <v>0.4</v>
      </c>
      <c r="L247" s="126">
        <f t="shared" si="52"/>
        <v>0.4</v>
      </c>
      <c r="M247" s="126">
        <f t="shared" si="52"/>
        <v>0.4</v>
      </c>
      <c r="N247" s="126">
        <f t="shared" si="52"/>
        <v>0.4</v>
      </c>
      <c r="O247" s="126">
        <f t="shared" si="52"/>
        <v>0.4</v>
      </c>
      <c r="P247" s="126">
        <f t="shared" si="52"/>
        <v>0.4</v>
      </c>
      <c r="Q247" s="126">
        <f t="shared" si="52"/>
        <v>0.4</v>
      </c>
      <c r="R247" s="126">
        <f t="shared" si="52"/>
        <v>0.4</v>
      </c>
      <c r="S247" s="126">
        <f t="shared" si="52"/>
        <v>0.4</v>
      </c>
      <c r="T247" s="126">
        <f t="shared" si="53"/>
        <v>0.4</v>
      </c>
      <c r="U247" s="126">
        <f t="shared" si="53"/>
        <v>0.4</v>
      </c>
      <c r="V247" s="126">
        <f t="shared" si="53"/>
        <v>0.4</v>
      </c>
      <c r="W247" s="126">
        <f t="shared" si="53"/>
        <v>0.4</v>
      </c>
      <c r="X247" s="126">
        <f t="shared" si="53"/>
        <v>0.4</v>
      </c>
      <c r="Y247" s="126">
        <f t="shared" si="53"/>
        <v>0.4</v>
      </c>
      <c r="Z247" s="126">
        <f t="shared" si="53"/>
        <v>0.4</v>
      </c>
      <c r="AA247" s="126">
        <f t="shared" si="53"/>
        <v>0.4</v>
      </c>
      <c r="AB247" s="126">
        <f t="shared" si="53"/>
        <v>0.4</v>
      </c>
      <c r="AC247" s="126">
        <f t="shared" si="53"/>
        <v>0.4</v>
      </c>
      <c r="AD247" s="126">
        <f t="shared" si="53"/>
        <v>0.4</v>
      </c>
      <c r="AE247" s="126">
        <f t="shared" si="53"/>
        <v>0.4</v>
      </c>
      <c r="AF247" s="126">
        <f t="shared" si="53"/>
        <v>0.4</v>
      </c>
      <c r="AG247" s="140">
        <v>2</v>
      </c>
      <c r="AH247" s="47"/>
      <c r="AI247" s="48"/>
      <c r="AK247" s="50"/>
    </row>
    <row r="248" spans="1:37" x14ac:dyDescent="0.25">
      <c r="A248" s="103" t="s">
        <v>234</v>
      </c>
      <c r="B248" s="126">
        <f t="shared" si="51"/>
        <v>1.5</v>
      </c>
      <c r="C248" s="126">
        <v>1.5</v>
      </c>
      <c r="D248" s="126">
        <f t="shared" si="52"/>
        <v>1.5</v>
      </c>
      <c r="E248" s="126">
        <f t="shared" si="52"/>
        <v>1.5</v>
      </c>
      <c r="F248" s="126">
        <f t="shared" si="52"/>
        <v>1.5</v>
      </c>
      <c r="G248" s="126">
        <f t="shared" si="52"/>
        <v>1.5</v>
      </c>
      <c r="H248" s="126">
        <f t="shared" si="52"/>
        <v>1.5</v>
      </c>
      <c r="I248" s="126">
        <f t="shared" si="52"/>
        <v>1.5</v>
      </c>
      <c r="J248" s="126">
        <f t="shared" si="52"/>
        <v>1.5</v>
      </c>
      <c r="K248" s="126">
        <f t="shared" si="52"/>
        <v>1.5</v>
      </c>
      <c r="L248" s="126">
        <f t="shared" si="52"/>
        <v>1.5</v>
      </c>
      <c r="M248" s="126">
        <f t="shared" si="52"/>
        <v>1.5</v>
      </c>
      <c r="N248" s="126">
        <f t="shared" si="52"/>
        <v>1.5</v>
      </c>
      <c r="O248" s="126">
        <f t="shared" si="52"/>
        <v>1.5</v>
      </c>
      <c r="P248" s="126">
        <f t="shared" si="52"/>
        <v>1.5</v>
      </c>
      <c r="Q248" s="126">
        <f t="shared" si="52"/>
        <v>1.5</v>
      </c>
      <c r="R248" s="126">
        <f t="shared" si="52"/>
        <v>1.5</v>
      </c>
      <c r="S248" s="126">
        <f t="shared" si="52"/>
        <v>1.5</v>
      </c>
      <c r="T248" s="126">
        <f t="shared" si="53"/>
        <v>1.5</v>
      </c>
      <c r="U248" s="126">
        <f t="shared" si="53"/>
        <v>1.5</v>
      </c>
      <c r="V248" s="126">
        <f t="shared" si="53"/>
        <v>1.5</v>
      </c>
      <c r="W248" s="126">
        <f t="shared" si="53"/>
        <v>1.5</v>
      </c>
      <c r="X248" s="126">
        <f t="shared" si="53"/>
        <v>1.5</v>
      </c>
      <c r="Y248" s="126">
        <f t="shared" si="53"/>
        <v>1.5</v>
      </c>
      <c r="Z248" s="126">
        <f t="shared" si="53"/>
        <v>1.5</v>
      </c>
      <c r="AA248" s="126">
        <f t="shared" si="53"/>
        <v>1.5</v>
      </c>
      <c r="AB248" s="126">
        <f t="shared" si="53"/>
        <v>1.5</v>
      </c>
      <c r="AC248" s="126">
        <f t="shared" si="53"/>
        <v>1.5</v>
      </c>
      <c r="AD248" s="126">
        <f t="shared" si="53"/>
        <v>1.5</v>
      </c>
      <c r="AE248" s="126">
        <f t="shared" si="53"/>
        <v>1.5</v>
      </c>
      <c r="AF248" s="126">
        <f t="shared" si="53"/>
        <v>1.5</v>
      </c>
      <c r="AG248" s="140">
        <v>1.5</v>
      </c>
      <c r="AH248" s="47"/>
      <c r="AI248" s="48"/>
      <c r="AK248" s="50"/>
    </row>
    <row r="249" spans="1:37" x14ac:dyDescent="0.25">
      <c r="A249" s="103" t="s">
        <v>235</v>
      </c>
      <c r="B249" s="126">
        <f t="shared" si="51"/>
        <v>0.3</v>
      </c>
      <c r="C249" s="126">
        <v>0.3</v>
      </c>
      <c r="D249" s="126">
        <f t="shared" si="52"/>
        <v>0.3</v>
      </c>
      <c r="E249" s="126">
        <f t="shared" si="52"/>
        <v>0.3</v>
      </c>
      <c r="F249" s="126">
        <f t="shared" si="52"/>
        <v>0.3</v>
      </c>
      <c r="G249" s="126">
        <f t="shared" si="52"/>
        <v>0.3</v>
      </c>
      <c r="H249" s="126">
        <f t="shared" si="52"/>
        <v>0.3</v>
      </c>
      <c r="I249" s="126">
        <f t="shared" si="52"/>
        <v>0.3</v>
      </c>
      <c r="J249" s="126">
        <f t="shared" si="52"/>
        <v>0.3</v>
      </c>
      <c r="K249" s="126">
        <f t="shared" si="52"/>
        <v>0.3</v>
      </c>
      <c r="L249" s="126">
        <f t="shared" si="52"/>
        <v>0.3</v>
      </c>
      <c r="M249" s="126">
        <f t="shared" si="52"/>
        <v>0.3</v>
      </c>
      <c r="N249" s="126">
        <f t="shared" si="52"/>
        <v>0.3</v>
      </c>
      <c r="O249" s="126">
        <f t="shared" si="52"/>
        <v>0.3</v>
      </c>
      <c r="P249" s="126">
        <f t="shared" si="52"/>
        <v>0.3</v>
      </c>
      <c r="Q249" s="126">
        <f t="shared" si="52"/>
        <v>0.3</v>
      </c>
      <c r="R249" s="126">
        <f t="shared" si="52"/>
        <v>0.3</v>
      </c>
      <c r="S249" s="126">
        <f t="shared" si="52"/>
        <v>0.3</v>
      </c>
      <c r="T249" s="126">
        <f t="shared" si="53"/>
        <v>0.3</v>
      </c>
      <c r="U249" s="126">
        <f t="shared" si="53"/>
        <v>0.3</v>
      </c>
      <c r="V249" s="126">
        <f t="shared" si="53"/>
        <v>0.3</v>
      </c>
      <c r="W249" s="126">
        <f t="shared" si="53"/>
        <v>0.3</v>
      </c>
      <c r="X249" s="126">
        <f t="shared" si="53"/>
        <v>0.3</v>
      </c>
      <c r="Y249" s="126">
        <f t="shared" si="53"/>
        <v>0.3</v>
      </c>
      <c r="Z249" s="126">
        <f t="shared" si="53"/>
        <v>0.3</v>
      </c>
      <c r="AA249" s="126">
        <f t="shared" si="53"/>
        <v>0.3</v>
      </c>
      <c r="AB249" s="126">
        <f t="shared" si="53"/>
        <v>0.3</v>
      </c>
      <c r="AC249" s="126">
        <f t="shared" si="53"/>
        <v>0.3</v>
      </c>
      <c r="AD249" s="126">
        <f t="shared" si="53"/>
        <v>0.3</v>
      </c>
      <c r="AE249" s="126">
        <f t="shared" si="53"/>
        <v>0.3</v>
      </c>
      <c r="AF249" s="126">
        <f t="shared" si="53"/>
        <v>0.3</v>
      </c>
      <c r="AG249" s="140">
        <v>1</v>
      </c>
      <c r="AH249" s="47"/>
      <c r="AI249" s="48"/>
      <c r="AK249" s="50"/>
    </row>
    <row r="250" spans="1:37" x14ac:dyDescent="0.25">
      <c r="A250" s="103" t="s">
        <v>236</v>
      </c>
      <c r="B250" s="126">
        <f t="shared" si="51"/>
        <v>0.4</v>
      </c>
      <c r="C250" s="126">
        <v>0.4</v>
      </c>
      <c r="D250" s="126">
        <f t="shared" si="52"/>
        <v>0.4</v>
      </c>
      <c r="E250" s="126">
        <f t="shared" si="52"/>
        <v>0.4</v>
      </c>
      <c r="F250" s="126">
        <f t="shared" si="52"/>
        <v>0.4</v>
      </c>
      <c r="G250" s="126">
        <f t="shared" si="52"/>
        <v>0.4</v>
      </c>
      <c r="H250" s="126">
        <f t="shared" si="52"/>
        <v>0.4</v>
      </c>
      <c r="I250" s="126">
        <f t="shared" si="52"/>
        <v>0.4</v>
      </c>
      <c r="J250" s="126">
        <f t="shared" si="52"/>
        <v>0.4</v>
      </c>
      <c r="K250" s="126">
        <f t="shared" si="52"/>
        <v>0.4</v>
      </c>
      <c r="L250" s="126">
        <f t="shared" si="52"/>
        <v>0.4</v>
      </c>
      <c r="M250" s="126">
        <f t="shared" si="52"/>
        <v>0.4</v>
      </c>
      <c r="N250" s="126">
        <f t="shared" si="52"/>
        <v>0.4</v>
      </c>
      <c r="O250" s="126">
        <f t="shared" si="52"/>
        <v>0.4</v>
      </c>
      <c r="P250" s="126">
        <f t="shared" si="52"/>
        <v>0.4</v>
      </c>
      <c r="Q250" s="126">
        <f t="shared" si="52"/>
        <v>0.4</v>
      </c>
      <c r="R250" s="126">
        <f t="shared" si="52"/>
        <v>0.4</v>
      </c>
      <c r="S250" s="126">
        <f t="shared" si="52"/>
        <v>0.4</v>
      </c>
      <c r="T250" s="126">
        <f t="shared" si="53"/>
        <v>0.4</v>
      </c>
      <c r="U250" s="126">
        <f t="shared" si="53"/>
        <v>0.4</v>
      </c>
      <c r="V250" s="126">
        <f t="shared" si="53"/>
        <v>0.4</v>
      </c>
      <c r="W250" s="126">
        <f t="shared" si="53"/>
        <v>0.4</v>
      </c>
      <c r="X250" s="126">
        <f t="shared" si="53"/>
        <v>0.4</v>
      </c>
      <c r="Y250" s="126">
        <f t="shared" si="53"/>
        <v>0.4</v>
      </c>
      <c r="Z250" s="126">
        <f t="shared" si="53"/>
        <v>0.4</v>
      </c>
      <c r="AA250" s="126">
        <f t="shared" si="53"/>
        <v>0.4</v>
      </c>
      <c r="AB250" s="126">
        <f t="shared" si="53"/>
        <v>0.4</v>
      </c>
      <c r="AC250" s="126">
        <f t="shared" si="53"/>
        <v>0.4</v>
      </c>
      <c r="AD250" s="126">
        <f t="shared" si="53"/>
        <v>0.4</v>
      </c>
      <c r="AE250" s="126">
        <f t="shared" si="53"/>
        <v>0.4</v>
      </c>
      <c r="AF250" s="126">
        <f t="shared" si="53"/>
        <v>0.4</v>
      </c>
      <c r="AG250" s="140">
        <v>1</v>
      </c>
      <c r="AH250" s="47"/>
      <c r="AI250" s="48"/>
      <c r="AK250" s="50"/>
    </row>
    <row r="251" spans="1:37" ht="15.75" thickBot="1" x14ac:dyDescent="0.3">
      <c r="A251" s="116" t="s">
        <v>237</v>
      </c>
      <c r="B251" s="130">
        <f t="shared" si="51"/>
        <v>0.64</v>
      </c>
      <c r="C251" s="130">
        <v>0.64</v>
      </c>
      <c r="D251" s="130">
        <f t="shared" si="52"/>
        <v>0.64</v>
      </c>
      <c r="E251" s="130">
        <f t="shared" si="52"/>
        <v>0.64</v>
      </c>
      <c r="F251" s="130">
        <f t="shared" si="52"/>
        <v>0.64</v>
      </c>
      <c r="G251" s="130">
        <f t="shared" si="52"/>
        <v>0.64</v>
      </c>
      <c r="H251" s="130">
        <f t="shared" si="52"/>
        <v>0.64</v>
      </c>
      <c r="I251" s="130">
        <f t="shared" si="52"/>
        <v>0.64</v>
      </c>
      <c r="J251" s="130">
        <f t="shared" si="52"/>
        <v>0.64</v>
      </c>
      <c r="K251" s="130">
        <f t="shared" si="52"/>
        <v>0.64</v>
      </c>
      <c r="L251" s="130">
        <f t="shared" si="52"/>
        <v>0.64</v>
      </c>
      <c r="M251" s="130">
        <f t="shared" si="52"/>
        <v>0.64</v>
      </c>
      <c r="N251" s="130">
        <f t="shared" si="52"/>
        <v>0.64</v>
      </c>
      <c r="O251" s="130">
        <f t="shared" si="52"/>
        <v>0.64</v>
      </c>
      <c r="P251" s="130">
        <f t="shared" si="52"/>
        <v>0.64</v>
      </c>
      <c r="Q251" s="130">
        <f t="shared" si="52"/>
        <v>0.64</v>
      </c>
      <c r="R251" s="130">
        <f t="shared" si="52"/>
        <v>0.64</v>
      </c>
      <c r="S251" s="130">
        <f t="shared" si="52"/>
        <v>0.64</v>
      </c>
      <c r="T251" s="130">
        <f t="shared" si="53"/>
        <v>0.64</v>
      </c>
      <c r="U251" s="130">
        <f t="shared" si="53"/>
        <v>0.64</v>
      </c>
      <c r="V251" s="130">
        <f t="shared" si="53"/>
        <v>0.64</v>
      </c>
      <c r="W251" s="130">
        <f t="shared" si="53"/>
        <v>0.64</v>
      </c>
      <c r="X251" s="130">
        <f t="shared" si="53"/>
        <v>0.64</v>
      </c>
      <c r="Y251" s="130">
        <f t="shared" si="53"/>
        <v>0.64</v>
      </c>
      <c r="Z251" s="130">
        <f t="shared" si="53"/>
        <v>0.64</v>
      </c>
      <c r="AA251" s="130">
        <f t="shared" si="53"/>
        <v>0.64</v>
      </c>
      <c r="AB251" s="130">
        <f t="shared" si="53"/>
        <v>0.64</v>
      </c>
      <c r="AC251" s="130">
        <f t="shared" si="53"/>
        <v>0.64</v>
      </c>
      <c r="AD251" s="130">
        <f t="shared" si="53"/>
        <v>0.64</v>
      </c>
      <c r="AE251" s="130">
        <f t="shared" si="53"/>
        <v>0.64</v>
      </c>
      <c r="AF251" s="130">
        <f t="shared" si="53"/>
        <v>0.64</v>
      </c>
      <c r="AG251" s="141">
        <v>0.66</v>
      </c>
      <c r="AH251" s="47"/>
      <c r="AI251" s="48"/>
    </row>
    <row r="252" spans="1:37" ht="15.75" thickBot="1" x14ac:dyDescent="0.3">
      <c r="A252" s="142" t="s">
        <v>75</v>
      </c>
      <c r="B252" s="134">
        <f t="shared" ref="B252:AG252" si="54">SUM(B246:B251)</f>
        <v>3.54</v>
      </c>
      <c r="C252" s="134">
        <f t="shared" si="54"/>
        <v>3.54</v>
      </c>
      <c r="D252" s="134">
        <f t="shared" si="54"/>
        <v>3.54</v>
      </c>
      <c r="E252" s="134">
        <f t="shared" si="54"/>
        <v>3.54</v>
      </c>
      <c r="F252" s="134">
        <f t="shared" si="54"/>
        <v>3.54</v>
      </c>
      <c r="G252" s="134">
        <f t="shared" si="54"/>
        <v>3.54</v>
      </c>
      <c r="H252" s="134">
        <f t="shared" si="54"/>
        <v>3.54</v>
      </c>
      <c r="I252" s="134">
        <f t="shared" si="54"/>
        <v>3.54</v>
      </c>
      <c r="J252" s="134">
        <f t="shared" si="54"/>
        <v>3.54</v>
      </c>
      <c r="K252" s="134">
        <f t="shared" si="54"/>
        <v>3.54</v>
      </c>
      <c r="L252" s="134">
        <f t="shared" si="54"/>
        <v>3.54</v>
      </c>
      <c r="M252" s="134">
        <f t="shared" si="54"/>
        <v>3.54</v>
      </c>
      <c r="N252" s="134">
        <f t="shared" si="54"/>
        <v>3.54</v>
      </c>
      <c r="O252" s="134">
        <f t="shared" si="54"/>
        <v>3.54</v>
      </c>
      <c r="P252" s="134">
        <f t="shared" si="54"/>
        <v>3.54</v>
      </c>
      <c r="Q252" s="134">
        <f t="shared" si="54"/>
        <v>3.54</v>
      </c>
      <c r="R252" s="134">
        <f t="shared" si="54"/>
        <v>3.54</v>
      </c>
      <c r="S252" s="134">
        <f t="shared" si="54"/>
        <v>3.54</v>
      </c>
      <c r="T252" s="134">
        <f t="shared" si="54"/>
        <v>3.54</v>
      </c>
      <c r="U252" s="134">
        <f t="shared" si="54"/>
        <v>3.54</v>
      </c>
      <c r="V252" s="134">
        <f t="shared" si="54"/>
        <v>3.54</v>
      </c>
      <c r="W252" s="134">
        <f t="shared" si="54"/>
        <v>3.54</v>
      </c>
      <c r="X252" s="134">
        <f t="shared" si="54"/>
        <v>3.54</v>
      </c>
      <c r="Y252" s="134">
        <f t="shared" si="54"/>
        <v>3.54</v>
      </c>
      <c r="Z252" s="134">
        <f t="shared" si="54"/>
        <v>3.54</v>
      </c>
      <c r="AA252" s="134">
        <f t="shared" si="54"/>
        <v>3.54</v>
      </c>
      <c r="AB252" s="134">
        <f t="shared" si="54"/>
        <v>3.54</v>
      </c>
      <c r="AC252" s="134">
        <f t="shared" si="54"/>
        <v>3.54</v>
      </c>
      <c r="AD252" s="134">
        <f t="shared" si="54"/>
        <v>3.54</v>
      </c>
      <c r="AE252" s="134">
        <f t="shared" si="54"/>
        <v>3.54</v>
      </c>
      <c r="AF252" s="134">
        <f t="shared" si="54"/>
        <v>3.54</v>
      </c>
      <c r="AG252" s="143">
        <f t="shared" si="54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37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54" t="s">
        <v>243</v>
      </c>
      <c r="B256" s="155">
        <f>MAX(G99:N99)</f>
        <v>1725.44</v>
      </c>
      <c r="C256" s="156">
        <f>INDEX(G9:N9,1,MATCH(MAX(G99:N99),G99:N99,0))</f>
        <v>0.3125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50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157" t="str">
        <f ca="1">MID(CELL("filename",C7),FIND("]",CELL("filename",C7))+1,600)</f>
        <v>4</v>
      </c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50" x14ac:dyDescent="0.25">
      <c r="A258" s="257" t="s">
        <v>244</v>
      </c>
      <c r="B258" s="257"/>
      <c r="C258" s="43"/>
      <c r="D258" s="157" t="str">
        <f ca="1">"Pie Chart of Daily Peak Demand(Inclusive of Export) of Nepal ("&amp;A4&amp;" "&amp;B4&amp;")"</f>
        <v>Pie Chart of Daily Peak Demand(Inclusive of Export) of Nepal (Nepali Date: 2080/09/4)</v>
      </c>
      <c r="E258" s="43"/>
      <c r="F258" s="43"/>
      <c r="G258" s="157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157" t="str">
        <f ca="1">"Daily Load Curve(Excluding of Export) of Nepal ("&amp;A4&amp;" "&amp;B4&amp;")"</f>
        <v>Daily Load Curve(Excluding of Export) of Nepal (Nepali Date: 2080/09/4)</v>
      </c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50" ht="12.75" customHeight="1" thickBot="1" x14ac:dyDescent="0.3">
      <c r="A259" s="158" t="s">
        <v>7</v>
      </c>
      <c r="B259" s="159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50" ht="15.75" thickTop="1" x14ac:dyDescent="0.25">
      <c r="A260" s="158" t="s">
        <v>245</v>
      </c>
      <c r="B260" s="15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160" t="s">
        <v>246</v>
      </c>
      <c r="T260" s="161">
        <v>0</v>
      </c>
      <c r="U260" s="162">
        <v>4.1666666666666664E-2</v>
      </c>
      <c r="V260" s="163">
        <v>8.3333333333333301E-2</v>
      </c>
      <c r="W260" s="163">
        <v>0.125</v>
      </c>
      <c r="X260" s="163">
        <v>0.16666666666666699</v>
      </c>
      <c r="Y260" s="163">
        <v>0.20833333333333301</v>
      </c>
      <c r="Z260" s="163">
        <v>0.22916666666666666</v>
      </c>
      <c r="AA260" s="163">
        <v>0.25</v>
      </c>
      <c r="AB260" s="163">
        <v>0.27083333333333331</v>
      </c>
      <c r="AC260" s="163">
        <v>0.29166666666666669</v>
      </c>
      <c r="AD260" s="163">
        <v>0.3125</v>
      </c>
      <c r="AE260" s="164">
        <v>0.33333333333333331</v>
      </c>
      <c r="AF260" s="164">
        <v>0.375</v>
      </c>
      <c r="AG260" s="164">
        <v>0.41666666666666702</v>
      </c>
      <c r="AH260" s="164">
        <v>0.45833333333333298</v>
      </c>
      <c r="AI260" s="164">
        <v>0.5</v>
      </c>
      <c r="AJ260" s="164">
        <v>0.54166666666666696</v>
      </c>
      <c r="AK260" s="164">
        <v>0.58333333333333304</v>
      </c>
      <c r="AL260" s="164">
        <v>0.625</v>
      </c>
      <c r="AM260" s="164">
        <v>0.66666666666666696</v>
      </c>
      <c r="AN260" s="164">
        <v>0.70833333333333304</v>
      </c>
      <c r="AO260" s="164">
        <v>0.72916666666666663</v>
      </c>
      <c r="AP260" s="164">
        <v>0.75</v>
      </c>
      <c r="AQ260" s="164">
        <v>0.77083333333333337</v>
      </c>
      <c r="AR260" s="164">
        <v>0.79166666666666663</v>
      </c>
      <c r="AS260" s="164">
        <v>0.8125</v>
      </c>
      <c r="AT260" s="163">
        <v>0.83333333333333337</v>
      </c>
      <c r="AU260" s="163">
        <v>0.85416666666666663</v>
      </c>
      <c r="AV260" s="163">
        <v>0.875</v>
      </c>
      <c r="AW260" s="163">
        <v>0.91666666666666696</v>
      </c>
      <c r="AX260" s="163">
        <v>0.95833333333333304</v>
      </c>
    </row>
    <row r="261" spans="1:50" x14ac:dyDescent="0.25">
      <c r="A261" s="158" t="s">
        <v>247</v>
      </c>
      <c r="B261" s="15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 t="s">
        <v>248</v>
      </c>
      <c r="T261" s="165">
        <f t="shared" ref="T261:AX261" si="55">B99</f>
        <v>1132.44</v>
      </c>
      <c r="U261" s="165">
        <f t="shared" si="55"/>
        <v>1092.44</v>
      </c>
      <c r="V261" s="165">
        <f t="shared" si="55"/>
        <v>1091.24</v>
      </c>
      <c r="W261" s="165">
        <f t="shared" si="55"/>
        <v>1089.6400000000001</v>
      </c>
      <c r="X261" s="165">
        <f t="shared" si="55"/>
        <v>1078.04</v>
      </c>
      <c r="Y261" s="165">
        <f t="shared" si="55"/>
        <v>1163.3400000000001</v>
      </c>
      <c r="Z261" s="165">
        <f t="shared" si="55"/>
        <v>1227.24</v>
      </c>
      <c r="AA261" s="165">
        <f t="shared" si="55"/>
        <v>1277.24</v>
      </c>
      <c r="AB261" s="165">
        <f t="shared" si="55"/>
        <v>1395.04</v>
      </c>
      <c r="AC261" s="165">
        <f t="shared" si="55"/>
        <v>1709.44</v>
      </c>
      <c r="AD261" s="165">
        <f t="shared" si="55"/>
        <v>1725.44</v>
      </c>
      <c r="AE261" s="165">
        <f t="shared" si="55"/>
        <v>1718.24</v>
      </c>
      <c r="AF261" s="165">
        <f t="shared" si="55"/>
        <v>1683.9400000000003</v>
      </c>
      <c r="AG261" s="165">
        <f t="shared" si="55"/>
        <v>1659.74</v>
      </c>
      <c r="AH261" s="165">
        <f t="shared" si="55"/>
        <v>1612.0400000000002</v>
      </c>
      <c r="AI261" s="165">
        <f t="shared" si="55"/>
        <v>1586.94</v>
      </c>
      <c r="AJ261" s="165">
        <f t="shared" si="55"/>
        <v>1547.8400000000001</v>
      </c>
      <c r="AK261" s="165">
        <f t="shared" si="55"/>
        <v>1489.94</v>
      </c>
      <c r="AL261" s="165">
        <f t="shared" si="55"/>
        <v>1457.14</v>
      </c>
      <c r="AM261" s="165">
        <f t="shared" si="55"/>
        <v>1480.2400000000002</v>
      </c>
      <c r="AN261" s="165">
        <f t="shared" si="55"/>
        <v>1389.2400000000002</v>
      </c>
      <c r="AO261" s="165">
        <f t="shared" si="55"/>
        <v>1582.44</v>
      </c>
      <c r="AP261" s="165">
        <f t="shared" si="55"/>
        <v>1797.0400000000002</v>
      </c>
      <c r="AQ261" s="165">
        <f t="shared" si="55"/>
        <v>1788.6400000000003</v>
      </c>
      <c r="AR261" s="165">
        <f t="shared" si="55"/>
        <v>1792.7400000000002</v>
      </c>
      <c r="AS261" s="165">
        <f t="shared" si="55"/>
        <v>1767.3400000000001</v>
      </c>
      <c r="AT261" s="165">
        <f t="shared" si="55"/>
        <v>1687.8400000000001</v>
      </c>
      <c r="AU261" s="165">
        <f t="shared" si="55"/>
        <v>1638.0400000000002</v>
      </c>
      <c r="AV261" s="165">
        <f t="shared" si="55"/>
        <v>1318.7400000000002</v>
      </c>
      <c r="AW261" s="165">
        <f t="shared" si="55"/>
        <v>1237.0400000000002</v>
      </c>
      <c r="AX261" s="165">
        <f t="shared" si="55"/>
        <v>1176.7400000000002</v>
      </c>
    </row>
    <row r="262" spans="1:50" x14ac:dyDescent="0.25">
      <c r="A262" s="158" t="s">
        <v>249</v>
      </c>
      <c r="B262" s="15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50" x14ac:dyDescent="0.25">
      <c r="A263" s="158" t="s">
        <v>250</v>
      </c>
      <c r="B263" s="15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50" x14ac:dyDescent="0.25">
      <c r="A264" s="158" t="s">
        <v>251</v>
      </c>
      <c r="B264" s="15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50" x14ac:dyDescent="0.25">
      <c r="A265" s="158" t="s">
        <v>252</v>
      </c>
      <c r="B265" s="166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50" x14ac:dyDescent="0.25">
      <c r="A266" s="158" t="s">
        <v>253</v>
      </c>
      <c r="B266" s="15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50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50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50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50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50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50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1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1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1:34" x14ac:dyDescent="0.25">
      <c r="A282" s="167" t="s">
        <v>238</v>
      </c>
      <c r="B282" s="168">
        <f t="shared" ref="B282:AE282" si="56">C251</f>
        <v>0.64</v>
      </c>
      <c r="C282" s="168">
        <f t="shared" si="56"/>
        <v>0.64</v>
      </c>
      <c r="D282" s="168">
        <f t="shared" si="56"/>
        <v>0.64</v>
      </c>
      <c r="E282" s="168">
        <f t="shared" si="56"/>
        <v>0.64</v>
      </c>
      <c r="F282" s="168">
        <f t="shared" si="56"/>
        <v>0.64</v>
      </c>
      <c r="G282" s="168">
        <f t="shared" si="56"/>
        <v>0.64</v>
      </c>
      <c r="H282" s="168">
        <f t="shared" si="56"/>
        <v>0.64</v>
      </c>
      <c r="I282" s="168">
        <f t="shared" si="56"/>
        <v>0.64</v>
      </c>
      <c r="J282" s="168">
        <f t="shared" si="56"/>
        <v>0.64</v>
      </c>
      <c r="K282" s="168">
        <f t="shared" si="56"/>
        <v>0.64</v>
      </c>
      <c r="L282" s="168">
        <f t="shared" si="56"/>
        <v>0.64</v>
      </c>
      <c r="M282" s="168">
        <f t="shared" si="56"/>
        <v>0.64</v>
      </c>
      <c r="N282" s="168">
        <f t="shared" si="56"/>
        <v>0.64</v>
      </c>
      <c r="O282" s="168">
        <f t="shared" si="56"/>
        <v>0.64</v>
      </c>
      <c r="P282" s="168">
        <f t="shared" si="56"/>
        <v>0.64</v>
      </c>
      <c r="Q282" s="168">
        <f t="shared" si="56"/>
        <v>0.64</v>
      </c>
      <c r="R282" s="168">
        <f t="shared" si="56"/>
        <v>0.64</v>
      </c>
      <c r="S282" s="168">
        <f t="shared" si="56"/>
        <v>0.64</v>
      </c>
      <c r="T282" s="168">
        <f t="shared" si="56"/>
        <v>0.64</v>
      </c>
      <c r="U282" s="168">
        <f t="shared" si="56"/>
        <v>0.64</v>
      </c>
      <c r="V282" s="168">
        <f t="shared" si="56"/>
        <v>0.64</v>
      </c>
      <c r="W282" s="168">
        <f t="shared" si="56"/>
        <v>0.64</v>
      </c>
      <c r="X282" s="168">
        <f t="shared" si="56"/>
        <v>0.64</v>
      </c>
      <c r="Y282" s="168">
        <f t="shared" si="56"/>
        <v>0.64</v>
      </c>
      <c r="Z282" s="168">
        <f t="shared" si="56"/>
        <v>0.64</v>
      </c>
      <c r="AA282" s="168">
        <f t="shared" si="56"/>
        <v>0.64</v>
      </c>
      <c r="AB282" s="168">
        <f t="shared" si="56"/>
        <v>0.64</v>
      </c>
      <c r="AC282" s="168">
        <f t="shared" si="56"/>
        <v>0.64</v>
      </c>
      <c r="AD282" s="168">
        <f t="shared" si="56"/>
        <v>0.64</v>
      </c>
      <c r="AE282" s="168">
        <f t="shared" si="56"/>
        <v>0.64</v>
      </c>
      <c r="AF282" s="168">
        <f>B251</f>
        <v>0.64</v>
      </c>
      <c r="AG282" s="43"/>
      <c r="AH282" s="43"/>
    </row>
    <row r="283" spans="1:34" x14ac:dyDescent="0.25">
      <c r="A283" s="169" t="e">
        <f>#REF!</f>
        <v>#REF!</v>
      </c>
      <c r="B283" s="169" t="e">
        <f>IF(#REF!&lt;100,"",#REF!-520)</f>
        <v>#REF!</v>
      </c>
      <c r="C283" s="169" t="e">
        <f>IF(#REF!&lt;100,"",#REF!-520)</f>
        <v>#REF!</v>
      </c>
      <c r="D283" s="169" t="e">
        <f>IF(#REF!&lt;100,"",#REF!-520)</f>
        <v>#REF!</v>
      </c>
      <c r="E283" s="169" t="e">
        <f>IF(#REF!&lt;100,"",#REF!-520)</f>
        <v>#REF!</v>
      </c>
      <c r="F283" s="169" t="e">
        <f>IF(#REF!&lt;100,"",#REF!-520)</f>
        <v>#REF!</v>
      </c>
      <c r="G283" s="169" t="e">
        <f>IF(#REF!&lt;100,"",#REF!-520)</f>
        <v>#REF!</v>
      </c>
      <c r="H283" s="169" t="e">
        <f>IF(#REF!&lt;100,"",#REF!-520)</f>
        <v>#REF!</v>
      </c>
      <c r="I283" s="169" t="e">
        <f>IF(#REF!&lt;100,"",#REF!-520)</f>
        <v>#REF!</v>
      </c>
      <c r="J283" s="169" t="e">
        <f>IF(#REF!&lt;100,"",#REF!-520)</f>
        <v>#REF!</v>
      </c>
      <c r="K283" s="169" t="e">
        <f>IF(#REF!&lt;100,"",#REF!-520)</f>
        <v>#REF!</v>
      </c>
      <c r="L283" s="169" t="e">
        <f>IF(#REF!&lt;100,"",#REF!-520)</f>
        <v>#REF!</v>
      </c>
      <c r="M283" s="169" t="e">
        <f>IF(#REF!&lt;100,"",#REF!-520)</f>
        <v>#REF!</v>
      </c>
      <c r="N283" s="169" t="e">
        <f>IF(#REF!&lt;100,"",#REF!-520)</f>
        <v>#REF!</v>
      </c>
      <c r="O283" s="169" t="e">
        <f>IF(#REF!&lt;100,"",#REF!-520)</f>
        <v>#REF!</v>
      </c>
      <c r="P283" s="169" t="e">
        <f>IF(#REF!&lt;100,"",#REF!-520)</f>
        <v>#REF!</v>
      </c>
      <c r="Q283" s="169" t="e">
        <f>IF(#REF!&lt;100,"",#REF!-520)</f>
        <v>#REF!</v>
      </c>
      <c r="R283" s="169" t="e">
        <f>IF(#REF!&lt;100,"",#REF!-520)</f>
        <v>#REF!</v>
      </c>
      <c r="S283" s="169" t="e">
        <f>IF(#REF!&lt;100,"",#REF!-520)</f>
        <v>#REF!</v>
      </c>
      <c r="T283" s="169" t="e">
        <f>IF(#REF!&lt;100,"",#REF!-520)</f>
        <v>#REF!</v>
      </c>
      <c r="U283" s="169" t="e">
        <f>IF(#REF!&lt;100,"",#REF!-520)</f>
        <v>#REF!</v>
      </c>
      <c r="V283" s="169" t="e">
        <f>IF(#REF!&lt;100,"",#REF!-520)</f>
        <v>#REF!</v>
      </c>
      <c r="W283" s="169" t="e">
        <f>IF(#REF!&lt;100,"",#REF!-520)</f>
        <v>#REF!</v>
      </c>
      <c r="X283" s="169" t="e">
        <f>IF(#REF!&lt;100,"",#REF!-520)</f>
        <v>#REF!</v>
      </c>
      <c r="Y283" s="169" t="e">
        <f>IF(#REF!&lt;100,"",#REF!-520)</f>
        <v>#REF!</v>
      </c>
      <c r="Z283" s="169" t="e">
        <f>IF(#REF!&lt;100,"",#REF!-520)</f>
        <v>#REF!</v>
      </c>
      <c r="AA283" s="169" t="e">
        <f>IF(#REF!&lt;100,"",#REF!-520)</f>
        <v>#REF!</v>
      </c>
      <c r="AB283" s="169" t="e">
        <f>IF(#REF!&lt;100,"",#REF!-520)</f>
        <v>#REF!</v>
      </c>
      <c r="AC283" s="169" t="e">
        <f>IF(#REF!&lt;100,"",#REF!-520)</f>
        <v>#REF!</v>
      </c>
      <c r="AD283" s="169" t="e">
        <f>IF(#REF!&lt;100,"",#REF!-520)</f>
        <v>#REF!</v>
      </c>
      <c r="AE283" s="169" t="e">
        <f>IF(#REF!&lt;100,"",#REF!-520)</f>
        <v>#REF!</v>
      </c>
      <c r="AF283" s="169" t="e">
        <f>IF(#REF!&lt;100,"",#REF!-520)</f>
        <v>#REF!</v>
      </c>
      <c r="AG283" s="43"/>
      <c r="AH283" s="43"/>
    </row>
    <row r="284" spans="1:34" x14ac:dyDescent="0.25">
      <c r="A284" s="169" t="e">
        <f>#REF!</f>
        <v>#REF!</v>
      </c>
      <c r="B284" s="169" t="e">
        <f>IF(#REF!&lt;100,"",#REF!-620)</f>
        <v>#REF!</v>
      </c>
      <c r="C284" s="169" t="e">
        <f>IF(#REF!&lt;100,"",#REF!-620)</f>
        <v>#REF!</v>
      </c>
      <c r="D284" s="169" t="e">
        <f>IF(#REF!&lt;100,"",#REF!-620)</f>
        <v>#REF!</v>
      </c>
      <c r="E284" s="169" t="e">
        <f>IF(#REF!&lt;100,"",#REF!-620)</f>
        <v>#REF!</v>
      </c>
      <c r="F284" s="169" t="e">
        <f>IF(#REF!&lt;100,"",#REF!-620)</f>
        <v>#REF!</v>
      </c>
      <c r="G284" s="169" t="e">
        <f>IF(#REF!&lt;100,"",#REF!-620)</f>
        <v>#REF!</v>
      </c>
      <c r="H284" s="169" t="e">
        <f>IF(#REF!&lt;100,"",#REF!-620)</f>
        <v>#REF!</v>
      </c>
      <c r="I284" s="169" t="e">
        <f>IF(#REF!&lt;100,"",#REF!-620)</f>
        <v>#REF!</v>
      </c>
      <c r="J284" s="169" t="e">
        <f>IF(#REF!&lt;100,"",#REF!-620)</f>
        <v>#REF!</v>
      </c>
      <c r="K284" s="169" t="e">
        <f>IF(#REF!&lt;100,"",#REF!-620)</f>
        <v>#REF!</v>
      </c>
      <c r="L284" s="169" t="e">
        <f>IF(#REF!&lt;100,"",#REF!-620)</f>
        <v>#REF!</v>
      </c>
      <c r="M284" s="169" t="e">
        <f>IF(#REF!&lt;100,"",#REF!-620)</f>
        <v>#REF!</v>
      </c>
      <c r="N284" s="169" t="e">
        <f>IF(#REF!&lt;100,"",#REF!-620)</f>
        <v>#REF!</v>
      </c>
      <c r="O284" s="169" t="e">
        <f>IF(#REF!&lt;100,"",#REF!-620)</f>
        <v>#REF!</v>
      </c>
      <c r="P284" s="169" t="e">
        <f>IF(#REF!&lt;100,"",#REF!-620)</f>
        <v>#REF!</v>
      </c>
      <c r="Q284" s="169" t="e">
        <f>IF(#REF!&lt;100,"",#REF!-620)</f>
        <v>#REF!</v>
      </c>
      <c r="R284" s="169" t="e">
        <f>IF(#REF!&lt;100,"",#REF!-620)</f>
        <v>#REF!</v>
      </c>
      <c r="S284" s="169" t="e">
        <f>IF(#REF!&lt;100,"",#REF!-620)</f>
        <v>#REF!</v>
      </c>
      <c r="T284" s="169" t="e">
        <f>IF(#REF!&lt;100,"",#REF!-620)</f>
        <v>#REF!</v>
      </c>
      <c r="U284" s="169" t="e">
        <f>IF(#REF!&lt;100,"",#REF!-620)</f>
        <v>#REF!</v>
      </c>
      <c r="V284" s="169" t="e">
        <f>IF(#REF!&lt;100,"",#REF!-620)</f>
        <v>#REF!</v>
      </c>
      <c r="W284" s="169" t="e">
        <f>IF(#REF!&lt;100,"",#REF!-620)</f>
        <v>#REF!</v>
      </c>
      <c r="X284" s="169" t="e">
        <f>IF(#REF!&lt;100,"",#REF!-620)</f>
        <v>#REF!</v>
      </c>
      <c r="Y284" s="169" t="e">
        <f>IF(#REF!&lt;100,"",#REF!-620)</f>
        <v>#REF!</v>
      </c>
      <c r="Z284" s="169" t="e">
        <f>IF(#REF!&lt;100,"",#REF!-620)</f>
        <v>#REF!</v>
      </c>
      <c r="AA284" s="169" t="e">
        <f>IF(#REF!&lt;100,"",#REF!-620)</f>
        <v>#REF!</v>
      </c>
      <c r="AB284" s="169" t="e">
        <f>IF(#REF!&lt;100,"",#REF!-620)</f>
        <v>#REF!</v>
      </c>
      <c r="AC284" s="169" t="e">
        <f>IF(#REF!&lt;100,"",#REF!-620)</f>
        <v>#REF!</v>
      </c>
      <c r="AD284" s="169" t="e">
        <f>IF(#REF!&lt;100,"",#REF!-620)</f>
        <v>#REF!</v>
      </c>
      <c r="AE284" s="169" t="e">
        <f>IF(#REF!&lt;100,"",#REF!-620)</f>
        <v>#REF!</v>
      </c>
      <c r="AF284" s="169" t="e">
        <f>IF(#REF!&lt;100,"",#REF!-620)</f>
        <v>#REF!</v>
      </c>
      <c r="AG284" s="43"/>
      <c r="AH284" s="43"/>
    </row>
    <row r="285" spans="1:34" x14ac:dyDescent="0.25">
      <c r="A285" s="169" t="e">
        <f>#REF!</f>
        <v>#REF!</v>
      </c>
      <c r="B285" s="169" t="e">
        <f>IF(#REF!&lt;100,"",#REF!-330)</f>
        <v>#REF!</v>
      </c>
      <c r="C285" s="169" t="e">
        <f>IF(#REF!&lt;100,"",#REF!-330)</f>
        <v>#REF!</v>
      </c>
      <c r="D285" s="169" t="e">
        <f>IF(#REF!&lt;100,"",#REF!-330)</f>
        <v>#REF!</v>
      </c>
      <c r="E285" s="169" t="e">
        <f>IF(#REF!&lt;100,"",#REF!-330)</f>
        <v>#REF!</v>
      </c>
      <c r="F285" s="169" t="e">
        <f>IF(#REF!&lt;100,"",#REF!-330)</f>
        <v>#REF!</v>
      </c>
      <c r="G285" s="169" t="e">
        <f>IF(#REF!&lt;100,"",#REF!-330)</f>
        <v>#REF!</v>
      </c>
      <c r="H285" s="169" t="e">
        <f>IF(#REF!&lt;100,"",#REF!-330)</f>
        <v>#REF!</v>
      </c>
      <c r="I285" s="169" t="e">
        <f>IF(#REF!&lt;100,"",#REF!-330)</f>
        <v>#REF!</v>
      </c>
      <c r="J285" s="169" t="e">
        <f>IF(#REF!&lt;100,"",#REF!-330)</f>
        <v>#REF!</v>
      </c>
      <c r="K285" s="169" t="e">
        <f>IF(#REF!&lt;100,"",#REF!-330)</f>
        <v>#REF!</v>
      </c>
      <c r="L285" s="169" t="e">
        <f>IF(#REF!&lt;100,"",#REF!-330)</f>
        <v>#REF!</v>
      </c>
      <c r="M285" s="169" t="e">
        <f>IF(#REF!&lt;100,"",#REF!-330)</f>
        <v>#REF!</v>
      </c>
      <c r="N285" s="169" t="e">
        <f>IF(#REF!&lt;100,"",#REF!-330)</f>
        <v>#REF!</v>
      </c>
      <c r="O285" s="169" t="e">
        <f>IF(#REF!&lt;100,"",#REF!-330)</f>
        <v>#REF!</v>
      </c>
      <c r="P285" s="169" t="e">
        <f>IF(#REF!&lt;100,"",#REF!-330)</f>
        <v>#REF!</v>
      </c>
      <c r="Q285" s="169" t="e">
        <f>IF(#REF!&lt;100,"",#REF!-330)</f>
        <v>#REF!</v>
      </c>
      <c r="R285" s="169" t="e">
        <f>IF(#REF!&lt;100,"",#REF!-330)</f>
        <v>#REF!</v>
      </c>
      <c r="S285" s="169" t="e">
        <f>IF(#REF!&lt;100,"",#REF!-330)</f>
        <v>#REF!</v>
      </c>
      <c r="T285" s="169" t="e">
        <f>IF(#REF!&lt;100,"",#REF!-330)</f>
        <v>#REF!</v>
      </c>
      <c r="U285" s="169" t="e">
        <f>IF(#REF!&lt;100,"",#REF!-330)</f>
        <v>#REF!</v>
      </c>
      <c r="V285" s="169" t="e">
        <f>IF(#REF!&lt;100,"",#REF!-330)</f>
        <v>#REF!</v>
      </c>
      <c r="W285" s="169" t="e">
        <f>IF(#REF!&lt;100,"",#REF!-330)</f>
        <v>#REF!</v>
      </c>
      <c r="X285" s="169" t="e">
        <f>IF(#REF!&lt;100,"",#REF!-330)</f>
        <v>#REF!</v>
      </c>
      <c r="Y285" s="169" t="e">
        <f>IF(#REF!&lt;100,"",#REF!-330)</f>
        <v>#REF!</v>
      </c>
      <c r="Z285" s="169" t="e">
        <f>IF(#REF!&lt;100,"",#REF!-330)</f>
        <v>#REF!</v>
      </c>
      <c r="AA285" s="169" t="e">
        <f>IF(#REF!&lt;100,"",#REF!-330)</f>
        <v>#REF!</v>
      </c>
      <c r="AB285" s="169" t="e">
        <f>IF(#REF!&lt;100,"",#REF!-330)</f>
        <v>#REF!</v>
      </c>
      <c r="AC285" s="169" t="e">
        <f>IF(#REF!&lt;100,"",#REF!-330)</f>
        <v>#REF!</v>
      </c>
      <c r="AD285" s="169" t="e">
        <f>IF(#REF!&lt;100,"",#REF!-330)</f>
        <v>#REF!</v>
      </c>
      <c r="AE285" s="169" t="e">
        <f>IF(#REF!&lt;100,"",#REF!-330)</f>
        <v>#REF!</v>
      </c>
      <c r="AF285" s="169" t="e">
        <f>IF(#REF!&lt;100,"",#REF!-330)</f>
        <v>#REF!</v>
      </c>
      <c r="AG285" s="43"/>
      <c r="AH285" s="43"/>
    </row>
    <row r="286" spans="1:34" x14ac:dyDescent="0.25">
      <c r="A286" s="169" t="e">
        <f>#REF!</f>
        <v>#REF!</v>
      </c>
      <c r="B286" s="169" t="e">
        <f>IF(#REF!&lt;100,"",#REF!-1500)</f>
        <v>#REF!</v>
      </c>
      <c r="C286" s="169" t="e">
        <f>IF(#REF!&lt;100,"",#REF!-1500)</f>
        <v>#REF!</v>
      </c>
      <c r="D286" s="169" t="e">
        <f>IF(#REF!&lt;100,"",#REF!-1500)</f>
        <v>#REF!</v>
      </c>
      <c r="E286" s="169" t="e">
        <f>IF(#REF!&lt;100,"",#REF!-1500)</f>
        <v>#REF!</v>
      </c>
      <c r="F286" s="169" t="e">
        <f>IF(#REF!&lt;100,"",#REF!-1500)</f>
        <v>#REF!</v>
      </c>
      <c r="G286" s="169" t="e">
        <f>IF(#REF!&lt;100,"",#REF!-1500)</f>
        <v>#REF!</v>
      </c>
      <c r="H286" s="169" t="e">
        <f>IF(#REF!&lt;100,"",#REF!-1500)</f>
        <v>#REF!</v>
      </c>
      <c r="I286" s="169" t="e">
        <f>IF(#REF!&lt;100,"",#REF!-1500)</f>
        <v>#REF!</v>
      </c>
      <c r="J286" s="169" t="e">
        <f>IF(#REF!&lt;100,"",#REF!-1500)</f>
        <v>#REF!</v>
      </c>
      <c r="K286" s="169" t="e">
        <f>IF(#REF!&lt;100,"",#REF!-1500)</f>
        <v>#REF!</v>
      </c>
      <c r="L286" s="169" t="e">
        <f>IF(#REF!&lt;100,"",#REF!-1500)</f>
        <v>#REF!</v>
      </c>
      <c r="M286" s="169" t="e">
        <f>IF(#REF!&lt;100,"",#REF!-1500)</f>
        <v>#REF!</v>
      </c>
      <c r="N286" s="169" t="e">
        <f>IF(#REF!&lt;100,"",#REF!-1500)</f>
        <v>#REF!</v>
      </c>
      <c r="O286" s="169" t="e">
        <f>IF(#REF!&lt;100,"",#REF!-1500)</f>
        <v>#REF!</v>
      </c>
      <c r="P286" s="169" t="e">
        <f>IF(#REF!&lt;100,"",#REF!-1500)</f>
        <v>#REF!</v>
      </c>
      <c r="Q286" s="169" t="e">
        <f>IF(#REF!&lt;100,"",#REF!-1500)</f>
        <v>#REF!</v>
      </c>
      <c r="R286" s="169" t="e">
        <f>IF(#REF!&lt;100,"",#REF!-1500)</f>
        <v>#REF!</v>
      </c>
      <c r="S286" s="169" t="e">
        <f>IF(#REF!&lt;100,"",#REF!-1500)</f>
        <v>#REF!</v>
      </c>
      <c r="T286" s="169" t="e">
        <f>IF(#REF!&lt;100,"",#REF!-1500)</f>
        <v>#REF!</v>
      </c>
      <c r="U286" s="169" t="e">
        <f>IF(#REF!&lt;100,"",#REF!-1500)</f>
        <v>#REF!</v>
      </c>
      <c r="V286" s="169" t="e">
        <f>IF(#REF!&lt;100,"",#REF!-1500)</f>
        <v>#REF!</v>
      </c>
      <c r="W286" s="169" t="e">
        <f>IF(#REF!&lt;100,"",#REF!-1500)</f>
        <v>#REF!</v>
      </c>
      <c r="X286" s="169" t="e">
        <f>IF(#REF!&lt;100,"",#REF!-1500)</f>
        <v>#REF!</v>
      </c>
      <c r="Y286" s="169" t="e">
        <f>IF(#REF!&lt;100,"",#REF!-1500)</f>
        <v>#REF!</v>
      </c>
      <c r="Z286" s="169" t="e">
        <f>IF(#REF!&lt;100,"",#REF!-1500)</f>
        <v>#REF!</v>
      </c>
      <c r="AA286" s="169" t="e">
        <f>IF(#REF!&lt;100,"",#REF!-1500)</f>
        <v>#REF!</v>
      </c>
      <c r="AB286" s="169" t="e">
        <f>IF(#REF!&lt;100,"",#REF!-1500)</f>
        <v>#REF!</v>
      </c>
      <c r="AC286" s="169" t="e">
        <f>IF(#REF!&lt;100,"",#REF!-1500)</f>
        <v>#REF!</v>
      </c>
      <c r="AD286" s="169" t="e">
        <f>IF(#REF!&lt;100,"",#REF!-1500)</f>
        <v>#REF!</v>
      </c>
      <c r="AE286" s="169" t="e">
        <f>IF(#REF!&lt;100,"",#REF!-1500)</f>
        <v>#REF!</v>
      </c>
      <c r="AF286" s="169" t="e">
        <f>IF(#REF!&lt;100,"",#REF!-1500)</f>
        <v>#REF!</v>
      </c>
      <c r="AG286" s="43"/>
      <c r="AH286" s="43"/>
    </row>
    <row r="287" spans="1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1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2:34" x14ac:dyDescent="0.25"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2:34" x14ac:dyDescent="0.25"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2:34" x14ac:dyDescent="0.25"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2:34" x14ac:dyDescent="0.25"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2:34" x14ac:dyDescent="0.25"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2626" priority="54">
      <formula>$AH11=0</formula>
    </cfRule>
  </conditionalFormatting>
  <conditionalFormatting sqref="A132:A253">
    <cfRule type="expression" dxfId="2625" priority="5">
      <formula>$AH132=0</formula>
    </cfRule>
  </conditionalFormatting>
  <conditionalFormatting sqref="B8 M8 S8 AB8">
    <cfRule type="expression" dxfId="2624" priority="115">
      <formula>AND(C$9&gt;=8/24,C$9&lt;14/24)</formula>
    </cfRule>
    <cfRule type="expression" dxfId="2623" priority="114">
      <formula>AND(C$9&gt;=14/24,C$9&lt;20/24)</formula>
    </cfRule>
    <cfRule type="expression" dxfId="2622" priority="116">
      <formula>C$9&lt;8/24</formula>
    </cfRule>
  </conditionalFormatting>
  <conditionalFormatting sqref="B63:K74 L69:W74">
    <cfRule type="expression" dxfId="2621" priority="22">
      <formula>AND(B$9&gt;=8/24,B$9&lt;14/24)</formula>
    </cfRule>
    <cfRule type="expression" dxfId="2620" priority="21">
      <formula>AND(B$9&gt;=14/24,B$9&lt;20/24)</formula>
    </cfRule>
    <cfRule type="expression" dxfId="2619" priority="20">
      <formula>B$9&gt;=20/24</formula>
    </cfRule>
    <cfRule type="expression" dxfId="2618" priority="23">
      <formula>B$9&lt;8/24</formula>
    </cfRule>
  </conditionalFormatting>
  <conditionalFormatting sqref="B11:W54">
    <cfRule type="expression" dxfId="2617" priority="14">
      <formula>B11&gt;$AG11</formula>
    </cfRule>
  </conditionalFormatting>
  <conditionalFormatting sqref="B53:W54">
    <cfRule type="expression" dxfId="2616" priority="13">
      <formula>B$9&lt;8/24</formula>
    </cfRule>
  </conditionalFormatting>
  <conditionalFormatting sqref="B55:W55">
    <cfRule type="expression" dxfId="2615" priority="34">
      <formula>B55&gt;$AG55</formula>
    </cfRule>
  </conditionalFormatting>
  <conditionalFormatting sqref="B9:AF52">
    <cfRule type="expression" dxfId="2614" priority="25">
      <formula>B$9&gt;=20/24</formula>
    </cfRule>
    <cfRule type="expression" dxfId="2613" priority="26">
      <formula>AND(B$9&gt;=14/24,B$9&lt;20/24)</formula>
    </cfRule>
    <cfRule type="expression" dxfId="2612" priority="27">
      <formula>AND(B$9&gt;=8/24,B$9&lt;14/24)</formula>
    </cfRule>
    <cfRule type="expression" dxfId="2611" priority="28">
      <formula>B$9&lt;8/24</formula>
    </cfRule>
  </conditionalFormatting>
  <conditionalFormatting sqref="B53:AF54">
    <cfRule type="expression" dxfId="2610" priority="12">
      <formula>AND(B$9&gt;=8/24,B$9&lt;14/24)</formula>
    </cfRule>
    <cfRule type="expression" dxfId="2609" priority="11">
      <formula>AND(B$9&gt;=14/24,B$9&lt;20/24)</formula>
    </cfRule>
    <cfRule type="expression" dxfId="2608" priority="10">
      <formula>B$9&gt;=20/24</formula>
    </cfRule>
  </conditionalFormatting>
  <conditionalFormatting sqref="B55:AF57">
    <cfRule type="expression" dxfId="2607" priority="31">
      <formula>AND(B$9&gt;=14/24,B$9&lt;20/24)</formula>
    </cfRule>
    <cfRule type="expression" dxfId="2606" priority="30">
      <formula>B$9&gt;=20/24</formula>
    </cfRule>
    <cfRule type="expression" dxfId="2605" priority="32">
      <formula>AND(B$9&gt;=8/24,B$9&lt;14/24)</formula>
    </cfRule>
  </conditionalFormatting>
  <conditionalFormatting sqref="B56:AF61">
    <cfRule type="expression" dxfId="2604" priority="29">
      <formula>B56&gt;$AG56</formula>
    </cfRule>
  </conditionalFormatting>
  <conditionalFormatting sqref="B59:AF61">
    <cfRule type="expression" dxfId="2603" priority="43">
      <formula>B$9&lt;8/24</formula>
    </cfRule>
    <cfRule type="expression" dxfId="2602" priority="42">
      <formula>AND(B$9&gt;=8/24,B$9&lt;14/24)</formula>
    </cfRule>
    <cfRule type="expression" dxfId="2601" priority="40">
      <formula>B$9&gt;=20/24</formula>
    </cfRule>
    <cfRule type="expression" dxfId="2600" priority="41">
      <formula>AND(B$9&gt;=14/24,B$9&lt;20/24)</formula>
    </cfRule>
  </conditionalFormatting>
  <conditionalFormatting sqref="B63:AF74">
    <cfRule type="expression" dxfId="2599" priority="19">
      <formula>B63&gt;$AG63</formula>
    </cfRule>
  </conditionalFormatting>
  <conditionalFormatting sqref="B77:AF79">
    <cfRule type="expression" dxfId="2598" priority="46">
      <formula>AND(B$9&gt;=14/24,B$9&lt;20/24)</formula>
    </cfRule>
    <cfRule type="expression" dxfId="2597" priority="45">
      <formula>B$9&gt;=20/24</formula>
    </cfRule>
    <cfRule type="expression" dxfId="2596" priority="44">
      <formula>B77&gt;$AG77</formula>
    </cfRule>
    <cfRule type="expression" dxfId="2595" priority="47">
      <formula>AND(B$9&gt;=8/24,B$9&lt;14/24)</formula>
    </cfRule>
    <cfRule type="expression" dxfId="2594" priority="48">
      <formula>B$9&lt;8/24</formula>
    </cfRule>
  </conditionalFormatting>
  <conditionalFormatting sqref="B81:AF99">
    <cfRule type="expression" dxfId="2593" priority="16">
      <formula>AND(B$9&gt;=14/24,B$9&lt;20/24)</formula>
    </cfRule>
    <cfRule type="expression" dxfId="2592" priority="18">
      <formula>B$9&lt;8/24</formula>
    </cfRule>
    <cfRule type="expression" dxfId="2591" priority="15">
      <formula>B$9&gt;=20/24</formula>
    </cfRule>
    <cfRule type="expression" dxfId="2590" priority="17">
      <formula>AND(B$9&gt;=8/24,B$9&lt;14/24)</formula>
    </cfRule>
  </conditionalFormatting>
  <conditionalFormatting sqref="B101:AF117">
    <cfRule type="expression" dxfId="2589" priority="8">
      <formula>AND(B$9&gt;=8/24,B$9&lt;14/24)</formula>
    </cfRule>
    <cfRule type="expression" dxfId="2588" priority="9">
      <formula>B$9&lt;8/24</formula>
    </cfRule>
    <cfRule type="expression" dxfId="2587" priority="7">
      <formula>AND(B$9&gt;=14/24,B$9&lt;20/24)</formula>
    </cfRule>
    <cfRule type="expression" dxfId="2586" priority="6">
      <formula>B$9&gt;=20/24</formula>
    </cfRule>
  </conditionalFormatting>
  <conditionalFormatting sqref="B119:AF137">
    <cfRule type="expression" dxfId="2585" priority="4">
      <formula>B$9&lt;8/24</formula>
    </cfRule>
    <cfRule type="expression" dxfId="2584" priority="3">
      <formula>AND(B$9&gt;=8/24,B$9&lt;14/24)</formula>
    </cfRule>
    <cfRule type="expression" dxfId="2583" priority="2">
      <formula>AND(B$9&gt;=14/24,B$9&lt;20/24)</formula>
    </cfRule>
    <cfRule type="expression" dxfId="2582" priority="1">
      <formula>B$9&gt;=20/24</formula>
    </cfRule>
  </conditionalFormatting>
  <conditionalFormatting sqref="B244:AF244 B246:B252 D246:AF252 U260:AF260">
    <cfRule type="expression" dxfId="2581" priority="110">
      <formula>B$9&lt;8/24</formula>
    </cfRule>
    <cfRule type="expression" dxfId="2580" priority="109">
      <formula>AND(B$9&gt;=8/24,B$9&lt;14/24)</formula>
    </cfRule>
    <cfRule type="expression" dxfId="2579" priority="108">
      <formula>AND(B$9&gt;=14/24,B$9&lt;20/24)</formula>
    </cfRule>
    <cfRule type="expression" dxfId="2578" priority="107">
      <formula>B$9&gt;=20/24</formula>
    </cfRule>
  </conditionalFormatting>
  <conditionalFormatting sqref="B62:AG62">
    <cfRule type="expression" dxfId="2577" priority="50">
      <formula>B$9&gt;=20/24</formula>
    </cfRule>
    <cfRule type="expression" dxfId="2576" priority="51">
      <formula>AND(B$9&gt;=14/24,B$9&lt;20/24)</formula>
    </cfRule>
    <cfRule type="expression" dxfId="2575" priority="52">
      <formula>AND(B$9&gt;=8/24,B$9&lt;14/24)</formula>
    </cfRule>
    <cfRule type="expression" dxfId="2574" priority="53">
      <formula>B$9&lt;8/24</formula>
    </cfRule>
    <cfRule type="expression" dxfId="2573" priority="49">
      <formula>B62&gt;$AG62</formula>
    </cfRule>
  </conditionalFormatting>
  <conditionalFormatting sqref="B75:AG76 B80:AG80">
    <cfRule type="expression" dxfId="2572" priority="35">
      <formula>B75&gt;$AG75</formula>
    </cfRule>
  </conditionalFormatting>
  <conditionalFormatting sqref="B80:AG80">
    <cfRule type="expression" dxfId="2571" priority="38">
      <formula>AND(B$9&gt;=8/24,B$9&lt;14/24)</formula>
    </cfRule>
    <cfRule type="expression" dxfId="2570" priority="39">
      <formula>B$9&lt;8/24</formula>
    </cfRule>
    <cfRule type="expression" dxfId="2569" priority="36">
      <formula>B$9&gt;=20/24</formula>
    </cfRule>
    <cfRule type="expression" dxfId="2568" priority="37">
      <formula>AND(B$9&gt;=14/24,B$9&lt;20/24)</formula>
    </cfRule>
  </conditionalFormatting>
  <conditionalFormatting sqref="G63:L65">
    <cfRule type="expression" dxfId="2567" priority="88">
      <formula>G$9&gt;=20/24</formula>
    </cfRule>
    <cfRule type="expression" dxfId="2566" priority="91">
      <formula>G$9&lt;8/24</formula>
    </cfRule>
    <cfRule type="expression" dxfId="2565" priority="90">
      <formula>AND(G$9&gt;=8/24,G$9&lt;14/24)</formula>
    </cfRule>
    <cfRule type="expression" dxfId="2564" priority="89">
      <formula>AND(G$9&gt;=14/24,G$9&lt;20/24)</formula>
    </cfRule>
  </conditionalFormatting>
  <conditionalFormatting sqref="G68:W68">
    <cfRule type="expression" dxfId="2563" priority="68">
      <formula>G$9&lt;8/24</formula>
    </cfRule>
    <cfRule type="expression" dxfId="2562" priority="65">
      <formula>G$9&gt;=20/24</formula>
    </cfRule>
    <cfRule type="expression" dxfId="2561" priority="66">
      <formula>AND(G$9&gt;=14/24,G$9&lt;20/24)</formula>
    </cfRule>
    <cfRule type="expression" dxfId="2560" priority="67">
      <formula>AND(G$9&gt;=8/24,G$9&lt;14/24)</formula>
    </cfRule>
  </conditionalFormatting>
  <conditionalFormatting sqref="G69:AF74">
    <cfRule type="expression" dxfId="2559" priority="55">
      <formula>G$9&gt;=20/24</formula>
    </cfRule>
    <cfRule type="expression" dxfId="2558" priority="56">
      <formula>AND(G$9&gt;=14/24,G$9&lt;20/24)</formula>
    </cfRule>
    <cfRule type="expression" dxfId="2557" priority="57">
      <formula>AND(G$9&gt;=8/24,G$9&lt;14/24)</formula>
    </cfRule>
    <cfRule type="expression" dxfId="2556" priority="58">
      <formula>G$9&lt;8/24</formula>
    </cfRule>
  </conditionalFormatting>
  <conditionalFormatting sqref="M63:R67 S67:W67">
    <cfRule type="expression" dxfId="2555" priority="93">
      <formula>AND(M$9&gt;=14/24,M$9&lt;20/24)</formula>
    </cfRule>
    <cfRule type="expression" dxfId="2554" priority="94">
      <formula>AND(M$9&gt;=8/24,M$9&lt;14/24)</formula>
    </cfRule>
    <cfRule type="expression" dxfId="2553" priority="95">
      <formula>M$9&lt;8/24</formula>
    </cfRule>
  </conditionalFormatting>
  <conditionalFormatting sqref="M55:W56 B55:L57">
    <cfRule type="expression" dxfId="2552" priority="33">
      <formula>B$9&lt;8/24</formula>
    </cfRule>
  </conditionalFormatting>
  <conditionalFormatting sqref="O3:P3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2551" priority="113">
      <formula>C$9&gt;=20/24</formula>
    </cfRule>
  </conditionalFormatting>
  <conditionalFormatting sqref="S8">
    <cfRule type="expression" dxfId="2550" priority="101">
      <formula>AND(U$9&gt;=14/24,U$9&lt;20/24)</formula>
    </cfRule>
    <cfRule type="expression" dxfId="2549" priority="103">
      <formula>U$9&lt;8/24</formula>
    </cfRule>
    <cfRule type="expression" dxfId="2548" priority="102">
      <formula>AND(U$9&gt;=8/24,U$9&lt;14/24)</formula>
    </cfRule>
    <cfRule type="expression" dxfId="2547" priority="100">
      <formula>U$9&gt;=20/24</formula>
    </cfRule>
  </conditionalFormatting>
  <conditionalFormatting sqref="S67:W67 M63:R67">
    <cfRule type="expression" dxfId="2546" priority="92">
      <formula>M$9&gt;=20/24</formula>
    </cfRule>
  </conditionalFormatting>
  <conditionalFormatting sqref="S63:AF68">
    <cfRule type="expression" dxfId="2545" priority="59">
      <formula>S$9&gt;=20/24</formula>
    </cfRule>
    <cfRule type="expression" dxfId="2544" priority="60">
      <formula>AND(S$9&gt;=14/24,S$9&lt;20/24)</formula>
    </cfRule>
    <cfRule type="expression" dxfId="2543" priority="62">
      <formula>S$9&lt;8/24</formula>
    </cfRule>
    <cfRule type="expression" dxfId="2542" priority="61">
      <formula>AND(S$9&gt;=8/24,S$9&lt;14/24)</formula>
    </cfRule>
  </conditionalFormatting>
  <conditionalFormatting sqref="T260">
    <cfRule type="expression" dxfId="2541" priority="126">
      <formula>AND(AX$9&gt;=14/24,AX$9&lt;20/24)</formula>
    </cfRule>
    <cfRule type="expression" dxfId="2540" priority="125">
      <formula>AX$9&gt;=20/24</formula>
    </cfRule>
    <cfRule type="expression" dxfId="2539" priority="127">
      <formula>AND(AX$9&gt;=8/24,AX$9&lt;14/24)</formula>
    </cfRule>
    <cfRule type="expression" dxfId="2538" priority="128">
      <formula>AX$9&lt;8/24</formula>
    </cfRule>
  </conditionalFormatting>
  <conditionalFormatting sqref="V3 AB3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X11:AF52">
    <cfRule type="expression" dxfId="2537" priority="24">
      <formula>X11&gt;$AG11</formula>
    </cfRule>
  </conditionalFormatting>
  <conditionalFormatting sqref="X53:AF55">
    <cfRule type="expression" dxfId="2536" priority="64">
      <formula>X53&gt;$AG53</formula>
    </cfRule>
  </conditionalFormatting>
  <conditionalFormatting sqref="X53:AF56 B56:W56 M57:AF57">
    <cfRule type="expression" dxfId="2535" priority="63">
      <formula>B$9&lt;8/24</formula>
    </cfRule>
  </conditionalFormatting>
  <conditionalFormatting sqref="AB8">
    <cfRule type="expression" dxfId="2534" priority="98">
      <formula>AND(AD$9&gt;=8/24,AD$9&lt;14/24)</formula>
    </cfRule>
    <cfRule type="expression" dxfId="2533" priority="99">
      <formula>AD$9&lt;8/24</formula>
    </cfRule>
    <cfRule type="expression" dxfId="2532" priority="96">
      <formula>AD$9&gt;=20/24</formula>
    </cfRule>
    <cfRule type="expression" dxfId="2531" priority="97">
      <formula>AND(AD$9&gt;=14/24,AD$9&lt;20/24)</formula>
    </cfRule>
  </conditionalFormatting>
  <conditionalFormatting sqref="AG58">
    <cfRule type="expression" dxfId="2530" priority="83">
      <formula>AG58&gt;$AG58</formula>
    </cfRule>
  </conditionalFormatting>
  <conditionalFormatting sqref="AG97">
    <cfRule type="expression" dxfId="2529" priority="87">
      <formula>AG$9&lt;8/24</formula>
    </cfRule>
    <cfRule type="expression" dxfId="2528" priority="84">
      <formula>AG$9&gt;=20/24</formula>
    </cfRule>
    <cfRule type="expression" dxfId="2527" priority="85">
      <formula>AND(AG$9&gt;=14/24,AG$9&lt;20/24)</formula>
    </cfRule>
    <cfRule type="expression" dxfId="2526" priority="86">
      <formula>AND(AG$9&gt;=8/24,AG$9&lt;14/24)</formula>
    </cfRule>
  </conditionalFormatting>
  <conditionalFormatting sqref="AG260">
    <cfRule type="expression" dxfId="2525" priority="118">
      <formula>AND(B$9&gt;=14/24,B$9&lt;20/24)</formula>
    </cfRule>
    <cfRule type="expression" dxfId="2524" priority="119">
      <formula>AND(B$9&gt;=8/24,B$9&lt;14/24)</formula>
    </cfRule>
    <cfRule type="expression" dxfId="2523" priority="120">
      <formula>B$9&lt;8/24</formula>
    </cfRule>
    <cfRule type="expression" dxfId="2522" priority="117">
      <formula>B$9&gt;=20/24</formula>
    </cfRule>
  </conditionalFormatting>
  <conditionalFormatting sqref="AH260:AX260">
    <cfRule type="expression" dxfId="2521" priority="121">
      <formula>AG$9&gt;=20/24</formula>
    </cfRule>
    <cfRule type="expression" dxfId="2520" priority="122">
      <formula>AND(AG$9&gt;=14/24,AG$9&lt;20/24)</formula>
    </cfRule>
    <cfRule type="expression" dxfId="2519" priority="123">
      <formula>AND(AG$9&gt;=8/24,AG$9&lt;14/24)</formula>
    </cfRule>
    <cfRule type="expression" dxfId="2518" priority="124">
      <formula>AG$9&lt;8/24</formula>
    </cfRule>
  </conditionalFormatting>
  <conditionalFormatting sqref="AL4:AL6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19:AL20">
    <cfRule type="iconSet" priority="71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8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70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8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82">
      <iconSet iconSet="3TrafficLights2" reverse="1">
        <cfvo type="percent" val="0"/>
        <cfvo type="num" val="1"/>
        <cfvo type="num" val="1"/>
      </iconSet>
    </cfRule>
  </conditionalFormatting>
  <conditionalFormatting sqref="AL48 AL45:AL46 AL21:AL24 AL7:AL18 AL26:AL37 AL39:AL43 AL54:AL55">
    <cfRule type="iconSet" priority="129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04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69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2517" priority="130">
      <formula>AJ$9&gt;=20/24</formula>
    </cfRule>
    <cfRule type="expression" dxfId="2516" priority="131">
      <formula>AND(AJ$9&gt;=14/24,AJ$9&lt;20/24)</formula>
    </cfRule>
    <cfRule type="expression" dxfId="2515" priority="132">
      <formula>AND(AJ$9&gt;=8/24,AJ$9&lt;14/24)</formula>
    </cfRule>
    <cfRule type="expression" dxfId="2514" priority="133">
      <formula>AJ$9&lt;8/24</formula>
    </cfRule>
  </conditionalFormatting>
  <conditionalFormatting sqref="AL88:AN88 AL94:AN94">
    <cfRule type="expression" dxfId="2513" priority="79">
      <formula>AL$9&lt;8/24</formula>
    </cfRule>
    <cfRule type="expression" dxfId="2512" priority="78">
      <formula>AND(AL$9&gt;=8/24,AL$9&lt;14/24)</formula>
    </cfRule>
    <cfRule type="expression" dxfId="2511" priority="77">
      <formula>AND(AL$9&gt;=14/24,AL$9&lt;20/24)</formula>
    </cfRule>
    <cfRule type="expression" dxfId="2510" priority="76">
      <formula>AL$9&gt;=20/24</formula>
    </cfRule>
  </conditionalFormatting>
  <conditionalFormatting sqref="AN89:AN92">
    <cfRule type="expression" dxfId="2509" priority="75">
      <formula>AN$9&lt;8/24</formula>
    </cfRule>
    <cfRule type="expression" dxfId="2508" priority="74">
      <formula>AND(AN$9&gt;=8/24,AN$9&lt;14/24)</formula>
    </cfRule>
    <cfRule type="expression" dxfId="2507" priority="73">
      <formula>AND(AN$9&gt;=14/24,AN$9&lt;20/24)</formula>
    </cfRule>
    <cfRule type="expression" dxfId="2506" priority="72">
      <formula>AN$9&gt;=20/24</formula>
    </cfRule>
  </conditionalFormatting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7AE95-5C79-4943-A196-FC426FC45010}">
  <sheetPr codeName="Sheet6"/>
  <dimension ref="A1:CJ293"/>
  <sheetViews>
    <sheetView tabSelected="1" zoomScale="106" workbookViewId="0">
      <pane xSplit="1" ySplit="10" topLeftCell="AY73" activePane="bottomRight" state="frozen"/>
      <selection activeCell="P118" sqref="P118"/>
      <selection pane="topRight" activeCell="P118" sqref="P118"/>
      <selection pane="bottomLeft" activeCell="P118" sqref="P118"/>
      <selection pane="bottomRight" activeCell="BF87" sqref="BF87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57" width="9.140625" style="1"/>
    <col min="58" max="58" width="22.28515625" style="1" bestFit="1" customWidth="1"/>
    <col min="59" max="16384" width="9.140625" style="1"/>
  </cols>
  <sheetData>
    <row r="1" spans="1:88" ht="36" hidden="1" customHeight="1" thickBot="1" x14ac:dyDescent="0.3">
      <c r="A1" s="275" t="s">
        <v>0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  <c r="AD1" s="275"/>
      <c r="AE1" s="275"/>
      <c r="AF1" s="275"/>
      <c r="AG1" s="276" t="s">
        <v>1</v>
      </c>
      <c r="AH1" s="276"/>
      <c r="AI1" s="276"/>
      <c r="AL1" s="2"/>
    </row>
    <row r="2" spans="1:88" ht="20.25" hidden="1" x14ac:dyDescent="0.25">
      <c r="A2" s="3"/>
      <c r="B2" s="277" t="s">
        <v>2</v>
      </c>
      <c r="C2" s="4"/>
      <c r="D2" s="279" t="s">
        <v>3</v>
      </c>
      <c r="E2" s="4"/>
      <c r="F2" s="279" t="s">
        <v>4</v>
      </c>
      <c r="G2" s="4"/>
      <c r="H2" s="279" t="s">
        <v>5</v>
      </c>
      <c r="I2" s="5"/>
      <c r="J2" s="281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78"/>
      <c r="C3" s="16"/>
      <c r="D3" s="280"/>
      <c r="E3" s="16"/>
      <c r="F3" s="280"/>
      <c r="G3" s="16"/>
      <c r="H3" s="280"/>
      <c r="I3" s="17"/>
      <c r="J3" s="281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hidden="1" x14ac:dyDescent="0.25">
      <c r="A4" s="25" t="s">
        <v>11</v>
      </c>
      <c r="B4" s="270" t="str">
        <f ca="1">"2080/"&amp;"09/"&amp;INT(MID(CELL("filename",D6),FIND("]",CELL("filename",D6))+1,200))</f>
        <v>2080/09/5</v>
      </c>
      <c r="C4" s="270"/>
      <c r="D4" s="270"/>
      <c r="E4" s="271" t="str">
        <f ca="1">"2080/"&amp;"09/"&amp;INT(MID(CELL("filename",G6),FIND("]",CELL("filename",G6))+1,200))</f>
        <v>2080/09/5</v>
      </c>
      <c r="F4" s="271"/>
      <c r="G4" s="271"/>
      <c r="H4" s="271" t="str">
        <f ca="1">TEXT(E4,"dddd")</f>
        <v>Thursday</v>
      </c>
      <c r="I4" s="271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C92</f>
        <v>421</v>
      </c>
      <c r="C5" s="30">
        <f t="shared" si="0"/>
        <v>407</v>
      </c>
      <c r="D5" s="30">
        <f t="shared" si="0"/>
        <v>403.2</v>
      </c>
      <c r="E5" s="30">
        <f t="shared" si="0"/>
        <v>428</v>
      </c>
      <c r="F5" s="30">
        <f t="shared" si="0"/>
        <v>471.2</v>
      </c>
      <c r="G5" s="30">
        <f t="shared" si="0"/>
        <v>494.2</v>
      </c>
      <c r="H5" s="30">
        <f t="shared" si="0"/>
        <v>484.4</v>
      </c>
      <c r="I5" s="30">
        <f t="shared" si="0"/>
        <v>502.2</v>
      </c>
      <c r="J5" s="30">
        <f t="shared" si="0"/>
        <v>256.8</v>
      </c>
      <c r="K5" s="30">
        <f t="shared" si="0"/>
        <v>225</v>
      </c>
      <c r="L5" s="30">
        <f t="shared" si="0"/>
        <v>177</v>
      </c>
      <c r="M5" s="30">
        <f t="shared" si="0"/>
        <v>124.5</v>
      </c>
      <c r="N5" s="30">
        <f t="shared" si="0"/>
        <v>175.7</v>
      </c>
      <c r="O5" s="30">
        <f t="shared" si="0"/>
        <v>212.5</v>
      </c>
      <c r="P5" s="30">
        <f t="shared" si="0"/>
        <v>514.5</v>
      </c>
      <c r="Q5" s="30">
        <f t="shared" si="0"/>
        <v>553.4</v>
      </c>
      <c r="R5" s="30">
        <f t="shared" si="0"/>
        <v>616.4</v>
      </c>
      <c r="S5" s="30">
        <f t="shared" si="0"/>
        <v>553.29999999999995</v>
      </c>
      <c r="T5" s="30">
        <f t="shared" si="0"/>
        <v>564.1</v>
      </c>
      <c r="U5" s="30">
        <f t="shared" si="0"/>
        <v>224</v>
      </c>
      <c r="V5" s="30">
        <f t="shared" si="0"/>
        <v>285.39999999999998</v>
      </c>
      <c r="W5" s="30">
        <f t="shared" si="0"/>
        <v>247.50000000000003</v>
      </c>
      <c r="X5" s="30">
        <f t="shared" si="0"/>
        <v>264</v>
      </c>
      <c r="Y5" s="30">
        <f t="shared" si="0"/>
        <v>377.7</v>
      </c>
      <c r="Z5" s="30">
        <f t="shared" si="0"/>
        <v>388.8</v>
      </c>
      <c r="AA5" s="30">
        <f t="shared" si="0"/>
        <v>369.7</v>
      </c>
      <c r="AB5" s="30">
        <f t="shared" si="0"/>
        <v>364</v>
      </c>
      <c r="AC5" s="30">
        <f t="shared" si="0"/>
        <v>396</v>
      </c>
      <c r="AD5" s="30">
        <f t="shared" si="0"/>
        <v>485</v>
      </c>
      <c r="AE5" s="30">
        <f t="shared" si="0"/>
        <v>456.5</v>
      </c>
      <c r="AF5" s="30">
        <f>B92</f>
        <v>442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hidden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1772MW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Load=1109</v>
      </c>
      <c r="B7" s="35">
        <f>B100</f>
        <v>1174.7400000000002</v>
      </c>
      <c r="C7" s="35">
        <f t="shared" ref="C7:AF7" si="1">C100</f>
        <v>1133.1399999999999</v>
      </c>
      <c r="D7" s="35">
        <f t="shared" si="1"/>
        <v>1111.3400000000001</v>
      </c>
      <c r="E7" s="35">
        <f t="shared" si="1"/>
        <v>1108.54</v>
      </c>
      <c r="F7" s="35">
        <f t="shared" si="1"/>
        <v>1133.3400000000001</v>
      </c>
      <c r="G7" s="35">
        <f t="shared" si="1"/>
        <v>1186.54</v>
      </c>
      <c r="H7" s="35">
        <f t="shared" si="1"/>
        <v>1239.54</v>
      </c>
      <c r="I7" s="35">
        <f t="shared" si="1"/>
        <v>1318.8400000000001</v>
      </c>
      <c r="J7" s="35">
        <f t="shared" si="1"/>
        <v>1445.8400000000001</v>
      </c>
      <c r="K7" s="35">
        <f t="shared" si="1"/>
        <v>1204.44</v>
      </c>
      <c r="L7" s="35">
        <f t="shared" si="1"/>
        <v>1598.24</v>
      </c>
      <c r="M7" s="35">
        <f t="shared" si="1"/>
        <v>1771.0400000000002</v>
      </c>
      <c r="N7" s="35">
        <f t="shared" si="1"/>
        <v>1733.7400000000002</v>
      </c>
      <c r="O7" s="35">
        <f t="shared" si="1"/>
        <v>1642.8400000000001</v>
      </c>
      <c r="P7" s="35">
        <f t="shared" si="1"/>
        <v>1553.8400000000001</v>
      </c>
      <c r="Q7" s="35">
        <f t="shared" si="1"/>
        <v>1482.8400000000001</v>
      </c>
      <c r="R7" s="35">
        <f t="shared" si="1"/>
        <v>1464.7400000000002</v>
      </c>
      <c r="S7" s="35">
        <f t="shared" si="1"/>
        <v>1484.8400000000001</v>
      </c>
      <c r="T7" s="35">
        <f t="shared" si="1"/>
        <v>1428.54</v>
      </c>
      <c r="U7" s="35">
        <f t="shared" si="1"/>
        <v>1414.94</v>
      </c>
      <c r="V7" s="35">
        <f t="shared" si="1"/>
        <v>1502.94</v>
      </c>
      <c r="W7" s="35">
        <f t="shared" si="1"/>
        <v>1637.54</v>
      </c>
      <c r="X7" s="35">
        <f t="shared" si="1"/>
        <v>1725.2</v>
      </c>
      <c r="Y7" s="35">
        <f t="shared" si="1"/>
        <v>1818.84</v>
      </c>
      <c r="Z7" s="35">
        <f t="shared" si="1"/>
        <v>1770.14</v>
      </c>
      <c r="AA7" s="35">
        <f t="shared" si="1"/>
        <v>1754.44</v>
      </c>
      <c r="AB7" s="35">
        <f t="shared" si="1"/>
        <v>1673.14</v>
      </c>
      <c r="AC7" s="35">
        <f t="shared" si="1"/>
        <v>1667.44</v>
      </c>
      <c r="AD7" s="35">
        <f t="shared" si="1"/>
        <v>1606.44</v>
      </c>
      <c r="AE7" s="35">
        <f t="shared" si="1"/>
        <v>1317.04</v>
      </c>
      <c r="AF7" s="35">
        <f t="shared" si="1"/>
        <v>1217.3400000000001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72" t="s">
        <v>14</v>
      </c>
      <c r="C8" s="273"/>
      <c r="D8" s="273"/>
      <c r="E8" s="273"/>
      <c r="F8" s="273"/>
      <c r="G8" s="273"/>
      <c r="H8" s="273"/>
      <c r="I8" s="273"/>
      <c r="J8" s="273"/>
      <c r="K8" s="273"/>
      <c r="L8" s="274"/>
      <c r="M8" s="265" t="s">
        <v>15</v>
      </c>
      <c r="N8" s="266"/>
      <c r="O8" s="266"/>
      <c r="P8" s="266"/>
      <c r="Q8" s="266"/>
      <c r="R8" s="267"/>
      <c r="S8" s="265" t="s">
        <v>16</v>
      </c>
      <c r="T8" s="266"/>
      <c r="U8" s="266"/>
      <c r="V8" s="266"/>
      <c r="W8" s="266"/>
      <c r="X8" s="266"/>
      <c r="Y8" s="266"/>
      <c r="Z8" s="266"/>
      <c r="AA8" s="267"/>
      <c r="AB8" s="265" t="s">
        <v>17</v>
      </c>
      <c r="AC8" s="266"/>
      <c r="AD8" s="266"/>
      <c r="AE8" s="266"/>
      <c r="AF8" s="267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68" t="s">
        <v>18</v>
      </c>
      <c r="B9" s="264">
        <v>0</v>
      </c>
      <c r="C9" s="264">
        <v>4.1666666666666664E-2</v>
      </c>
      <c r="D9" s="264">
        <v>8.3333333333333301E-2</v>
      </c>
      <c r="E9" s="264">
        <v>0.125</v>
      </c>
      <c r="F9" s="264">
        <v>0.16666666666666699</v>
      </c>
      <c r="G9" s="264">
        <v>0.20833333333333301</v>
      </c>
      <c r="H9" s="264">
        <v>0.22916666666666666</v>
      </c>
      <c r="I9" s="264">
        <v>0.25</v>
      </c>
      <c r="J9" s="264">
        <v>0.27083333333333331</v>
      </c>
      <c r="K9" s="264">
        <v>0.29166666666666669</v>
      </c>
      <c r="L9" s="264">
        <v>0.3125</v>
      </c>
      <c r="M9" s="262">
        <v>0.33333333333333331</v>
      </c>
      <c r="N9" s="262">
        <v>0.375</v>
      </c>
      <c r="O9" s="262">
        <v>0.41666666666666702</v>
      </c>
      <c r="P9" s="262">
        <v>0.45833333333333298</v>
      </c>
      <c r="Q9" s="262">
        <v>0.5</v>
      </c>
      <c r="R9" s="262">
        <v>0.54166666666666696</v>
      </c>
      <c r="S9" s="258">
        <v>0.58333333333333304</v>
      </c>
      <c r="T9" s="258">
        <v>0.625</v>
      </c>
      <c r="U9" s="258">
        <v>0.66666666666666696</v>
      </c>
      <c r="V9" s="258">
        <v>0.70833333333333304</v>
      </c>
      <c r="W9" s="258">
        <v>0.72916666666666663</v>
      </c>
      <c r="X9" s="258">
        <v>0.75</v>
      </c>
      <c r="Y9" s="258">
        <v>0.77083333333333337</v>
      </c>
      <c r="Z9" s="258">
        <v>0.79166666666666663</v>
      </c>
      <c r="AA9" s="258">
        <v>0.8125</v>
      </c>
      <c r="AB9" s="258">
        <v>0.83333333333333337</v>
      </c>
      <c r="AC9" s="258">
        <v>0.85416666666666663</v>
      </c>
      <c r="AD9" s="258">
        <v>0.875</v>
      </c>
      <c r="AE9" s="258">
        <v>0.91666666666666696</v>
      </c>
      <c r="AF9" s="258">
        <v>0.95833333333333304</v>
      </c>
      <c r="AG9" s="260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69"/>
      <c r="B10" s="259"/>
      <c r="C10" s="259"/>
      <c r="D10" s="259"/>
      <c r="E10" s="259"/>
      <c r="F10" s="259"/>
      <c r="G10" s="259"/>
      <c r="H10" s="259"/>
      <c r="I10" s="259"/>
      <c r="J10" s="259"/>
      <c r="K10" s="259"/>
      <c r="L10" s="259"/>
      <c r="M10" s="263"/>
      <c r="N10" s="263"/>
      <c r="O10" s="263"/>
      <c r="P10" s="263"/>
      <c r="Q10" s="263"/>
      <c r="R10" s="263"/>
      <c r="S10" s="259"/>
      <c r="T10" s="259"/>
      <c r="U10" s="259"/>
      <c r="V10" s="259"/>
      <c r="W10" s="259"/>
      <c r="X10" s="259"/>
      <c r="Y10" s="259"/>
      <c r="Z10" s="259"/>
      <c r="AA10" s="259"/>
      <c r="AB10" s="259"/>
      <c r="AC10" s="259"/>
      <c r="AD10" s="259"/>
      <c r="AE10" s="259"/>
      <c r="AF10" s="259"/>
      <c r="AG10" s="261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30.4</v>
      </c>
      <c r="C11" s="45">
        <v>34</v>
      </c>
      <c r="D11" s="45">
        <v>34</v>
      </c>
      <c r="E11" s="45">
        <v>34</v>
      </c>
      <c r="F11" s="45">
        <v>34</v>
      </c>
      <c r="G11" s="45">
        <v>34</v>
      </c>
      <c r="H11" s="45">
        <v>34</v>
      </c>
      <c r="I11" s="45">
        <v>32</v>
      </c>
      <c r="J11" s="45">
        <v>32</v>
      </c>
      <c r="K11" s="45">
        <v>32</v>
      </c>
      <c r="L11" s="45">
        <v>32</v>
      </c>
      <c r="M11" s="45">
        <v>33</v>
      </c>
      <c r="N11" s="45">
        <v>32.9</v>
      </c>
      <c r="O11" s="45">
        <v>32</v>
      </c>
      <c r="P11" s="45">
        <v>28.5</v>
      </c>
      <c r="Q11" s="45">
        <v>31.8</v>
      </c>
      <c r="R11" s="45">
        <v>31.8</v>
      </c>
      <c r="S11" s="45">
        <v>30.1</v>
      </c>
      <c r="T11" s="45">
        <v>30.7</v>
      </c>
      <c r="U11" s="45">
        <v>30.7</v>
      </c>
      <c r="V11" s="45">
        <v>31.3</v>
      </c>
      <c r="W11" s="45">
        <v>31.3</v>
      </c>
      <c r="X11" s="45">
        <v>31</v>
      </c>
      <c r="Y11" s="45">
        <v>31.3</v>
      </c>
      <c r="Z11" s="45">
        <v>31.6</v>
      </c>
      <c r="AA11" s="45">
        <v>31.6</v>
      </c>
      <c r="AB11" s="45">
        <v>31.6</v>
      </c>
      <c r="AC11" s="45">
        <v>31.6</v>
      </c>
      <c r="AD11" s="45">
        <v>31.6</v>
      </c>
      <c r="AE11" s="45">
        <v>31.6</v>
      </c>
      <c r="AF11" s="45">
        <v>31.6</v>
      </c>
      <c r="AG11" s="46">
        <v>86</v>
      </c>
      <c r="AH11" s="47">
        <f t="shared" ref="AH11:AH84" si="2">MAX(B11:AF11)</f>
        <v>34</v>
      </c>
      <c r="AI11" s="48">
        <f t="shared" ref="AI11:AI84" si="3">MIN(B11:AF11)</f>
        <v>28.5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262</v>
      </c>
      <c r="B12" s="45">
        <v>10.8</v>
      </c>
      <c r="C12" s="45">
        <v>10.8</v>
      </c>
      <c r="D12" s="45">
        <v>10.8</v>
      </c>
      <c r="E12" s="45">
        <v>10.8</v>
      </c>
      <c r="F12" s="45">
        <v>10.8</v>
      </c>
      <c r="G12" s="45">
        <v>10.8</v>
      </c>
      <c r="H12" s="45">
        <v>10.8</v>
      </c>
      <c r="I12" s="45">
        <v>10.8</v>
      </c>
      <c r="J12" s="45">
        <v>10.8</v>
      </c>
      <c r="K12" s="45">
        <v>10.8</v>
      </c>
      <c r="L12" s="45">
        <v>10.8</v>
      </c>
      <c r="M12" s="45">
        <v>10.8</v>
      </c>
      <c r="N12" s="45">
        <v>10.8</v>
      </c>
      <c r="O12" s="45">
        <v>10.8</v>
      </c>
      <c r="P12" s="45">
        <v>10.8</v>
      </c>
      <c r="Q12" s="45">
        <v>10.8</v>
      </c>
      <c r="R12" s="45">
        <v>10.8</v>
      </c>
      <c r="S12" s="45">
        <v>10.8</v>
      </c>
      <c r="T12" s="45">
        <v>10.8</v>
      </c>
      <c r="U12" s="45">
        <v>10.8</v>
      </c>
      <c r="V12" s="45">
        <v>10.8</v>
      </c>
      <c r="W12" s="45">
        <v>10.8</v>
      </c>
      <c r="X12" s="45">
        <v>10.8</v>
      </c>
      <c r="Y12" s="45">
        <v>10.8</v>
      </c>
      <c r="Z12" s="45">
        <v>10.8</v>
      </c>
      <c r="AA12" s="45">
        <v>10.8</v>
      </c>
      <c r="AB12" s="45">
        <v>11.2</v>
      </c>
      <c r="AC12" s="45">
        <v>11.2</v>
      </c>
      <c r="AD12" s="45">
        <v>11.2</v>
      </c>
      <c r="AE12" s="45">
        <v>11.2</v>
      </c>
      <c r="AF12" s="45">
        <v>11.2</v>
      </c>
      <c r="AG12" s="49">
        <v>54</v>
      </c>
      <c r="AH12" s="47">
        <f t="shared" si="2"/>
        <v>11.2</v>
      </c>
      <c r="AI12" s="48">
        <f t="shared" si="3"/>
        <v>10.8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15.5</v>
      </c>
      <c r="C13" s="45">
        <v>15.5</v>
      </c>
      <c r="D13" s="45">
        <v>15.5</v>
      </c>
      <c r="E13" s="45">
        <v>15.5</v>
      </c>
      <c r="F13" s="45">
        <v>15.5</v>
      </c>
      <c r="G13" s="45">
        <v>15.5</v>
      </c>
      <c r="H13" s="45">
        <v>15.5</v>
      </c>
      <c r="I13" s="45">
        <v>15.5</v>
      </c>
      <c r="J13" s="45">
        <v>15.5</v>
      </c>
      <c r="K13" s="45">
        <v>15.5</v>
      </c>
      <c r="L13" s="45">
        <v>15.5</v>
      </c>
      <c r="M13" s="45">
        <v>15.5</v>
      </c>
      <c r="N13" s="45">
        <v>15.5</v>
      </c>
      <c r="O13" s="45">
        <v>15.5</v>
      </c>
      <c r="P13" s="45">
        <v>15.5</v>
      </c>
      <c r="Q13" s="45">
        <v>15.5</v>
      </c>
      <c r="R13" s="45">
        <v>15.5</v>
      </c>
      <c r="S13" s="45">
        <v>15.5</v>
      </c>
      <c r="T13" s="45">
        <v>15.5</v>
      </c>
      <c r="U13" s="45">
        <v>15.5</v>
      </c>
      <c r="V13" s="45">
        <v>15.5</v>
      </c>
      <c r="W13" s="45">
        <v>15.5</v>
      </c>
      <c r="X13" s="45">
        <v>15.5</v>
      </c>
      <c r="Y13" s="45">
        <v>15.5</v>
      </c>
      <c r="Z13" s="45">
        <v>15.5</v>
      </c>
      <c r="AA13" s="45">
        <v>15.5</v>
      </c>
      <c r="AB13" s="45">
        <v>15.5</v>
      </c>
      <c r="AC13" s="45">
        <v>15.5</v>
      </c>
      <c r="AD13" s="45">
        <v>15.5</v>
      </c>
      <c r="AE13" s="45">
        <v>15.5</v>
      </c>
      <c r="AF13" s="45">
        <v>15.5</v>
      </c>
      <c r="AG13" s="49">
        <v>54</v>
      </c>
      <c r="AH13" s="47">
        <f t="shared" si="2"/>
        <v>15.5</v>
      </c>
      <c r="AI13" s="48">
        <f t="shared" si="3"/>
        <v>15.5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17</v>
      </c>
      <c r="C14" s="45">
        <v>17</v>
      </c>
      <c r="D14" s="45">
        <v>17</v>
      </c>
      <c r="E14" s="45">
        <v>17</v>
      </c>
      <c r="F14" s="45">
        <v>17</v>
      </c>
      <c r="G14" s="45">
        <v>17</v>
      </c>
      <c r="H14" s="45">
        <v>17</v>
      </c>
      <c r="I14" s="45">
        <v>17</v>
      </c>
      <c r="J14" s="45">
        <v>17</v>
      </c>
      <c r="K14" s="45">
        <v>17</v>
      </c>
      <c r="L14" s="45">
        <v>17</v>
      </c>
      <c r="M14" s="45">
        <v>16.100000000000001</v>
      </c>
      <c r="N14" s="45">
        <v>16.2</v>
      </c>
      <c r="O14" s="45">
        <v>16.100000000000001</v>
      </c>
      <c r="P14" s="45">
        <v>16.100000000000001</v>
      </c>
      <c r="Q14" s="45">
        <v>15.4</v>
      </c>
      <c r="R14" s="45">
        <v>15.4</v>
      </c>
      <c r="S14" s="45">
        <v>15.4</v>
      </c>
      <c r="T14" s="45">
        <v>15.4</v>
      </c>
      <c r="U14" s="45">
        <v>15.4</v>
      </c>
      <c r="V14" s="45">
        <v>15.4</v>
      </c>
      <c r="W14" s="45">
        <v>15.4</v>
      </c>
      <c r="X14" s="45">
        <v>15.4</v>
      </c>
      <c r="Y14" s="45">
        <v>15.4</v>
      </c>
      <c r="Z14" s="45">
        <v>15.4</v>
      </c>
      <c r="AA14" s="45">
        <v>15.4</v>
      </c>
      <c r="AB14" s="45">
        <v>15.4</v>
      </c>
      <c r="AC14" s="45">
        <v>15.4</v>
      </c>
      <c r="AD14" s="45">
        <v>15.4</v>
      </c>
      <c r="AE14" s="45">
        <v>15.4</v>
      </c>
      <c r="AF14" s="45">
        <v>15.4</v>
      </c>
      <c r="AG14" s="46">
        <v>52.4</v>
      </c>
      <c r="AH14" s="47">
        <f t="shared" si="2"/>
        <v>17</v>
      </c>
      <c r="AI14" s="48">
        <f t="shared" si="3"/>
        <v>15.4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36.299999999999997</v>
      </c>
      <c r="C15" s="45">
        <v>36.299999999999997</v>
      </c>
      <c r="D15" s="45">
        <v>36.299999999999997</v>
      </c>
      <c r="E15" s="45">
        <v>36.299999999999997</v>
      </c>
      <c r="F15" s="45">
        <v>36.299999999999997</v>
      </c>
      <c r="G15" s="45">
        <v>36.299999999999997</v>
      </c>
      <c r="H15" s="45">
        <v>36.299999999999997</v>
      </c>
      <c r="I15" s="45">
        <v>36.299999999999997</v>
      </c>
      <c r="J15" s="45">
        <v>36.299999999999997</v>
      </c>
      <c r="K15" s="45">
        <v>36.299999999999997</v>
      </c>
      <c r="L15" s="45">
        <v>36.299999999999997</v>
      </c>
      <c r="M15" s="45">
        <v>35.5</v>
      </c>
      <c r="N15" s="45">
        <v>35.299999999999997</v>
      </c>
      <c r="O15" s="45">
        <v>35.1</v>
      </c>
      <c r="P15" s="45">
        <v>35.5</v>
      </c>
      <c r="Q15" s="45">
        <v>35.4</v>
      </c>
      <c r="R15" s="45">
        <v>35.4</v>
      </c>
      <c r="S15" s="45">
        <v>35.4</v>
      </c>
      <c r="T15" s="45">
        <v>35.4</v>
      </c>
      <c r="U15" s="45">
        <v>35.4</v>
      </c>
      <c r="V15" s="45">
        <v>35.4</v>
      </c>
      <c r="W15" s="45">
        <v>35.4</v>
      </c>
      <c r="X15" s="51">
        <v>34.1</v>
      </c>
      <c r="Y15" s="51">
        <v>34.1</v>
      </c>
      <c r="Z15" s="51">
        <v>34.1</v>
      </c>
      <c r="AA15" s="51">
        <v>34.1</v>
      </c>
      <c r="AB15" s="51">
        <v>34.1</v>
      </c>
      <c r="AC15" s="51">
        <v>34.1</v>
      </c>
      <c r="AD15" s="51">
        <v>34.1</v>
      </c>
      <c r="AE15" s="51">
        <v>34.1</v>
      </c>
      <c r="AF15" s="51">
        <v>34.1</v>
      </c>
      <c r="AG15" s="49">
        <v>50</v>
      </c>
      <c r="AH15" s="47">
        <f t="shared" si="2"/>
        <v>36.299999999999997</v>
      </c>
      <c r="AI15" s="48">
        <f t="shared" si="3"/>
        <v>34.1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18.8</v>
      </c>
      <c r="C16" s="45">
        <v>18.8</v>
      </c>
      <c r="D16" s="45">
        <v>18.8</v>
      </c>
      <c r="E16" s="45">
        <v>18.8</v>
      </c>
      <c r="F16" s="45">
        <v>18.8</v>
      </c>
      <c r="G16" s="45">
        <v>18.8</v>
      </c>
      <c r="H16" s="45">
        <v>18.8</v>
      </c>
      <c r="I16" s="45">
        <v>18.8</v>
      </c>
      <c r="J16" s="45">
        <v>18.8</v>
      </c>
      <c r="K16" s="45">
        <v>18.8</v>
      </c>
      <c r="L16" s="45">
        <v>18.8</v>
      </c>
      <c r="M16" s="45">
        <v>17.600000000000001</v>
      </c>
      <c r="N16" s="45">
        <v>17.600000000000001</v>
      </c>
      <c r="O16" s="45">
        <v>17.5</v>
      </c>
      <c r="P16" s="45">
        <v>17.100000000000001</v>
      </c>
      <c r="Q16" s="45">
        <v>17.100000000000001</v>
      </c>
      <c r="R16" s="45">
        <v>17.100000000000001</v>
      </c>
      <c r="S16" s="45">
        <v>17.100000000000001</v>
      </c>
      <c r="T16" s="45">
        <v>17.100000000000001</v>
      </c>
      <c r="U16" s="45">
        <v>17.100000000000001</v>
      </c>
      <c r="V16" s="45">
        <v>17.100000000000001</v>
      </c>
      <c r="W16" s="45">
        <v>17.100000000000001</v>
      </c>
      <c r="X16" s="45">
        <v>17.100000000000001</v>
      </c>
      <c r="Y16" s="45">
        <v>17.100000000000001</v>
      </c>
      <c r="Z16" s="45">
        <v>17.100000000000001</v>
      </c>
      <c r="AA16" s="45">
        <v>17.100000000000001</v>
      </c>
      <c r="AB16" s="45">
        <v>17.100000000000001</v>
      </c>
      <c r="AC16" s="45">
        <v>17.100000000000001</v>
      </c>
      <c r="AD16" s="45">
        <v>17.100000000000001</v>
      </c>
      <c r="AE16" s="45">
        <v>17.100000000000001</v>
      </c>
      <c r="AF16" s="45">
        <v>17.100000000000001</v>
      </c>
      <c r="AG16" s="49">
        <v>45</v>
      </c>
      <c r="AH16" s="47">
        <f t="shared" si="2"/>
        <v>18.8</v>
      </c>
      <c r="AI16" s="48">
        <f t="shared" si="3"/>
        <v>17.100000000000001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16.5</v>
      </c>
      <c r="C17" s="45">
        <v>16.5</v>
      </c>
      <c r="D17" s="45">
        <v>16.5</v>
      </c>
      <c r="E17" s="45">
        <v>16.5</v>
      </c>
      <c r="F17" s="45">
        <v>16.5</v>
      </c>
      <c r="G17" s="45">
        <v>16.5</v>
      </c>
      <c r="H17" s="45">
        <v>16.5</v>
      </c>
      <c r="I17" s="45">
        <v>16.5</v>
      </c>
      <c r="J17" s="45">
        <v>16.5</v>
      </c>
      <c r="K17" s="45">
        <v>16.5</v>
      </c>
      <c r="L17" s="45">
        <v>16.5</v>
      </c>
      <c r="M17" s="45">
        <v>16.5</v>
      </c>
      <c r="N17" s="45">
        <v>16.5</v>
      </c>
      <c r="O17" s="45">
        <v>16.5</v>
      </c>
      <c r="P17" s="45">
        <v>16.5</v>
      </c>
      <c r="Q17" s="45">
        <v>16.5</v>
      </c>
      <c r="R17" s="45">
        <v>16.5</v>
      </c>
      <c r="S17" s="45">
        <v>16.5</v>
      </c>
      <c r="T17" s="45">
        <v>16.5</v>
      </c>
      <c r="U17" s="45">
        <v>16.5</v>
      </c>
      <c r="V17" s="45">
        <v>16.5</v>
      </c>
      <c r="W17" s="45">
        <v>16.5</v>
      </c>
      <c r="X17" s="45">
        <v>16.5</v>
      </c>
      <c r="Y17" s="45">
        <v>16.5</v>
      </c>
      <c r="Z17" s="45">
        <v>16.5</v>
      </c>
      <c r="AA17" s="45">
        <v>16.5</v>
      </c>
      <c r="AB17" s="45">
        <v>16.5</v>
      </c>
      <c r="AC17" s="45">
        <v>16.5</v>
      </c>
      <c r="AD17" s="45">
        <v>16.5</v>
      </c>
      <c r="AE17" s="45">
        <v>16.5</v>
      </c>
      <c r="AF17" s="45">
        <v>16.5</v>
      </c>
      <c r="AG17" s="49">
        <v>44</v>
      </c>
      <c r="AH17" s="47">
        <f>MAX(B17:AG17)</f>
        <v>44</v>
      </c>
      <c r="AI17" s="48">
        <f>MIN(B17:AG17)</f>
        <v>16.5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9</v>
      </c>
      <c r="C18" s="45">
        <v>9</v>
      </c>
      <c r="D18" s="45">
        <v>9</v>
      </c>
      <c r="E18" s="45">
        <v>9</v>
      </c>
      <c r="F18" s="45">
        <v>9</v>
      </c>
      <c r="G18" s="45">
        <v>9</v>
      </c>
      <c r="H18" s="45">
        <v>9</v>
      </c>
      <c r="I18" s="45">
        <v>9</v>
      </c>
      <c r="J18" s="45">
        <v>9</v>
      </c>
      <c r="K18" s="45">
        <v>9</v>
      </c>
      <c r="L18" s="45">
        <v>9</v>
      </c>
      <c r="M18" s="45">
        <v>9</v>
      </c>
      <c r="N18" s="45">
        <v>9</v>
      </c>
      <c r="O18" s="45">
        <v>9.3000000000000007</v>
      </c>
      <c r="P18" s="45">
        <v>9</v>
      </c>
      <c r="Q18" s="45">
        <v>9.3000000000000007</v>
      </c>
      <c r="R18" s="45">
        <v>9.3000000000000007</v>
      </c>
      <c r="S18" s="45">
        <v>9.3000000000000007</v>
      </c>
      <c r="T18" s="45">
        <v>9</v>
      </c>
      <c r="U18" s="45">
        <v>9</v>
      </c>
      <c r="V18" s="45">
        <v>9</v>
      </c>
      <c r="W18" s="45">
        <v>9</v>
      </c>
      <c r="X18" s="45">
        <v>9</v>
      </c>
      <c r="Y18" s="45">
        <v>9</v>
      </c>
      <c r="Z18" s="45">
        <v>9</v>
      </c>
      <c r="AA18" s="45">
        <v>9</v>
      </c>
      <c r="AB18" s="45">
        <v>9</v>
      </c>
      <c r="AC18" s="45">
        <v>9</v>
      </c>
      <c r="AD18" s="45">
        <v>9</v>
      </c>
      <c r="AE18" s="45">
        <v>9</v>
      </c>
      <c r="AF18" s="45">
        <v>9</v>
      </c>
      <c r="AG18" s="49">
        <v>42</v>
      </c>
      <c r="AH18" s="47">
        <f t="shared" si="2"/>
        <v>9.3000000000000007</v>
      </c>
      <c r="AI18" s="48">
        <f t="shared" si="3"/>
        <v>9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263</v>
      </c>
      <c r="B19" s="45">
        <v>15.4</v>
      </c>
      <c r="C19" s="45">
        <v>15.4</v>
      </c>
      <c r="D19" s="45">
        <v>15.4</v>
      </c>
      <c r="E19" s="45">
        <v>15.4</v>
      </c>
      <c r="F19" s="45">
        <v>15.4</v>
      </c>
      <c r="G19" s="45">
        <v>15.4</v>
      </c>
      <c r="H19" s="45">
        <v>15.4</v>
      </c>
      <c r="I19" s="45">
        <v>15.4</v>
      </c>
      <c r="J19" s="45">
        <v>15.4</v>
      </c>
      <c r="K19" s="45">
        <v>15.4</v>
      </c>
      <c r="L19" s="45">
        <v>15.4</v>
      </c>
      <c r="M19" s="45">
        <v>15.4</v>
      </c>
      <c r="N19" s="45">
        <v>15.4</v>
      </c>
      <c r="O19" s="45">
        <v>15.4</v>
      </c>
      <c r="P19" s="45">
        <v>15.4</v>
      </c>
      <c r="Q19" s="45">
        <v>15.4</v>
      </c>
      <c r="R19" s="45">
        <v>15.4</v>
      </c>
      <c r="S19" s="45">
        <v>15.4</v>
      </c>
      <c r="T19" s="45">
        <v>15.4</v>
      </c>
      <c r="U19" s="45">
        <v>15.4</v>
      </c>
      <c r="V19" s="45">
        <v>15.4</v>
      </c>
      <c r="W19" s="45">
        <v>15.4</v>
      </c>
      <c r="X19" s="45">
        <v>15.4</v>
      </c>
      <c r="Y19" s="45">
        <v>15.4</v>
      </c>
      <c r="Z19" s="45">
        <v>15.4</v>
      </c>
      <c r="AA19" s="45">
        <v>15.4</v>
      </c>
      <c r="AB19" s="45">
        <v>15.4</v>
      </c>
      <c r="AC19" s="45">
        <v>15.4</v>
      </c>
      <c r="AD19" s="45">
        <v>15.4</v>
      </c>
      <c r="AE19" s="45">
        <v>15.4</v>
      </c>
      <c r="AF19" s="45">
        <v>15.4</v>
      </c>
      <c r="AG19" s="49">
        <v>38.46</v>
      </c>
      <c r="AH19" s="47">
        <f t="shared" si="2"/>
        <v>15.4</v>
      </c>
      <c r="AI19" s="48">
        <f t="shared" si="3"/>
        <v>15.4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10.199999999999999</v>
      </c>
      <c r="C20" s="45">
        <v>10.199999999999999</v>
      </c>
      <c r="D20" s="45">
        <v>10.199999999999999</v>
      </c>
      <c r="E20" s="45">
        <v>10.199999999999999</v>
      </c>
      <c r="F20" s="45">
        <v>10.199999999999999</v>
      </c>
      <c r="G20" s="45">
        <v>10.199999999999999</v>
      </c>
      <c r="H20" s="45">
        <v>10.199999999999999</v>
      </c>
      <c r="I20" s="45">
        <v>10.199999999999999</v>
      </c>
      <c r="J20" s="45">
        <v>10.199999999999999</v>
      </c>
      <c r="K20" s="45">
        <v>10.199999999999999</v>
      </c>
      <c r="L20" s="45">
        <v>10.199999999999999</v>
      </c>
      <c r="M20" s="45">
        <v>10.199999999999999</v>
      </c>
      <c r="N20" s="45">
        <v>10.199999999999999</v>
      </c>
      <c r="O20" s="45">
        <v>10.199999999999999</v>
      </c>
      <c r="P20" s="45">
        <v>10.199999999999999</v>
      </c>
      <c r="Q20" s="45">
        <v>10.199999999999999</v>
      </c>
      <c r="R20" s="45">
        <v>10.199999999999999</v>
      </c>
      <c r="S20" s="45">
        <v>10.199999999999999</v>
      </c>
      <c r="T20" s="45">
        <v>10.199999999999999</v>
      </c>
      <c r="U20" s="45">
        <v>10.199999999999999</v>
      </c>
      <c r="V20" s="45">
        <v>10.199999999999999</v>
      </c>
      <c r="W20" s="45">
        <v>10.199999999999999</v>
      </c>
      <c r="X20" s="45">
        <v>10.199999999999999</v>
      </c>
      <c r="Y20" s="45">
        <v>10.199999999999999</v>
      </c>
      <c r="Z20" s="45">
        <v>10.199999999999999</v>
      </c>
      <c r="AA20" s="45">
        <v>10.199999999999999</v>
      </c>
      <c r="AB20" s="45">
        <v>10.199999999999999</v>
      </c>
      <c r="AC20" s="45">
        <v>10.199999999999999</v>
      </c>
      <c r="AD20" s="45">
        <v>10.199999999999999</v>
      </c>
      <c r="AE20" s="45">
        <v>10.199999999999999</v>
      </c>
      <c r="AF20" s="45">
        <v>10.199999999999999</v>
      </c>
      <c r="AG20" s="49">
        <v>38.46</v>
      </c>
      <c r="AH20" s="47">
        <f t="shared" si="2"/>
        <v>10.199999999999999</v>
      </c>
      <c r="AI20" s="48">
        <f t="shared" si="3"/>
        <v>10.199999999999999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13.6</v>
      </c>
      <c r="C21" s="45">
        <v>13.6</v>
      </c>
      <c r="D21" s="45">
        <v>13.6</v>
      </c>
      <c r="E21" s="45">
        <v>13.6</v>
      </c>
      <c r="F21" s="45">
        <v>13.6</v>
      </c>
      <c r="G21" s="45">
        <v>13.6</v>
      </c>
      <c r="H21" s="45">
        <v>13.6</v>
      </c>
      <c r="I21" s="45">
        <v>13.6</v>
      </c>
      <c r="J21" s="45">
        <v>13.6</v>
      </c>
      <c r="K21" s="45">
        <v>13.6</v>
      </c>
      <c r="L21" s="45">
        <v>13.6</v>
      </c>
      <c r="M21" s="45">
        <v>13.6</v>
      </c>
      <c r="N21" s="45">
        <v>13.6</v>
      </c>
      <c r="O21" s="45">
        <v>13.6</v>
      </c>
      <c r="P21" s="45">
        <v>13.6</v>
      </c>
      <c r="Q21" s="45">
        <v>13.6</v>
      </c>
      <c r="R21" s="45">
        <v>13.6</v>
      </c>
      <c r="S21" s="45">
        <v>13.6</v>
      </c>
      <c r="T21" s="45">
        <v>13.6</v>
      </c>
      <c r="U21" s="45">
        <v>13.6</v>
      </c>
      <c r="V21" s="45">
        <v>13.6</v>
      </c>
      <c r="W21" s="45">
        <v>13.6</v>
      </c>
      <c r="X21" s="45">
        <v>13.6</v>
      </c>
      <c r="Y21" s="45">
        <v>13.6</v>
      </c>
      <c r="Z21" s="45">
        <v>13.6</v>
      </c>
      <c r="AA21" s="45">
        <v>13.6</v>
      </c>
      <c r="AB21" s="45">
        <v>13.6</v>
      </c>
      <c r="AC21" s="45">
        <v>13.6</v>
      </c>
      <c r="AD21" s="45">
        <v>13.6</v>
      </c>
      <c r="AE21" s="45">
        <v>13.6</v>
      </c>
      <c r="AF21" s="45">
        <v>13.6</v>
      </c>
      <c r="AG21" s="49">
        <v>36</v>
      </c>
      <c r="AH21" s="47">
        <f t="shared" si="2"/>
        <v>13.6</v>
      </c>
      <c r="AI21" s="48">
        <f t="shared" si="3"/>
        <v>13.6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9.4</v>
      </c>
      <c r="C22" s="45">
        <v>9.4</v>
      </c>
      <c r="D22" s="45">
        <v>9.4</v>
      </c>
      <c r="E22" s="45">
        <v>9.4</v>
      </c>
      <c r="F22" s="45">
        <v>9.4</v>
      </c>
      <c r="G22" s="45">
        <v>9.4</v>
      </c>
      <c r="H22" s="45">
        <v>9.4</v>
      </c>
      <c r="I22" s="45">
        <v>9.4</v>
      </c>
      <c r="J22" s="45">
        <v>9.4</v>
      </c>
      <c r="K22" s="45">
        <v>9.4</v>
      </c>
      <c r="L22" s="45">
        <v>9.4</v>
      </c>
      <c r="M22" s="45">
        <v>9.4</v>
      </c>
      <c r="N22" s="45">
        <v>9.3000000000000007</v>
      </c>
      <c r="O22" s="45">
        <v>9.3000000000000007</v>
      </c>
      <c r="P22" s="45">
        <v>9.3000000000000007</v>
      </c>
      <c r="Q22" s="45">
        <v>9.3000000000000007</v>
      </c>
      <c r="R22" s="45">
        <v>9.3000000000000007</v>
      </c>
      <c r="S22" s="45">
        <v>9.3000000000000007</v>
      </c>
      <c r="T22" s="45">
        <v>9.3000000000000007</v>
      </c>
      <c r="U22" s="45">
        <v>9.3000000000000007</v>
      </c>
      <c r="V22" s="45">
        <v>9.3000000000000007</v>
      </c>
      <c r="W22" s="45">
        <v>9.3000000000000007</v>
      </c>
      <c r="X22" s="45">
        <v>9.3000000000000007</v>
      </c>
      <c r="Y22" s="45">
        <v>9.3000000000000007</v>
      </c>
      <c r="Z22" s="45">
        <v>9.3000000000000007</v>
      </c>
      <c r="AA22" s="45">
        <v>9.3000000000000007</v>
      </c>
      <c r="AB22" s="45">
        <v>9.3000000000000007</v>
      </c>
      <c r="AC22" s="45">
        <v>9.3000000000000007</v>
      </c>
      <c r="AD22" s="45">
        <v>9.3000000000000007</v>
      </c>
      <c r="AE22" s="45">
        <v>9.3000000000000007</v>
      </c>
      <c r="AF22" s="45">
        <v>9.3000000000000007</v>
      </c>
      <c r="AG22" s="52">
        <v>30</v>
      </c>
      <c r="AH22" s="47">
        <f t="shared" si="2"/>
        <v>9.4</v>
      </c>
      <c r="AI22" s="48">
        <f t="shared" si="3"/>
        <v>9.3000000000000007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9</v>
      </c>
      <c r="C23" s="45">
        <v>9</v>
      </c>
      <c r="D23" s="45">
        <v>9</v>
      </c>
      <c r="E23" s="45">
        <v>9</v>
      </c>
      <c r="F23" s="45">
        <v>9</v>
      </c>
      <c r="G23" s="45">
        <v>9</v>
      </c>
      <c r="H23" s="45">
        <v>9</v>
      </c>
      <c r="I23" s="45">
        <v>9</v>
      </c>
      <c r="J23" s="45">
        <v>9</v>
      </c>
      <c r="K23" s="45">
        <v>9</v>
      </c>
      <c r="L23" s="45">
        <v>9</v>
      </c>
      <c r="M23" s="45">
        <v>9</v>
      </c>
      <c r="N23" s="45">
        <v>9</v>
      </c>
      <c r="O23" s="45">
        <v>9</v>
      </c>
      <c r="P23" s="45">
        <v>9</v>
      </c>
      <c r="Q23" s="45">
        <v>9</v>
      </c>
      <c r="R23" s="45">
        <v>9</v>
      </c>
      <c r="S23" s="45">
        <v>9</v>
      </c>
      <c r="T23" s="45">
        <v>9</v>
      </c>
      <c r="U23" s="45">
        <v>9</v>
      </c>
      <c r="V23" s="45">
        <v>9</v>
      </c>
      <c r="W23" s="45">
        <v>9</v>
      </c>
      <c r="X23" s="45">
        <v>9</v>
      </c>
      <c r="Y23" s="45">
        <v>9</v>
      </c>
      <c r="Z23" s="45">
        <v>9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9</v>
      </c>
      <c r="AG23" s="49">
        <v>24.2</v>
      </c>
      <c r="AH23" s="47">
        <f t="shared" si="2"/>
        <v>9</v>
      </c>
      <c r="AI23" s="48">
        <f t="shared" si="3"/>
        <v>9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10.5</v>
      </c>
      <c r="C24" s="45">
        <v>10.5</v>
      </c>
      <c r="D24" s="45">
        <v>10.5</v>
      </c>
      <c r="E24" s="45">
        <v>10.5</v>
      </c>
      <c r="F24" s="45">
        <v>10.5</v>
      </c>
      <c r="G24" s="45">
        <v>10.5</v>
      </c>
      <c r="H24" s="45">
        <v>10.5</v>
      </c>
      <c r="I24" s="45">
        <v>10.5</v>
      </c>
      <c r="J24" s="45">
        <v>10.5</v>
      </c>
      <c r="K24" s="45">
        <v>10.5</v>
      </c>
      <c r="L24" s="45">
        <v>10.5</v>
      </c>
      <c r="M24" s="45">
        <v>9.6999999999999993</v>
      </c>
      <c r="N24" s="45">
        <v>9.6999999999999993</v>
      </c>
      <c r="O24" s="45">
        <v>9.6999999999999993</v>
      </c>
      <c r="P24" s="45">
        <v>10.199999999999999</v>
      </c>
      <c r="Q24" s="45">
        <v>10.3</v>
      </c>
      <c r="R24" s="45">
        <v>10.3</v>
      </c>
      <c r="S24" s="45">
        <v>10.3</v>
      </c>
      <c r="T24" s="45">
        <v>10.3</v>
      </c>
      <c r="U24" s="45">
        <v>10.3</v>
      </c>
      <c r="V24" s="45">
        <v>10.3</v>
      </c>
      <c r="W24" s="45">
        <v>10.3</v>
      </c>
      <c r="X24" s="45">
        <v>10.3</v>
      </c>
      <c r="Y24" s="45">
        <v>10.3</v>
      </c>
      <c r="Z24" s="45">
        <v>10.3</v>
      </c>
      <c r="AA24" s="45">
        <v>10.3</v>
      </c>
      <c r="AB24" s="45">
        <v>10.3</v>
      </c>
      <c r="AC24" s="45">
        <v>10.3</v>
      </c>
      <c r="AD24" s="45">
        <v>10.3</v>
      </c>
      <c r="AE24" s="45">
        <v>10.3</v>
      </c>
      <c r="AF24" s="45">
        <v>10.3</v>
      </c>
      <c r="AG24" s="49">
        <v>28</v>
      </c>
      <c r="AH24" s="47">
        <f t="shared" si="2"/>
        <v>10.5</v>
      </c>
      <c r="AI24" s="48">
        <f t="shared" si="3"/>
        <v>9.6999999999999993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8.4</v>
      </c>
      <c r="C25" s="45">
        <v>8.4</v>
      </c>
      <c r="D25" s="45">
        <v>8.4</v>
      </c>
      <c r="E25" s="45">
        <v>8.4</v>
      </c>
      <c r="F25" s="45">
        <v>8.4</v>
      </c>
      <c r="G25" s="45">
        <v>8.4</v>
      </c>
      <c r="H25" s="45">
        <v>8.4</v>
      </c>
      <c r="I25" s="45">
        <v>8.4</v>
      </c>
      <c r="J25" s="45">
        <v>8.4</v>
      </c>
      <c r="K25" s="45">
        <v>8.4</v>
      </c>
      <c r="L25" s="45">
        <v>8.4</v>
      </c>
      <c r="M25" s="45">
        <v>7.3</v>
      </c>
      <c r="N25" s="45">
        <v>9</v>
      </c>
      <c r="O25" s="45">
        <v>8</v>
      </c>
      <c r="P25" s="45">
        <v>8.4</v>
      </c>
      <c r="Q25" s="45">
        <v>7.9</v>
      </c>
      <c r="R25" s="45">
        <v>7.9</v>
      </c>
      <c r="S25" s="45">
        <v>7.9</v>
      </c>
      <c r="T25" s="45">
        <v>7.9</v>
      </c>
      <c r="U25" s="45">
        <v>7.9</v>
      </c>
      <c r="V25" s="45">
        <v>7.9</v>
      </c>
      <c r="W25" s="45">
        <v>7.9</v>
      </c>
      <c r="X25" s="45">
        <v>7.9</v>
      </c>
      <c r="Y25" s="45">
        <v>7.9</v>
      </c>
      <c r="Z25" s="45">
        <v>7.9</v>
      </c>
      <c r="AA25" s="45">
        <v>7.9</v>
      </c>
      <c r="AB25" s="45">
        <v>7.9</v>
      </c>
      <c r="AC25" s="45">
        <v>7.9</v>
      </c>
      <c r="AD25" s="45">
        <v>7.9</v>
      </c>
      <c r="AE25" s="45">
        <v>7.9</v>
      </c>
      <c r="AF25" s="45">
        <v>7.9</v>
      </c>
      <c r="AG25" s="52">
        <v>30</v>
      </c>
      <c r="AH25" s="47">
        <f t="shared" si="2"/>
        <v>9</v>
      </c>
      <c r="AI25" s="48">
        <f t="shared" si="3"/>
        <v>7.3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10</v>
      </c>
      <c r="C26" s="45">
        <v>10</v>
      </c>
      <c r="D26" s="45">
        <v>10</v>
      </c>
      <c r="E26" s="45">
        <v>10</v>
      </c>
      <c r="F26" s="45">
        <v>10</v>
      </c>
      <c r="G26" s="45">
        <v>10</v>
      </c>
      <c r="H26" s="45">
        <v>10</v>
      </c>
      <c r="I26" s="45">
        <v>10</v>
      </c>
      <c r="J26" s="45">
        <v>10</v>
      </c>
      <c r="K26" s="45">
        <v>10</v>
      </c>
      <c r="L26" s="45">
        <v>10</v>
      </c>
      <c r="M26" s="45">
        <v>10</v>
      </c>
      <c r="N26" s="45">
        <v>10</v>
      </c>
      <c r="O26" s="45">
        <v>10</v>
      </c>
      <c r="P26" s="45">
        <v>10</v>
      </c>
      <c r="Q26" s="45">
        <v>10</v>
      </c>
      <c r="R26" s="45">
        <v>10</v>
      </c>
      <c r="S26" s="45">
        <v>10</v>
      </c>
      <c r="T26" s="45">
        <v>10</v>
      </c>
      <c r="U26" s="45">
        <v>10</v>
      </c>
      <c r="V26" s="45">
        <v>10</v>
      </c>
      <c r="W26" s="45">
        <v>10</v>
      </c>
      <c r="X26" s="45">
        <v>10</v>
      </c>
      <c r="Y26" s="45">
        <v>10</v>
      </c>
      <c r="Z26" s="45">
        <v>10</v>
      </c>
      <c r="AA26" s="45">
        <v>10</v>
      </c>
      <c r="AB26" s="45">
        <v>10</v>
      </c>
      <c r="AC26" s="45">
        <v>10</v>
      </c>
      <c r="AD26" s="45">
        <v>10</v>
      </c>
      <c r="AE26" s="45">
        <v>10</v>
      </c>
      <c r="AF26" s="45">
        <v>10</v>
      </c>
      <c r="AG26" s="49">
        <v>25</v>
      </c>
      <c r="AH26" s="47">
        <f t="shared" si="2"/>
        <v>10</v>
      </c>
      <c r="AI26" s="48">
        <f t="shared" si="3"/>
        <v>10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0</v>
      </c>
      <c r="C27" s="45">
        <v>0</v>
      </c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9">
        <v>25</v>
      </c>
      <c r="AH27" s="47">
        <f t="shared" si="2"/>
        <v>0</v>
      </c>
      <c r="AI27" s="48">
        <f t="shared" si="3"/>
        <v>0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7.5</v>
      </c>
      <c r="C28" s="45">
        <v>7.5</v>
      </c>
      <c r="D28" s="45">
        <v>7.5</v>
      </c>
      <c r="E28" s="45">
        <v>7.5</v>
      </c>
      <c r="F28" s="45">
        <v>7.5</v>
      </c>
      <c r="G28" s="45">
        <v>7.5</v>
      </c>
      <c r="H28" s="45">
        <v>7.5</v>
      </c>
      <c r="I28" s="45">
        <v>7.5</v>
      </c>
      <c r="J28" s="45">
        <v>7.5</v>
      </c>
      <c r="K28" s="45">
        <v>7.5</v>
      </c>
      <c r="L28" s="45">
        <v>7.5</v>
      </c>
      <c r="M28" s="45">
        <v>7.5</v>
      </c>
      <c r="N28" s="45">
        <v>7.5</v>
      </c>
      <c r="O28" s="45">
        <v>7.5</v>
      </c>
      <c r="P28" s="45">
        <v>7.5</v>
      </c>
      <c r="Q28" s="45">
        <v>7.5</v>
      </c>
      <c r="R28" s="45">
        <v>7.5</v>
      </c>
      <c r="S28" s="45">
        <v>7.5</v>
      </c>
      <c r="T28" s="45">
        <v>7.5</v>
      </c>
      <c r="U28" s="45">
        <v>7.5</v>
      </c>
      <c r="V28" s="45">
        <v>7.5</v>
      </c>
      <c r="W28" s="45">
        <v>7.5</v>
      </c>
      <c r="X28" s="45">
        <v>7.5</v>
      </c>
      <c r="Y28" s="45">
        <v>7.5</v>
      </c>
      <c r="Z28" s="45">
        <v>7.5</v>
      </c>
      <c r="AA28" s="45">
        <v>7.5</v>
      </c>
      <c r="AB28" s="45">
        <v>7.5</v>
      </c>
      <c r="AC28" s="45">
        <v>7.5</v>
      </c>
      <c r="AD28" s="45">
        <v>7.5</v>
      </c>
      <c r="AE28" s="45">
        <v>7.5</v>
      </c>
      <c r="AF28" s="45">
        <v>7.5</v>
      </c>
      <c r="AG28" s="49">
        <v>25</v>
      </c>
      <c r="AH28" s="47">
        <f t="shared" si="2"/>
        <v>7.5</v>
      </c>
      <c r="AI28" s="48">
        <f t="shared" si="3"/>
        <v>7.5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9</v>
      </c>
      <c r="C29" s="45">
        <v>9</v>
      </c>
      <c r="D29" s="45">
        <v>9</v>
      </c>
      <c r="E29" s="45">
        <v>9</v>
      </c>
      <c r="F29" s="45">
        <v>9</v>
      </c>
      <c r="G29" s="45">
        <v>9</v>
      </c>
      <c r="H29" s="45">
        <v>9</v>
      </c>
      <c r="I29" s="45">
        <v>9</v>
      </c>
      <c r="J29" s="45">
        <v>9</v>
      </c>
      <c r="K29" s="45">
        <v>9</v>
      </c>
      <c r="L29" s="45">
        <v>9</v>
      </c>
      <c r="M29" s="45">
        <v>9</v>
      </c>
      <c r="N29" s="45">
        <v>9</v>
      </c>
      <c r="O29" s="45">
        <v>9.1</v>
      </c>
      <c r="P29" s="45">
        <v>9</v>
      </c>
      <c r="Q29" s="45">
        <v>9</v>
      </c>
      <c r="R29" s="45">
        <v>9</v>
      </c>
      <c r="S29" s="45">
        <v>9</v>
      </c>
      <c r="T29" s="45">
        <v>9</v>
      </c>
      <c r="U29" s="45">
        <v>9</v>
      </c>
      <c r="V29" s="45">
        <v>9</v>
      </c>
      <c r="W29" s="45">
        <v>9</v>
      </c>
      <c r="X29" s="45">
        <v>9</v>
      </c>
      <c r="Y29" s="45">
        <v>9</v>
      </c>
      <c r="Z29" s="45">
        <v>9</v>
      </c>
      <c r="AA29" s="45">
        <v>9</v>
      </c>
      <c r="AB29" s="45">
        <v>9</v>
      </c>
      <c r="AC29" s="45">
        <v>9</v>
      </c>
      <c r="AD29" s="45">
        <v>9</v>
      </c>
      <c r="AE29" s="45">
        <v>9</v>
      </c>
      <c r="AF29" s="45">
        <v>9</v>
      </c>
      <c r="AG29" s="49">
        <v>25</v>
      </c>
      <c r="AH29" s="47">
        <f t="shared" si="2"/>
        <v>9.1</v>
      </c>
      <c r="AI29" s="48">
        <f t="shared" si="3"/>
        <v>9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8.8000000000000007</v>
      </c>
      <c r="C30" s="45">
        <v>8.8000000000000007</v>
      </c>
      <c r="D30" s="45">
        <v>8.8000000000000007</v>
      </c>
      <c r="E30" s="45">
        <v>8.8000000000000007</v>
      </c>
      <c r="F30" s="45">
        <v>8.8000000000000007</v>
      </c>
      <c r="G30" s="45">
        <v>8.8000000000000007</v>
      </c>
      <c r="H30" s="45">
        <v>8.8000000000000007</v>
      </c>
      <c r="I30" s="45">
        <v>8.8000000000000007</v>
      </c>
      <c r="J30" s="45">
        <v>8.8000000000000007</v>
      </c>
      <c r="K30" s="45">
        <v>8.8000000000000007</v>
      </c>
      <c r="L30" s="45">
        <v>8.8000000000000007</v>
      </c>
      <c r="M30" s="45">
        <v>7.4</v>
      </c>
      <c r="N30" s="45">
        <v>8.8000000000000007</v>
      </c>
      <c r="O30" s="45">
        <v>8.1</v>
      </c>
      <c r="P30" s="45">
        <v>7.1</v>
      </c>
      <c r="Q30" s="45">
        <v>7.1</v>
      </c>
      <c r="R30" s="45">
        <v>7.1</v>
      </c>
      <c r="S30" s="45">
        <v>7.1</v>
      </c>
      <c r="T30" s="45">
        <v>7.1</v>
      </c>
      <c r="U30" s="45">
        <v>7.1</v>
      </c>
      <c r="V30" s="45">
        <v>7.1</v>
      </c>
      <c r="W30" s="45">
        <v>7.1</v>
      </c>
      <c r="X30" s="45">
        <v>7.1</v>
      </c>
      <c r="Y30" s="45">
        <v>7.1</v>
      </c>
      <c r="Z30" s="45">
        <v>7.1</v>
      </c>
      <c r="AA30" s="45">
        <v>7.1</v>
      </c>
      <c r="AB30" s="45">
        <v>7.1</v>
      </c>
      <c r="AC30" s="45">
        <v>7.1</v>
      </c>
      <c r="AD30" s="45">
        <v>7.1</v>
      </c>
      <c r="AE30" s="45">
        <v>7.1</v>
      </c>
      <c r="AF30" s="45">
        <v>7.1</v>
      </c>
      <c r="AG30" s="49">
        <v>23.5</v>
      </c>
      <c r="AH30" s="47">
        <f t="shared" si="2"/>
        <v>8.8000000000000007</v>
      </c>
      <c r="AI30" s="48">
        <f t="shared" si="3"/>
        <v>7.1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4.5</v>
      </c>
      <c r="C31" s="45">
        <v>4.5</v>
      </c>
      <c r="D31" s="45">
        <v>4.5</v>
      </c>
      <c r="E31" s="45">
        <v>4.5</v>
      </c>
      <c r="F31" s="45">
        <v>4.5</v>
      </c>
      <c r="G31" s="45">
        <v>4.5</v>
      </c>
      <c r="H31" s="45">
        <v>4.5</v>
      </c>
      <c r="I31" s="45">
        <v>4.5</v>
      </c>
      <c r="J31" s="45">
        <v>4.5</v>
      </c>
      <c r="K31" s="45">
        <v>4.5</v>
      </c>
      <c r="L31" s="45">
        <v>4.5</v>
      </c>
      <c r="M31" s="45">
        <v>4.5</v>
      </c>
      <c r="N31" s="45">
        <v>4.5</v>
      </c>
      <c r="O31" s="45">
        <v>4.5</v>
      </c>
      <c r="P31" s="45">
        <v>4.5</v>
      </c>
      <c r="Q31" s="45">
        <v>4.5</v>
      </c>
      <c r="R31" s="45">
        <v>4.5</v>
      </c>
      <c r="S31" s="45">
        <v>4.5</v>
      </c>
      <c r="T31" s="45">
        <v>4.5</v>
      </c>
      <c r="U31" s="45">
        <v>4.5</v>
      </c>
      <c r="V31" s="45">
        <v>4.5</v>
      </c>
      <c r="W31" s="45">
        <v>4.5</v>
      </c>
      <c r="X31" s="45">
        <v>4.5</v>
      </c>
      <c r="Y31" s="45">
        <v>4.5</v>
      </c>
      <c r="Z31" s="45">
        <v>4.5</v>
      </c>
      <c r="AA31" s="45">
        <v>4.5</v>
      </c>
      <c r="AB31" s="45">
        <v>4.5</v>
      </c>
      <c r="AC31" s="45">
        <v>4.5</v>
      </c>
      <c r="AD31" s="45">
        <v>4.5</v>
      </c>
      <c r="AE31" s="45">
        <v>4.5</v>
      </c>
      <c r="AF31" s="45">
        <v>4.5</v>
      </c>
      <c r="AG31" s="49">
        <v>22.2</v>
      </c>
      <c r="AH31" s="47">
        <f t="shared" si="2"/>
        <v>4.5</v>
      </c>
      <c r="AI31" s="48">
        <f t="shared" si="3"/>
        <v>4.5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>
        <v>5.5</v>
      </c>
      <c r="N32" s="45">
        <v>5.5</v>
      </c>
      <c r="O32" s="45">
        <v>5.5</v>
      </c>
      <c r="P32" s="45">
        <v>5.5</v>
      </c>
      <c r="Q32" s="45">
        <v>5.5</v>
      </c>
      <c r="R32" s="45">
        <v>5.5</v>
      </c>
      <c r="S32" s="45">
        <v>5.5</v>
      </c>
      <c r="T32" s="45">
        <v>5.5</v>
      </c>
      <c r="U32" s="45">
        <v>5.5</v>
      </c>
      <c r="V32" s="45">
        <v>5.5</v>
      </c>
      <c r="W32" s="45">
        <v>5.5</v>
      </c>
      <c r="X32" s="45">
        <v>5.5</v>
      </c>
      <c r="Y32" s="45">
        <v>5.5</v>
      </c>
      <c r="Z32" s="45">
        <v>5.5</v>
      </c>
      <c r="AA32" s="45">
        <v>5.5</v>
      </c>
      <c r="AB32" s="45">
        <v>5.5</v>
      </c>
      <c r="AC32" s="45">
        <v>5.5</v>
      </c>
      <c r="AD32" s="45">
        <v>5.5</v>
      </c>
      <c r="AE32" s="45">
        <v>5.5</v>
      </c>
      <c r="AF32" s="45">
        <v>5.5</v>
      </c>
      <c r="AG32" s="49">
        <v>22.1</v>
      </c>
      <c r="AH32" s="47">
        <f t="shared" si="2"/>
        <v>5.5</v>
      </c>
      <c r="AI32" s="48">
        <f t="shared" si="3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22</v>
      </c>
      <c r="AH33" s="47">
        <f t="shared" si="2"/>
        <v>6</v>
      </c>
      <c r="AI33" s="48">
        <f t="shared" si="3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8.6999999999999993</v>
      </c>
      <c r="C34" s="45">
        <v>8.6999999999999993</v>
      </c>
      <c r="D34" s="45">
        <v>8.6999999999999993</v>
      </c>
      <c r="E34" s="45">
        <v>8.6999999999999993</v>
      </c>
      <c r="F34" s="45">
        <v>8.6999999999999993</v>
      </c>
      <c r="G34" s="45">
        <v>8.6999999999999993</v>
      </c>
      <c r="H34" s="45">
        <v>8.6999999999999993</v>
      </c>
      <c r="I34" s="45">
        <v>8.6999999999999993</v>
      </c>
      <c r="J34" s="45">
        <v>8.6999999999999993</v>
      </c>
      <c r="K34" s="45">
        <v>8.6999999999999993</v>
      </c>
      <c r="L34" s="45">
        <v>8.6999999999999993</v>
      </c>
      <c r="M34" s="45">
        <v>8.8000000000000007</v>
      </c>
      <c r="N34" s="45">
        <v>8.3000000000000007</v>
      </c>
      <c r="O34" s="45">
        <v>8.6999999999999993</v>
      </c>
      <c r="P34" s="45">
        <v>9</v>
      </c>
      <c r="Q34" s="45">
        <v>9</v>
      </c>
      <c r="R34" s="45">
        <v>9</v>
      </c>
      <c r="S34" s="45">
        <v>9</v>
      </c>
      <c r="T34" s="45">
        <v>9</v>
      </c>
      <c r="U34" s="45">
        <v>9</v>
      </c>
      <c r="V34" s="45">
        <v>9</v>
      </c>
      <c r="W34" s="45">
        <v>9</v>
      </c>
      <c r="X34" s="45">
        <v>9</v>
      </c>
      <c r="Y34" s="45">
        <v>9</v>
      </c>
      <c r="Z34" s="45">
        <v>9</v>
      </c>
      <c r="AA34" s="45">
        <v>9</v>
      </c>
      <c r="AB34" s="45">
        <v>9</v>
      </c>
      <c r="AC34" s="45">
        <v>9</v>
      </c>
      <c r="AD34" s="45">
        <v>9</v>
      </c>
      <c r="AE34" s="45">
        <v>9</v>
      </c>
      <c r="AF34" s="45">
        <v>9</v>
      </c>
      <c r="AG34" s="49">
        <v>22</v>
      </c>
      <c r="AH34" s="47">
        <f t="shared" si="2"/>
        <v>9</v>
      </c>
      <c r="AI34" s="48">
        <f t="shared" si="3"/>
        <v>8.3000000000000007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6.5</v>
      </c>
      <c r="C35" s="45">
        <v>6.5</v>
      </c>
      <c r="D35" s="45">
        <v>6.5</v>
      </c>
      <c r="E35" s="45">
        <v>6.5</v>
      </c>
      <c r="F35" s="45">
        <v>6.5</v>
      </c>
      <c r="G35" s="45">
        <v>6.5</v>
      </c>
      <c r="H35" s="45">
        <v>6.5</v>
      </c>
      <c r="I35" s="45">
        <v>6.5</v>
      </c>
      <c r="J35" s="45">
        <v>6.5</v>
      </c>
      <c r="K35" s="45">
        <v>6.5</v>
      </c>
      <c r="L35" s="45">
        <v>6.5</v>
      </c>
      <c r="M35" s="45">
        <v>6.5</v>
      </c>
      <c r="N35" s="45">
        <v>6.5</v>
      </c>
      <c r="O35" s="45">
        <v>6.5</v>
      </c>
      <c r="P35" s="45">
        <v>6.5</v>
      </c>
      <c r="Q35" s="45">
        <v>6.5</v>
      </c>
      <c r="R35" s="45">
        <v>6.5</v>
      </c>
      <c r="S35" s="45">
        <v>6.5</v>
      </c>
      <c r="T35" s="45">
        <v>6.5</v>
      </c>
      <c r="U35" s="45">
        <v>6.5</v>
      </c>
      <c r="V35" s="45">
        <v>6.5</v>
      </c>
      <c r="W35" s="45">
        <v>6.5</v>
      </c>
      <c r="X35" s="45">
        <v>6.5</v>
      </c>
      <c r="Y35" s="45">
        <v>6.5</v>
      </c>
      <c r="Z35" s="45">
        <v>6.5</v>
      </c>
      <c r="AA35" s="45">
        <v>6.5</v>
      </c>
      <c r="AB35" s="45">
        <v>6.5</v>
      </c>
      <c r="AC35" s="45">
        <v>6.5</v>
      </c>
      <c r="AD35" s="45">
        <v>6.5</v>
      </c>
      <c r="AE35" s="45">
        <v>6.5</v>
      </c>
      <c r="AF35" s="45">
        <v>6.5</v>
      </c>
      <c r="AG35" s="49">
        <v>20</v>
      </c>
      <c r="AH35" s="47">
        <f t="shared" si="2"/>
        <v>6.5</v>
      </c>
      <c r="AI35" s="48">
        <f t="shared" si="3"/>
        <v>6.5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264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2"/>
        <v>4</v>
      </c>
      <c r="AI36" s="48">
        <f t="shared" si="3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5.5</v>
      </c>
      <c r="C37" s="45">
        <v>5.5</v>
      </c>
      <c r="D37" s="45">
        <v>5.5</v>
      </c>
      <c r="E37" s="45">
        <v>5.5</v>
      </c>
      <c r="F37" s="45">
        <v>5.5</v>
      </c>
      <c r="G37" s="45">
        <v>5.5</v>
      </c>
      <c r="H37" s="45">
        <v>5.5</v>
      </c>
      <c r="I37" s="45">
        <v>5.5</v>
      </c>
      <c r="J37" s="45">
        <v>5.5</v>
      </c>
      <c r="K37" s="45">
        <v>5.5</v>
      </c>
      <c r="L37" s="45">
        <v>5.5</v>
      </c>
      <c r="M37" s="45">
        <v>5.5</v>
      </c>
      <c r="N37" s="45">
        <v>5.5</v>
      </c>
      <c r="O37" s="45">
        <v>5.5</v>
      </c>
      <c r="P37" s="45">
        <v>5.5</v>
      </c>
      <c r="Q37" s="45">
        <v>5.5</v>
      </c>
      <c r="R37" s="45">
        <v>5.5</v>
      </c>
      <c r="S37" s="45">
        <v>5.5</v>
      </c>
      <c r="T37" s="45">
        <v>5.5</v>
      </c>
      <c r="U37" s="45">
        <v>5.5</v>
      </c>
      <c r="V37" s="45">
        <v>5.5</v>
      </c>
      <c r="W37" s="45">
        <v>5.5</v>
      </c>
      <c r="X37" s="45">
        <v>5.5</v>
      </c>
      <c r="Y37" s="45">
        <v>5.5</v>
      </c>
      <c r="Z37" s="45">
        <v>5.5</v>
      </c>
      <c r="AA37" s="45">
        <v>5.5</v>
      </c>
      <c r="AB37" s="45">
        <v>5.5</v>
      </c>
      <c r="AC37" s="45">
        <v>5.5</v>
      </c>
      <c r="AD37" s="45">
        <v>5.5</v>
      </c>
      <c r="AE37" s="45">
        <v>5.5</v>
      </c>
      <c r="AF37" s="45">
        <v>5.5</v>
      </c>
      <c r="AG37" s="49">
        <v>18</v>
      </c>
      <c r="AH37" s="47">
        <f t="shared" si="2"/>
        <v>5.5</v>
      </c>
      <c r="AI37" s="48">
        <f t="shared" si="3"/>
        <v>5.5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>
        <v>7.2</v>
      </c>
      <c r="N38" s="45">
        <v>7.2</v>
      </c>
      <c r="O38" s="45">
        <v>7.2</v>
      </c>
      <c r="P38" s="45">
        <v>7.2</v>
      </c>
      <c r="Q38" s="45">
        <v>7.2</v>
      </c>
      <c r="R38" s="45">
        <v>7.2</v>
      </c>
      <c r="S38" s="45">
        <v>7.2</v>
      </c>
      <c r="T38" s="45">
        <v>7.2</v>
      </c>
      <c r="U38" s="45">
        <v>7.2</v>
      </c>
      <c r="V38" s="45">
        <v>7.2</v>
      </c>
      <c r="W38" s="45">
        <v>7.2</v>
      </c>
      <c r="X38" s="45">
        <v>7.2</v>
      </c>
      <c r="Y38" s="45">
        <v>7.2</v>
      </c>
      <c r="Z38" s="45">
        <v>7.2</v>
      </c>
      <c r="AA38" s="45">
        <v>7.2</v>
      </c>
      <c r="AB38" s="45">
        <v>7.2</v>
      </c>
      <c r="AC38" s="45">
        <v>7.2</v>
      </c>
      <c r="AD38" s="45">
        <v>7.2</v>
      </c>
      <c r="AE38" s="45">
        <v>7.2</v>
      </c>
      <c r="AF38" s="45">
        <v>7.2</v>
      </c>
      <c r="AG38" s="49">
        <v>14.9</v>
      </c>
      <c r="AH38" s="47">
        <f t="shared" si="2"/>
        <v>7.2</v>
      </c>
      <c r="AI38" s="48">
        <f t="shared" si="3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265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2"/>
        <v>5</v>
      </c>
      <c r="AI40" s="48">
        <f t="shared" si="3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266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>
        <v>4</v>
      </c>
      <c r="N41" s="45">
        <v>4</v>
      </c>
      <c r="O41" s="45">
        <v>4</v>
      </c>
      <c r="P41" s="45">
        <v>4</v>
      </c>
      <c r="Q41" s="45">
        <v>4</v>
      </c>
      <c r="R41" s="45">
        <v>4</v>
      </c>
      <c r="S41" s="45">
        <v>4</v>
      </c>
      <c r="T41" s="45">
        <v>4</v>
      </c>
      <c r="U41" s="45">
        <v>4</v>
      </c>
      <c r="V41" s="45">
        <v>4</v>
      </c>
      <c r="W41" s="45">
        <v>4</v>
      </c>
      <c r="X41" s="45">
        <v>4</v>
      </c>
      <c r="Y41" s="45">
        <v>4</v>
      </c>
      <c r="Z41" s="45">
        <v>4</v>
      </c>
      <c r="AA41" s="45">
        <v>4</v>
      </c>
      <c r="AB41" s="45">
        <v>4</v>
      </c>
      <c r="AC41" s="45">
        <v>4</v>
      </c>
      <c r="AD41" s="45">
        <v>4</v>
      </c>
      <c r="AE41" s="45">
        <v>4</v>
      </c>
      <c r="AF41" s="45">
        <v>4</v>
      </c>
      <c r="AG41" s="49">
        <v>14.9</v>
      </c>
      <c r="AH41" s="47">
        <f t="shared" si="2"/>
        <v>4</v>
      </c>
      <c r="AI41" s="48">
        <f t="shared" si="3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2"/>
        <v>1.8</v>
      </c>
      <c r="AI42" s="48">
        <f t="shared" si="3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2"/>
        <v>3.8</v>
      </c>
      <c r="AI43" s="48">
        <f t="shared" si="3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4</v>
      </c>
      <c r="C44" s="45">
        <v>4</v>
      </c>
      <c r="D44" s="45">
        <v>4</v>
      </c>
      <c r="E44" s="45">
        <v>4</v>
      </c>
      <c r="F44" s="45">
        <v>4</v>
      </c>
      <c r="G44" s="45">
        <v>4</v>
      </c>
      <c r="H44" s="45">
        <v>4</v>
      </c>
      <c r="I44" s="45">
        <v>4</v>
      </c>
      <c r="J44" s="45">
        <v>4</v>
      </c>
      <c r="K44" s="45">
        <v>4</v>
      </c>
      <c r="L44" s="45">
        <v>4</v>
      </c>
      <c r="M44" s="45">
        <v>4</v>
      </c>
      <c r="N44" s="45">
        <v>4</v>
      </c>
      <c r="O44" s="45">
        <v>4</v>
      </c>
      <c r="P44" s="45">
        <v>4</v>
      </c>
      <c r="Q44" s="45">
        <v>4</v>
      </c>
      <c r="R44" s="45">
        <v>4</v>
      </c>
      <c r="S44" s="45">
        <v>4</v>
      </c>
      <c r="T44" s="45">
        <v>4</v>
      </c>
      <c r="U44" s="45">
        <v>4</v>
      </c>
      <c r="V44" s="45">
        <v>4</v>
      </c>
      <c r="W44" s="45">
        <v>4</v>
      </c>
      <c r="X44" s="45">
        <v>4</v>
      </c>
      <c r="Y44" s="45">
        <v>4</v>
      </c>
      <c r="Z44" s="45">
        <v>4</v>
      </c>
      <c r="AA44" s="45">
        <v>4</v>
      </c>
      <c r="AB44" s="45">
        <v>4</v>
      </c>
      <c r="AC44" s="45">
        <v>4</v>
      </c>
      <c r="AD44" s="45">
        <v>4</v>
      </c>
      <c r="AE44" s="45">
        <v>4</v>
      </c>
      <c r="AF44" s="45">
        <v>4</v>
      </c>
      <c r="AG44" s="49">
        <v>12</v>
      </c>
      <c r="AH44" s="47">
        <f t="shared" si="2"/>
        <v>4</v>
      </c>
      <c r="AI44" s="48">
        <f t="shared" si="3"/>
        <v>4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49">
        <v>12</v>
      </c>
      <c r="AH45" s="47">
        <f t="shared" si="2"/>
        <v>9</v>
      </c>
      <c r="AI45" s="48">
        <f t="shared" si="3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2"/>
        <v>3</v>
      </c>
      <c r="AI46" s="48">
        <f t="shared" si="3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2"/>
        <v>3.5</v>
      </c>
      <c r="AI47" s="48">
        <f t="shared" si="3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>
        <v>5</v>
      </c>
      <c r="N48" s="45">
        <v>5</v>
      </c>
      <c r="O48" s="45">
        <v>5</v>
      </c>
      <c r="P48" s="45">
        <v>5</v>
      </c>
      <c r="Q48" s="45">
        <v>5</v>
      </c>
      <c r="R48" s="45">
        <v>5</v>
      </c>
      <c r="S48" s="45">
        <v>5</v>
      </c>
      <c r="T48" s="45">
        <v>5</v>
      </c>
      <c r="U48" s="45">
        <v>5</v>
      </c>
      <c r="V48" s="45">
        <v>5</v>
      </c>
      <c r="W48" s="45">
        <v>5</v>
      </c>
      <c r="X48" s="45">
        <v>5</v>
      </c>
      <c r="Y48" s="45">
        <v>5</v>
      </c>
      <c r="Z48" s="45">
        <v>5</v>
      </c>
      <c r="AA48" s="45">
        <v>5</v>
      </c>
      <c r="AB48" s="45">
        <v>5</v>
      </c>
      <c r="AC48" s="45">
        <v>5</v>
      </c>
      <c r="AD48" s="45">
        <v>5</v>
      </c>
      <c r="AE48" s="45">
        <v>5</v>
      </c>
      <c r="AF48" s="45">
        <v>5</v>
      </c>
      <c r="AG48" s="52">
        <v>11.88</v>
      </c>
      <c r="AH48" s="47">
        <f t="shared" si="2"/>
        <v>5</v>
      </c>
      <c r="AI48" s="48">
        <f t="shared" si="3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>
        <v>3</v>
      </c>
      <c r="N49" s="45">
        <v>3</v>
      </c>
      <c r="O49" s="45">
        <v>3</v>
      </c>
      <c r="P49" s="45">
        <v>3</v>
      </c>
      <c r="Q49" s="45">
        <v>3</v>
      </c>
      <c r="R49" s="45">
        <v>3</v>
      </c>
      <c r="S49" s="45">
        <v>3</v>
      </c>
      <c r="T49" s="45">
        <v>3</v>
      </c>
      <c r="U49" s="45">
        <v>3</v>
      </c>
      <c r="V49" s="45">
        <v>3</v>
      </c>
      <c r="W49" s="45">
        <v>3</v>
      </c>
      <c r="X49" s="45">
        <v>3</v>
      </c>
      <c r="Y49" s="45">
        <v>3</v>
      </c>
      <c r="Z49" s="45">
        <v>3</v>
      </c>
      <c r="AA49" s="45">
        <v>3</v>
      </c>
      <c r="AB49" s="45">
        <v>3</v>
      </c>
      <c r="AC49" s="45">
        <v>3</v>
      </c>
      <c r="AD49" s="45">
        <v>3</v>
      </c>
      <c r="AE49" s="45">
        <v>3</v>
      </c>
      <c r="AF49" s="45">
        <v>3</v>
      </c>
      <c r="AG49" s="55">
        <v>11</v>
      </c>
      <c r="AH49" s="47">
        <f t="shared" si="2"/>
        <v>3</v>
      </c>
      <c r="AI49" s="48">
        <f t="shared" si="3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267</v>
      </c>
      <c r="B50" s="45">
        <v>3.3</v>
      </c>
      <c r="C50" s="45">
        <v>3.3</v>
      </c>
      <c r="D50" s="45">
        <v>3.3</v>
      </c>
      <c r="E50" s="45">
        <v>3.3</v>
      </c>
      <c r="F50" s="45">
        <v>3.3</v>
      </c>
      <c r="G50" s="45">
        <v>3.3</v>
      </c>
      <c r="H50" s="45">
        <v>3.3</v>
      </c>
      <c r="I50" s="45">
        <v>3.3</v>
      </c>
      <c r="J50" s="45">
        <v>3.3</v>
      </c>
      <c r="K50" s="45">
        <v>3.3</v>
      </c>
      <c r="L50" s="45">
        <v>3.3</v>
      </c>
      <c r="M50" s="45">
        <v>3.3</v>
      </c>
      <c r="N50" s="45">
        <v>3.3</v>
      </c>
      <c r="O50" s="45">
        <v>3.3</v>
      </c>
      <c r="P50" s="45">
        <v>3.3</v>
      </c>
      <c r="Q50" s="45">
        <v>3.3</v>
      </c>
      <c r="R50" s="45">
        <v>3.3</v>
      </c>
      <c r="S50" s="45">
        <v>3.3</v>
      </c>
      <c r="T50" s="45">
        <v>3.3</v>
      </c>
      <c r="U50" s="45">
        <v>3.3</v>
      </c>
      <c r="V50" s="45">
        <v>3.3</v>
      </c>
      <c r="W50" s="45">
        <v>3.3</v>
      </c>
      <c r="X50" s="45">
        <v>3.3</v>
      </c>
      <c r="Y50" s="45">
        <v>3.3</v>
      </c>
      <c r="Z50" s="45">
        <v>3.3</v>
      </c>
      <c r="AA50" s="45">
        <v>3.3</v>
      </c>
      <c r="AB50" s="45">
        <v>3.3</v>
      </c>
      <c r="AC50" s="45">
        <v>3.3</v>
      </c>
      <c r="AD50" s="45">
        <v>3.3</v>
      </c>
      <c r="AE50" s="45">
        <v>3.3</v>
      </c>
      <c r="AF50" s="45">
        <v>3.3</v>
      </c>
      <c r="AG50" s="55">
        <v>11</v>
      </c>
      <c r="AH50" s="47">
        <f t="shared" si="2"/>
        <v>3.3</v>
      </c>
      <c r="AI50" s="48">
        <f t="shared" si="3"/>
        <v>3.3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268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"/>
        <v>3</v>
      </c>
      <c r="AI51" s="48">
        <f t="shared" si="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2"/>
        <v>4</v>
      </c>
      <c r="AI52" s="48">
        <f t="shared" si="3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"/>
        <v>4.5</v>
      </c>
      <c r="AI53" s="48">
        <f t="shared" si="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269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"/>
        <v>0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175</v>
      </c>
      <c r="C56" s="57">
        <v>175</v>
      </c>
      <c r="D56" s="57">
        <v>175</v>
      </c>
      <c r="E56" s="57">
        <v>175</v>
      </c>
      <c r="F56" s="57">
        <v>175</v>
      </c>
      <c r="G56" s="57">
        <v>175</v>
      </c>
      <c r="H56" s="57">
        <v>175</v>
      </c>
      <c r="I56" s="57">
        <v>175</v>
      </c>
      <c r="J56" s="57">
        <v>175</v>
      </c>
      <c r="K56" s="57">
        <v>175</v>
      </c>
      <c r="L56" s="57">
        <v>175</v>
      </c>
      <c r="M56" s="57">
        <v>175</v>
      </c>
      <c r="N56" s="57">
        <v>175</v>
      </c>
      <c r="O56" s="57">
        <v>175</v>
      </c>
      <c r="P56" s="57">
        <v>175</v>
      </c>
      <c r="Q56" s="57">
        <v>175</v>
      </c>
      <c r="R56" s="57">
        <v>175</v>
      </c>
      <c r="S56" s="57">
        <v>175</v>
      </c>
      <c r="T56" s="57">
        <v>175</v>
      </c>
      <c r="U56" s="57">
        <v>175</v>
      </c>
      <c r="V56" s="57">
        <v>175</v>
      </c>
      <c r="W56" s="57">
        <v>175</v>
      </c>
      <c r="X56" s="57">
        <v>175</v>
      </c>
      <c r="Y56" s="57">
        <v>175</v>
      </c>
      <c r="Z56" s="57">
        <v>175</v>
      </c>
      <c r="AA56" s="57">
        <v>175</v>
      </c>
      <c r="AB56" s="57">
        <v>175</v>
      </c>
      <c r="AC56" s="57">
        <v>175</v>
      </c>
      <c r="AD56" s="57">
        <v>175</v>
      </c>
      <c r="AE56" s="57">
        <v>175</v>
      </c>
      <c r="AF56" s="57">
        <v>175</v>
      </c>
      <c r="AG56" s="55">
        <v>85</v>
      </c>
      <c r="AH56" s="47">
        <f t="shared" si="2"/>
        <v>175</v>
      </c>
      <c r="AI56" s="48">
        <f t="shared" si="3"/>
        <v>175</v>
      </c>
      <c r="AK56" s="50"/>
    </row>
    <row r="57" spans="1:88" ht="15.75" thickBot="1" x14ac:dyDescent="0.3">
      <c r="A57" s="58" t="s">
        <v>57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1"/>
      <c r="T57" s="51"/>
      <c r="U57" s="51"/>
      <c r="V57" s="51"/>
      <c r="W57" s="51"/>
      <c r="X57" s="57"/>
      <c r="Y57" s="57"/>
      <c r="Z57" s="57"/>
      <c r="AA57" s="57"/>
      <c r="AB57" s="57"/>
      <c r="AC57" s="57"/>
      <c r="AD57" s="57"/>
      <c r="AE57" s="57"/>
      <c r="AF57" s="57"/>
      <c r="AG57" s="55">
        <v>240</v>
      </c>
      <c r="AH57" s="47">
        <f t="shared" si="2"/>
        <v>0</v>
      </c>
      <c r="AI57" s="48">
        <f t="shared" si="3"/>
        <v>0</v>
      </c>
      <c r="AK57" s="50"/>
    </row>
    <row r="58" spans="1:88" ht="15.75" thickBot="1" x14ac:dyDescent="0.3">
      <c r="A58" s="59" t="s">
        <v>58</v>
      </c>
      <c r="B58" s="60">
        <f t="shared" ref="B58:AF58" si="4">SUM(B11:B56)</f>
        <v>545.90000000000009</v>
      </c>
      <c r="C58" s="60">
        <f t="shared" si="4"/>
        <v>549.5</v>
      </c>
      <c r="D58" s="60">
        <f t="shared" si="4"/>
        <v>549.5</v>
      </c>
      <c r="E58" s="60">
        <f t="shared" ref="E58:F58" si="5">SUM(E11:E56)</f>
        <v>549.5</v>
      </c>
      <c r="F58" s="60">
        <f t="shared" si="5"/>
        <v>549.5</v>
      </c>
      <c r="G58" s="60">
        <f t="shared" ref="G58" si="6">SUM(G11:G56)</f>
        <v>549.5</v>
      </c>
      <c r="H58" s="60">
        <f t="shared" si="4"/>
        <v>549.5</v>
      </c>
      <c r="I58" s="60">
        <f t="shared" si="4"/>
        <v>547.5</v>
      </c>
      <c r="J58" s="60">
        <f t="shared" si="4"/>
        <v>547.5</v>
      </c>
      <c r="K58" s="60">
        <f t="shared" ref="K58:L58" si="7">SUM(K11:K56)</f>
        <v>547.5</v>
      </c>
      <c r="L58" s="60">
        <f t="shared" si="7"/>
        <v>547.5</v>
      </c>
      <c r="M58" s="60">
        <f t="shared" ref="M58:N58" si="8">SUM(M11:M56)</f>
        <v>542.40000000000009</v>
      </c>
      <c r="N58" s="60">
        <f t="shared" si="8"/>
        <v>544.70000000000005</v>
      </c>
      <c r="O58" s="60">
        <f t="shared" ref="O58:P58" si="9">SUM(O11:O56)</f>
        <v>542.5</v>
      </c>
      <c r="P58" s="60">
        <f t="shared" si="9"/>
        <v>538.79999999999995</v>
      </c>
      <c r="Q58" s="60">
        <f t="shared" ref="Q58:R58" si="10">SUM(Q11:Q56)</f>
        <v>541.20000000000005</v>
      </c>
      <c r="R58" s="60">
        <f t="shared" si="10"/>
        <v>541.20000000000005</v>
      </c>
      <c r="S58" s="60">
        <f t="shared" si="4"/>
        <v>539.5</v>
      </c>
      <c r="T58" s="60">
        <f t="shared" si="4"/>
        <v>539.80000000000007</v>
      </c>
      <c r="U58" s="60">
        <f t="shared" si="4"/>
        <v>539.80000000000007</v>
      </c>
      <c r="V58" s="60">
        <f t="shared" si="4"/>
        <v>540.40000000000009</v>
      </c>
      <c r="W58" s="60">
        <f t="shared" si="4"/>
        <v>540.40000000000009</v>
      </c>
      <c r="X58" s="60">
        <v>540.40000000000009</v>
      </c>
      <c r="Y58" s="60">
        <f t="shared" si="4"/>
        <v>539.1</v>
      </c>
      <c r="Z58" s="60">
        <f t="shared" si="4"/>
        <v>539.40000000000009</v>
      </c>
      <c r="AA58" s="60">
        <f t="shared" si="4"/>
        <v>539.40000000000009</v>
      </c>
      <c r="AB58" s="60">
        <f t="shared" si="4"/>
        <v>539.80000000000007</v>
      </c>
      <c r="AC58" s="60">
        <f t="shared" si="4"/>
        <v>539.80000000000007</v>
      </c>
      <c r="AD58" s="60">
        <f t="shared" si="4"/>
        <v>539.80000000000007</v>
      </c>
      <c r="AE58" s="60">
        <f t="shared" si="4"/>
        <v>539.80000000000007</v>
      </c>
      <c r="AF58" s="60">
        <f t="shared" si="4"/>
        <v>539.80000000000007</v>
      </c>
      <c r="AG58" s="61">
        <f>SUM(AG14:AG56)</f>
        <v>1042.4000000000001</v>
      </c>
      <c r="AH58" s="47">
        <f t="shared" si="2"/>
        <v>549.5</v>
      </c>
      <c r="AI58" s="48">
        <f t="shared" si="3"/>
        <v>538.79999999999995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400</v>
      </c>
      <c r="M59" s="45">
        <v>400</v>
      </c>
      <c r="N59" s="45">
        <v>360</v>
      </c>
      <c r="O59" s="45">
        <v>200</v>
      </c>
      <c r="P59" s="45">
        <v>90</v>
      </c>
      <c r="Q59" s="45">
        <v>0</v>
      </c>
      <c r="R59" s="45">
        <v>0</v>
      </c>
      <c r="S59" s="45">
        <v>0</v>
      </c>
      <c r="T59" s="45">
        <v>0</v>
      </c>
      <c r="U59" s="45">
        <v>0</v>
      </c>
      <c r="V59" s="45">
        <v>250</v>
      </c>
      <c r="W59" s="45">
        <v>250</v>
      </c>
      <c r="X59" s="45">
        <v>325</v>
      </c>
      <c r="Y59" s="45">
        <v>265</v>
      </c>
      <c r="Z59" s="45">
        <v>100</v>
      </c>
      <c r="AA59" s="45">
        <v>100</v>
      </c>
      <c r="AB59" s="45">
        <v>100</v>
      </c>
      <c r="AC59" s="45">
        <v>100</v>
      </c>
      <c r="AD59" s="45">
        <v>100</v>
      </c>
      <c r="AE59" s="45">
        <v>0</v>
      </c>
      <c r="AF59" s="45">
        <v>0</v>
      </c>
      <c r="AG59" s="52">
        <v>456</v>
      </c>
      <c r="AH59" s="47">
        <f t="shared" si="2"/>
        <v>400</v>
      </c>
      <c r="AI59" s="48">
        <f t="shared" si="3"/>
        <v>0</v>
      </c>
      <c r="AK59" s="50"/>
    </row>
    <row r="60" spans="1:88" x14ac:dyDescent="0.25">
      <c r="A60" s="64" t="s">
        <v>60</v>
      </c>
      <c r="B60" s="65">
        <v>36</v>
      </c>
      <c r="C60" s="65">
        <v>36</v>
      </c>
      <c r="D60" s="65">
        <v>36</v>
      </c>
      <c r="E60" s="65">
        <v>36</v>
      </c>
      <c r="F60" s="65">
        <v>36</v>
      </c>
      <c r="G60" s="65">
        <v>36</v>
      </c>
      <c r="H60" s="65">
        <v>36</v>
      </c>
      <c r="I60" s="65">
        <v>36</v>
      </c>
      <c r="J60" s="65">
        <v>36</v>
      </c>
      <c r="K60" s="65">
        <v>36</v>
      </c>
      <c r="L60" s="65">
        <v>36</v>
      </c>
      <c r="M60" s="65">
        <v>36</v>
      </c>
      <c r="N60" s="65">
        <v>36</v>
      </c>
      <c r="O60" s="65">
        <v>36</v>
      </c>
      <c r="P60" s="65">
        <v>36</v>
      </c>
      <c r="Q60" s="65">
        <v>36</v>
      </c>
      <c r="R60" s="65">
        <v>36</v>
      </c>
      <c r="S60" s="65">
        <v>36</v>
      </c>
      <c r="T60" s="65">
        <v>36</v>
      </c>
      <c r="U60" s="65">
        <v>36</v>
      </c>
      <c r="V60" s="65">
        <v>36</v>
      </c>
      <c r="W60" s="65">
        <v>36</v>
      </c>
      <c r="X60" s="65">
        <v>36</v>
      </c>
      <c r="Y60" s="65">
        <v>36</v>
      </c>
      <c r="Z60" s="65">
        <v>36</v>
      </c>
      <c r="AA60" s="65">
        <v>36</v>
      </c>
      <c r="AB60" s="65">
        <v>36</v>
      </c>
      <c r="AC60" s="65">
        <v>36</v>
      </c>
      <c r="AD60" s="65">
        <v>36</v>
      </c>
      <c r="AE60" s="65">
        <v>36</v>
      </c>
      <c r="AF60" s="65">
        <v>36</v>
      </c>
      <c r="AG60" s="55">
        <v>60</v>
      </c>
      <c r="AH60" s="47">
        <f t="shared" si="2"/>
        <v>36</v>
      </c>
      <c r="AI60" s="48">
        <f t="shared" si="3"/>
        <v>36</v>
      </c>
      <c r="AK60" s="50"/>
    </row>
    <row r="61" spans="1:88" ht="15.75" thickBot="1" x14ac:dyDescent="0.3">
      <c r="A61" s="66" t="s">
        <v>61</v>
      </c>
      <c r="B61" s="67">
        <v>11.2</v>
      </c>
      <c r="C61" s="67">
        <v>12</v>
      </c>
      <c r="D61" s="67">
        <v>11.2</v>
      </c>
      <c r="E61" s="67">
        <v>12.2</v>
      </c>
      <c r="F61" s="67">
        <v>12.2</v>
      </c>
      <c r="G61" s="67">
        <v>12.2</v>
      </c>
      <c r="H61" s="67">
        <v>12.2</v>
      </c>
      <c r="I61" s="67">
        <v>12.2</v>
      </c>
      <c r="J61" s="67">
        <v>12.2</v>
      </c>
      <c r="K61" s="67">
        <v>12.2</v>
      </c>
      <c r="L61" s="67">
        <v>12.2</v>
      </c>
      <c r="M61" s="67">
        <v>12.2</v>
      </c>
      <c r="N61" s="67">
        <v>12.2</v>
      </c>
      <c r="O61" s="67">
        <v>12.2</v>
      </c>
      <c r="P61" s="67">
        <v>11.2</v>
      </c>
      <c r="Q61" s="67">
        <v>11.2</v>
      </c>
      <c r="R61" s="67">
        <v>11.2</v>
      </c>
      <c r="S61" s="67">
        <v>11.2</v>
      </c>
      <c r="T61" s="67">
        <v>10.199999999999999</v>
      </c>
      <c r="U61" s="67">
        <v>10.199999999999999</v>
      </c>
      <c r="V61" s="67">
        <v>10.199999999999999</v>
      </c>
      <c r="W61" s="67">
        <v>10.3</v>
      </c>
      <c r="X61" s="67">
        <v>10.3</v>
      </c>
      <c r="Y61" s="67">
        <v>16.2</v>
      </c>
      <c r="Z61" s="67">
        <v>16.100000000000001</v>
      </c>
      <c r="AA61" s="67">
        <v>16.100000000000001</v>
      </c>
      <c r="AB61" s="67">
        <v>16.100000000000001</v>
      </c>
      <c r="AC61" s="67">
        <v>16.100000000000001</v>
      </c>
      <c r="AD61" s="67">
        <v>16.100000000000001</v>
      </c>
      <c r="AE61" s="67">
        <v>16</v>
      </c>
      <c r="AF61" s="67">
        <v>16</v>
      </c>
      <c r="AG61" s="68">
        <v>22.1</v>
      </c>
      <c r="AH61" s="47">
        <f t="shared" si="2"/>
        <v>16.2</v>
      </c>
      <c r="AI61" s="48">
        <f t="shared" si="3"/>
        <v>10.199999999999999</v>
      </c>
      <c r="AK61" s="50"/>
    </row>
    <row r="62" spans="1:88" ht="15.75" thickBot="1" x14ac:dyDescent="0.3">
      <c r="A62" s="69" t="s">
        <v>62</v>
      </c>
      <c r="B62" s="60">
        <f t="shared" ref="B62:AG62" si="11">SUM(B59:B61)</f>
        <v>47.2</v>
      </c>
      <c r="C62" s="60">
        <f t="shared" si="11"/>
        <v>48</v>
      </c>
      <c r="D62" s="60">
        <f t="shared" si="11"/>
        <v>47.2</v>
      </c>
      <c r="E62" s="60">
        <f t="shared" ref="E62:F62" si="12">SUM(E59:E61)</f>
        <v>48.2</v>
      </c>
      <c r="F62" s="60">
        <f t="shared" si="12"/>
        <v>48.2</v>
      </c>
      <c r="G62" s="60">
        <f t="shared" si="11"/>
        <v>48.2</v>
      </c>
      <c r="H62" s="60">
        <f t="shared" si="11"/>
        <v>48.2</v>
      </c>
      <c r="I62" s="60">
        <f t="shared" si="11"/>
        <v>48.2</v>
      </c>
      <c r="J62" s="60">
        <f t="shared" si="11"/>
        <v>48.2</v>
      </c>
      <c r="K62" s="60">
        <f t="shared" si="11"/>
        <v>48.2</v>
      </c>
      <c r="L62" s="60">
        <f t="shared" si="11"/>
        <v>448.2</v>
      </c>
      <c r="M62" s="60">
        <f t="shared" ref="M62:N62" si="13">SUM(M59:M61)</f>
        <v>448.2</v>
      </c>
      <c r="N62" s="60">
        <f t="shared" si="13"/>
        <v>408.2</v>
      </c>
      <c r="O62" s="60">
        <f t="shared" ref="O62:P62" si="14">SUM(O59:O61)</f>
        <v>248.2</v>
      </c>
      <c r="P62" s="60">
        <f t="shared" si="14"/>
        <v>137.19999999999999</v>
      </c>
      <c r="Q62" s="60">
        <f t="shared" ref="Q62:R62" si="15">SUM(Q59:Q61)</f>
        <v>47.2</v>
      </c>
      <c r="R62" s="60">
        <f t="shared" si="15"/>
        <v>47.2</v>
      </c>
      <c r="S62" s="60">
        <f t="shared" si="11"/>
        <v>47.2</v>
      </c>
      <c r="T62" s="60">
        <f t="shared" si="11"/>
        <v>46.2</v>
      </c>
      <c r="U62" s="60">
        <f t="shared" si="11"/>
        <v>46.2</v>
      </c>
      <c r="V62" s="60">
        <f t="shared" si="11"/>
        <v>296.2</v>
      </c>
      <c r="W62" s="60">
        <f t="shared" si="11"/>
        <v>296.3</v>
      </c>
      <c r="X62" s="60">
        <v>296.3</v>
      </c>
      <c r="Y62" s="60">
        <f t="shared" si="11"/>
        <v>317.2</v>
      </c>
      <c r="Z62" s="60">
        <f t="shared" si="11"/>
        <v>152.1</v>
      </c>
      <c r="AA62" s="60">
        <f t="shared" si="11"/>
        <v>152.1</v>
      </c>
      <c r="AB62" s="60">
        <f t="shared" si="11"/>
        <v>152.1</v>
      </c>
      <c r="AC62" s="60">
        <f t="shared" si="11"/>
        <v>152.1</v>
      </c>
      <c r="AD62" s="60">
        <f t="shared" si="11"/>
        <v>152.1</v>
      </c>
      <c r="AE62" s="60">
        <f t="shared" si="11"/>
        <v>52</v>
      </c>
      <c r="AF62" s="60">
        <f t="shared" si="11"/>
        <v>52</v>
      </c>
      <c r="AG62" s="61">
        <f t="shared" si="11"/>
        <v>538.1</v>
      </c>
      <c r="AH62" s="47">
        <f t="shared" si="2"/>
        <v>448.2</v>
      </c>
      <c r="AI62" s="48">
        <f t="shared" si="3"/>
        <v>46.2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30</v>
      </c>
      <c r="I63" s="45">
        <v>60</v>
      </c>
      <c r="J63" s="45">
        <v>136.30000000000001</v>
      </c>
      <c r="K63" s="45">
        <v>136.30000000000001</v>
      </c>
      <c r="L63" s="45">
        <v>137.19999999999999</v>
      </c>
      <c r="M63" s="45">
        <v>144</v>
      </c>
      <c r="N63" s="45">
        <v>122.3</v>
      </c>
      <c r="O63" s="45">
        <v>121.6</v>
      </c>
      <c r="P63" s="45">
        <v>122.5</v>
      </c>
      <c r="Q63" s="45">
        <v>100</v>
      </c>
      <c r="R63" s="45">
        <v>71.400000000000006</v>
      </c>
      <c r="S63" s="45">
        <v>36</v>
      </c>
      <c r="T63" s="45">
        <v>36.1</v>
      </c>
      <c r="U63" s="45">
        <v>30.7</v>
      </c>
      <c r="V63" s="45">
        <v>63.1</v>
      </c>
      <c r="W63" s="45">
        <v>63.1</v>
      </c>
      <c r="X63" s="45">
        <v>116.6</v>
      </c>
      <c r="Y63" s="45">
        <v>140.69999999999999</v>
      </c>
      <c r="Z63" s="45">
        <v>140.9</v>
      </c>
      <c r="AA63" s="45">
        <v>129.80000000000001</v>
      </c>
      <c r="AB63" s="45">
        <v>87.7</v>
      </c>
      <c r="AC63" s="45">
        <v>87.7</v>
      </c>
      <c r="AD63" s="45">
        <v>48</v>
      </c>
      <c r="AE63" s="45">
        <v>49</v>
      </c>
      <c r="AF63" s="45">
        <v>30</v>
      </c>
      <c r="AG63" s="52">
        <v>144</v>
      </c>
      <c r="AH63" s="47">
        <f t="shared" si="2"/>
        <v>144</v>
      </c>
      <c r="AI63" s="48">
        <f t="shared" si="3"/>
        <v>0</v>
      </c>
      <c r="AK63" s="50"/>
    </row>
    <row r="64" spans="1:88" x14ac:dyDescent="0.25">
      <c r="A64" s="54" t="s">
        <v>64</v>
      </c>
      <c r="B64" s="65">
        <v>25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25</v>
      </c>
      <c r="J64" s="65">
        <v>34.299999999999997</v>
      </c>
      <c r="K64" s="65">
        <v>34.299999999999997</v>
      </c>
      <c r="L64" s="65">
        <v>51.5</v>
      </c>
      <c r="M64" s="65">
        <v>70.099999999999994</v>
      </c>
      <c r="N64" s="65">
        <v>58.9</v>
      </c>
      <c r="O64" s="65">
        <v>70.7</v>
      </c>
      <c r="P64" s="65">
        <v>70.7</v>
      </c>
      <c r="Q64" s="65">
        <v>35.5</v>
      </c>
      <c r="R64" s="65">
        <v>26.3</v>
      </c>
      <c r="S64" s="45">
        <v>24.6</v>
      </c>
      <c r="T64" s="45">
        <v>25.7</v>
      </c>
      <c r="U64" s="45">
        <v>25.7</v>
      </c>
      <c r="V64" s="45">
        <v>24.9</v>
      </c>
      <c r="W64" s="45">
        <v>47.4</v>
      </c>
      <c r="X64" s="45">
        <v>67.099999999999994</v>
      </c>
      <c r="Y64" s="45">
        <v>66.7</v>
      </c>
      <c r="Z64" s="45">
        <v>67.900000000000006</v>
      </c>
      <c r="AA64" s="45">
        <v>46.8</v>
      </c>
      <c r="AB64" s="45">
        <v>23</v>
      </c>
      <c r="AC64" s="45">
        <v>23</v>
      </c>
      <c r="AD64" s="45">
        <v>25</v>
      </c>
      <c r="AE64" s="45">
        <v>23.5</v>
      </c>
      <c r="AF64" s="45">
        <v>26</v>
      </c>
      <c r="AG64" s="55">
        <v>70</v>
      </c>
      <c r="AH64" s="47">
        <f t="shared" si="2"/>
        <v>70.7</v>
      </c>
      <c r="AI64" s="48">
        <f t="shared" si="3"/>
        <v>0</v>
      </c>
      <c r="AK64" s="50"/>
    </row>
    <row r="65" spans="1:75" x14ac:dyDescent="0.25">
      <c r="A65" s="54" t="s">
        <v>65</v>
      </c>
      <c r="B65" s="65">
        <v>23</v>
      </c>
      <c r="C65" s="65">
        <v>23</v>
      </c>
      <c r="D65" s="65">
        <v>16</v>
      </c>
      <c r="E65" s="65">
        <v>16</v>
      </c>
      <c r="F65" s="65">
        <v>16</v>
      </c>
      <c r="G65" s="65">
        <v>16</v>
      </c>
      <c r="H65" s="65">
        <v>16</v>
      </c>
      <c r="I65" s="65">
        <v>46</v>
      </c>
      <c r="J65" s="65">
        <v>69.5</v>
      </c>
      <c r="K65" s="65">
        <v>61.5</v>
      </c>
      <c r="L65" s="65">
        <v>69</v>
      </c>
      <c r="M65" s="65">
        <v>67.099999999999994</v>
      </c>
      <c r="N65" s="65">
        <v>67.3</v>
      </c>
      <c r="O65" s="65">
        <v>66.5</v>
      </c>
      <c r="P65" s="65">
        <v>66.900000000000006</v>
      </c>
      <c r="Q65" s="65">
        <v>36.4</v>
      </c>
      <c r="R65" s="65">
        <v>16.600000000000001</v>
      </c>
      <c r="S65" s="45">
        <v>15.6</v>
      </c>
      <c r="T65" s="45">
        <v>21.8</v>
      </c>
      <c r="U65" s="45">
        <v>21.8</v>
      </c>
      <c r="V65" s="45">
        <v>21.9</v>
      </c>
      <c r="W65" s="45">
        <v>42.5</v>
      </c>
      <c r="X65" s="45">
        <v>67.400000000000006</v>
      </c>
      <c r="Y65" s="45">
        <v>67.7</v>
      </c>
      <c r="Z65" s="45">
        <v>67.7</v>
      </c>
      <c r="AA65" s="45">
        <v>67.400000000000006</v>
      </c>
      <c r="AB65" s="45">
        <v>67.400000000000006</v>
      </c>
      <c r="AC65" s="45">
        <v>67.400000000000006</v>
      </c>
      <c r="AD65" s="45">
        <v>52</v>
      </c>
      <c r="AE65" s="45">
        <v>52</v>
      </c>
      <c r="AF65" s="45">
        <v>34</v>
      </c>
      <c r="AG65" s="55">
        <v>69</v>
      </c>
      <c r="AH65" s="47">
        <f t="shared" si="2"/>
        <v>69.5</v>
      </c>
      <c r="AI65" s="48">
        <f t="shared" si="3"/>
        <v>15.6</v>
      </c>
      <c r="AK65" s="50"/>
    </row>
    <row r="66" spans="1:75" x14ac:dyDescent="0.25">
      <c r="A66" s="54" t="s">
        <v>66</v>
      </c>
      <c r="B66" s="65">
        <v>46</v>
      </c>
      <c r="C66" s="65">
        <v>46</v>
      </c>
      <c r="D66" s="65">
        <v>46</v>
      </c>
      <c r="E66" s="65">
        <v>46</v>
      </c>
      <c r="F66" s="65">
        <v>46</v>
      </c>
      <c r="G66" s="65">
        <v>46</v>
      </c>
      <c r="H66" s="65">
        <v>46</v>
      </c>
      <c r="I66" s="65">
        <v>47.1</v>
      </c>
      <c r="J66" s="65">
        <v>47.2</v>
      </c>
      <c r="K66" s="65">
        <v>47.2</v>
      </c>
      <c r="L66" s="65">
        <v>47.2</v>
      </c>
      <c r="M66" s="65">
        <v>48.6</v>
      </c>
      <c r="N66" s="65">
        <v>48.3</v>
      </c>
      <c r="O66" s="65">
        <v>48.3</v>
      </c>
      <c r="P66" s="65">
        <v>46.1</v>
      </c>
      <c r="Q66" s="65">
        <v>46.1</v>
      </c>
      <c r="R66" s="65">
        <v>46.1</v>
      </c>
      <c r="S66" s="45">
        <v>46.1</v>
      </c>
      <c r="T66" s="45">
        <v>46.1</v>
      </c>
      <c r="U66" s="45">
        <v>46.1</v>
      </c>
      <c r="V66" s="45">
        <v>44.3</v>
      </c>
      <c r="W66" s="45">
        <v>44.3</v>
      </c>
      <c r="X66" s="45">
        <v>44.3</v>
      </c>
      <c r="Y66" s="45">
        <v>44.3</v>
      </c>
      <c r="Z66" s="45">
        <v>44.3</v>
      </c>
      <c r="AA66" s="45">
        <v>44.3</v>
      </c>
      <c r="AB66" s="45">
        <v>40</v>
      </c>
      <c r="AC66" s="45">
        <v>40</v>
      </c>
      <c r="AD66" s="45">
        <v>40</v>
      </c>
      <c r="AE66" s="45">
        <v>40</v>
      </c>
      <c r="AF66" s="45">
        <v>40</v>
      </c>
      <c r="AG66" s="55">
        <v>60</v>
      </c>
      <c r="AH66" s="47">
        <f t="shared" si="2"/>
        <v>48.6</v>
      </c>
      <c r="AI66" s="48">
        <f t="shared" si="3"/>
        <v>40</v>
      </c>
      <c r="AK66" s="50"/>
    </row>
    <row r="67" spans="1:75" x14ac:dyDescent="0.25">
      <c r="A67" s="54" t="s">
        <v>67</v>
      </c>
      <c r="B67" s="65">
        <v>0</v>
      </c>
      <c r="C67" s="65">
        <v>0</v>
      </c>
      <c r="D67" s="65">
        <v>0</v>
      </c>
      <c r="E67" s="65">
        <v>0</v>
      </c>
      <c r="F67" s="65">
        <v>0</v>
      </c>
      <c r="G67" s="65">
        <v>10</v>
      </c>
      <c r="H67" s="65">
        <v>10</v>
      </c>
      <c r="I67" s="65">
        <v>15</v>
      </c>
      <c r="J67" s="65">
        <v>15</v>
      </c>
      <c r="K67" s="65">
        <v>27</v>
      </c>
      <c r="L67" s="65">
        <v>27</v>
      </c>
      <c r="M67" s="65">
        <v>27</v>
      </c>
      <c r="N67" s="65">
        <v>27</v>
      </c>
      <c r="O67" s="65">
        <v>23</v>
      </c>
      <c r="P67" s="65">
        <v>10</v>
      </c>
      <c r="Q67" s="65">
        <v>10</v>
      </c>
      <c r="R67" s="65">
        <v>10</v>
      </c>
      <c r="S67" s="45">
        <v>10</v>
      </c>
      <c r="T67" s="45">
        <v>10</v>
      </c>
      <c r="U67" s="45">
        <v>0</v>
      </c>
      <c r="V67" s="45">
        <v>0</v>
      </c>
      <c r="W67" s="45">
        <v>0</v>
      </c>
      <c r="X67" s="45">
        <v>10</v>
      </c>
      <c r="Y67" s="45">
        <v>15</v>
      </c>
      <c r="Z67" s="45">
        <v>15</v>
      </c>
      <c r="AA67" s="45">
        <v>15</v>
      </c>
      <c r="AB67" s="45">
        <v>23</v>
      </c>
      <c r="AC67" s="45">
        <v>23</v>
      </c>
      <c r="AD67" s="45">
        <v>23</v>
      </c>
      <c r="AE67" s="45">
        <v>15</v>
      </c>
      <c r="AF67" s="45">
        <v>0</v>
      </c>
      <c r="AG67" s="55">
        <v>30</v>
      </c>
      <c r="AH67" s="47">
        <f t="shared" si="2"/>
        <v>27</v>
      </c>
      <c r="AI67" s="48">
        <f t="shared" si="3"/>
        <v>0</v>
      </c>
      <c r="AK67" s="50"/>
      <c r="AZ67" s="251">
        <v>1</v>
      </c>
      <c r="BA67" s="251">
        <v>2</v>
      </c>
      <c r="BB67" s="251">
        <v>3</v>
      </c>
      <c r="BC67" s="251">
        <v>4</v>
      </c>
      <c r="BD67" s="251">
        <v>5</v>
      </c>
      <c r="BE67" s="251">
        <v>6</v>
      </c>
      <c r="BF67" s="251">
        <v>7</v>
      </c>
      <c r="BG67" s="251">
        <v>8</v>
      </c>
      <c r="BH67" s="251">
        <v>9</v>
      </c>
      <c r="BI67" s="251">
        <v>10</v>
      </c>
      <c r="BJ67" s="251">
        <v>11</v>
      </c>
      <c r="BK67" s="251">
        <v>12</v>
      </c>
      <c r="BL67" s="251">
        <v>13</v>
      </c>
      <c r="BM67" s="251">
        <v>14</v>
      </c>
      <c r="BN67" s="251">
        <v>15</v>
      </c>
      <c r="BO67" s="251">
        <v>16</v>
      </c>
      <c r="BP67" s="251">
        <v>17</v>
      </c>
      <c r="BQ67" s="251">
        <v>18</v>
      </c>
      <c r="BR67" s="251">
        <v>19</v>
      </c>
      <c r="BS67" s="251">
        <v>20</v>
      </c>
      <c r="BT67" s="251">
        <v>21</v>
      </c>
      <c r="BU67" s="251">
        <v>22</v>
      </c>
      <c r="BV67" s="251">
        <v>23</v>
      </c>
      <c r="BW67" s="251">
        <v>24</v>
      </c>
    </row>
    <row r="68" spans="1:75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</v>
      </c>
      <c r="M68" s="45">
        <v>1.3</v>
      </c>
      <c r="N68" s="45">
        <v>2.2000000000000002</v>
      </c>
      <c r="O68" s="45">
        <v>8.8000000000000007</v>
      </c>
      <c r="P68" s="45">
        <v>14.4</v>
      </c>
      <c r="Q68" s="45">
        <v>15.8</v>
      </c>
      <c r="R68" s="45">
        <v>15</v>
      </c>
      <c r="S68" s="45">
        <v>12.4</v>
      </c>
      <c r="T68" s="45">
        <v>12.4</v>
      </c>
      <c r="U68" s="45">
        <v>3.4</v>
      </c>
      <c r="V68" s="45">
        <v>0.6</v>
      </c>
      <c r="W68" s="45">
        <v>0.6</v>
      </c>
      <c r="X68" s="45">
        <v>0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55">
        <v>25</v>
      </c>
      <c r="AH68" s="47">
        <f t="shared" si="2"/>
        <v>15.8</v>
      </c>
      <c r="AI68" s="48">
        <f t="shared" si="3"/>
        <v>0</v>
      </c>
      <c r="AK68" s="50"/>
      <c r="AY68" s="1" t="s">
        <v>381</v>
      </c>
      <c r="AZ68" s="252">
        <f>ROUND(C81,0)</f>
        <v>52</v>
      </c>
      <c r="BA68" s="251">
        <f t="shared" ref="BA68:BD72" si="16">D81</f>
        <v>53</v>
      </c>
      <c r="BB68" s="251">
        <f t="shared" si="16"/>
        <v>62.2</v>
      </c>
      <c r="BC68" s="251">
        <f t="shared" si="16"/>
        <v>66</v>
      </c>
      <c r="BD68" s="251">
        <f t="shared" si="16"/>
        <v>70.2</v>
      </c>
      <c r="BE68" s="252">
        <f>I81</f>
        <v>65.400000000000006</v>
      </c>
      <c r="BF68" s="252">
        <f>K81</f>
        <v>58.8</v>
      </c>
      <c r="BG68" s="252">
        <f t="shared" ref="BG68:BP68" si="17">M81</f>
        <v>77</v>
      </c>
      <c r="BH68" s="252">
        <f t="shared" si="17"/>
        <v>56.8</v>
      </c>
      <c r="BI68" s="252">
        <f t="shared" si="17"/>
        <v>58.9</v>
      </c>
      <c r="BJ68" s="252">
        <f t="shared" si="17"/>
        <v>64.5</v>
      </c>
      <c r="BK68" s="252">
        <f t="shared" si="17"/>
        <v>63.8</v>
      </c>
      <c r="BL68" s="252">
        <f t="shared" si="17"/>
        <v>62.2</v>
      </c>
      <c r="BM68" s="252">
        <f t="shared" si="17"/>
        <v>69.8</v>
      </c>
      <c r="BN68" s="252">
        <f t="shared" si="17"/>
        <v>58.8</v>
      </c>
      <c r="BO68" s="252">
        <f t="shared" si="17"/>
        <v>64.900000000000006</v>
      </c>
      <c r="BP68" s="252">
        <f t="shared" si="17"/>
        <v>60.8</v>
      </c>
      <c r="BQ68" s="252">
        <f>X81</f>
        <v>63.8</v>
      </c>
      <c r="BR68" s="252">
        <f>Z81</f>
        <v>69.8</v>
      </c>
      <c r="BS68" s="251">
        <f>AB81</f>
        <v>64.7</v>
      </c>
      <c r="BT68" s="251">
        <f>AD81</f>
        <v>63</v>
      </c>
      <c r="BU68" s="251">
        <f>AE81</f>
        <v>63</v>
      </c>
      <c r="BV68" s="251">
        <f>AF81</f>
        <v>64.5</v>
      </c>
      <c r="BW68" s="251">
        <f>B81</f>
        <v>60</v>
      </c>
    </row>
    <row r="69" spans="1:75" x14ac:dyDescent="0.25">
      <c r="A69" s="54" t="s">
        <v>69</v>
      </c>
      <c r="B69" s="65">
        <v>15</v>
      </c>
      <c r="C69" s="65">
        <v>15</v>
      </c>
      <c r="D69" s="65">
        <v>15</v>
      </c>
      <c r="E69" s="65">
        <v>15</v>
      </c>
      <c r="F69" s="65">
        <v>15</v>
      </c>
      <c r="G69" s="65">
        <v>15</v>
      </c>
      <c r="H69" s="65">
        <v>15</v>
      </c>
      <c r="I69" s="65">
        <v>15</v>
      </c>
      <c r="J69" s="65">
        <v>15</v>
      </c>
      <c r="K69" s="65">
        <v>15</v>
      </c>
      <c r="L69" s="65">
        <v>15</v>
      </c>
      <c r="M69" s="65">
        <v>15</v>
      </c>
      <c r="N69" s="65">
        <v>15</v>
      </c>
      <c r="O69" s="65">
        <v>15</v>
      </c>
      <c r="P69" s="65">
        <v>15</v>
      </c>
      <c r="Q69" s="65">
        <v>15</v>
      </c>
      <c r="R69" s="65">
        <v>15</v>
      </c>
      <c r="S69" s="65">
        <v>15</v>
      </c>
      <c r="T69" s="65">
        <v>15</v>
      </c>
      <c r="U69" s="65">
        <v>15</v>
      </c>
      <c r="V69" s="65">
        <v>15</v>
      </c>
      <c r="W69" s="65">
        <v>15</v>
      </c>
      <c r="X69" s="65">
        <v>15</v>
      </c>
      <c r="Y69" s="65">
        <v>15</v>
      </c>
      <c r="Z69" s="65">
        <v>15</v>
      </c>
      <c r="AA69" s="65">
        <v>15</v>
      </c>
      <c r="AB69" s="65">
        <v>15</v>
      </c>
      <c r="AC69" s="65">
        <v>15</v>
      </c>
      <c r="AD69" s="65">
        <v>15</v>
      </c>
      <c r="AE69" s="65">
        <v>15</v>
      </c>
      <c r="AF69" s="65">
        <v>15</v>
      </c>
      <c r="AG69" s="55">
        <v>24</v>
      </c>
      <c r="AH69" s="47">
        <f t="shared" si="2"/>
        <v>15</v>
      </c>
      <c r="AI69" s="48">
        <f t="shared" si="3"/>
        <v>15</v>
      </c>
      <c r="AK69" s="50"/>
      <c r="AY69" s="1" t="s">
        <v>631</v>
      </c>
      <c r="AZ69" s="252">
        <f>ROUND(C82,0)</f>
        <v>0</v>
      </c>
      <c r="BA69" s="251">
        <f t="shared" si="16"/>
        <v>0</v>
      </c>
      <c r="BB69" s="251">
        <f t="shared" si="16"/>
        <v>0</v>
      </c>
      <c r="BC69" s="251">
        <f t="shared" si="16"/>
        <v>0</v>
      </c>
      <c r="BD69" s="251">
        <f t="shared" si="16"/>
        <v>0</v>
      </c>
      <c r="BE69" s="252">
        <f t="shared" ref="BE69:BE72" si="18">I82</f>
        <v>0</v>
      </c>
      <c r="BF69" s="252">
        <f t="shared" ref="BF69:BF72" si="19">K82</f>
        <v>0</v>
      </c>
      <c r="BG69" s="252">
        <f t="shared" ref="BG69:BG72" si="20">M82</f>
        <v>0</v>
      </c>
      <c r="BH69" s="252">
        <f t="shared" ref="BH69:BP72" si="21">N82</f>
        <v>0</v>
      </c>
      <c r="BI69" s="252">
        <f t="shared" si="21"/>
        <v>0</v>
      </c>
      <c r="BJ69" s="252">
        <f t="shared" si="21"/>
        <v>0</v>
      </c>
      <c r="BK69" s="252">
        <f t="shared" si="21"/>
        <v>0</v>
      </c>
      <c r="BL69" s="252">
        <f t="shared" si="21"/>
        <v>0</v>
      </c>
      <c r="BM69" s="252">
        <f t="shared" si="21"/>
        <v>0</v>
      </c>
      <c r="BN69" s="252">
        <f t="shared" si="21"/>
        <v>0</v>
      </c>
      <c r="BO69" s="252">
        <f t="shared" si="21"/>
        <v>0</v>
      </c>
      <c r="BP69" s="252">
        <f t="shared" si="21"/>
        <v>0</v>
      </c>
      <c r="BQ69" s="252">
        <f t="shared" ref="BQ69:BQ72" si="22">X82</f>
        <v>0</v>
      </c>
      <c r="BR69" s="252">
        <f t="shared" ref="BR69:BR72" si="23">Z82</f>
        <v>0</v>
      </c>
      <c r="BS69" s="251">
        <f t="shared" ref="BS69:BS72" si="24">AB82</f>
        <v>0</v>
      </c>
      <c r="BT69" s="251">
        <f t="shared" ref="BT69:BT72" si="25">AD82</f>
        <v>0</v>
      </c>
      <c r="BU69" s="251">
        <f t="shared" ref="BU69:BV72" si="26">AE82</f>
        <v>0</v>
      </c>
      <c r="BV69" s="251">
        <f t="shared" si="26"/>
        <v>0</v>
      </c>
      <c r="BW69" s="251">
        <f t="shared" ref="BW69:BW72" si="27">B82</f>
        <v>0</v>
      </c>
    </row>
    <row r="70" spans="1:75" x14ac:dyDescent="0.25">
      <c r="A70" s="54" t="s">
        <v>70</v>
      </c>
      <c r="B70" s="65">
        <v>4.5</v>
      </c>
      <c r="C70" s="65">
        <v>4.5</v>
      </c>
      <c r="D70" s="65">
        <v>4.5</v>
      </c>
      <c r="E70" s="65">
        <v>4.5</v>
      </c>
      <c r="F70" s="65">
        <v>4.5</v>
      </c>
      <c r="G70" s="65">
        <v>4.5</v>
      </c>
      <c r="H70" s="65">
        <v>4.5</v>
      </c>
      <c r="I70" s="65">
        <v>4.5</v>
      </c>
      <c r="J70" s="65">
        <v>4.5</v>
      </c>
      <c r="K70" s="65">
        <v>4.5</v>
      </c>
      <c r="L70" s="65">
        <v>4.5</v>
      </c>
      <c r="M70" s="65">
        <v>4.5</v>
      </c>
      <c r="N70" s="65">
        <v>4.5</v>
      </c>
      <c r="O70" s="65">
        <v>4.5</v>
      </c>
      <c r="P70" s="65">
        <v>4.5</v>
      </c>
      <c r="Q70" s="65">
        <v>4.5</v>
      </c>
      <c r="R70" s="65">
        <v>4.5</v>
      </c>
      <c r="S70" s="65">
        <v>4.5</v>
      </c>
      <c r="T70" s="65">
        <v>4.5</v>
      </c>
      <c r="U70" s="65">
        <v>4.5</v>
      </c>
      <c r="V70" s="65">
        <v>4.5</v>
      </c>
      <c r="W70" s="65">
        <v>4.5</v>
      </c>
      <c r="X70" s="65">
        <v>4.5</v>
      </c>
      <c r="Y70" s="65">
        <v>4.5</v>
      </c>
      <c r="Z70" s="65">
        <v>4.5</v>
      </c>
      <c r="AA70" s="65">
        <v>4.5</v>
      </c>
      <c r="AB70" s="65">
        <v>4.5</v>
      </c>
      <c r="AC70" s="65">
        <v>4.5</v>
      </c>
      <c r="AD70" s="65">
        <v>4.5</v>
      </c>
      <c r="AE70" s="65">
        <v>4.5</v>
      </c>
      <c r="AF70" s="65">
        <v>4.5</v>
      </c>
      <c r="AG70" s="55">
        <v>15</v>
      </c>
      <c r="AH70" s="47">
        <f t="shared" si="2"/>
        <v>4.5</v>
      </c>
      <c r="AI70" s="48">
        <f t="shared" si="3"/>
        <v>4.5</v>
      </c>
      <c r="AK70" s="50"/>
      <c r="AL70" s="70"/>
      <c r="AO70" s="70"/>
      <c r="AY70" s="1" t="s">
        <v>632</v>
      </c>
      <c r="AZ70" s="252">
        <f>ROUND(C83,0)</f>
        <v>369</v>
      </c>
      <c r="BA70" s="251">
        <f t="shared" si="16"/>
        <v>354</v>
      </c>
      <c r="BB70" s="251">
        <f t="shared" si="16"/>
        <v>341</v>
      </c>
      <c r="BC70" s="251">
        <f t="shared" si="16"/>
        <v>362</v>
      </c>
      <c r="BD70" s="251">
        <f t="shared" si="16"/>
        <v>401</v>
      </c>
      <c r="BE70" s="252">
        <f t="shared" si="18"/>
        <v>419</v>
      </c>
      <c r="BF70" s="252">
        <f t="shared" si="19"/>
        <v>198</v>
      </c>
      <c r="BG70" s="252">
        <f t="shared" si="20"/>
        <v>100</v>
      </c>
      <c r="BH70" s="252">
        <f t="shared" si="21"/>
        <v>67.7</v>
      </c>
      <c r="BI70" s="252">
        <f t="shared" si="21"/>
        <v>116.8</v>
      </c>
      <c r="BJ70" s="252">
        <f t="shared" si="21"/>
        <v>148</v>
      </c>
      <c r="BK70" s="252">
        <f t="shared" si="21"/>
        <v>410.2</v>
      </c>
      <c r="BL70" s="252">
        <f t="shared" si="21"/>
        <v>423.2</v>
      </c>
      <c r="BM70" s="252">
        <f t="shared" si="21"/>
        <v>486.6</v>
      </c>
      <c r="BN70" s="252">
        <f t="shared" si="21"/>
        <v>435.5</v>
      </c>
      <c r="BO70" s="252">
        <f t="shared" si="21"/>
        <v>446.2</v>
      </c>
      <c r="BP70" s="252">
        <f t="shared" si="21"/>
        <v>113.2</v>
      </c>
      <c r="BQ70" s="252">
        <f t="shared" si="22"/>
        <v>129.30000000000001</v>
      </c>
      <c r="BR70" s="252">
        <f t="shared" si="23"/>
        <v>307.89999999999998</v>
      </c>
      <c r="BS70" s="251">
        <f t="shared" si="24"/>
        <v>305</v>
      </c>
      <c r="BT70" s="251">
        <f t="shared" si="25"/>
        <v>333</v>
      </c>
      <c r="BU70" s="251">
        <f t="shared" si="26"/>
        <v>422</v>
      </c>
      <c r="BV70" s="251">
        <f t="shared" si="26"/>
        <v>392</v>
      </c>
      <c r="BW70" s="251">
        <f t="shared" si="27"/>
        <v>382</v>
      </c>
    </row>
    <row r="71" spans="1:75" s="70" customFormat="1" x14ac:dyDescent="0.25">
      <c r="A71" s="54" t="s">
        <v>71</v>
      </c>
      <c r="B71" s="65">
        <v>10</v>
      </c>
      <c r="C71" s="65">
        <v>10</v>
      </c>
      <c r="D71" s="65">
        <v>10</v>
      </c>
      <c r="E71" s="65">
        <v>10</v>
      </c>
      <c r="F71" s="65">
        <v>10</v>
      </c>
      <c r="G71" s="65">
        <v>10</v>
      </c>
      <c r="H71" s="65">
        <v>10</v>
      </c>
      <c r="I71" s="65">
        <v>10</v>
      </c>
      <c r="J71" s="65">
        <v>10</v>
      </c>
      <c r="K71" s="65">
        <v>10</v>
      </c>
      <c r="L71" s="65">
        <v>10</v>
      </c>
      <c r="M71" s="65">
        <v>9.9</v>
      </c>
      <c r="N71" s="65">
        <v>9.9</v>
      </c>
      <c r="O71" s="65">
        <v>9.9</v>
      </c>
      <c r="P71" s="65">
        <v>9.9</v>
      </c>
      <c r="Q71" s="65">
        <v>9.9</v>
      </c>
      <c r="R71" s="65">
        <v>9.9</v>
      </c>
      <c r="S71" s="65">
        <v>9.9</v>
      </c>
      <c r="T71" s="65">
        <v>9.9</v>
      </c>
      <c r="U71" s="65">
        <v>9.9</v>
      </c>
      <c r="V71" s="65">
        <v>9.9</v>
      </c>
      <c r="W71" s="65">
        <v>9.9</v>
      </c>
      <c r="X71" s="65">
        <v>9.9</v>
      </c>
      <c r="Y71" s="65">
        <v>9.9</v>
      </c>
      <c r="Z71" s="65">
        <v>9.9</v>
      </c>
      <c r="AA71" s="65">
        <v>9.9</v>
      </c>
      <c r="AB71" s="65">
        <v>9.9</v>
      </c>
      <c r="AC71" s="65">
        <v>9.9</v>
      </c>
      <c r="AD71" s="65">
        <v>9.9</v>
      </c>
      <c r="AE71" s="65">
        <v>9.9</v>
      </c>
      <c r="AF71" s="65">
        <v>9.9</v>
      </c>
      <c r="AG71" s="55">
        <v>14.1</v>
      </c>
      <c r="AH71" s="47">
        <f t="shared" si="2"/>
        <v>10</v>
      </c>
      <c r="AI71" s="48">
        <f t="shared" si="3"/>
        <v>9.9</v>
      </c>
      <c r="AJ71" s="1"/>
      <c r="AK71" s="50"/>
      <c r="AL71" s="1"/>
      <c r="AM71" s="1"/>
      <c r="AN71" s="1"/>
      <c r="AO71" s="1"/>
      <c r="AY71" s="70" t="s">
        <v>633</v>
      </c>
      <c r="AZ71" s="252">
        <f>ROUND(C84,0)</f>
        <v>0</v>
      </c>
      <c r="BA71" s="251">
        <f t="shared" si="16"/>
        <v>0</v>
      </c>
      <c r="BB71" s="251">
        <f t="shared" si="16"/>
        <v>0</v>
      </c>
      <c r="BC71" s="251">
        <f t="shared" si="16"/>
        <v>0</v>
      </c>
      <c r="BD71" s="251">
        <f t="shared" si="16"/>
        <v>0</v>
      </c>
      <c r="BE71" s="252">
        <f t="shared" si="18"/>
        <v>0</v>
      </c>
      <c r="BF71" s="252">
        <f t="shared" si="19"/>
        <v>0</v>
      </c>
      <c r="BG71" s="252">
        <f t="shared" si="20"/>
        <v>0</v>
      </c>
      <c r="BH71" s="252">
        <f t="shared" si="21"/>
        <v>0</v>
      </c>
      <c r="BI71" s="252">
        <f t="shared" si="21"/>
        <v>0</v>
      </c>
      <c r="BJ71" s="252">
        <f t="shared" si="21"/>
        <v>0</v>
      </c>
      <c r="BK71" s="252">
        <f t="shared" si="21"/>
        <v>21.3</v>
      </c>
      <c r="BL71" s="252">
        <f t="shared" si="21"/>
        <v>36.5</v>
      </c>
      <c r="BM71" s="252">
        <f t="shared" si="21"/>
        <v>28</v>
      </c>
      <c r="BN71" s="252">
        <f t="shared" si="21"/>
        <v>25</v>
      </c>
      <c r="BO71" s="252">
        <f t="shared" si="21"/>
        <v>24</v>
      </c>
      <c r="BP71" s="252">
        <f t="shared" si="21"/>
        <v>22.6</v>
      </c>
      <c r="BQ71" s="252">
        <f t="shared" si="22"/>
        <v>27.5</v>
      </c>
      <c r="BR71" s="252">
        <f t="shared" si="23"/>
        <v>0</v>
      </c>
      <c r="BS71" s="251">
        <f t="shared" si="24"/>
        <v>0</v>
      </c>
      <c r="BT71" s="251">
        <f t="shared" si="25"/>
        <v>0</v>
      </c>
      <c r="BU71" s="251">
        <f t="shared" si="26"/>
        <v>0</v>
      </c>
      <c r="BV71" s="251">
        <f t="shared" si="26"/>
        <v>0</v>
      </c>
      <c r="BW71" s="251">
        <f t="shared" si="27"/>
        <v>0</v>
      </c>
    </row>
    <row r="72" spans="1:75" x14ac:dyDescent="0.25">
      <c r="A72" s="71" t="s">
        <v>72</v>
      </c>
      <c r="B72" s="65">
        <v>4.5999999999999996</v>
      </c>
      <c r="C72" s="65">
        <v>4.5999999999999996</v>
      </c>
      <c r="D72" s="65">
        <v>4.5999999999999996</v>
      </c>
      <c r="E72" s="65">
        <v>4.5999999999999996</v>
      </c>
      <c r="F72" s="65">
        <v>4.5999999999999996</v>
      </c>
      <c r="G72" s="65">
        <v>4.5999999999999996</v>
      </c>
      <c r="H72" s="65">
        <v>4.5999999999999996</v>
      </c>
      <c r="I72" s="65">
        <v>4.5999999999999996</v>
      </c>
      <c r="J72" s="65">
        <v>4.5999999999999996</v>
      </c>
      <c r="K72" s="65">
        <v>4.5999999999999996</v>
      </c>
      <c r="L72" s="65">
        <v>4.5999999999999996</v>
      </c>
      <c r="M72" s="65">
        <v>5.4</v>
      </c>
      <c r="N72" s="65">
        <v>5.2</v>
      </c>
      <c r="O72" s="65">
        <v>5</v>
      </c>
      <c r="P72" s="65">
        <v>3.2</v>
      </c>
      <c r="Q72" s="65">
        <v>3.2</v>
      </c>
      <c r="R72" s="65">
        <v>3.1</v>
      </c>
      <c r="S72" s="65">
        <v>3.1</v>
      </c>
      <c r="T72" s="65">
        <v>3.1</v>
      </c>
      <c r="U72" s="65">
        <v>3.1</v>
      </c>
      <c r="V72" s="65">
        <v>3.1</v>
      </c>
      <c r="W72" s="65">
        <v>3.1</v>
      </c>
      <c r="X72" s="65">
        <v>3.1</v>
      </c>
      <c r="Y72" s="65">
        <v>3.1</v>
      </c>
      <c r="Z72" s="65">
        <v>3.1</v>
      </c>
      <c r="AA72" s="65">
        <v>3.1</v>
      </c>
      <c r="AB72" s="65">
        <v>3.1</v>
      </c>
      <c r="AC72" s="65">
        <v>3.1</v>
      </c>
      <c r="AD72" s="65">
        <v>3.1</v>
      </c>
      <c r="AE72" s="65">
        <v>3.1</v>
      </c>
      <c r="AF72" s="65">
        <v>3.1</v>
      </c>
      <c r="AG72" s="55">
        <v>14</v>
      </c>
      <c r="AH72" s="47">
        <f t="shared" si="2"/>
        <v>5.4</v>
      </c>
      <c r="AI72" s="48">
        <f t="shared" si="3"/>
        <v>3.1</v>
      </c>
      <c r="AK72" s="50"/>
      <c r="AY72" s="1" t="s">
        <v>634</v>
      </c>
      <c r="AZ72" s="252">
        <f>ROUND(C85,0)</f>
        <v>0</v>
      </c>
      <c r="BA72" s="251">
        <f t="shared" si="16"/>
        <v>0</v>
      </c>
      <c r="BB72" s="251">
        <f t="shared" si="16"/>
        <v>0</v>
      </c>
      <c r="BC72" s="251">
        <f t="shared" si="16"/>
        <v>0</v>
      </c>
      <c r="BD72" s="251">
        <f t="shared" si="16"/>
        <v>0</v>
      </c>
      <c r="BE72" s="252">
        <f t="shared" si="18"/>
        <v>0</v>
      </c>
      <c r="BF72" s="252">
        <f t="shared" si="19"/>
        <v>0</v>
      </c>
      <c r="BG72" s="252">
        <f t="shared" si="20"/>
        <v>0</v>
      </c>
      <c r="BH72" s="252">
        <f t="shared" si="21"/>
        <v>0</v>
      </c>
      <c r="BI72" s="252">
        <f t="shared" si="21"/>
        <v>0</v>
      </c>
      <c r="BJ72" s="252">
        <f t="shared" si="21"/>
        <v>0</v>
      </c>
      <c r="BK72" s="252">
        <f t="shared" si="21"/>
        <v>19.2</v>
      </c>
      <c r="BL72" s="252">
        <f t="shared" si="21"/>
        <v>31.5</v>
      </c>
      <c r="BM72" s="252">
        <f t="shared" si="21"/>
        <v>32</v>
      </c>
      <c r="BN72" s="252">
        <f t="shared" si="21"/>
        <v>34</v>
      </c>
      <c r="BO72" s="252">
        <f t="shared" si="21"/>
        <v>29</v>
      </c>
      <c r="BP72" s="252">
        <f t="shared" si="21"/>
        <v>27.4</v>
      </c>
      <c r="BQ72" s="252">
        <f t="shared" si="22"/>
        <v>26.9</v>
      </c>
      <c r="BR72" s="252">
        <f t="shared" si="23"/>
        <v>0</v>
      </c>
      <c r="BS72" s="251">
        <f t="shared" si="24"/>
        <v>0</v>
      </c>
      <c r="BT72" s="251">
        <f t="shared" si="25"/>
        <v>0</v>
      </c>
      <c r="BU72" s="251">
        <f t="shared" si="26"/>
        <v>0</v>
      </c>
      <c r="BV72" s="251">
        <f t="shared" si="26"/>
        <v>0</v>
      </c>
      <c r="BW72" s="251">
        <f t="shared" si="27"/>
        <v>0</v>
      </c>
    </row>
    <row r="73" spans="1:75" x14ac:dyDescent="0.25">
      <c r="A73" s="54" t="s">
        <v>73</v>
      </c>
      <c r="B73" s="65">
        <v>5</v>
      </c>
      <c r="C73" s="65">
        <v>5</v>
      </c>
      <c r="D73" s="65">
        <v>5</v>
      </c>
      <c r="E73" s="65">
        <v>5</v>
      </c>
      <c r="F73" s="65">
        <v>5</v>
      </c>
      <c r="G73" s="65">
        <v>5</v>
      </c>
      <c r="H73" s="65">
        <v>5</v>
      </c>
      <c r="I73" s="65">
        <v>5</v>
      </c>
      <c r="J73" s="65">
        <v>5</v>
      </c>
      <c r="K73" s="65">
        <v>5</v>
      </c>
      <c r="L73" s="65">
        <v>5</v>
      </c>
      <c r="M73" s="65">
        <v>5</v>
      </c>
      <c r="N73" s="65">
        <v>0</v>
      </c>
      <c r="O73" s="65">
        <v>0</v>
      </c>
      <c r="P73" s="65">
        <v>0</v>
      </c>
      <c r="Q73" s="65">
        <v>0</v>
      </c>
      <c r="R73" s="65">
        <v>0</v>
      </c>
      <c r="S73" s="65">
        <v>0</v>
      </c>
      <c r="T73" s="65">
        <v>0</v>
      </c>
      <c r="U73" s="65">
        <v>0</v>
      </c>
      <c r="V73" s="65">
        <v>0</v>
      </c>
      <c r="W73" s="65">
        <v>0</v>
      </c>
      <c r="X73" s="65">
        <v>0</v>
      </c>
      <c r="Y73" s="65">
        <v>0</v>
      </c>
      <c r="Z73" s="65">
        <v>0</v>
      </c>
      <c r="AA73" s="65">
        <v>0</v>
      </c>
      <c r="AB73" s="65">
        <v>0</v>
      </c>
      <c r="AC73" s="65">
        <v>0</v>
      </c>
      <c r="AD73" s="65">
        <v>0</v>
      </c>
      <c r="AE73" s="65">
        <v>0</v>
      </c>
      <c r="AF73" s="65">
        <v>0</v>
      </c>
      <c r="AG73" s="55">
        <v>10.050000000000001</v>
      </c>
      <c r="AH73" s="47">
        <f t="shared" si="2"/>
        <v>5</v>
      </c>
      <c r="AI73" s="48">
        <f t="shared" si="3"/>
        <v>0</v>
      </c>
      <c r="AK73" s="50"/>
      <c r="AY73" s="1" t="s">
        <v>635</v>
      </c>
      <c r="AZ73" s="252">
        <f>ROUND(C91,0)</f>
        <v>0</v>
      </c>
      <c r="BA73" s="252">
        <f>D91</f>
        <v>0</v>
      </c>
      <c r="BB73" s="252">
        <f>E91</f>
        <v>0</v>
      </c>
      <c r="BC73" s="252">
        <f>F91</f>
        <v>0</v>
      </c>
      <c r="BD73" s="252">
        <f>G91</f>
        <v>0</v>
      </c>
      <c r="BE73" s="252">
        <f>I91</f>
        <v>0</v>
      </c>
      <c r="BF73" s="252">
        <f>K91</f>
        <v>0</v>
      </c>
      <c r="BG73" s="252">
        <f t="shared" ref="BG73:BP73" si="28">M91</f>
        <v>0</v>
      </c>
      <c r="BH73" s="252">
        <f t="shared" si="28"/>
        <v>0</v>
      </c>
      <c r="BI73" s="252">
        <f t="shared" si="28"/>
        <v>0</v>
      </c>
      <c r="BJ73" s="252">
        <f t="shared" si="28"/>
        <v>0</v>
      </c>
      <c r="BK73" s="252">
        <f t="shared" si="28"/>
        <v>0</v>
      </c>
      <c r="BL73" s="252">
        <f t="shared" si="28"/>
        <v>0</v>
      </c>
      <c r="BM73" s="252">
        <f t="shared" si="28"/>
        <v>0</v>
      </c>
      <c r="BN73" s="252">
        <f t="shared" si="28"/>
        <v>0</v>
      </c>
      <c r="BO73" s="252">
        <f t="shared" si="28"/>
        <v>0</v>
      </c>
      <c r="BP73" s="252">
        <f t="shared" si="28"/>
        <v>0</v>
      </c>
      <c r="BQ73" s="252">
        <f>X91</f>
        <v>0</v>
      </c>
      <c r="BR73" s="252">
        <f>Z91</f>
        <v>0</v>
      </c>
      <c r="BS73" s="252">
        <f>AB91</f>
        <v>0</v>
      </c>
      <c r="BT73" s="252">
        <f>AD91</f>
        <v>0</v>
      </c>
      <c r="BU73" s="252">
        <f>AE91</f>
        <v>0</v>
      </c>
      <c r="BV73" s="252">
        <f>AF91</f>
        <v>0</v>
      </c>
      <c r="BW73" s="252">
        <f>B91</f>
        <v>0</v>
      </c>
    </row>
    <row r="74" spans="1:75" x14ac:dyDescent="0.25">
      <c r="A74" s="54" t="s">
        <v>74</v>
      </c>
      <c r="B74" s="65">
        <v>3</v>
      </c>
      <c r="C74" s="65">
        <v>3</v>
      </c>
      <c r="D74" s="65">
        <v>3</v>
      </c>
      <c r="E74" s="65">
        <v>3</v>
      </c>
      <c r="F74" s="65">
        <v>3</v>
      </c>
      <c r="G74" s="65">
        <v>3</v>
      </c>
      <c r="H74" s="65">
        <v>3</v>
      </c>
      <c r="I74" s="65">
        <v>3</v>
      </c>
      <c r="J74" s="65">
        <v>3</v>
      </c>
      <c r="K74" s="65">
        <v>3</v>
      </c>
      <c r="L74" s="65">
        <v>3</v>
      </c>
      <c r="M74" s="65">
        <v>3</v>
      </c>
      <c r="N74" s="65">
        <v>3</v>
      </c>
      <c r="O74" s="65">
        <v>3</v>
      </c>
      <c r="P74" s="65">
        <v>3</v>
      </c>
      <c r="Q74" s="65">
        <v>3</v>
      </c>
      <c r="R74" s="65">
        <v>3</v>
      </c>
      <c r="S74" s="65">
        <v>3</v>
      </c>
      <c r="T74" s="65">
        <v>3</v>
      </c>
      <c r="U74" s="65">
        <v>3</v>
      </c>
      <c r="V74" s="65">
        <v>3</v>
      </c>
      <c r="W74" s="65">
        <v>3</v>
      </c>
      <c r="X74" s="65">
        <v>3</v>
      </c>
      <c r="Y74" s="65">
        <v>3</v>
      </c>
      <c r="Z74" s="65">
        <v>3</v>
      </c>
      <c r="AA74" s="65">
        <v>3</v>
      </c>
      <c r="AB74" s="65">
        <v>3</v>
      </c>
      <c r="AC74" s="65">
        <v>3</v>
      </c>
      <c r="AD74" s="65">
        <v>3</v>
      </c>
      <c r="AE74" s="65">
        <v>3</v>
      </c>
      <c r="AF74" s="65">
        <v>3</v>
      </c>
      <c r="AG74" s="55">
        <v>6.2</v>
      </c>
      <c r="AH74" s="47">
        <f t="shared" si="2"/>
        <v>3</v>
      </c>
      <c r="AI74" s="48">
        <f t="shared" si="3"/>
        <v>3</v>
      </c>
      <c r="AK74" s="50"/>
      <c r="AZ74" s="252"/>
      <c r="BA74" s="251"/>
      <c r="BB74" s="251"/>
      <c r="BC74" s="251"/>
      <c r="BD74" s="251"/>
      <c r="BE74" s="252"/>
      <c r="BF74" s="252"/>
      <c r="BG74" s="252"/>
      <c r="BH74" s="252"/>
      <c r="BI74" s="252"/>
      <c r="BJ74" s="252"/>
      <c r="BK74" s="252"/>
      <c r="BL74" s="252"/>
      <c r="BM74" s="252"/>
      <c r="BN74" s="252"/>
      <c r="BO74" s="252"/>
      <c r="BP74" s="252"/>
      <c r="BQ74" s="252"/>
      <c r="BR74" s="252"/>
      <c r="BS74" s="251"/>
      <c r="BT74" s="251"/>
      <c r="BU74" s="251"/>
      <c r="BV74" s="251"/>
      <c r="BW74" s="251"/>
    </row>
    <row r="75" spans="1:75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</v>
      </c>
      <c r="Y75" s="72">
        <v>3.54</v>
      </c>
      <c r="Z75" s="72">
        <v>3.54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2"/>
        <v>3.54</v>
      </c>
      <c r="AI75" s="48">
        <f t="shared" si="3"/>
        <v>3.5</v>
      </c>
      <c r="AK75" s="50"/>
      <c r="AZ75" s="252">
        <f>VALUE(AZ68)</f>
        <v>52</v>
      </c>
      <c r="BA75" s="252">
        <f t="shared" ref="BA75:BW75" si="29">VALUE(BA68)</f>
        <v>53</v>
      </c>
      <c r="BB75" s="252">
        <f t="shared" si="29"/>
        <v>62.2</v>
      </c>
      <c r="BC75" s="252">
        <f t="shared" si="29"/>
        <v>66</v>
      </c>
      <c r="BD75" s="252">
        <f t="shared" si="29"/>
        <v>70.2</v>
      </c>
      <c r="BE75" s="252">
        <f t="shared" si="29"/>
        <v>65.400000000000006</v>
      </c>
      <c r="BF75" s="252">
        <f t="shared" si="29"/>
        <v>58.8</v>
      </c>
      <c r="BG75" s="252">
        <f t="shared" si="29"/>
        <v>77</v>
      </c>
      <c r="BH75" s="252">
        <f t="shared" si="29"/>
        <v>56.8</v>
      </c>
      <c r="BI75" s="252">
        <f t="shared" si="29"/>
        <v>58.9</v>
      </c>
      <c r="BJ75" s="252">
        <f t="shared" si="29"/>
        <v>64.5</v>
      </c>
      <c r="BK75" s="252">
        <f t="shared" si="29"/>
        <v>63.8</v>
      </c>
      <c r="BL75" s="252">
        <f t="shared" si="29"/>
        <v>62.2</v>
      </c>
      <c r="BM75" s="252">
        <f t="shared" si="29"/>
        <v>69.8</v>
      </c>
      <c r="BN75" s="252">
        <f t="shared" si="29"/>
        <v>58.8</v>
      </c>
      <c r="BO75" s="252">
        <f t="shared" si="29"/>
        <v>64.900000000000006</v>
      </c>
      <c r="BP75" s="252">
        <f t="shared" si="29"/>
        <v>60.8</v>
      </c>
      <c r="BQ75" s="252">
        <f t="shared" si="29"/>
        <v>63.8</v>
      </c>
      <c r="BR75" s="252">
        <f t="shared" si="29"/>
        <v>69.8</v>
      </c>
      <c r="BS75" s="252">
        <f t="shared" si="29"/>
        <v>64.7</v>
      </c>
      <c r="BT75" s="252">
        <f t="shared" si="29"/>
        <v>63</v>
      </c>
      <c r="BU75" s="252">
        <f t="shared" si="29"/>
        <v>63</v>
      </c>
      <c r="BV75" s="252">
        <f t="shared" si="29"/>
        <v>64.5</v>
      </c>
      <c r="BW75" s="252">
        <f t="shared" si="29"/>
        <v>60</v>
      </c>
    </row>
    <row r="76" spans="1:75" ht="15.75" thickBot="1" x14ac:dyDescent="0.3">
      <c r="A76" s="74" t="s">
        <v>76</v>
      </c>
      <c r="B76" s="60">
        <f t="shared" ref="B76:AG76" si="30">SUM(B63:B75)</f>
        <v>139.63999999999999</v>
      </c>
      <c r="C76" s="60">
        <f t="shared" si="30"/>
        <v>114.64</v>
      </c>
      <c r="D76" s="60">
        <f t="shared" si="30"/>
        <v>107.64</v>
      </c>
      <c r="E76" s="60">
        <f t="shared" si="30"/>
        <v>107.64</v>
      </c>
      <c r="F76" s="60">
        <f t="shared" si="30"/>
        <v>107.64</v>
      </c>
      <c r="G76" s="60">
        <f t="shared" si="30"/>
        <v>117.64</v>
      </c>
      <c r="H76" s="60">
        <f t="shared" si="30"/>
        <v>147.63999999999999</v>
      </c>
      <c r="I76" s="60">
        <f t="shared" si="30"/>
        <v>238.73999999999998</v>
      </c>
      <c r="J76" s="60">
        <f t="shared" si="30"/>
        <v>347.94000000000005</v>
      </c>
      <c r="K76" s="60">
        <f t="shared" si="30"/>
        <v>351.94000000000005</v>
      </c>
      <c r="L76" s="60">
        <f t="shared" si="30"/>
        <v>377.54</v>
      </c>
      <c r="M76" s="60">
        <f t="shared" ref="M76:N76" si="31">SUM(M63:M75)</f>
        <v>404.44</v>
      </c>
      <c r="N76" s="60">
        <f t="shared" si="31"/>
        <v>367.14</v>
      </c>
      <c r="O76" s="60">
        <f t="shared" ref="O76:P76" si="32">SUM(O63:O75)</f>
        <v>379.84000000000003</v>
      </c>
      <c r="P76" s="60">
        <f t="shared" si="32"/>
        <v>369.74</v>
      </c>
      <c r="Q76" s="60">
        <f t="shared" ref="Q76:R76" si="33">SUM(Q63:Q75)</f>
        <v>282.94</v>
      </c>
      <c r="R76" s="60">
        <f t="shared" si="33"/>
        <v>224.44</v>
      </c>
      <c r="S76" s="60">
        <f t="shared" si="30"/>
        <v>183.74</v>
      </c>
      <c r="T76" s="60">
        <f t="shared" si="30"/>
        <v>191.14</v>
      </c>
      <c r="U76" s="60">
        <f t="shared" si="30"/>
        <v>166.74</v>
      </c>
      <c r="V76" s="60">
        <f t="shared" si="30"/>
        <v>193.83999999999997</v>
      </c>
      <c r="W76" s="60">
        <f t="shared" si="30"/>
        <v>236.94</v>
      </c>
      <c r="X76" s="60">
        <v>344.4</v>
      </c>
      <c r="Y76" s="60">
        <f t="shared" si="30"/>
        <v>373.44</v>
      </c>
      <c r="Z76" s="60">
        <f t="shared" si="30"/>
        <v>374.84000000000003</v>
      </c>
      <c r="AA76" s="60">
        <f t="shared" si="30"/>
        <v>342.34000000000003</v>
      </c>
      <c r="AB76" s="60">
        <f t="shared" si="30"/>
        <v>280.14000000000004</v>
      </c>
      <c r="AC76" s="60">
        <f t="shared" si="30"/>
        <v>280.14000000000004</v>
      </c>
      <c r="AD76" s="60">
        <f t="shared" si="30"/>
        <v>227.04</v>
      </c>
      <c r="AE76" s="60">
        <f t="shared" si="30"/>
        <v>218.54</v>
      </c>
      <c r="AF76" s="60">
        <f t="shared" si="30"/>
        <v>169.04</v>
      </c>
      <c r="AG76" s="61">
        <f t="shared" si="30"/>
        <v>489.91</v>
      </c>
      <c r="AH76" s="47">
        <f t="shared" si="2"/>
        <v>404.44</v>
      </c>
      <c r="AI76" s="48">
        <f t="shared" si="3"/>
        <v>107.64</v>
      </c>
      <c r="AK76" s="50"/>
      <c r="AZ76" s="252">
        <f t="shared" ref="AZ76:BW80" si="34">VALUE(AZ69)</f>
        <v>0</v>
      </c>
      <c r="BA76" s="252">
        <f t="shared" si="34"/>
        <v>0</v>
      </c>
      <c r="BB76" s="252">
        <f t="shared" si="34"/>
        <v>0</v>
      </c>
      <c r="BC76" s="252">
        <f t="shared" si="34"/>
        <v>0</v>
      </c>
      <c r="BD76" s="252">
        <f t="shared" si="34"/>
        <v>0</v>
      </c>
      <c r="BE76" s="252">
        <f t="shared" si="34"/>
        <v>0</v>
      </c>
      <c r="BF76" s="252">
        <f t="shared" si="34"/>
        <v>0</v>
      </c>
      <c r="BG76" s="252">
        <f t="shared" si="34"/>
        <v>0</v>
      </c>
      <c r="BH76" s="252">
        <f t="shared" si="34"/>
        <v>0</v>
      </c>
      <c r="BI76" s="252">
        <f t="shared" si="34"/>
        <v>0</v>
      </c>
      <c r="BJ76" s="252">
        <f t="shared" si="34"/>
        <v>0</v>
      </c>
      <c r="BK76" s="252">
        <f t="shared" si="34"/>
        <v>0</v>
      </c>
      <c r="BL76" s="252">
        <f t="shared" si="34"/>
        <v>0</v>
      </c>
      <c r="BM76" s="252">
        <f t="shared" si="34"/>
        <v>0</v>
      </c>
      <c r="BN76" s="252">
        <f t="shared" si="34"/>
        <v>0</v>
      </c>
      <c r="BO76" s="252">
        <f t="shared" si="34"/>
        <v>0</v>
      </c>
      <c r="BP76" s="252">
        <f t="shared" si="34"/>
        <v>0</v>
      </c>
      <c r="BQ76" s="252">
        <f t="shared" si="34"/>
        <v>0</v>
      </c>
      <c r="BR76" s="252">
        <f t="shared" si="34"/>
        <v>0</v>
      </c>
      <c r="BS76" s="252">
        <f t="shared" si="34"/>
        <v>0</v>
      </c>
      <c r="BT76" s="252">
        <f t="shared" si="34"/>
        <v>0</v>
      </c>
      <c r="BU76" s="252">
        <f t="shared" si="34"/>
        <v>0</v>
      </c>
      <c r="BV76" s="252">
        <f t="shared" si="34"/>
        <v>0</v>
      </c>
      <c r="BW76" s="252">
        <f t="shared" si="34"/>
        <v>0</v>
      </c>
    </row>
    <row r="77" spans="1:75" x14ac:dyDescent="0.25">
      <c r="A77" s="44" t="s">
        <v>77</v>
      </c>
      <c r="B77" s="45">
        <v>0</v>
      </c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>
        <v>59.5</v>
      </c>
      <c r="O77" s="45">
        <v>59.9</v>
      </c>
      <c r="P77" s="45">
        <v>59.9</v>
      </c>
      <c r="Q77" s="45">
        <v>60.3</v>
      </c>
      <c r="R77" s="45">
        <v>59.9</v>
      </c>
      <c r="S77" s="45">
        <v>60.2</v>
      </c>
      <c r="T77" s="45">
        <v>60.2</v>
      </c>
      <c r="U77" s="45">
        <v>60.2</v>
      </c>
      <c r="V77" s="45">
        <v>60</v>
      </c>
      <c r="W77" s="45">
        <v>60</v>
      </c>
      <c r="X77" s="45">
        <v>59.1</v>
      </c>
      <c r="Y77" s="45">
        <v>59.1</v>
      </c>
      <c r="Z77" s="45">
        <v>59.1</v>
      </c>
      <c r="AA77" s="45">
        <v>59.1</v>
      </c>
      <c r="AB77" s="45">
        <v>59.1</v>
      </c>
      <c r="AC77" s="45">
        <v>59.1</v>
      </c>
      <c r="AD77" s="45">
        <v>33</v>
      </c>
      <c r="AE77" s="45">
        <v>13</v>
      </c>
      <c r="AF77" s="45">
        <v>0</v>
      </c>
      <c r="AG77" s="52">
        <v>60</v>
      </c>
      <c r="AH77" s="47">
        <f t="shared" si="2"/>
        <v>60.3</v>
      </c>
      <c r="AI77" s="48">
        <f t="shared" si="3"/>
        <v>0</v>
      </c>
      <c r="AK77" s="50"/>
      <c r="AZ77" s="252">
        <f t="shared" si="34"/>
        <v>369</v>
      </c>
      <c r="BA77" s="252">
        <f t="shared" si="34"/>
        <v>354</v>
      </c>
      <c r="BB77" s="252">
        <f t="shared" si="34"/>
        <v>341</v>
      </c>
      <c r="BC77" s="252">
        <f t="shared" si="34"/>
        <v>362</v>
      </c>
      <c r="BD77" s="252">
        <f t="shared" si="34"/>
        <v>401</v>
      </c>
      <c r="BE77" s="252">
        <f t="shared" si="34"/>
        <v>419</v>
      </c>
      <c r="BF77" s="252">
        <f t="shared" si="34"/>
        <v>198</v>
      </c>
      <c r="BG77" s="252">
        <f t="shared" si="34"/>
        <v>100</v>
      </c>
      <c r="BH77" s="252">
        <f t="shared" si="34"/>
        <v>67.7</v>
      </c>
      <c r="BI77" s="252">
        <f t="shared" si="34"/>
        <v>116.8</v>
      </c>
      <c r="BJ77" s="252">
        <f t="shared" si="34"/>
        <v>148</v>
      </c>
      <c r="BK77" s="252">
        <f t="shared" si="34"/>
        <v>410.2</v>
      </c>
      <c r="BL77" s="252">
        <f t="shared" si="34"/>
        <v>423.2</v>
      </c>
      <c r="BM77" s="252">
        <f t="shared" si="34"/>
        <v>486.6</v>
      </c>
      <c r="BN77" s="252">
        <f t="shared" si="34"/>
        <v>435.5</v>
      </c>
      <c r="BO77" s="252">
        <f t="shared" si="34"/>
        <v>446.2</v>
      </c>
      <c r="BP77" s="252">
        <f t="shared" si="34"/>
        <v>113.2</v>
      </c>
      <c r="BQ77" s="252">
        <f t="shared" si="34"/>
        <v>129.30000000000001</v>
      </c>
      <c r="BR77" s="252">
        <f t="shared" si="34"/>
        <v>307.89999999999998</v>
      </c>
      <c r="BS77" s="252">
        <f t="shared" si="34"/>
        <v>305</v>
      </c>
      <c r="BT77" s="252">
        <f t="shared" si="34"/>
        <v>333</v>
      </c>
      <c r="BU77" s="252">
        <f t="shared" si="34"/>
        <v>422</v>
      </c>
      <c r="BV77" s="252">
        <f t="shared" si="34"/>
        <v>392</v>
      </c>
      <c r="BW77" s="252">
        <f t="shared" si="34"/>
        <v>382</v>
      </c>
    </row>
    <row r="78" spans="1:75" x14ac:dyDescent="0.25">
      <c r="A78" s="54" t="s">
        <v>78</v>
      </c>
      <c r="B78" s="65">
        <v>0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>
        <v>22.2</v>
      </c>
      <c r="O78" s="65">
        <v>27.6</v>
      </c>
      <c r="P78" s="65">
        <v>27.6</v>
      </c>
      <c r="Q78" s="65">
        <v>26.9</v>
      </c>
      <c r="R78" s="65">
        <v>28.3</v>
      </c>
      <c r="S78" s="65">
        <v>27.7</v>
      </c>
      <c r="T78" s="65">
        <v>27.8</v>
      </c>
      <c r="U78" s="65">
        <v>27.8</v>
      </c>
      <c r="V78" s="65">
        <v>28.2</v>
      </c>
      <c r="W78" s="65">
        <v>28.2</v>
      </c>
      <c r="X78" s="65">
        <v>27.5</v>
      </c>
      <c r="Y78" s="65">
        <v>26.4</v>
      </c>
      <c r="Z78" s="65">
        <v>27.1</v>
      </c>
      <c r="AA78" s="65">
        <v>27.6</v>
      </c>
      <c r="AB78" s="65">
        <v>27.3</v>
      </c>
      <c r="AC78" s="65">
        <v>27.3</v>
      </c>
      <c r="AD78" s="65">
        <v>17.2</v>
      </c>
      <c r="AE78" s="65">
        <v>6.4</v>
      </c>
      <c r="AF78" s="65">
        <v>0</v>
      </c>
      <c r="AG78" s="55">
        <v>32</v>
      </c>
      <c r="AH78" s="47">
        <f t="shared" si="2"/>
        <v>28.3</v>
      </c>
      <c r="AI78" s="48">
        <f t="shared" si="3"/>
        <v>0</v>
      </c>
      <c r="AK78" s="50"/>
      <c r="AZ78" s="252">
        <f t="shared" si="34"/>
        <v>0</v>
      </c>
      <c r="BA78" s="252">
        <f t="shared" si="34"/>
        <v>0</v>
      </c>
      <c r="BB78" s="252">
        <f t="shared" si="34"/>
        <v>0</v>
      </c>
      <c r="BC78" s="252">
        <f t="shared" si="34"/>
        <v>0</v>
      </c>
      <c r="BD78" s="252">
        <f t="shared" si="34"/>
        <v>0</v>
      </c>
      <c r="BE78" s="252">
        <f t="shared" si="34"/>
        <v>0</v>
      </c>
      <c r="BF78" s="252">
        <f t="shared" si="34"/>
        <v>0</v>
      </c>
      <c r="BG78" s="252">
        <f t="shared" si="34"/>
        <v>0</v>
      </c>
      <c r="BH78" s="252">
        <f t="shared" si="34"/>
        <v>0</v>
      </c>
      <c r="BI78" s="252">
        <f t="shared" si="34"/>
        <v>0</v>
      </c>
      <c r="BJ78" s="252">
        <f t="shared" si="34"/>
        <v>0</v>
      </c>
      <c r="BK78" s="252">
        <f t="shared" si="34"/>
        <v>21.3</v>
      </c>
      <c r="BL78" s="252">
        <f t="shared" si="34"/>
        <v>36.5</v>
      </c>
      <c r="BM78" s="252">
        <f t="shared" si="34"/>
        <v>28</v>
      </c>
      <c r="BN78" s="252">
        <f t="shared" si="34"/>
        <v>25</v>
      </c>
      <c r="BO78" s="252">
        <f t="shared" si="34"/>
        <v>24</v>
      </c>
      <c r="BP78" s="252">
        <f t="shared" si="34"/>
        <v>22.6</v>
      </c>
      <c r="BQ78" s="252">
        <f t="shared" si="34"/>
        <v>27.5</v>
      </c>
      <c r="BR78" s="252">
        <f t="shared" si="34"/>
        <v>0</v>
      </c>
      <c r="BS78" s="252">
        <f t="shared" si="34"/>
        <v>0</v>
      </c>
      <c r="BT78" s="252">
        <f t="shared" si="34"/>
        <v>0</v>
      </c>
      <c r="BU78" s="252">
        <f t="shared" si="34"/>
        <v>0</v>
      </c>
      <c r="BV78" s="252">
        <f t="shared" si="34"/>
        <v>0</v>
      </c>
      <c r="BW78" s="252">
        <f t="shared" si="34"/>
        <v>0</v>
      </c>
    </row>
    <row r="79" spans="1:75" ht="15.75" thickBot="1" x14ac:dyDescent="0.3">
      <c r="A79" s="71" t="s">
        <v>79</v>
      </c>
      <c r="B79" s="67">
        <v>0</v>
      </c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>
        <v>7.5</v>
      </c>
      <c r="O79" s="67">
        <v>10.1</v>
      </c>
      <c r="P79" s="67">
        <v>10.1</v>
      </c>
      <c r="Q79" s="67">
        <v>9.8000000000000007</v>
      </c>
      <c r="R79" s="67">
        <v>10.3</v>
      </c>
      <c r="S79" s="67">
        <v>10.1</v>
      </c>
      <c r="T79" s="67">
        <v>10.1</v>
      </c>
      <c r="U79" s="67">
        <v>10.1</v>
      </c>
      <c r="V79" s="67">
        <v>10.3</v>
      </c>
      <c r="W79" s="67">
        <v>10.3</v>
      </c>
      <c r="X79" s="67">
        <v>10</v>
      </c>
      <c r="Y79" s="67">
        <v>9.6</v>
      </c>
      <c r="Z79" s="67">
        <v>9.9</v>
      </c>
      <c r="AA79" s="67">
        <v>10.1</v>
      </c>
      <c r="AB79" s="67">
        <v>10</v>
      </c>
      <c r="AC79" s="67">
        <v>10</v>
      </c>
      <c r="AD79" s="67">
        <v>6.3</v>
      </c>
      <c r="AE79" s="67">
        <v>2.2999999999999998</v>
      </c>
      <c r="AF79" s="67">
        <v>0</v>
      </c>
      <c r="AG79" s="68">
        <v>14</v>
      </c>
      <c r="AH79" s="47">
        <f t="shared" si="2"/>
        <v>10.3</v>
      </c>
      <c r="AI79" s="48">
        <f t="shared" si="3"/>
        <v>0</v>
      </c>
      <c r="AK79" s="50"/>
      <c r="AZ79" s="252">
        <f t="shared" si="34"/>
        <v>0</v>
      </c>
      <c r="BA79" s="252">
        <f t="shared" si="34"/>
        <v>0</v>
      </c>
      <c r="BB79" s="252">
        <f t="shared" si="34"/>
        <v>0</v>
      </c>
      <c r="BC79" s="252">
        <f t="shared" si="34"/>
        <v>0</v>
      </c>
      <c r="BD79" s="252">
        <f t="shared" si="34"/>
        <v>0</v>
      </c>
      <c r="BE79" s="252">
        <f t="shared" si="34"/>
        <v>0</v>
      </c>
      <c r="BF79" s="252">
        <f t="shared" si="34"/>
        <v>0</v>
      </c>
      <c r="BG79" s="252">
        <f t="shared" si="34"/>
        <v>0</v>
      </c>
      <c r="BH79" s="252">
        <f t="shared" si="34"/>
        <v>0</v>
      </c>
      <c r="BI79" s="252">
        <f t="shared" si="34"/>
        <v>0</v>
      </c>
      <c r="BJ79" s="252">
        <f t="shared" si="34"/>
        <v>0</v>
      </c>
      <c r="BK79" s="252">
        <f t="shared" si="34"/>
        <v>19.2</v>
      </c>
      <c r="BL79" s="252">
        <f t="shared" si="34"/>
        <v>31.5</v>
      </c>
      <c r="BM79" s="252">
        <f t="shared" si="34"/>
        <v>32</v>
      </c>
      <c r="BN79" s="252">
        <f t="shared" si="34"/>
        <v>34</v>
      </c>
      <c r="BO79" s="252">
        <f t="shared" si="34"/>
        <v>29</v>
      </c>
      <c r="BP79" s="252">
        <f t="shared" si="34"/>
        <v>27.4</v>
      </c>
      <c r="BQ79" s="252">
        <f t="shared" si="34"/>
        <v>26.9</v>
      </c>
      <c r="BR79" s="252">
        <f t="shared" si="34"/>
        <v>0</v>
      </c>
      <c r="BS79" s="252">
        <f t="shared" si="34"/>
        <v>0</v>
      </c>
      <c r="BT79" s="252">
        <f t="shared" si="34"/>
        <v>0</v>
      </c>
      <c r="BU79" s="252">
        <f t="shared" si="34"/>
        <v>0</v>
      </c>
      <c r="BV79" s="252">
        <f t="shared" si="34"/>
        <v>0</v>
      </c>
      <c r="BW79" s="252">
        <f t="shared" si="34"/>
        <v>0</v>
      </c>
    </row>
    <row r="80" spans="1:75" ht="15.75" thickBot="1" x14ac:dyDescent="0.3">
      <c r="A80" s="74" t="s">
        <v>80</v>
      </c>
      <c r="B80" s="60">
        <f t="shared" ref="B80:AF80" si="35">B77+B78+B79</f>
        <v>0</v>
      </c>
      <c r="C80" s="60">
        <f t="shared" si="35"/>
        <v>0</v>
      </c>
      <c r="D80" s="60">
        <f t="shared" si="35"/>
        <v>0</v>
      </c>
      <c r="E80" s="60">
        <f t="shared" si="35"/>
        <v>0</v>
      </c>
      <c r="F80" s="60">
        <f t="shared" si="35"/>
        <v>0</v>
      </c>
      <c r="G80" s="60">
        <f t="shared" si="35"/>
        <v>0</v>
      </c>
      <c r="H80" s="60">
        <f t="shared" si="35"/>
        <v>0</v>
      </c>
      <c r="I80" s="60">
        <f t="shared" si="35"/>
        <v>0</v>
      </c>
      <c r="J80" s="60">
        <f t="shared" si="35"/>
        <v>0</v>
      </c>
      <c r="K80" s="60">
        <f t="shared" si="35"/>
        <v>0</v>
      </c>
      <c r="L80" s="60">
        <f t="shared" si="35"/>
        <v>0</v>
      </c>
      <c r="M80" s="60">
        <f t="shared" ref="M80:N80" si="36">M77+M78+M79</f>
        <v>0</v>
      </c>
      <c r="N80" s="60">
        <f t="shared" si="36"/>
        <v>89.2</v>
      </c>
      <c r="O80" s="60">
        <f t="shared" ref="O80:P80" si="37">O77+O78+O79</f>
        <v>97.6</v>
      </c>
      <c r="P80" s="60">
        <f t="shared" si="37"/>
        <v>97.6</v>
      </c>
      <c r="Q80" s="60">
        <f t="shared" ref="Q80:R80" si="38">Q77+Q78+Q79</f>
        <v>96.999999999999986</v>
      </c>
      <c r="R80" s="60">
        <f t="shared" si="38"/>
        <v>98.5</v>
      </c>
      <c r="S80" s="60">
        <f t="shared" si="35"/>
        <v>98</v>
      </c>
      <c r="T80" s="60">
        <f t="shared" si="35"/>
        <v>98.1</v>
      </c>
      <c r="U80" s="60">
        <f t="shared" si="35"/>
        <v>98.1</v>
      </c>
      <c r="V80" s="60">
        <f t="shared" si="35"/>
        <v>98.5</v>
      </c>
      <c r="W80" s="60">
        <f t="shared" si="35"/>
        <v>98.5</v>
      </c>
      <c r="X80" s="60">
        <v>96.6</v>
      </c>
      <c r="Y80" s="60">
        <f t="shared" si="35"/>
        <v>95.1</v>
      </c>
      <c r="Z80" s="60">
        <f t="shared" si="35"/>
        <v>96.100000000000009</v>
      </c>
      <c r="AA80" s="60">
        <f t="shared" si="35"/>
        <v>96.8</v>
      </c>
      <c r="AB80" s="60">
        <f t="shared" si="35"/>
        <v>96.4</v>
      </c>
      <c r="AC80" s="60">
        <f t="shared" si="35"/>
        <v>96.4</v>
      </c>
      <c r="AD80" s="60">
        <f t="shared" si="35"/>
        <v>56.5</v>
      </c>
      <c r="AE80" s="60">
        <f t="shared" si="35"/>
        <v>21.7</v>
      </c>
      <c r="AF80" s="60">
        <f t="shared" si="35"/>
        <v>0</v>
      </c>
      <c r="AG80" s="61">
        <f>SUM(AG77:AG79)</f>
        <v>106</v>
      </c>
      <c r="AH80" s="47">
        <f t="shared" si="2"/>
        <v>98.5</v>
      </c>
      <c r="AI80" s="48">
        <f t="shared" si="3"/>
        <v>0</v>
      </c>
      <c r="AK80" s="50"/>
      <c r="AZ80" s="252">
        <f t="shared" si="34"/>
        <v>0</v>
      </c>
      <c r="BA80" s="252">
        <f t="shared" si="34"/>
        <v>0</v>
      </c>
      <c r="BB80" s="252">
        <f t="shared" si="34"/>
        <v>0</v>
      </c>
      <c r="BC80" s="252">
        <f t="shared" si="34"/>
        <v>0</v>
      </c>
      <c r="BD80" s="252">
        <f t="shared" si="34"/>
        <v>0</v>
      </c>
      <c r="BE80" s="252">
        <f t="shared" si="34"/>
        <v>0</v>
      </c>
      <c r="BF80" s="252">
        <f t="shared" si="34"/>
        <v>0</v>
      </c>
      <c r="BG80" s="252">
        <f t="shared" si="34"/>
        <v>0</v>
      </c>
      <c r="BH80" s="252">
        <f t="shared" si="34"/>
        <v>0</v>
      </c>
      <c r="BI80" s="252">
        <f t="shared" si="34"/>
        <v>0</v>
      </c>
      <c r="BJ80" s="252">
        <f t="shared" si="34"/>
        <v>0</v>
      </c>
      <c r="BK80" s="252">
        <f t="shared" si="34"/>
        <v>0</v>
      </c>
      <c r="BL80" s="252">
        <f t="shared" si="34"/>
        <v>0</v>
      </c>
      <c r="BM80" s="252">
        <f t="shared" si="34"/>
        <v>0</v>
      </c>
      <c r="BN80" s="252">
        <f t="shared" si="34"/>
        <v>0</v>
      </c>
      <c r="BO80" s="252">
        <f t="shared" si="34"/>
        <v>0</v>
      </c>
      <c r="BP80" s="252">
        <f t="shared" si="34"/>
        <v>0</v>
      </c>
      <c r="BQ80" s="252">
        <f t="shared" si="34"/>
        <v>0</v>
      </c>
      <c r="BR80" s="252">
        <f t="shared" si="34"/>
        <v>0</v>
      </c>
      <c r="BS80" s="252">
        <f t="shared" si="34"/>
        <v>0</v>
      </c>
      <c r="BT80" s="252">
        <f t="shared" si="34"/>
        <v>0</v>
      </c>
      <c r="BU80" s="252">
        <f t="shared" si="34"/>
        <v>0</v>
      </c>
      <c r="BV80" s="252">
        <f t="shared" si="34"/>
        <v>0</v>
      </c>
      <c r="BW80" s="252">
        <f t="shared" si="34"/>
        <v>0</v>
      </c>
    </row>
    <row r="81" spans="1:64" x14ac:dyDescent="0.25">
      <c r="A81" s="44" t="s">
        <v>81</v>
      </c>
      <c r="B81" s="45">
        <v>60</v>
      </c>
      <c r="C81" s="45">
        <v>52</v>
      </c>
      <c r="D81" s="45">
        <v>53</v>
      </c>
      <c r="E81" s="45">
        <v>62.2</v>
      </c>
      <c r="F81" s="45">
        <v>66</v>
      </c>
      <c r="G81" s="45">
        <v>70.2</v>
      </c>
      <c r="H81" s="45">
        <v>71.2</v>
      </c>
      <c r="I81" s="45">
        <v>65.400000000000006</v>
      </c>
      <c r="J81" s="45">
        <v>67.2</v>
      </c>
      <c r="K81" s="45">
        <v>58.8</v>
      </c>
      <c r="L81" s="45">
        <v>56</v>
      </c>
      <c r="M81" s="45">
        <v>77</v>
      </c>
      <c r="N81" s="45">
        <v>56.8</v>
      </c>
      <c r="O81" s="45">
        <v>58.9</v>
      </c>
      <c r="P81" s="45">
        <v>64.5</v>
      </c>
      <c r="Q81" s="45">
        <v>63.8</v>
      </c>
      <c r="R81" s="45">
        <v>62.2</v>
      </c>
      <c r="S81" s="45">
        <v>69.8</v>
      </c>
      <c r="T81" s="45">
        <v>58.8</v>
      </c>
      <c r="U81" s="45">
        <v>64.900000000000006</v>
      </c>
      <c r="V81" s="45">
        <v>60.8</v>
      </c>
      <c r="W81" s="45">
        <v>64.900000000000006</v>
      </c>
      <c r="X81" s="45">
        <v>63.8</v>
      </c>
      <c r="Y81" s="45">
        <v>70.599999999999994</v>
      </c>
      <c r="Z81" s="45">
        <v>69.8</v>
      </c>
      <c r="AA81" s="45">
        <v>68.8</v>
      </c>
      <c r="AB81" s="45">
        <v>64.7</v>
      </c>
      <c r="AC81" s="45">
        <v>64</v>
      </c>
      <c r="AD81" s="45">
        <v>63</v>
      </c>
      <c r="AE81" s="45">
        <v>63</v>
      </c>
      <c r="AF81" s="45">
        <v>64.5</v>
      </c>
      <c r="AG81" s="52"/>
      <c r="AH81" s="47">
        <f t="shared" si="2"/>
        <v>77</v>
      </c>
      <c r="AI81" s="48">
        <f t="shared" si="3"/>
        <v>52</v>
      </c>
      <c r="AK81" s="50"/>
      <c r="AY81" s="252"/>
    </row>
    <row r="82" spans="1:64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55"/>
      <c r="AH82" s="47">
        <f t="shared" si="2"/>
        <v>0</v>
      </c>
      <c r="AI82" s="48">
        <f t="shared" si="3"/>
        <v>0</v>
      </c>
      <c r="AK82" s="50"/>
      <c r="AY82" s="252"/>
      <c r="BF82" s="252"/>
      <c r="BG82" s="252"/>
      <c r="BH82" s="252"/>
      <c r="BI82" s="252"/>
      <c r="BJ82" s="252"/>
      <c r="BK82" s="252"/>
    </row>
    <row r="83" spans="1:64" x14ac:dyDescent="0.25">
      <c r="A83" s="54" t="s">
        <v>83</v>
      </c>
      <c r="B83" s="65">
        <v>382</v>
      </c>
      <c r="C83" s="65">
        <v>369</v>
      </c>
      <c r="D83" s="65">
        <v>354</v>
      </c>
      <c r="E83" s="65">
        <v>341</v>
      </c>
      <c r="F83" s="65">
        <v>362</v>
      </c>
      <c r="G83" s="65">
        <v>401</v>
      </c>
      <c r="H83" s="65">
        <v>423</v>
      </c>
      <c r="I83" s="65">
        <v>419</v>
      </c>
      <c r="J83" s="65">
        <v>435</v>
      </c>
      <c r="K83" s="65">
        <v>198</v>
      </c>
      <c r="L83" s="65">
        <v>169</v>
      </c>
      <c r="M83" s="65">
        <v>100</v>
      </c>
      <c r="N83" s="65">
        <v>67.7</v>
      </c>
      <c r="O83" s="65">
        <v>116.8</v>
      </c>
      <c r="P83" s="65">
        <v>148</v>
      </c>
      <c r="Q83" s="65">
        <v>410.2</v>
      </c>
      <c r="R83" s="65">
        <v>423.2</v>
      </c>
      <c r="S83" s="65">
        <v>486.6</v>
      </c>
      <c r="T83" s="65">
        <v>435.5</v>
      </c>
      <c r="U83" s="65">
        <v>446.2</v>
      </c>
      <c r="V83" s="65">
        <v>113.2</v>
      </c>
      <c r="W83" s="65">
        <v>171</v>
      </c>
      <c r="X83" s="65">
        <v>129.30000000000001</v>
      </c>
      <c r="Y83" s="65">
        <v>193.4</v>
      </c>
      <c r="Z83" s="65">
        <v>307.89999999999998</v>
      </c>
      <c r="AA83" s="65">
        <v>320</v>
      </c>
      <c r="AB83" s="65">
        <v>305</v>
      </c>
      <c r="AC83" s="65">
        <v>300</v>
      </c>
      <c r="AD83" s="65">
        <v>333</v>
      </c>
      <c r="AE83" s="65">
        <v>422</v>
      </c>
      <c r="AF83" s="65">
        <v>392</v>
      </c>
      <c r="AG83" s="75"/>
      <c r="AH83" s="47">
        <f t="shared" si="2"/>
        <v>486.6</v>
      </c>
      <c r="AI83" s="48">
        <f t="shared" si="3"/>
        <v>67.7</v>
      </c>
      <c r="AK83" s="50"/>
      <c r="AY83" s="252"/>
      <c r="BF83" s="251"/>
      <c r="BG83" s="251"/>
      <c r="BH83" s="251"/>
      <c r="BI83" s="251"/>
      <c r="BJ83" s="251"/>
      <c r="BK83" s="252"/>
    </row>
    <row r="84" spans="1:64" x14ac:dyDescent="0.25">
      <c r="A84" s="54" t="s">
        <v>84</v>
      </c>
      <c r="B84" s="65"/>
      <c r="C84" s="65"/>
      <c r="D84" s="65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>
        <v>21.3</v>
      </c>
      <c r="R84" s="76">
        <v>36.5</v>
      </c>
      <c r="S84" s="76">
        <v>28</v>
      </c>
      <c r="T84" s="76">
        <v>25</v>
      </c>
      <c r="U84" s="76">
        <v>24</v>
      </c>
      <c r="V84" s="76">
        <v>22.6</v>
      </c>
      <c r="W84" s="76">
        <v>22.3</v>
      </c>
      <c r="X84" s="76">
        <v>27.5</v>
      </c>
      <c r="Y84" s="76">
        <v>0</v>
      </c>
      <c r="Z84" s="76">
        <v>0</v>
      </c>
      <c r="AA84" s="76"/>
      <c r="AB84" s="76">
        <v>0</v>
      </c>
      <c r="AC84" s="76"/>
      <c r="AD84" s="65"/>
      <c r="AE84" s="76"/>
      <c r="AF84" s="76"/>
      <c r="AG84" s="75"/>
      <c r="AH84" s="47">
        <f t="shared" si="2"/>
        <v>36.5</v>
      </c>
      <c r="AI84" s="48">
        <f t="shared" si="3"/>
        <v>0</v>
      </c>
      <c r="AK84" s="50"/>
      <c r="AY84" s="252"/>
      <c r="BF84" s="251"/>
      <c r="BG84" s="252">
        <f t="array" ref="BG84:BL107">TRANSPOSE(AZ68:BW73)</f>
        <v>52</v>
      </c>
      <c r="BH84" s="252">
        <v>0</v>
      </c>
      <c r="BI84" s="252">
        <v>369</v>
      </c>
      <c r="BJ84" s="252">
        <v>0</v>
      </c>
      <c r="BK84" s="252">
        <v>0</v>
      </c>
      <c r="BL84" s="252">
        <v>0</v>
      </c>
    </row>
    <row r="85" spans="1:64" x14ac:dyDescent="0.25">
      <c r="A85" s="54" t="s">
        <v>85</v>
      </c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>
        <v>19.2</v>
      </c>
      <c r="R85" s="45">
        <v>31.5</v>
      </c>
      <c r="S85" s="76">
        <v>32</v>
      </c>
      <c r="T85" s="76">
        <v>34</v>
      </c>
      <c r="U85" s="76">
        <v>29</v>
      </c>
      <c r="V85" s="76">
        <v>27.4</v>
      </c>
      <c r="W85" s="45">
        <v>27.2</v>
      </c>
      <c r="X85" s="45">
        <v>26.9</v>
      </c>
      <c r="Y85" s="45">
        <v>0</v>
      </c>
      <c r="Z85" s="45"/>
      <c r="AA85" s="45"/>
      <c r="AB85" s="45">
        <v>0</v>
      </c>
      <c r="AC85" s="45"/>
      <c r="AD85" s="45"/>
      <c r="AE85" s="45"/>
      <c r="AF85" s="45"/>
      <c r="AG85" s="75"/>
      <c r="AH85" s="47">
        <f t="shared" ref="AH85:AH130" si="39">MAX(B85:AF85)</f>
        <v>34</v>
      </c>
      <c r="AI85" s="48">
        <f t="shared" ref="AI85:AI130" si="40">MIN(B85:AF85)</f>
        <v>0</v>
      </c>
      <c r="AK85" s="50"/>
      <c r="AY85" s="252"/>
      <c r="BF85" s="251"/>
      <c r="BG85" s="252">
        <v>53</v>
      </c>
      <c r="BH85" s="252">
        <v>0</v>
      </c>
      <c r="BI85" s="252">
        <v>354</v>
      </c>
      <c r="BJ85" s="252">
        <v>0</v>
      </c>
      <c r="BK85" s="252">
        <v>0</v>
      </c>
      <c r="BL85" s="252">
        <v>0</v>
      </c>
    </row>
    <row r="86" spans="1:64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5"/>
      <c r="AH86" s="47">
        <f t="shared" si="39"/>
        <v>0</v>
      </c>
      <c r="AI86" s="48">
        <f t="shared" si="40"/>
        <v>0</v>
      </c>
      <c r="AK86" s="50"/>
      <c r="AY86" s="252"/>
      <c r="BF86" s="251"/>
      <c r="BG86" s="252">
        <v>62.2</v>
      </c>
      <c r="BH86" s="252">
        <v>0</v>
      </c>
      <c r="BI86" s="252">
        <v>341</v>
      </c>
      <c r="BJ86" s="252">
        <v>0</v>
      </c>
      <c r="BK86" s="252">
        <v>0</v>
      </c>
      <c r="BL86" s="252">
        <v>0</v>
      </c>
    </row>
    <row r="87" spans="1:64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5"/>
      <c r="AH87" s="47">
        <f t="shared" si="39"/>
        <v>0</v>
      </c>
      <c r="AI87" s="48">
        <f t="shared" si="40"/>
        <v>0</v>
      </c>
      <c r="AK87" s="50"/>
      <c r="AL87" s="78" t="s">
        <v>88</v>
      </c>
      <c r="AM87" s="78"/>
      <c r="AY87" s="252"/>
      <c r="BF87" s="252"/>
      <c r="BG87" s="252">
        <v>66</v>
      </c>
      <c r="BH87" s="252">
        <v>0</v>
      </c>
      <c r="BI87" s="252">
        <v>362</v>
      </c>
      <c r="BJ87" s="252">
        <v>0</v>
      </c>
      <c r="BK87" s="252">
        <v>0</v>
      </c>
      <c r="BL87" s="252">
        <v>0</v>
      </c>
    </row>
    <row r="88" spans="1:64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5"/>
      <c r="AH88" s="47">
        <f t="shared" si="39"/>
        <v>0</v>
      </c>
      <c r="AI88" s="48">
        <f t="shared" si="40"/>
        <v>0</v>
      </c>
      <c r="AK88" s="79"/>
      <c r="AL88" s="80"/>
      <c r="AM88" s="80"/>
      <c r="AN88" s="81"/>
      <c r="AY88" s="252"/>
      <c r="BF88" s="252"/>
      <c r="BG88" s="252">
        <v>70.2</v>
      </c>
      <c r="BH88" s="252">
        <v>0</v>
      </c>
      <c r="BI88" s="252">
        <v>401</v>
      </c>
      <c r="BJ88" s="252">
        <v>0</v>
      </c>
      <c r="BK88" s="252">
        <v>0</v>
      </c>
      <c r="BL88" s="252">
        <v>0</v>
      </c>
    </row>
    <row r="89" spans="1:64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5"/>
      <c r="AH89" s="47">
        <f t="shared" si="39"/>
        <v>0</v>
      </c>
      <c r="AI89" s="48">
        <f t="shared" si="40"/>
        <v>0</v>
      </c>
      <c r="AK89" s="82" t="s">
        <v>91</v>
      </c>
      <c r="AL89" s="65"/>
      <c r="AM89" s="76"/>
      <c r="AN89" s="83"/>
      <c r="AY89" s="252"/>
      <c r="BF89" s="252"/>
      <c r="BG89" s="252">
        <v>65.400000000000006</v>
      </c>
      <c r="BH89" s="252">
        <v>0</v>
      </c>
      <c r="BI89" s="252">
        <v>419</v>
      </c>
      <c r="BJ89" s="252">
        <v>0</v>
      </c>
      <c r="BK89" s="252">
        <v>0</v>
      </c>
      <c r="BL89" s="252">
        <v>0</v>
      </c>
    </row>
    <row r="90" spans="1:64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85"/>
      <c r="AH90" s="47">
        <f t="shared" si="39"/>
        <v>0</v>
      </c>
      <c r="AI90" s="48">
        <f t="shared" si="40"/>
        <v>0</v>
      </c>
      <c r="AK90" s="82" t="s">
        <v>93</v>
      </c>
      <c r="AL90" s="76"/>
      <c r="AM90" s="76"/>
      <c r="AN90" s="83"/>
      <c r="AY90" s="252"/>
      <c r="BF90" s="252"/>
      <c r="BG90" s="252">
        <v>58.8</v>
      </c>
      <c r="BH90" s="252">
        <v>0</v>
      </c>
      <c r="BI90" s="252">
        <v>198</v>
      </c>
      <c r="BJ90" s="252">
        <v>0</v>
      </c>
      <c r="BK90" s="252">
        <v>0</v>
      </c>
      <c r="BL90" s="252">
        <v>0</v>
      </c>
    </row>
    <row r="91" spans="1:64" ht="15.75" thickBot="1" x14ac:dyDescent="0.3">
      <c r="A91" s="84" t="s">
        <v>94</v>
      </c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85"/>
      <c r="AH91" s="47">
        <f t="shared" si="39"/>
        <v>0</v>
      </c>
      <c r="AI91" s="48">
        <f t="shared" si="40"/>
        <v>0</v>
      </c>
      <c r="AK91" s="86"/>
      <c r="AL91" s="45"/>
      <c r="AM91" s="45"/>
      <c r="AN91" s="87"/>
      <c r="AY91" s="252"/>
      <c r="BF91" s="252"/>
      <c r="BG91" s="252">
        <v>77</v>
      </c>
      <c r="BH91" s="252">
        <v>0</v>
      </c>
      <c r="BI91" s="252">
        <v>100</v>
      </c>
      <c r="BJ91" s="252">
        <v>0</v>
      </c>
      <c r="BK91" s="252">
        <v>0</v>
      </c>
      <c r="BL91" s="252">
        <v>0</v>
      </c>
    </row>
    <row r="92" spans="1:64" ht="15.75" thickBot="1" x14ac:dyDescent="0.3">
      <c r="A92" s="74" t="s">
        <v>95</v>
      </c>
      <c r="B92" s="60">
        <f t="shared" ref="B92:AF92" si="41">SUMIF(B81:B91,"&gt;0")</f>
        <v>442</v>
      </c>
      <c r="C92" s="60">
        <f t="shared" si="41"/>
        <v>421</v>
      </c>
      <c r="D92" s="60">
        <f t="shared" si="41"/>
        <v>407</v>
      </c>
      <c r="E92" s="60">
        <f t="shared" si="41"/>
        <v>403.2</v>
      </c>
      <c r="F92" s="60">
        <f t="shared" si="41"/>
        <v>428</v>
      </c>
      <c r="G92" s="60">
        <f t="shared" si="41"/>
        <v>471.2</v>
      </c>
      <c r="H92" s="60">
        <f t="shared" si="41"/>
        <v>494.2</v>
      </c>
      <c r="I92" s="60">
        <f t="shared" si="41"/>
        <v>484.4</v>
      </c>
      <c r="J92" s="60">
        <f t="shared" si="41"/>
        <v>502.2</v>
      </c>
      <c r="K92" s="60">
        <f t="shared" si="41"/>
        <v>256.8</v>
      </c>
      <c r="L92" s="60">
        <f t="shared" si="41"/>
        <v>225</v>
      </c>
      <c r="M92" s="60">
        <f t="shared" ref="M92" si="42">SUMIF(M81:M91,"&gt;0")</f>
        <v>177</v>
      </c>
      <c r="N92" s="60">
        <f t="shared" si="41"/>
        <v>124.5</v>
      </c>
      <c r="O92" s="60">
        <f t="shared" ref="O92:P92" si="43">SUMIF(O81:O91,"&gt;0")</f>
        <v>175.7</v>
      </c>
      <c r="P92" s="60">
        <f t="shared" si="43"/>
        <v>212.5</v>
      </c>
      <c r="Q92" s="60">
        <f t="shared" si="41"/>
        <v>514.5</v>
      </c>
      <c r="R92" s="60">
        <f t="shared" si="41"/>
        <v>553.4</v>
      </c>
      <c r="S92" s="60">
        <f t="shared" si="41"/>
        <v>616.4</v>
      </c>
      <c r="T92" s="60">
        <f t="shared" si="41"/>
        <v>553.29999999999995</v>
      </c>
      <c r="U92" s="60">
        <f t="shared" si="41"/>
        <v>564.1</v>
      </c>
      <c r="V92" s="60">
        <f t="shared" si="41"/>
        <v>224</v>
      </c>
      <c r="W92" s="60">
        <f t="shared" si="41"/>
        <v>285.39999999999998</v>
      </c>
      <c r="X92" s="60">
        <v>247.50000000000003</v>
      </c>
      <c r="Y92" s="60">
        <f t="shared" si="41"/>
        <v>264</v>
      </c>
      <c r="Z92" s="60">
        <f t="shared" si="41"/>
        <v>377.7</v>
      </c>
      <c r="AA92" s="60">
        <f t="shared" si="41"/>
        <v>388.8</v>
      </c>
      <c r="AB92" s="60">
        <f t="shared" si="41"/>
        <v>369.7</v>
      </c>
      <c r="AC92" s="60">
        <f t="shared" si="41"/>
        <v>364</v>
      </c>
      <c r="AD92" s="60">
        <f t="shared" si="41"/>
        <v>396</v>
      </c>
      <c r="AE92" s="60">
        <f t="shared" si="41"/>
        <v>485</v>
      </c>
      <c r="AF92" s="60">
        <f t="shared" si="41"/>
        <v>456.5</v>
      </c>
      <c r="AG92" s="88">
        <f>SUM(AG81:AG91)</f>
        <v>0</v>
      </c>
      <c r="AH92" s="47">
        <f t="shared" si="39"/>
        <v>616.4</v>
      </c>
      <c r="AI92" s="48">
        <f t="shared" si="40"/>
        <v>124.5</v>
      </c>
      <c r="AK92" s="86"/>
      <c r="AL92" s="77"/>
      <c r="AM92" s="89"/>
      <c r="AN92" s="255"/>
      <c r="AY92" s="252"/>
      <c r="BF92" s="252"/>
      <c r="BG92" s="252">
        <v>56.8</v>
      </c>
      <c r="BH92" s="252">
        <v>0</v>
      </c>
      <c r="BI92" s="252">
        <v>67.7</v>
      </c>
      <c r="BJ92" s="252">
        <v>0</v>
      </c>
      <c r="BK92" s="252">
        <v>0</v>
      </c>
      <c r="BL92" s="252">
        <v>0</v>
      </c>
    </row>
    <row r="93" spans="1:64" x14ac:dyDescent="0.25">
      <c r="A93" s="44" t="s">
        <v>96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39"/>
        <v>0</v>
      </c>
      <c r="AI93" s="48">
        <f t="shared" si="40"/>
        <v>0</v>
      </c>
      <c r="AK93" s="86"/>
      <c r="AL93" s="77"/>
      <c r="AM93" s="77"/>
      <c r="AN93" s="256"/>
      <c r="BF93" s="252"/>
      <c r="BG93" s="252">
        <v>58.9</v>
      </c>
      <c r="BH93" s="252">
        <v>0</v>
      </c>
      <c r="BI93" s="252">
        <v>116.8</v>
      </c>
      <c r="BJ93" s="252">
        <v>0</v>
      </c>
      <c r="BK93" s="252">
        <v>0</v>
      </c>
      <c r="BL93" s="252">
        <v>0</v>
      </c>
    </row>
    <row r="94" spans="1:64" ht="15.75" thickBot="1" x14ac:dyDescent="0.3">
      <c r="A94" s="54" t="s">
        <v>97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39"/>
        <v>0</v>
      </c>
      <c r="AI94" s="48">
        <f t="shared" si="40"/>
        <v>0</v>
      </c>
      <c r="AK94" s="91"/>
      <c r="AL94" s="92"/>
      <c r="AM94" s="92"/>
      <c r="AN94" s="93"/>
      <c r="BF94" s="252"/>
      <c r="BG94" s="252">
        <v>64.5</v>
      </c>
      <c r="BH94" s="252">
        <v>0</v>
      </c>
      <c r="BI94" s="252">
        <v>148</v>
      </c>
      <c r="BJ94" s="252">
        <v>0</v>
      </c>
      <c r="BK94" s="252">
        <v>0</v>
      </c>
      <c r="BL94" s="252">
        <v>0</v>
      </c>
    </row>
    <row r="95" spans="1:64" ht="15.75" thickBot="1" x14ac:dyDescent="0.3">
      <c r="A95" s="84" t="s">
        <v>98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39"/>
        <v>0</v>
      </c>
      <c r="AI95" s="48">
        <f t="shared" si="40"/>
        <v>0</v>
      </c>
      <c r="BF95" s="252"/>
      <c r="BG95" s="252">
        <v>63.8</v>
      </c>
      <c r="BH95" s="252">
        <v>0</v>
      </c>
      <c r="BI95" s="252">
        <v>410.2</v>
      </c>
      <c r="BJ95" s="252">
        <v>21.3</v>
      </c>
      <c r="BK95" s="252">
        <v>19.2</v>
      </c>
      <c r="BL95" s="252">
        <v>0</v>
      </c>
    </row>
    <row r="96" spans="1:64" ht="15.75" thickBot="1" x14ac:dyDescent="0.3">
      <c r="A96" s="74" t="s">
        <v>99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39"/>
        <v>0</v>
      </c>
      <c r="AI96" s="48">
        <f t="shared" si="40"/>
        <v>0</v>
      </c>
      <c r="BF96" s="252"/>
      <c r="BG96" s="252">
        <v>62.2</v>
      </c>
      <c r="BH96" s="252">
        <v>0</v>
      </c>
      <c r="BI96" s="252">
        <v>423.2</v>
      </c>
      <c r="BJ96" s="252">
        <v>36.5</v>
      </c>
      <c r="BK96" s="252">
        <v>31.5</v>
      </c>
      <c r="BL96" s="252">
        <v>0</v>
      </c>
    </row>
    <row r="97" spans="1:64" ht="15.75" thickBot="1" x14ac:dyDescent="0.3">
      <c r="A97" s="74" t="s">
        <v>100</v>
      </c>
      <c r="B97" s="95">
        <f t="shared" ref="B97:AG97" si="44">B58+B62+B80+B76+B92+B96</f>
        <v>1174.7400000000002</v>
      </c>
      <c r="C97" s="95">
        <f t="shared" si="44"/>
        <v>1133.1399999999999</v>
      </c>
      <c r="D97" s="95">
        <f t="shared" si="44"/>
        <v>1111.3400000000001</v>
      </c>
      <c r="E97" s="95">
        <f t="shared" si="44"/>
        <v>1108.54</v>
      </c>
      <c r="F97" s="95">
        <f t="shared" si="44"/>
        <v>1133.3400000000001</v>
      </c>
      <c r="G97" s="95">
        <f t="shared" si="44"/>
        <v>1186.54</v>
      </c>
      <c r="H97" s="95">
        <f t="shared" si="44"/>
        <v>1239.54</v>
      </c>
      <c r="I97" s="95">
        <f t="shared" si="44"/>
        <v>1318.8400000000001</v>
      </c>
      <c r="J97" s="95">
        <f t="shared" si="44"/>
        <v>1445.8400000000001</v>
      </c>
      <c r="K97" s="95">
        <f t="shared" si="44"/>
        <v>1204.44</v>
      </c>
      <c r="L97" s="95">
        <f t="shared" si="44"/>
        <v>1598.24</v>
      </c>
      <c r="M97" s="95">
        <f t="shared" ref="M97" si="45">M58+M62+M80+M76+M92+M96</f>
        <v>1572.0400000000002</v>
      </c>
      <c r="N97" s="95">
        <f t="shared" si="44"/>
        <v>1533.7400000000002</v>
      </c>
      <c r="O97" s="95">
        <f t="shared" ref="O97:P97" si="46">O58+O62+O80+O76+O92+O96</f>
        <v>1443.8400000000001</v>
      </c>
      <c r="P97" s="95">
        <f t="shared" si="46"/>
        <v>1355.8400000000001</v>
      </c>
      <c r="Q97" s="95">
        <f t="shared" si="44"/>
        <v>1482.8400000000001</v>
      </c>
      <c r="R97" s="95">
        <f t="shared" si="44"/>
        <v>1464.7400000000002</v>
      </c>
      <c r="S97" s="95">
        <f t="shared" si="44"/>
        <v>1484.8400000000001</v>
      </c>
      <c r="T97" s="95">
        <f t="shared" si="44"/>
        <v>1428.54</v>
      </c>
      <c r="U97" s="95">
        <f t="shared" si="44"/>
        <v>1414.94</v>
      </c>
      <c r="V97" s="95">
        <f t="shared" si="44"/>
        <v>1352.94</v>
      </c>
      <c r="W97" s="95">
        <f t="shared" si="44"/>
        <v>1457.54</v>
      </c>
      <c r="X97" s="95">
        <v>1525.2</v>
      </c>
      <c r="Y97" s="95">
        <f t="shared" si="44"/>
        <v>1588.84</v>
      </c>
      <c r="Z97" s="95">
        <f t="shared" si="44"/>
        <v>1540.14</v>
      </c>
      <c r="AA97" s="95">
        <f t="shared" si="44"/>
        <v>1519.44</v>
      </c>
      <c r="AB97" s="95">
        <f t="shared" si="44"/>
        <v>1438.14</v>
      </c>
      <c r="AC97" s="95">
        <f t="shared" si="44"/>
        <v>1432.44</v>
      </c>
      <c r="AD97" s="95">
        <f t="shared" si="44"/>
        <v>1371.44</v>
      </c>
      <c r="AE97" s="95">
        <f t="shared" si="44"/>
        <v>1317.04</v>
      </c>
      <c r="AF97" s="95">
        <f t="shared" si="44"/>
        <v>1217.3400000000001</v>
      </c>
      <c r="AG97" s="61">
        <f t="shared" si="44"/>
        <v>2231.81</v>
      </c>
      <c r="AH97" s="47">
        <f t="shared" si="39"/>
        <v>1598.24</v>
      </c>
      <c r="AI97" s="48">
        <f t="shared" si="40"/>
        <v>1108.54</v>
      </c>
      <c r="BF97" s="252"/>
      <c r="BG97" s="252">
        <v>69.8</v>
      </c>
      <c r="BH97" s="252">
        <v>0</v>
      </c>
      <c r="BI97" s="252">
        <v>486.6</v>
      </c>
      <c r="BJ97" s="252">
        <v>28</v>
      </c>
      <c r="BK97" s="252">
        <v>32</v>
      </c>
      <c r="BL97" s="252">
        <v>0</v>
      </c>
    </row>
    <row r="98" spans="1:64" ht="15.75" thickBot="1" x14ac:dyDescent="0.3">
      <c r="A98" s="96" t="s">
        <v>101</v>
      </c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>
        <v>200</v>
      </c>
      <c r="N98" s="97">
        <v>200</v>
      </c>
      <c r="O98" s="97">
        <v>200</v>
      </c>
      <c r="P98" s="97">
        <v>200</v>
      </c>
      <c r="Q98" s="97"/>
      <c r="R98" s="97"/>
      <c r="S98" s="97"/>
      <c r="T98" s="97"/>
      <c r="U98" s="97"/>
      <c r="V98" s="97">
        <v>150</v>
      </c>
      <c r="W98" s="97">
        <v>180</v>
      </c>
      <c r="X98" s="97">
        <v>200</v>
      </c>
      <c r="Y98" s="97">
        <v>230</v>
      </c>
      <c r="Z98" s="97">
        <v>230</v>
      </c>
      <c r="AA98" s="97">
        <v>235</v>
      </c>
      <c r="AB98" s="97">
        <v>235</v>
      </c>
      <c r="AC98" s="97">
        <v>235</v>
      </c>
      <c r="AD98" s="97">
        <v>235</v>
      </c>
      <c r="AE98" s="97"/>
      <c r="AF98" s="97"/>
      <c r="AG98" s="88"/>
      <c r="AH98" s="47">
        <f t="shared" si="39"/>
        <v>235</v>
      </c>
      <c r="AI98" s="48">
        <f t="shared" si="40"/>
        <v>150</v>
      </c>
      <c r="BF98" s="252"/>
      <c r="BG98" s="252">
        <v>58.8</v>
      </c>
      <c r="BH98" s="252">
        <v>0</v>
      </c>
      <c r="BI98" s="252">
        <v>435.5</v>
      </c>
      <c r="BJ98" s="252">
        <v>25</v>
      </c>
      <c r="BK98" s="252">
        <v>34</v>
      </c>
      <c r="BL98" s="252">
        <v>0</v>
      </c>
    </row>
    <row r="99" spans="1:64" ht="15.75" thickBot="1" x14ac:dyDescent="0.3">
      <c r="A99" s="74" t="s">
        <v>102</v>
      </c>
      <c r="B99" s="95">
        <f t="shared" ref="B99:AF99" si="47">B97+B98</f>
        <v>1174.7400000000002</v>
      </c>
      <c r="C99" s="95">
        <f t="shared" si="47"/>
        <v>1133.1399999999999</v>
      </c>
      <c r="D99" s="95">
        <f t="shared" si="47"/>
        <v>1111.3400000000001</v>
      </c>
      <c r="E99" s="95">
        <f t="shared" si="47"/>
        <v>1108.54</v>
      </c>
      <c r="F99" s="95">
        <f t="shared" si="47"/>
        <v>1133.3400000000001</v>
      </c>
      <c r="G99" s="95">
        <f t="shared" si="47"/>
        <v>1186.54</v>
      </c>
      <c r="H99" s="95">
        <f t="shared" si="47"/>
        <v>1239.54</v>
      </c>
      <c r="I99" s="95">
        <f t="shared" si="47"/>
        <v>1318.8400000000001</v>
      </c>
      <c r="J99" s="95">
        <f t="shared" si="47"/>
        <v>1445.8400000000001</v>
      </c>
      <c r="K99" s="95">
        <f t="shared" si="47"/>
        <v>1204.44</v>
      </c>
      <c r="L99" s="95">
        <f t="shared" si="47"/>
        <v>1598.24</v>
      </c>
      <c r="M99" s="95">
        <f t="shared" ref="M99" si="48">M97+M98</f>
        <v>1772.0400000000002</v>
      </c>
      <c r="N99" s="95">
        <f t="shared" si="47"/>
        <v>1733.7400000000002</v>
      </c>
      <c r="O99" s="95">
        <f t="shared" ref="O99:P99" si="49">O97+O98</f>
        <v>1643.8400000000001</v>
      </c>
      <c r="P99" s="95">
        <f t="shared" si="49"/>
        <v>1555.8400000000001</v>
      </c>
      <c r="Q99" s="95">
        <f t="shared" si="47"/>
        <v>1482.8400000000001</v>
      </c>
      <c r="R99" s="95">
        <f t="shared" si="47"/>
        <v>1464.7400000000002</v>
      </c>
      <c r="S99" s="95">
        <f t="shared" si="47"/>
        <v>1484.8400000000001</v>
      </c>
      <c r="T99" s="95">
        <f t="shared" si="47"/>
        <v>1428.54</v>
      </c>
      <c r="U99" s="95">
        <f t="shared" si="47"/>
        <v>1414.94</v>
      </c>
      <c r="V99" s="95">
        <f t="shared" si="47"/>
        <v>1502.94</v>
      </c>
      <c r="W99" s="95">
        <f t="shared" si="47"/>
        <v>1637.54</v>
      </c>
      <c r="X99" s="95">
        <v>1725.2</v>
      </c>
      <c r="Y99" s="95">
        <f t="shared" si="47"/>
        <v>1818.84</v>
      </c>
      <c r="Z99" s="95">
        <f t="shared" si="47"/>
        <v>1770.14</v>
      </c>
      <c r="AA99" s="95">
        <f t="shared" si="47"/>
        <v>1754.44</v>
      </c>
      <c r="AB99" s="95">
        <f t="shared" si="47"/>
        <v>1673.14</v>
      </c>
      <c r="AC99" s="95">
        <f t="shared" si="47"/>
        <v>1667.44</v>
      </c>
      <c r="AD99" s="95">
        <f t="shared" si="47"/>
        <v>1606.44</v>
      </c>
      <c r="AE99" s="95">
        <f t="shared" si="47"/>
        <v>1317.04</v>
      </c>
      <c r="AF99" s="95">
        <f t="shared" si="47"/>
        <v>1217.3400000000001</v>
      </c>
      <c r="AG99" s="88">
        <f>AG96+AG92+AG80+AG76+AG58+AG98</f>
        <v>1693.71</v>
      </c>
      <c r="AH99" s="47">
        <f t="shared" si="39"/>
        <v>1818.84</v>
      </c>
      <c r="AI99" s="48">
        <f t="shared" si="40"/>
        <v>1108.54</v>
      </c>
      <c r="BF99" s="252"/>
      <c r="BG99" s="252">
        <v>64.900000000000006</v>
      </c>
      <c r="BH99" s="252">
        <v>0</v>
      </c>
      <c r="BI99" s="252">
        <v>446.2</v>
      </c>
      <c r="BJ99" s="252">
        <v>24</v>
      </c>
      <c r="BK99" s="252">
        <v>29</v>
      </c>
      <c r="BL99" s="252">
        <v>0</v>
      </c>
    </row>
    <row r="100" spans="1:64" ht="15.75" thickBot="1" x14ac:dyDescent="0.3">
      <c r="A100" s="74" t="s">
        <v>103</v>
      </c>
      <c r="B100" s="95">
        <f t="shared" ref="B100:L100" si="50">B99-(B107)</f>
        <v>1174.7400000000002</v>
      </c>
      <c r="C100" s="95">
        <f t="shared" si="50"/>
        <v>1133.1399999999999</v>
      </c>
      <c r="D100" s="95">
        <f t="shared" si="50"/>
        <v>1111.3400000000001</v>
      </c>
      <c r="E100" s="95">
        <f t="shared" si="50"/>
        <v>1108.54</v>
      </c>
      <c r="F100" s="95">
        <f t="shared" si="50"/>
        <v>1133.3400000000001</v>
      </c>
      <c r="G100" s="95">
        <f t="shared" si="50"/>
        <v>1186.54</v>
      </c>
      <c r="H100" s="95">
        <f t="shared" si="50"/>
        <v>1239.54</v>
      </c>
      <c r="I100" s="95">
        <f t="shared" si="50"/>
        <v>1318.8400000000001</v>
      </c>
      <c r="J100" s="95">
        <f t="shared" si="50"/>
        <v>1445.8400000000001</v>
      </c>
      <c r="K100" s="95">
        <f t="shared" si="50"/>
        <v>1204.44</v>
      </c>
      <c r="L100" s="95">
        <f t="shared" si="50"/>
        <v>1598.24</v>
      </c>
      <c r="M100" s="95">
        <f t="shared" ref="M100" si="51">M99-(M107)</f>
        <v>1771.0400000000002</v>
      </c>
      <c r="N100" s="95">
        <f>N99-(N107)</f>
        <v>1733.7400000000002</v>
      </c>
      <c r="O100" s="95">
        <f>O99-(O107)</f>
        <v>1642.8400000000001</v>
      </c>
      <c r="P100" s="95">
        <f>P99-(P107)</f>
        <v>1553.8400000000001</v>
      </c>
      <c r="Q100" s="95">
        <f t="shared" ref="Q100:AF100" si="52">Q99-(Q107)</f>
        <v>1482.8400000000001</v>
      </c>
      <c r="R100" s="95">
        <f t="shared" si="52"/>
        <v>1464.7400000000002</v>
      </c>
      <c r="S100" s="95">
        <f t="shared" si="52"/>
        <v>1484.8400000000001</v>
      </c>
      <c r="T100" s="95">
        <f t="shared" si="52"/>
        <v>1428.54</v>
      </c>
      <c r="U100" s="95">
        <f t="shared" si="52"/>
        <v>1414.94</v>
      </c>
      <c r="V100" s="95">
        <f t="shared" si="52"/>
        <v>1502.94</v>
      </c>
      <c r="W100" s="95">
        <f t="shared" si="52"/>
        <v>1637.54</v>
      </c>
      <c r="X100" s="95">
        <v>1725.2</v>
      </c>
      <c r="Y100" s="95">
        <f t="shared" si="52"/>
        <v>1818.84</v>
      </c>
      <c r="Z100" s="95">
        <f t="shared" si="52"/>
        <v>1770.14</v>
      </c>
      <c r="AA100" s="95">
        <f t="shared" si="52"/>
        <v>1754.44</v>
      </c>
      <c r="AB100" s="95">
        <f t="shared" si="52"/>
        <v>1673.14</v>
      </c>
      <c r="AC100" s="95">
        <f t="shared" si="52"/>
        <v>1667.44</v>
      </c>
      <c r="AD100" s="95">
        <f t="shared" si="52"/>
        <v>1606.44</v>
      </c>
      <c r="AE100" s="95">
        <f t="shared" si="52"/>
        <v>1317.04</v>
      </c>
      <c r="AF100" s="95">
        <f t="shared" si="52"/>
        <v>1217.3400000000001</v>
      </c>
      <c r="AG100" s="88"/>
      <c r="AH100" s="47">
        <f t="shared" si="39"/>
        <v>1818.84</v>
      </c>
      <c r="AI100" s="48">
        <f t="shared" si="40"/>
        <v>1108.54</v>
      </c>
      <c r="BF100" s="252"/>
      <c r="BG100" s="252">
        <v>60.8</v>
      </c>
      <c r="BH100" s="252">
        <v>0</v>
      </c>
      <c r="BI100" s="252">
        <v>113.2</v>
      </c>
      <c r="BJ100" s="252">
        <v>22.6</v>
      </c>
      <c r="BK100" s="252">
        <v>27.4</v>
      </c>
      <c r="BL100" s="252">
        <v>0</v>
      </c>
    </row>
    <row r="101" spans="1:64" x14ac:dyDescent="0.25">
      <c r="A101" s="44" t="s">
        <v>84</v>
      </c>
      <c r="B101" s="76">
        <f>IF(B84&lt;0,B84*-1,0)</f>
        <v>0</v>
      </c>
      <c r="C101" s="76">
        <f t="shared" ref="C101:AF101" si="53">IF(C84&lt;0,C84*-1,0)</f>
        <v>0</v>
      </c>
      <c r="D101" s="76">
        <f t="shared" si="53"/>
        <v>0</v>
      </c>
      <c r="E101" s="76">
        <f t="shared" si="53"/>
        <v>0</v>
      </c>
      <c r="F101" s="76">
        <f t="shared" si="53"/>
        <v>0</v>
      </c>
      <c r="G101" s="76">
        <f t="shared" si="53"/>
        <v>0</v>
      </c>
      <c r="H101" s="76">
        <f t="shared" si="53"/>
        <v>0</v>
      </c>
      <c r="I101" s="76">
        <f t="shared" si="53"/>
        <v>0</v>
      </c>
      <c r="J101" s="76">
        <f t="shared" si="53"/>
        <v>0</v>
      </c>
      <c r="K101" s="76">
        <f t="shared" si="53"/>
        <v>0</v>
      </c>
      <c r="L101" s="76">
        <f t="shared" si="53"/>
        <v>0</v>
      </c>
      <c r="M101" s="76">
        <f t="shared" ref="M101" si="54">IF(M84&lt;0,M84*-1,0)</f>
        <v>0</v>
      </c>
      <c r="N101" s="76">
        <f t="shared" si="53"/>
        <v>0</v>
      </c>
      <c r="O101" s="76">
        <f t="shared" ref="O101:P101" si="55">IF(O84&lt;0,O84*-1,0)</f>
        <v>0</v>
      </c>
      <c r="P101" s="76">
        <f t="shared" si="55"/>
        <v>0</v>
      </c>
      <c r="Q101" s="76">
        <f t="shared" si="53"/>
        <v>0</v>
      </c>
      <c r="R101" s="76">
        <f t="shared" si="53"/>
        <v>0</v>
      </c>
      <c r="S101" s="76">
        <f t="shared" si="53"/>
        <v>0</v>
      </c>
      <c r="T101" s="76">
        <f t="shared" si="53"/>
        <v>0</v>
      </c>
      <c r="U101" s="76">
        <f t="shared" si="53"/>
        <v>0</v>
      </c>
      <c r="V101" s="76">
        <f t="shared" si="53"/>
        <v>0</v>
      </c>
      <c r="W101" s="76">
        <f t="shared" si="53"/>
        <v>0</v>
      </c>
      <c r="X101" s="76">
        <v>0</v>
      </c>
      <c r="Y101" s="76">
        <f t="shared" si="53"/>
        <v>0</v>
      </c>
      <c r="Z101" s="76">
        <f t="shared" si="53"/>
        <v>0</v>
      </c>
      <c r="AA101" s="76">
        <f t="shared" si="53"/>
        <v>0</v>
      </c>
      <c r="AB101" s="76">
        <f t="shared" si="53"/>
        <v>0</v>
      </c>
      <c r="AC101" s="76">
        <f t="shared" si="53"/>
        <v>0</v>
      </c>
      <c r="AD101" s="76">
        <f t="shared" si="53"/>
        <v>0</v>
      </c>
      <c r="AE101" s="76">
        <f t="shared" si="53"/>
        <v>0</v>
      </c>
      <c r="AF101" s="76">
        <f t="shared" si="53"/>
        <v>0</v>
      </c>
      <c r="AG101" s="52"/>
      <c r="AH101" s="47">
        <f t="shared" si="39"/>
        <v>0</v>
      </c>
      <c r="AI101" s="48">
        <f t="shared" si="40"/>
        <v>0</v>
      </c>
      <c r="BF101" s="251"/>
      <c r="BG101" s="252">
        <v>63.8</v>
      </c>
      <c r="BH101" s="252">
        <v>0</v>
      </c>
      <c r="BI101" s="252">
        <v>129.30000000000001</v>
      </c>
      <c r="BJ101" s="252">
        <v>27.5</v>
      </c>
      <c r="BK101" s="252">
        <v>26.9</v>
      </c>
      <c r="BL101" s="252">
        <v>0</v>
      </c>
    </row>
    <row r="102" spans="1:64" x14ac:dyDescent="0.25">
      <c r="A102" s="54" t="s">
        <v>82</v>
      </c>
      <c r="B102" s="76">
        <f>IF(B82&lt;0,B82*-1,0)</f>
        <v>0</v>
      </c>
      <c r="C102" s="76">
        <f t="shared" ref="C102:AF102" si="56">IF(C82&lt;0,C82*-1,0)</f>
        <v>0</v>
      </c>
      <c r="D102" s="76">
        <f t="shared" si="56"/>
        <v>0</v>
      </c>
      <c r="E102" s="76">
        <f t="shared" si="56"/>
        <v>0</v>
      </c>
      <c r="F102" s="76">
        <f t="shared" si="56"/>
        <v>0</v>
      </c>
      <c r="G102" s="76">
        <f t="shared" si="56"/>
        <v>0</v>
      </c>
      <c r="H102" s="76">
        <f t="shared" si="56"/>
        <v>0</v>
      </c>
      <c r="I102" s="76">
        <f t="shared" si="56"/>
        <v>0</v>
      </c>
      <c r="J102" s="76">
        <f t="shared" si="56"/>
        <v>0</v>
      </c>
      <c r="K102" s="76">
        <f t="shared" si="56"/>
        <v>0</v>
      </c>
      <c r="L102" s="76">
        <f t="shared" si="56"/>
        <v>0</v>
      </c>
      <c r="M102" s="76">
        <f t="shared" ref="M102" si="57">IF(M82&lt;0,M82*-1,0)</f>
        <v>0</v>
      </c>
      <c r="N102" s="76">
        <f t="shared" si="56"/>
        <v>0</v>
      </c>
      <c r="O102" s="76">
        <f t="shared" ref="O102:P102" si="58">IF(O82&lt;0,O82*-1,0)</f>
        <v>0</v>
      </c>
      <c r="P102" s="76">
        <f t="shared" si="58"/>
        <v>0</v>
      </c>
      <c r="Q102" s="76">
        <f t="shared" si="56"/>
        <v>0</v>
      </c>
      <c r="R102" s="76">
        <f t="shared" si="56"/>
        <v>0</v>
      </c>
      <c r="S102" s="76">
        <f t="shared" si="56"/>
        <v>0</v>
      </c>
      <c r="T102" s="76">
        <f t="shared" si="56"/>
        <v>0</v>
      </c>
      <c r="U102" s="76">
        <f t="shared" si="56"/>
        <v>0</v>
      </c>
      <c r="V102" s="76">
        <f t="shared" si="56"/>
        <v>0</v>
      </c>
      <c r="W102" s="76">
        <f t="shared" si="56"/>
        <v>0</v>
      </c>
      <c r="X102" s="76">
        <v>0</v>
      </c>
      <c r="Y102" s="76">
        <f t="shared" si="56"/>
        <v>0</v>
      </c>
      <c r="Z102" s="76">
        <f t="shared" si="56"/>
        <v>0</v>
      </c>
      <c r="AA102" s="76">
        <f t="shared" si="56"/>
        <v>0</v>
      </c>
      <c r="AB102" s="76">
        <f t="shared" si="56"/>
        <v>0</v>
      </c>
      <c r="AC102" s="76">
        <f t="shared" si="56"/>
        <v>0</v>
      </c>
      <c r="AD102" s="76">
        <f t="shared" si="56"/>
        <v>0</v>
      </c>
      <c r="AE102" s="76">
        <f t="shared" si="56"/>
        <v>0</v>
      </c>
      <c r="AF102" s="76">
        <f t="shared" si="56"/>
        <v>0</v>
      </c>
      <c r="AG102" s="55"/>
      <c r="AH102" s="47">
        <f t="shared" si="39"/>
        <v>0</v>
      </c>
      <c r="AI102" s="48">
        <f t="shared" si="40"/>
        <v>0</v>
      </c>
      <c r="BF102" s="251"/>
      <c r="BG102" s="252">
        <v>69.8</v>
      </c>
      <c r="BH102" s="252">
        <v>0</v>
      </c>
      <c r="BI102" s="252">
        <v>307.89999999999998</v>
      </c>
      <c r="BJ102" s="252">
        <v>0</v>
      </c>
      <c r="BK102" s="252">
        <v>0</v>
      </c>
      <c r="BL102" s="252">
        <v>0</v>
      </c>
    </row>
    <row r="103" spans="1:64" x14ac:dyDescent="0.25">
      <c r="A103" s="84" t="s">
        <v>104</v>
      </c>
      <c r="B103" s="76">
        <f>IF(B85&lt;0,B85*-1,0)</f>
        <v>0</v>
      </c>
      <c r="C103" s="76">
        <f t="shared" ref="C103:AF103" si="59">IF(C85&lt;0,C85*-1,0)</f>
        <v>0</v>
      </c>
      <c r="D103" s="76">
        <f t="shared" si="59"/>
        <v>0</v>
      </c>
      <c r="E103" s="76">
        <f t="shared" si="59"/>
        <v>0</v>
      </c>
      <c r="F103" s="76">
        <f t="shared" si="59"/>
        <v>0</v>
      </c>
      <c r="G103" s="76">
        <f t="shared" si="59"/>
        <v>0</v>
      </c>
      <c r="H103" s="76">
        <f t="shared" si="59"/>
        <v>0</v>
      </c>
      <c r="I103" s="76">
        <f t="shared" si="59"/>
        <v>0</v>
      </c>
      <c r="J103" s="76">
        <f t="shared" si="59"/>
        <v>0</v>
      </c>
      <c r="K103" s="76">
        <f t="shared" si="59"/>
        <v>0</v>
      </c>
      <c r="L103" s="76">
        <f t="shared" si="59"/>
        <v>0</v>
      </c>
      <c r="M103" s="76">
        <f t="shared" ref="M103" si="60">IF(M85&lt;0,M85*-1,0)</f>
        <v>0</v>
      </c>
      <c r="N103" s="76">
        <f t="shared" si="59"/>
        <v>0</v>
      </c>
      <c r="O103" s="76">
        <f t="shared" ref="O103:P103" si="61">IF(O85&lt;0,O85*-1,0)</f>
        <v>0</v>
      </c>
      <c r="P103" s="76">
        <f t="shared" si="61"/>
        <v>0</v>
      </c>
      <c r="Q103" s="76">
        <f t="shared" si="59"/>
        <v>0</v>
      </c>
      <c r="R103" s="76">
        <f t="shared" si="59"/>
        <v>0</v>
      </c>
      <c r="S103" s="76">
        <f t="shared" si="59"/>
        <v>0</v>
      </c>
      <c r="T103" s="76">
        <f t="shared" si="59"/>
        <v>0</v>
      </c>
      <c r="U103" s="76">
        <f t="shared" si="59"/>
        <v>0</v>
      </c>
      <c r="V103" s="76">
        <f t="shared" si="59"/>
        <v>0</v>
      </c>
      <c r="W103" s="76">
        <f t="shared" si="59"/>
        <v>0</v>
      </c>
      <c r="X103" s="76">
        <v>0</v>
      </c>
      <c r="Y103" s="76">
        <f t="shared" si="59"/>
        <v>0</v>
      </c>
      <c r="Z103" s="76">
        <f t="shared" si="59"/>
        <v>0</v>
      </c>
      <c r="AA103" s="76">
        <f t="shared" si="59"/>
        <v>0</v>
      </c>
      <c r="AB103" s="76">
        <f t="shared" si="59"/>
        <v>0</v>
      </c>
      <c r="AC103" s="76">
        <f t="shared" si="59"/>
        <v>0</v>
      </c>
      <c r="AD103" s="76">
        <f t="shared" si="59"/>
        <v>0</v>
      </c>
      <c r="AE103" s="76">
        <f t="shared" si="59"/>
        <v>0</v>
      </c>
      <c r="AF103" s="76">
        <f t="shared" si="59"/>
        <v>0</v>
      </c>
      <c r="AG103" s="98"/>
      <c r="AH103" s="47">
        <f t="shared" si="39"/>
        <v>0</v>
      </c>
      <c r="AI103" s="48">
        <f t="shared" si="40"/>
        <v>0</v>
      </c>
      <c r="BF103" s="251"/>
      <c r="BG103" s="252">
        <v>64.7</v>
      </c>
      <c r="BH103" s="252">
        <v>0</v>
      </c>
      <c r="BI103" s="252">
        <v>305</v>
      </c>
      <c r="BJ103" s="252">
        <v>0</v>
      </c>
      <c r="BK103" s="252">
        <v>0</v>
      </c>
      <c r="BL103" s="252">
        <v>0</v>
      </c>
    </row>
    <row r="104" spans="1:64" x14ac:dyDescent="0.25">
      <c r="A104" s="84" t="s">
        <v>105</v>
      </c>
      <c r="B104" s="76">
        <f>IF(B83&lt;0,B83*-1,0)</f>
        <v>0</v>
      </c>
      <c r="C104" s="76">
        <f t="shared" ref="C104:AF104" si="62">IF(C83&lt;0,C83*-1,0)</f>
        <v>0</v>
      </c>
      <c r="D104" s="76">
        <f t="shared" si="62"/>
        <v>0</v>
      </c>
      <c r="E104" s="76">
        <f t="shared" si="62"/>
        <v>0</v>
      </c>
      <c r="F104" s="76">
        <f t="shared" si="62"/>
        <v>0</v>
      </c>
      <c r="G104" s="76">
        <f t="shared" si="62"/>
        <v>0</v>
      </c>
      <c r="H104" s="76">
        <f t="shared" si="62"/>
        <v>0</v>
      </c>
      <c r="I104" s="76">
        <f t="shared" si="62"/>
        <v>0</v>
      </c>
      <c r="J104" s="76">
        <f t="shared" si="62"/>
        <v>0</v>
      </c>
      <c r="K104" s="76">
        <f t="shared" si="62"/>
        <v>0</v>
      </c>
      <c r="L104" s="76">
        <f t="shared" si="62"/>
        <v>0</v>
      </c>
      <c r="M104" s="76">
        <f t="shared" ref="M104" si="63">IF(M83&lt;0,M83*-1,0)</f>
        <v>0</v>
      </c>
      <c r="N104" s="76">
        <f t="shared" si="62"/>
        <v>0</v>
      </c>
      <c r="O104" s="76">
        <f t="shared" ref="O104:P104" si="64">IF(O83&lt;0,O83*-1,0)</f>
        <v>0</v>
      </c>
      <c r="P104" s="76">
        <f t="shared" si="64"/>
        <v>0</v>
      </c>
      <c r="Q104" s="76">
        <f t="shared" si="62"/>
        <v>0</v>
      </c>
      <c r="R104" s="76">
        <f t="shared" si="62"/>
        <v>0</v>
      </c>
      <c r="S104" s="76">
        <f t="shared" si="62"/>
        <v>0</v>
      </c>
      <c r="T104" s="76">
        <f t="shared" si="62"/>
        <v>0</v>
      </c>
      <c r="U104" s="76">
        <f t="shared" si="62"/>
        <v>0</v>
      </c>
      <c r="V104" s="76">
        <f t="shared" si="62"/>
        <v>0</v>
      </c>
      <c r="W104" s="76">
        <f t="shared" si="62"/>
        <v>0</v>
      </c>
      <c r="X104" s="76">
        <v>0</v>
      </c>
      <c r="Y104" s="76">
        <f t="shared" si="62"/>
        <v>0</v>
      </c>
      <c r="Z104" s="76">
        <f t="shared" si="62"/>
        <v>0</v>
      </c>
      <c r="AA104" s="76">
        <f t="shared" si="62"/>
        <v>0</v>
      </c>
      <c r="AB104" s="76">
        <f t="shared" si="62"/>
        <v>0</v>
      </c>
      <c r="AC104" s="76">
        <f t="shared" si="62"/>
        <v>0</v>
      </c>
      <c r="AD104" s="76">
        <f t="shared" si="62"/>
        <v>0</v>
      </c>
      <c r="AE104" s="76">
        <f t="shared" si="62"/>
        <v>0</v>
      </c>
      <c r="AF104" s="76">
        <f t="shared" si="62"/>
        <v>0</v>
      </c>
      <c r="AG104" s="98"/>
      <c r="AH104" s="47">
        <f t="shared" si="39"/>
        <v>0</v>
      </c>
      <c r="AI104" s="48">
        <f t="shared" si="40"/>
        <v>0</v>
      </c>
      <c r="BF104" s="251"/>
      <c r="BG104" s="252">
        <v>63</v>
      </c>
      <c r="BH104" s="252">
        <v>0</v>
      </c>
      <c r="BI104" s="252">
        <v>333</v>
      </c>
      <c r="BJ104" s="252">
        <v>0</v>
      </c>
      <c r="BK104" s="252">
        <v>0</v>
      </c>
      <c r="BL104" s="252">
        <v>0</v>
      </c>
    </row>
    <row r="105" spans="1:64" x14ac:dyDescent="0.25">
      <c r="A105" s="84" t="s">
        <v>81</v>
      </c>
      <c r="B105" s="76">
        <f>IF(B81&lt;0,B81*-1,0)</f>
        <v>0</v>
      </c>
      <c r="C105" s="76">
        <f t="shared" ref="C105:AF105" si="65">IF(C81&lt;0,C81*-1,0)</f>
        <v>0</v>
      </c>
      <c r="D105" s="76">
        <f t="shared" si="65"/>
        <v>0</v>
      </c>
      <c r="E105" s="76">
        <f t="shared" si="65"/>
        <v>0</v>
      </c>
      <c r="F105" s="76">
        <f t="shared" si="65"/>
        <v>0</v>
      </c>
      <c r="G105" s="76">
        <f t="shared" si="65"/>
        <v>0</v>
      </c>
      <c r="H105" s="76">
        <f t="shared" si="65"/>
        <v>0</v>
      </c>
      <c r="I105" s="76">
        <f t="shared" si="65"/>
        <v>0</v>
      </c>
      <c r="J105" s="76">
        <f t="shared" si="65"/>
        <v>0</v>
      </c>
      <c r="K105" s="76">
        <f t="shared" si="65"/>
        <v>0</v>
      </c>
      <c r="L105" s="76">
        <f t="shared" si="65"/>
        <v>0</v>
      </c>
      <c r="M105" s="76">
        <f t="shared" ref="M105" si="66">IF(M81&lt;0,M81*-1,0)</f>
        <v>0</v>
      </c>
      <c r="N105" s="76">
        <f t="shared" si="65"/>
        <v>0</v>
      </c>
      <c r="O105" s="76">
        <f t="shared" ref="O105:P105" si="67">IF(O81&lt;0,O81*-1,0)</f>
        <v>0</v>
      </c>
      <c r="P105" s="76">
        <f t="shared" si="67"/>
        <v>0</v>
      </c>
      <c r="Q105" s="76">
        <f t="shared" si="65"/>
        <v>0</v>
      </c>
      <c r="R105" s="76">
        <f t="shared" si="65"/>
        <v>0</v>
      </c>
      <c r="S105" s="76">
        <f t="shared" si="65"/>
        <v>0</v>
      </c>
      <c r="T105" s="76">
        <f t="shared" si="65"/>
        <v>0</v>
      </c>
      <c r="U105" s="76">
        <f t="shared" si="65"/>
        <v>0</v>
      </c>
      <c r="V105" s="76">
        <f t="shared" si="65"/>
        <v>0</v>
      </c>
      <c r="W105" s="76">
        <f t="shared" si="65"/>
        <v>0</v>
      </c>
      <c r="X105" s="76">
        <v>0</v>
      </c>
      <c r="Y105" s="76">
        <f t="shared" si="65"/>
        <v>0</v>
      </c>
      <c r="Z105" s="76">
        <f t="shared" si="65"/>
        <v>0</v>
      </c>
      <c r="AA105" s="76">
        <f t="shared" si="65"/>
        <v>0</v>
      </c>
      <c r="AB105" s="76">
        <f t="shared" si="65"/>
        <v>0</v>
      </c>
      <c r="AC105" s="76">
        <f t="shared" si="65"/>
        <v>0</v>
      </c>
      <c r="AD105" s="76">
        <f t="shared" si="65"/>
        <v>0</v>
      </c>
      <c r="AE105" s="76">
        <f t="shared" si="65"/>
        <v>0</v>
      </c>
      <c r="AF105" s="76">
        <f t="shared" si="65"/>
        <v>0</v>
      </c>
      <c r="AG105" s="98"/>
      <c r="AH105" s="47">
        <f t="shared" si="39"/>
        <v>0</v>
      </c>
      <c r="AI105" s="48">
        <f t="shared" si="40"/>
        <v>0</v>
      </c>
      <c r="BF105" s="251"/>
      <c r="BG105" s="252">
        <v>63</v>
      </c>
      <c r="BH105" s="252">
        <v>0</v>
      </c>
      <c r="BI105" s="252">
        <v>422</v>
      </c>
      <c r="BJ105" s="252">
        <v>0</v>
      </c>
      <c r="BK105" s="252">
        <v>0</v>
      </c>
      <c r="BL105" s="252">
        <v>0</v>
      </c>
    </row>
    <row r="106" spans="1:64" ht="15.75" thickBot="1" x14ac:dyDescent="0.3">
      <c r="A106" s="84" t="s">
        <v>106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1</v>
      </c>
      <c r="N106" s="94">
        <v>0</v>
      </c>
      <c r="O106" s="94">
        <v>1</v>
      </c>
      <c r="P106" s="94">
        <v>2</v>
      </c>
      <c r="Q106" s="94">
        <v>0</v>
      </c>
      <c r="R106" s="94">
        <v>0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0</v>
      </c>
      <c r="AB106" s="94">
        <v>0</v>
      </c>
      <c r="AC106" s="94">
        <v>0</v>
      </c>
      <c r="AD106" s="94">
        <v>0</v>
      </c>
      <c r="AE106" s="94">
        <v>0</v>
      </c>
      <c r="AF106" s="94">
        <v>0</v>
      </c>
      <c r="AG106" s="85"/>
      <c r="AH106" s="47">
        <f t="shared" si="39"/>
        <v>2</v>
      </c>
      <c r="AI106" s="48">
        <f t="shared" si="40"/>
        <v>0</v>
      </c>
      <c r="BG106" s="252">
        <v>64.5</v>
      </c>
      <c r="BH106" s="252">
        <v>0</v>
      </c>
      <c r="BI106" s="252">
        <v>392</v>
      </c>
      <c r="BJ106" s="252">
        <v>0</v>
      </c>
      <c r="BK106" s="252">
        <v>0</v>
      </c>
      <c r="BL106" s="252">
        <v>0</v>
      </c>
    </row>
    <row r="107" spans="1:64" ht="15.75" thickBot="1" x14ac:dyDescent="0.3">
      <c r="A107" s="99" t="s">
        <v>107</v>
      </c>
      <c r="B107" s="60">
        <f>SUM(B101:B106)</f>
        <v>0</v>
      </c>
      <c r="C107" s="60">
        <f t="shared" ref="C107:AF107" si="68">SUM(C101:C106)</f>
        <v>0</v>
      </c>
      <c r="D107" s="60">
        <f t="shared" si="68"/>
        <v>0</v>
      </c>
      <c r="E107" s="60">
        <f t="shared" si="68"/>
        <v>0</v>
      </c>
      <c r="F107" s="60">
        <f t="shared" si="68"/>
        <v>0</v>
      </c>
      <c r="G107" s="60">
        <f t="shared" si="68"/>
        <v>0</v>
      </c>
      <c r="H107" s="60">
        <f t="shared" si="68"/>
        <v>0</v>
      </c>
      <c r="I107" s="60">
        <f t="shared" si="68"/>
        <v>0</v>
      </c>
      <c r="J107" s="60">
        <f t="shared" si="68"/>
        <v>0</v>
      </c>
      <c r="K107" s="60">
        <f t="shared" si="68"/>
        <v>0</v>
      </c>
      <c r="L107" s="60">
        <f t="shared" si="68"/>
        <v>0</v>
      </c>
      <c r="M107" s="60">
        <f t="shared" ref="M107" si="69">SUM(M101:M106)</f>
        <v>1</v>
      </c>
      <c r="N107" s="60">
        <f t="shared" si="68"/>
        <v>0</v>
      </c>
      <c r="O107" s="60">
        <f t="shared" ref="O107:P107" si="70">SUM(O101:O106)</f>
        <v>1</v>
      </c>
      <c r="P107" s="60">
        <f t="shared" si="70"/>
        <v>2</v>
      </c>
      <c r="Q107" s="60">
        <f t="shared" si="68"/>
        <v>0</v>
      </c>
      <c r="R107" s="60">
        <f t="shared" si="68"/>
        <v>0</v>
      </c>
      <c r="S107" s="60">
        <f t="shared" si="68"/>
        <v>0</v>
      </c>
      <c r="T107" s="60">
        <f t="shared" si="68"/>
        <v>0</v>
      </c>
      <c r="U107" s="60">
        <f t="shared" si="68"/>
        <v>0</v>
      </c>
      <c r="V107" s="60">
        <f t="shared" si="68"/>
        <v>0</v>
      </c>
      <c r="W107" s="60">
        <f t="shared" si="68"/>
        <v>0</v>
      </c>
      <c r="X107" s="60">
        <v>0</v>
      </c>
      <c r="Y107" s="60">
        <f t="shared" si="68"/>
        <v>0</v>
      </c>
      <c r="Z107" s="60">
        <f t="shared" si="68"/>
        <v>0</v>
      </c>
      <c r="AA107" s="60">
        <f t="shared" si="68"/>
        <v>0</v>
      </c>
      <c r="AB107" s="60">
        <f t="shared" si="68"/>
        <v>0</v>
      </c>
      <c r="AC107" s="60">
        <f t="shared" si="68"/>
        <v>0</v>
      </c>
      <c r="AD107" s="60">
        <f t="shared" si="68"/>
        <v>0</v>
      </c>
      <c r="AE107" s="60">
        <f t="shared" si="68"/>
        <v>0</v>
      </c>
      <c r="AF107" s="60">
        <f t="shared" si="68"/>
        <v>0</v>
      </c>
      <c r="AG107" s="88"/>
      <c r="AH107" s="47">
        <f t="shared" si="39"/>
        <v>2</v>
      </c>
      <c r="AI107" s="48">
        <f t="shared" si="40"/>
        <v>0</v>
      </c>
      <c r="AK107" s="50"/>
      <c r="BG107" s="252">
        <v>60</v>
      </c>
      <c r="BH107" s="252">
        <v>0</v>
      </c>
      <c r="BI107" s="252">
        <v>382</v>
      </c>
      <c r="BJ107" s="252">
        <v>0</v>
      </c>
      <c r="BK107" s="252">
        <v>0</v>
      </c>
      <c r="BL107" s="252">
        <v>0</v>
      </c>
    </row>
    <row r="108" spans="1:64" ht="15.75" thickBot="1" x14ac:dyDescent="0.3">
      <c r="A108" s="74" t="s">
        <v>108</v>
      </c>
      <c r="B108" s="60">
        <f t="shared" ref="B108:AF108" si="71">B92-B107</f>
        <v>442</v>
      </c>
      <c r="C108" s="60">
        <f t="shared" si="71"/>
        <v>421</v>
      </c>
      <c r="D108" s="60">
        <f t="shared" si="71"/>
        <v>407</v>
      </c>
      <c r="E108" s="60">
        <f t="shared" si="71"/>
        <v>403.2</v>
      </c>
      <c r="F108" s="60">
        <f t="shared" si="71"/>
        <v>428</v>
      </c>
      <c r="G108" s="60">
        <f t="shared" si="71"/>
        <v>471.2</v>
      </c>
      <c r="H108" s="60">
        <f t="shared" si="71"/>
        <v>494.2</v>
      </c>
      <c r="I108" s="60">
        <f t="shared" si="71"/>
        <v>484.4</v>
      </c>
      <c r="J108" s="60">
        <f t="shared" si="71"/>
        <v>502.2</v>
      </c>
      <c r="K108" s="60">
        <f t="shared" si="71"/>
        <v>256.8</v>
      </c>
      <c r="L108" s="60">
        <f t="shared" si="71"/>
        <v>225</v>
      </c>
      <c r="M108" s="60">
        <f t="shared" ref="M108" si="72">M92-M107</f>
        <v>176</v>
      </c>
      <c r="N108" s="60">
        <f t="shared" si="71"/>
        <v>124.5</v>
      </c>
      <c r="O108" s="60">
        <f t="shared" ref="O108:P108" si="73">O92-O107</f>
        <v>174.7</v>
      </c>
      <c r="P108" s="60">
        <f t="shared" si="73"/>
        <v>210.5</v>
      </c>
      <c r="Q108" s="60">
        <f t="shared" si="71"/>
        <v>514.5</v>
      </c>
      <c r="R108" s="60">
        <f t="shared" si="71"/>
        <v>553.4</v>
      </c>
      <c r="S108" s="60">
        <f t="shared" si="71"/>
        <v>616.4</v>
      </c>
      <c r="T108" s="60">
        <f t="shared" si="71"/>
        <v>553.29999999999995</v>
      </c>
      <c r="U108" s="60">
        <f t="shared" si="71"/>
        <v>564.1</v>
      </c>
      <c r="V108" s="60">
        <f t="shared" si="71"/>
        <v>224</v>
      </c>
      <c r="W108" s="60">
        <f t="shared" si="71"/>
        <v>285.39999999999998</v>
      </c>
      <c r="X108" s="60">
        <v>247.50000000000003</v>
      </c>
      <c r="Y108" s="60">
        <f t="shared" si="71"/>
        <v>264</v>
      </c>
      <c r="Z108" s="60">
        <f t="shared" si="71"/>
        <v>377.7</v>
      </c>
      <c r="AA108" s="60">
        <f t="shared" si="71"/>
        <v>388.8</v>
      </c>
      <c r="AB108" s="60">
        <f t="shared" si="71"/>
        <v>369.7</v>
      </c>
      <c r="AC108" s="60">
        <f t="shared" si="71"/>
        <v>364</v>
      </c>
      <c r="AD108" s="60">
        <f t="shared" si="71"/>
        <v>396</v>
      </c>
      <c r="AE108" s="60">
        <f t="shared" si="71"/>
        <v>485</v>
      </c>
      <c r="AF108" s="60">
        <f t="shared" si="71"/>
        <v>456.5</v>
      </c>
      <c r="AG108" s="88"/>
      <c r="AH108" s="47">
        <f t="shared" si="39"/>
        <v>616.4</v>
      </c>
      <c r="AI108" s="48">
        <f t="shared" si="40"/>
        <v>124.5</v>
      </c>
    </row>
    <row r="109" spans="1:64" x14ac:dyDescent="0.25">
      <c r="A109" s="100" t="s">
        <v>109</v>
      </c>
      <c r="B109" s="101">
        <v>50.034999999999997</v>
      </c>
      <c r="C109" s="101">
        <v>49.911999999999999</v>
      </c>
      <c r="D109" s="101">
        <v>49.991</v>
      </c>
      <c r="E109" s="101">
        <v>49.991</v>
      </c>
      <c r="F109" s="101">
        <v>49.997999999999998</v>
      </c>
      <c r="G109" s="101">
        <v>50.09</v>
      </c>
      <c r="H109" s="101">
        <v>50.029000000000003</v>
      </c>
      <c r="I109" s="101">
        <v>50.055</v>
      </c>
      <c r="J109" s="101">
        <v>50.064</v>
      </c>
      <c r="K109" s="101">
        <v>49.880400000000002</v>
      </c>
      <c r="L109" s="101">
        <v>49.860999999999997</v>
      </c>
      <c r="M109" s="101">
        <v>49.860999999999997</v>
      </c>
      <c r="N109" s="101">
        <v>50.02</v>
      </c>
      <c r="O109" s="101">
        <v>50.06</v>
      </c>
      <c r="P109" s="101">
        <v>50.045000000000002</v>
      </c>
      <c r="Q109" s="101">
        <v>49.99</v>
      </c>
      <c r="R109" s="101">
        <v>49.905000000000001</v>
      </c>
      <c r="S109" s="101">
        <v>49.991</v>
      </c>
      <c r="T109" s="101">
        <v>49.988</v>
      </c>
      <c r="U109" s="101">
        <v>50.051000000000002</v>
      </c>
      <c r="V109" s="101">
        <v>49.996000000000002</v>
      </c>
      <c r="W109" s="101">
        <v>49.997999999999998</v>
      </c>
      <c r="X109" s="101">
        <v>50.067999999999998</v>
      </c>
      <c r="Y109" s="101">
        <v>50.045000000000002</v>
      </c>
      <c r="Z109" s="101">
        <v>49.962000000000003</v>
      </c>
      <c r="AA109" s="101">
        <v>50.042000000000002</v>
      </c>
      <c r="AB109" s="101">
        <v>50.064999999999998</v>
      </c>
      <c r="AC109" s="101">
        <v>49.887</v>
      </c>
      <c r="AD109" s="101">
        <v>49.887</v>
      </c>
      <c r="AE109" s="101">
        <v>50.084000000000003</v>
      </c>
      <c r="AF109" s="101">
        <v>49.914999999999999</v>
      </c>
      <c r="AG109" s="102"/>
      <c r="AH109" s="47">
        <f t="shared" si="39"/>
        <v>50.09</v>
      </c>
      <c r="AI109" s="48">
        <f t="shared" si="40"/>
        <v>49.860999999999997</v>
      </c>
    </row>
    <row r="110" spans="1:64" x14ac:dyDescent="0.25">
      <c r="A110" s="103" t="s">
        <v>110</v>
      </c>
      <c r="B110" s="65">
        <v>127.2</v>
      </c>
      <c r="C110" s="65">
        <v>127.4</v>
      </c>
      <c r="D110" s="65">
        <v>128.69999999999999</v>
      </c>
      <c r="E110" s="65">
        <v>128.69999999999999</v>
      </c>
      <c r="F110" s="65">
        <v>127.6</v>
      </c>
      <c r="G110" s="65">
        <v>127.1</v>
      </c>
      <c r="H110" s="65">
        <v>125.8</v>
      </c>
      <c r="I110" s="65">
        <v>126.1</v>
      </c>
      <c r="J110" s="65"/>
      <c r="K110" s="65">
        <v>127.1</v>
      </c>
      <c r="L110" s="65">
        <v>123.8</v>
      </c>
      <c r="M110" s="65">
        <v>123.8</v>
      </c>
      <c r="N110" s="65">
        <v>128.30000000000001</v>
      </c>
      <c r="O110" s="65">
        <v>127.6</v>
      </c>
      <c r="P110" s="65">
        <v>129</v>
      </c>
      <c r="Q110" s="65">
        <v>125.1</v>
      </c>
      <c r="R110" s="65">
        <v>125.9</v>
      </c>
      <c r="S110" s="65">
        <v>125.4</v>
      </c>
      <c r="T110" s="65">
        <v>126.3</v>
      </c>
      <c r="U110" s="65">
        <v>127.7</v>
      </c>
      <c r="V110" s="65">
        <v>129.30000000000001</v>
      </c>
      <c r="W110" s="65">
        <v>127.8</v>
      </c>
      <c r="X110" s="65">
        <v>127</v>
      </c>
      <c r="Y110" s="65">
        <v>127.1</v>
      </c>
      <c r="Z110" s="65">
        <v>127.9</v>
      </c>
      <c r="AA110" s="65">
        <v>128.1</v>
      </c>
      <c r="AB110" s="65">
        <v>129.19999999999999</v>
      </c>
      <c r="AC110" s="65">
        <v>128.9</v>
      </c>
      <c r="AD110" s="65">
        <v>128.9</v>
      </c>
      <c r="AE110" s="65">
        <v>125.6</v>
      </c>
      <c r="AF110" s="65">
        <v>125.3</v>
      </c>
      <c r="AG110" s="104"/>
      <c r="AH110" s="47">
        <f t="shared" si="39"/>
        <v>129.30000000000001</v>
      </c>
      <c r="AI110" s="48">
        <f t="shared" si="40"/>
        <v>123.8</v>
      </c>
    </row>
    <row r="111" spans="1:64" x14ac:dyDescent="0.25">
      <c r="A111" s="103" t="s">
        <v>111</v>
      </c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104"/>
      <c r="AH111" s="47">
        <f t="shared" si="39"/>
        <v>0</v>
      </c>
      <c r="AI111" s="48">
        <f t="shared" si="40"/>
        <v>0</v>
      </c>
    </row>
    <row r="112" spans="1:64" x14ac:dyDescent="0.25">
      <c r="A112" s="103" t="s">
        <v>112</v>
      </c>
      <c r="B112" s="65">
        <v>129.6</v>
      </c>
      <c r="C112" s="65">
        <v>131.5</v>
      </c>
      <c r="D112" s="65">
        <v>131</v>
      </c>
      <c r="E112" s="65">
        <v>131</v>
      </c>
      <c r="F112" s="65">
        <v>130</v>
      </c>
      <c r="G112" s="65">
        <v>128.4</v>
      </c>
      <c r="H112" s="65">
        <v>125.9</v>
      </c>
      <c r="I112" s="65">
        <v>126.7</v>
      </c>
      <c r="J112" s="65">
        <v>125.6</v>
      </c>
      <c r="K112" s="65">
        <v>128.19999999999999</v>
      </c>
      <c r="L112" s="65">
        <v>127</v>
      </c>
      <c r="M112" s="65">
        <v>127</v>
      </c>
      <c r="N112" s="65">
        <v>128.1</v>
      </c>
      <c r="O112" s="65">
        <v>130.9</v>
      </c>
      <c r="P112" s="65">
        <v>132.6</v>
      </c>
      <c r="Q112" s="65">
        <v>125.9</v>
      </c>
      <c r="R112" s="65">
        <v>127.2</v>
      </c>
      <c r="S112" s="65">
        <v>126.5</v>
      </c>
      <c r="T112" s="65">
        <v>128.5</v>
      </c>
      <c r="U112" s="65">
        <v>125.9</v>
      </c>
      <c r="V112" s="65">
        <v>129.9</v>
      </c>
      <c r="W112" s="65">
        <v>125.5</v>
      </c>
      <c r="X112" s="65">
        <v>129.5</v>
      </c>
      <c r="Y112" s="65">
        <v>131.1</v>
      </c>
      <c r="Z112" s="65">
        <v>128.9</v>
      </c>
      <c r="AA112" s="65">
        <v>130.6</v>
      </c>
      <c r="AB112" s="65">
        <v>132.1</v>
      </c>
      <c r="AC112" s="65">
        <v>130</v>
      </c>
      <c r="AD112" s="65">
        <v>130</v>
      </c>
      <c r="AE112" s="65">
        <v>129.5</v>
      </c>
      <c r="AF112" s="65">
        <v>129.5</v>
      </c>
      <c r="AG112" s="104"/>
      <c r="AH112" s="47">
        <f t="shared" si="39"/>
        <v>132.6</v>
      </c>
      <c r="AI112" s="48">
        <f t="shared" si="40"/>
        <v>125.5</v>
      </c>
    </row>
    <row r="113" spans="1:35" x14ac:dyDescent="0.25">
      <c r="A113" s="105" t="s">
        <v>113</v>
      </c>
      <c r="B113" s="65">
        <v>132.19999999999999</v>
      </c>
      <c r="C113" s="65">
        <v>134</v>
      </c>
      <c r="D113" s="65">
        <v>133.6</v>
      </c>
      <c r="E113" s="65">
        <v>133.6</v>
      </c>
      <c r="F113" s="65">
        <v>133.69999999999999</v>
      </c>
      <c r="G113" s="65">
        <v>132.19999999999999</v>
      </c>
      <c r="H113" s="65">
        <v>130.5</v>
      </c>
      <c r="I113" s="65">
        <v>131.69999999999999</v>
      </c>
      <c r="J113" s="65">
        <v>130.69999999999999</v>
      </c>
      <c r="K113" s="65">
        <v>131.19999999999999</v>
      </c>
      <c r="L113" s="65">
        <v>129.80000000000001</v>
      </c>
      <c r="M113" s="65">
        <v>129.80000000000001</v>
      </c>
      <c r="N113" s="65">
        <v>128.5</v>
      </c>
      <c r="O113" s="65">
        <v>131.6</v>
      </c>
      <c r="P113" s="65">
        <v>134</v>
      </c>
      <c r="Q113" s="65">
        <v>128.30000000000001</v>
      </c>
      <c r="R113" s="65">
        <v>130.80000000000001</v>
      </c>
      <c r="S113" s="65">
        <v>129</v>
      </c>
      <c r="T113" s="65">
        <v>130.69999999999999</v>
      </c>
      <c r="U113" s="65">
        <v>128.19999999999999</v>
      </c>
      <c r="V113" s="65">
        <v>131.30000000000001</v>
      </c>
      <c r="W113" s="65">
        <v>127.1</v>
      </c>
      <c r="X113" s="65">
        <v>129.4</v>
      </c>
      <c r="Y113" s="65">
        <v>132.1</v>
      </c>
      <c r="Z113" s="65">
        <v>130.4</v>
      </c>
      <c r="AA113" s="65">
        <v>132.19999999999999</v>
      </c>
      <c r="AB113" s="65">
        <v>134.19999999999999</v>
      </c>
      <c r="AC113" s="65">
        <v>131.4</v>
      </c>
      <c r="AD113" s="65">
        <v>131.4</v>
      </c>
      <c r="AE113" s="65">
        <v>132.1</v>
      </c>
      <c r="AF113" s="65">
        <v>132.19999999999999</v>
      </c>
      <c r="AG113" s="104"/>
      <c r="AH113" s="47">
        <f t="shared" si="39"/>
        <v>134.19999999999999</v>
      </c>
      <c r="AI113" s="48">
        <f t="shared" si="40"/>
        <v>127.1</v>
      </c>
    </row>
    <row r="114" spans="1:35" x14ac:dyDescent="0.25">
      <c r="A114" s="105" t="s">
        <v>114</v>
      </c>
      <c r="B114" s="106">
        <v>129.30000000000001</v>
      </c>
      <c r="C114" s="106">
        <v>131</v>
      </c>
      <c r="D114" s="106">
        <v>131.4</v>
      </c>
      <c r="E114" s="106">
        <v>131.4</v>
      </c>
      <c r="F114" s="106">
        <v>131.9</v>
      </c>
      <c r="G114" s="106">
        <v>132.5</v>
      </c>
      <c r="H114" s="106">
        <v>131.9</v>
      </c>
      <c r="I114" s="106">
        <v>131.1</v>
      </c>
      <c r="J114" s="106">
        <v>133.30000000000001</v>
      </c>
      <c r="K114" s="106">
        <v>133.5</v>
      </c>
      <c r="L114" s="106">
        <v>130.6</v>
      </c>
      <c r="M114" s="106">
        <v>130.6</v>
      </c>
      <c r="N114" s="106">
        <v>136.4</v>
      </c>
      <c r="O114" s="106">
        <v>135.80000000000001</v>
      </c>
      <c r="P114" s="106">
        <v>134.9</v>
      </c>
      <c r="Q114" s="106">
        <v>132.1</v>
      </c>
      <c r="R114" s="106">
        <v>132.9</v>
      </c>
      <c r="S114" s="106">
        <v>130.69999999999999</v>
      </c>
      <c r="T114" s="106">
        <v>132.30000000000001</v>
      </c>
      <c r="U114" s="106">
        <v>133.1</v>
      </c>
      <c r="V114" s="106">
        <v>136.5</v>
      </c>
      <c r="W114" s="106">
        <v>135.69999999999999</v>
      </c>
      <c r="X114" s="106">
        <v>135.1</v>
      </c>
      <c r="Y114" s="106">
        <v>136.5</v>
      </c>
      <c r="Z114" s="106">
        <v>133.80000000000001</v>
      </c>
      <c r="AA114" s="106">
        <v>134.1</v>
      </c>
      <c r="AB114" s="106">
        <v>136.19999999999999</v>
      </c>
      <c r="AC114" s="106">
        <v>135</v>
      </c>
      <c r="AD114" s="106">
        <v>135</v>
      </c>
      <c r="AE114" s="106">
        <v>133.1</v>
      </c>
      <c r="AF114" s="106">
        <v>129.80000000000001</v>
      </c>
      <c r="AG114" s="107"/>
      <c r="AH114" s="47">
        <f t="shared" si="39"/>
        <v>136.5</v>
      </c>
      <c r="AI114" s="48">
        <f t="shared" si="40"/>
        <v>129.30000000000001</v>
      </c>
    </row>
    <row r="115" spans="1:35" x14ac:dyDescent="0.25">
      <c r="A115" s="103" t="s">
        <v>115</v>
      </c>
      <c r="B115" s="65">
        <v>130.9</v>
      </c>
      <c r="C115" s="65">
        <v>132.30000000000001</v>
      </c>
      <c r="D115" s="65">
        <v>132.69999999999999</v>
      </c>
      <c r="E115" s="65">
        <v>132.69999999999999</v>
      </c>
      <c r="F115" s="65">
        <v>131.5</v>
      </c>
      <c r="G115" s="65">
        <v>128.1</v>
      </c>
      <c r="H115" s="65">
        <v>132.30000000000001</v>
      </c>
      <c r="I115" s="65">
        <v>137.6</v>
      </c>
      <c r="J115" s="65">
        <v>131.6</v>
      </c>
      <c r="K115" s="65">
        <v>129.80000000000001</v>
      </c>
      <c r="L115" s="65">
        <v>128.5</v>
      </c>
      <c r="M115" s="65">
        <v>128.5</v>
      </c>
      <c r="N115" s="65">
        <v>128</v>
      </c>
      <c r="O115" s="65">
        <v>129.80000000000001</v>
      </c>
      <c r="P115" s="65">
        <v>131.6</v>
      </c>
      <c r="Q115" s="65">
        <v>129.9</v>
      </c>
      <c r="R115" s="65">
        <v>127.4</v>
      </c>
      <c r="S115" s="65">
        <v>127.6</v>
      </c>
      <c r="T115" s="65">
        <v>131.4</v>
      </c>
      <c r="U115" s="65">
        <v>131.4</v>
      </c>
      <c r="V115" s="65">
        <v>131.4</v>
      </c>
      <c r="W115" s="65">
        <v>131.80000000000001</v>
      </c>
      <c r="X115" s="65">
        <v>130.30000000000001</v>
      </c>
      <c r="Y115" s="65">
        <v>128.80000000000001</v>
      </c>
      <c r="Z115" s="65">
        <v>128.19999999999999</v>
      </c>
      <c r="AA115" s="65">
        <v>129.69999999999999</v>
      </c>
      <c r="AB115" s="65">
        <v>128.80000000000001</v>
      </c>
      <c r="AC115" s="65">
        <v>131.6</v>
      </c>
      <c r="AD115" s="65">
        <v>131.6</v>
      </c>
      <c r="AE115" s="65">
        <v>128</v>
      </c>
      <c r="AF115" s="65">
        <v>130.5</v>
      </c>
      <c r="AG115" s="104"/>
      <c r="AH115" s="47">
        <f t="shared" si="39"/>
        <v>137.6</v>
      </c>
      <c r="AI115" s="48">
        <f t="shared" si="40"/>
        <v>127.4</v>
      </c>
    </row>
    <row r="116" spans="1:35" ht="15.75" thickBot="1" x14ac:dyDescent="0.3">
      <c r="A116" s="103" t="s">
        <v>116</v>
      </c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108"/>
      <c r="AH116" s="47">
        <f t="shared" si="39"/>
        <v>0</v>
      </c>
      <c r="AI116" s="48">
        <f t="shared" si="40"/>
        <v>0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39"/>
        <v>0</v>
      </c>
      <c r="AI117" s="48">
        <f t="shared" si="40"/>
        <v>0</v>
      </c>
    </row>
    <row r="118" spans="1:35" ht="15.75" thickBot="1" x14ac:dyDescent="0.3">
      <c r="A118" s="110" t="s">
        <v>118</v>
      </c>
      <c r="B118" s="111">
        <f t="shared" ref="B118:N118" si="74">SUM(B22,B28,B31:B32,B66,B68:B69,B71,B73,B119:B123,B155,B161,B167,B176,B178,B190,B197,B200:B201,B208,B210,B212,B216:B218,B220:B222,B227,B233:B234,B236:B238,B246,B251)</f>
        <v>134.84</v>
      </c>
      <c r="C118" s="111">
        <f t="shared" si="74"/>
        <v>112.64</v>
      </c>
      <c r="D118" s="111">
        <f t="shared" si="74"/>
        <v>115.44</v>
      </c>
      <c r="E118" s="111">
        <f t="shared" si="74"/>
        <v>95.539999999999992</v>
      </c>
      <c r="F118" s="111">
        <f t="shared" si="74"/>
        <v>98.34</v>
      </c>
      <c r="G118" s="111">
        <f t="shared" si="74"/>
        <v>133.54000000000002</v>
      </c>
      <c r="H118" s="111">
        <f t="shared" si="74"/>
        <v>215.10000000000002</v>
      </c>
      <c r="I118" s="111">
        <f t="shared" si="74"/>
        <v>237.84</v>
      </c>
      <c r="J118" s="111">
        <f t="shared" si="74"/>
        <v>274.82</v>
      </c>
      <c r="K118" s="111">
        <f t="shared" si="74"/>
        <v>353.16800000000001</v>
      </c>
      <c r="L118" s="111">
        <f t="shared" si="74"/>
        <v>397.012</v>
      </c>
      <c r="M118" s="111">
        <f t="shared" ref="M118" si="75">SUM(M22,M28,M31:M32,M66,M68:M69,M71,M73,M119:M123,M155,M161,M167,M176,M178,M190,M197,M200:M201,M208,M210,M212,M216:M218,M220:M222,M227,M233:M234,M236:M238,M246,M251)</f>
        <v>370.14000000000004</v>
      </c>
      <c r="N118" s="111">
        <f t="shared" si="74"/>
        <v>330.88</v>
      </c>
      <c r="O118" s="111">
        <f t="shared" ref="O118:P118" si="76">SUM(O22,O28,O31:O32,O66,O68:O69,O71,O73,O119:O123,O155,O161,O167,O176,O178,O190,O197,O200:O201,O208,O210,O212,O216:O218,O220:O222,O227,O233:O234,O236:O238,O246,O251)</f>
        <v>323.77999999999997</v>
      </c>
      <c r="P118" s="111">
        <f t="shared" si="76"/>
        <v>299.44</v>
      </c>
      <c r="Q118" s="111">
        <f t="shared" ref="Q118:AC118" si="77">SUM(Q22,Q28,Q31:Q32,Q66,Q68:Q69,Q71,Q73,Q119:Q123,Q155,Q161,Q167,Q176,Q178,Q190,Q197,Q200:Q201,Q208,Q210,Q212,Q216:Q218,Q220:Q222,Q227,Q233:Q234,Q236:Q238,Q246,Q251)</f>
        <v>184.64000000000001</v>
      </c>
      <c r="R118" s="111">
        <f t="shared" si="77"/>
        <v>164.94</v>
      </c>
      <c r="S118" s="111">
        <f t="shared" si="77"/>
        <v>146.44000000000003</v>
      </c>
      <c r="T118" s="111">
        <f t="shared" si="77"/>
        <v>142.94000000000003</v>
      </c>
      <c r="U118" s="111">
        <f t="shared" si="77"/>
        <v>124.84</v>
      </c>
      <c r="V118" s="111">
        <f t="shared" si="77"/>
        <v>127.34</v>
      </c>
      <c r="W118" s="111">
        <f t="shared" si="77"/>
        <v>128.94</v>
      </c>
      <c r="X118" s="111">
        <v>145.16750000000002</v>
      </c>
      <c r="Y118" s="111">
        <f t="shared" si="77"/>
        <v>144.33999999999997</v>
      </c>
      <c r="Z118" s="111">
        <f t="shared" si="77"/>
        <v>145.24</v>
      </c>
      <c r="AA118" s="111">
        <f t="shared" si="77"/>
        <v>150.04000000000002</v>
      </c>
      <c r="AB118" s="111">
        <f t="shared" si="77"/>
        <v>182.84</v>
      </c>
      <c r="AC118" s="111">
        <f t="shared" si="77"/>
        <v>127.24000000000001</v>
      </c>
      <c r="AD118" s="111"/>
      <c r="AE118" s="111">
        <f>SUM(AE22,AE28,AE31:AE32,AE66,AE68:AE69,AE71,AE73,AE119:AE123,AE155,AE161,AE167,AE176,AE178,AE190,AE197,AE200:AE201,AE208,AE210,AE212,AE216:AE218,AE220:AE222,AE227,AE233:AE234,AE236:AE238,AE246,AE251)</f>
        <v>67.64</v>
      </c>
      <c r="AF118" s="111">
        <f>SUM(AF22,AF28,AF31:AF32,AF66,AF68:AF69,AF71,AF73,AF119:AF123,AF155,AF161,AF167,AF176,AF178,AF190,AF197,AF200:AF201,AF208,AF210,AF212,AF216:AF218,AF220:AF222,AF227,AF233:AF234,AF236:AF238,AF246,AF251)</f>
        <v>25.94</v>
      </c>
      <c r="AG118" s="112"/>
      <c r="AH118" s="47">
        <f t="shared" si="39"/>
        <v>397.012</v>
      </c>
      <c r="AI118" s="48">
        <f t="shared" si="40"/>
        <v>25.94</v>
      </c>
    </row>
    <row r="119" spans="1:35" x14ac:dyDescent="0.25">
      <c r="A119" s="172" t="s">
        <v>119</v>
      </c>
      <c r="B119" s="113">
        <v>-1</v>
      </c>
      <c r="C119" s="113">
        <v>-6.2</v>
      </c>
      <c r="D119" s="113">
        <v>-5.4</v>
      </c>
      <c r="E119" s="113">
        <v>-8.5</v>
      </c>
      <c r="F119" s="113">
        <v>-12.2</v>
      </c>
      <c r="G119" s="113">
        <v>0.9</v>
      </c>
      <c r="H119" s="113">
        <v>9.9</v>
      </c>
      <c r="I119" s="113">
        <v>33.299999999999997</v>
      </c>
      <c r="J119" s="113">
        <v>57.9</v>
      </c>
      <c r="K119" s="113">
        <v>56.5</v>
      </c>
      <c r="L119" s="113">
        <v>60.4</v>
      </c>
      <c r="M119" s="113">
        <v>63.4</v>
      </c>
      <c r="N119" s="113">
        <v>60.3</v>
      </c>
      <c r="O119" s="113">
        <v>68.599999999999994</v>
      </c>
      <c r="P119" s="113">
        <v>69.3</v>
      </c>
      <c r="Q119" s="113">
        <v>38.700000000000003</v>
      </c>
      <c r="R119" s="113">
        <v>23.6</v>
      </c>
      <c r="S119" s="113">
        <v>10.199999999999999</v>
      </c>
      <c r="T119" s="113">
        <v>9.9</v>
      </c>
      <c r="U119" s="113">
        <v>9.3000000000000007</v>
      </c>
      <c r="V119" s="113">
        <v>13.4</v>
      </c>
      <c r="W119" s="113">
        <v>18.399999999999999</v>
      </c>
      <c r="X119" s="113">
        <v>39.4</v>
      </c>
      <c r="Y119" s="113">
        <v>37.200000000000003</v>
      </c>
      <c r="Z119" s="113">
        <v>41.5</v>
      </c>
      <c r="AA119" s="113">
        <v>35.9</v>
      </c>
      <c r="AB119" s="113">
        <v>30.2</v>
      </c>
      <c r="AC119" s="113">
        <v>23.6</v>
      </c>
      <c r="AD119" s="113">
        <v>23.6</v>
      </c>
      <c r="AE119" s="113">
        <v>15</v>
      </c>
      <c r="AF119" s="113">
        <v>41.3</v>
      </c>
      <c r="AG119" s="114">
        <v>75</v>
      </c>
      <c r="AH119" s="47">
        <f t="shared" si="39"/>
        <v>69.3</v>
      </c>
      <c r="AI119" s="48">
        <f t="shared" si="40"/>
        <v>-12.2</v>
      </c>
    </row>
    <row r="120" spans="1:35" x14ac:dyDescent="0.25">
      <c r="A120" s="173" t="s">
        <v>120</v>
      </c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>
        <v>-13</v>
      </c>
      <c r="V120" s="115">
        <v>-20.7</v>
      </c>
      <c r="W120" s="115">
        <v>-28.2</v>
      </c>
      <c r="X120" s="115">
        <v>-54</v>
      </c>
      <c r="Y120" s="115">
        <v>-50.8</v>
      </c>
      <c r="Z120" s="115">
        <v>-56.1</v>
      </c>
      <c r="AA120" s="115">
        <v>-47.6</v>
      </c>
      <c r="AB120" s="115"/>
      <c r="AC120" s="115">
        <v>-32</v>
      </c>
      <c r="AD120" s="115">
        <v>-32</v>
      </c>
      <c r="AE120" s="115">
        <v>-23</v>
      </c>
      <c r="AF120" s="115">
        <v>-58</v>
      </c>
      <c r="AG120" s="114">
        <v>240</v>
      </c>
      <c r="AH120" s="47">
        <f t="shared" si="39"/>
        <v>-13</v>
      </c>
      <c r="AI120" s="48">
        <f t="shared" si="40"/>
        <v>-58</v>
      </c>
    </row>
    <row r="121" spans="1:35" x14ac:dyDescent="0.25">
      <c r="A121" s="173" t="s">
        <v>121</v>
      </c>
      <c r="B121" s="115">
        <v>-48</v>
      </c>
      <c r="C121" s="115">
        <v>-60</v>
      </c>
      <c r="D121" s="115">
        <v>-53</v>
      </c>
      <c r="E121" s="115">
        <v>-53.6</v>
      </c>
      <c r="F121" s="115">
        <v>-54.5</v>
      </c>
      <c r="G121" s="115">
        <v>-42.2</v>
      </c>
      <c r="H121" s="115">
        <v>-28.2</v>
      </c>
      <c r="I121" s="115">
        <v>-15.2</v>
      </c>
      <c r="J121" s="115">
        <v>2</v>
      </c>
      <c r="K121" s="115">
        <v>30.9</v>
      </c>
      <c r="L121" s="115">
        <v>42.3</v>
      </c>
      <c r="M121" s="115">
        <f>20.7+23.2</f>
        <v>43.9</v>
      </c>
      <c r="N121" s="115">
        <f>26.1+23.1</f>
        <v>49.2</v>
      </c>
      <c r="O121" s="115">
        <f>29+23.8</f>
        <v>52.8</v>
      </c>
      <c r="P121" s="115">
        <f>27.1+21.9</f>
        <v>49</v>
      </c>
      <c r="Q121" s="115">
        <f>19+12.4</f>
        <v>31.4</v>
      </c>
      <c r="R121" s="115">
        <v>27.6</v>
      </c>
      <c r="S121" s="115">
        <v>25.1</v>
      </c>
      <c r="T121" s="115">
        <f>14.5+7.4</f>
        <v>21.9</v>
      </c>
      <c r="U121" s="115">
        <v>26.4</v>
      </c>
      <c r="V121" s="115">
        <f>21.7+15.4</f>
        <v>37.1</v>
      </c>
      <c r="W121" s="115">
        <f>23.8+17.4</f>
        <v>41.2</v>
      </c>
      <c r="X121" s="115">
        <v>56.3</v>
      </c>
      <c r="Y121" s="115">
        <f>33+28</f>
        <v>61</v>
      </c>
      <c r="Z121" s="115">
        <f>34+28.9</f>
        <v>62.9</v>
      </c>
      <c r="AA121" s="115">
        <f>35.2+29.6</f>
        <v>64.800000000000011</v>
      </c>
      <c r="AB121" s="115">
        <v>60</v>
      </c>
      <c r="AC121" s="115">
        <v>43</v>
      </c>
      <c r="AD121" s="115">
        <v>43</v>
      </c>
      <c r="AE121" s="115">
        <v>-17</v>
      </c>
      <c r="AF121" s="115">
        <v>-50</v>
      </c>
      <c r="AG121" s="114">
        <v>240</v>
      </c>
      <c r="AH121" s="47">
        <f t="shared" si="39"/>
        <v>64.800000000000011</v>
      </c>
      <c r="AI121" s="48">
        <f t="shared" si="40"/>
        <v>-60</v>
      </c>
    </row>
    <row r="122" spans="1:35" ht="15.75" thickBot="1" x14ac:dyDescent="0.3">
      <c r="A122" s="173" t="s">
        <v>122</v>
      </c>
      <c r="B122" s="115"/>
      <c r="C122" s="115"/>
      <c r="D122" s="115"/>
      <c r="E122" s="115"/>
      <c r="F122" s="115"/>
      <c r="G122" s="115"/>
      <c r="H122" s="115"/>
      <c r="I122" s="115"/>
      <c r="J122" s="115"/>
      <c r="K122" s="115">
        <v>21</v>
      </c>
      <c r="L122" s="115">
        <v>25.6</v>
      </c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15"/>
      <c r="AF122" s="115"/>
      <c r="AG122" s="114">
        <v>60</v>
      </c>
      <c r="AH122" s="47">
        <f t="shared" si="39"/>
        <v>25.6</v>
      </c>
      <c r="AI122" s="48">
        <f t="shared" si="40"/>
        <v>21</v>
      </c>
    </row>
    <row r="123" spans="1:35" x14ac:dyDescent="0.25">
      <c r="A123" s="172" t="s">
        <v>260</v>
      </c>
      <c r="B123" s="117">
        <v>80</v>
      </c>
      <c r="C123" s="117">
        <v>75</v>
      </c>
      <c r="D123" s="117">
        <v>70</v>
      </c>
      <c r="E123" s="117">
        <v>53.8</v>
      </c>
      <c r="F123" s="117">
        <v>61.2</v>
      </c>
      <c r="G123" s="117">
        <v>71</v>
      </c>
      <c r="H123" s="117">
        <f>1.64*79</f>
        <v>129.56</v>
      </c>
      <c r="I123" s="117">
        <f>1.64*70</f>
        <v>114.8</v>
      </c>
      <c r="J123" s="117">
        <f>1.64*67</f>
        <v>109.88</v>
      </c>
      <c r="K123" s="117">
        <f>1.64*85.2</f>
        <v>139.72800000000001</v>
      </c>
      <c r="L123" s="117">
        <f>1.64*99.8</f>
        <v>163.672</v>
      </c>
      <c r="M123" s="117">
        <f>97*1.6</f>
        <v>155.20000000000002</v>
      </c>
      <c r="N123" s="117">
        <f>73.9*1.6</f>
        <v>118.24000000000001</v>
      </c>
      <c r="O123" s="117">
        <f>57.9*1.6</f>
        <v>92.64</v>
      </c>
      <c r="P123" s="117">
        <f>42.5*1.6</f>
        <v>68</v>
      </c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  <c r="AA123" s="117"/>
      <c r="AB123" s="117"/>
      <c r="AC123" s="117"/>
      <c r="AD123" s="117"/>
      <c r="AE123" s="117"/>
      <c r="AF123" s="117"/>
      <c r="AG123" s="118">
        <v>120</v>
      </c>
      <c r="AH123" s="47">
        <f t="shared" si="39"/>
        <v>163.672</v>
      </c>
      <c r="AI123" s="48">
        <f t="shared" si="40"/>
        <v>53.8</v>
      </c>
    </row>
    <row r="124" spans="1:35" x14ac:dyDescent="0.25">
      <c r="A124" s="173" t="s">
        <v>259</v>
      </c>
      <c r="B124" s="117">
        <v>100</v>
      </c>
      <c r="C124" s="117">
        <v>76</v>
      </c>
      <c r="D124" s="117">
        <v>74.5</v>
      </c>
      <c r="E124" s="117">
        <v>74.099999999999994</v>
      </c>
      <c r="F124" s="117">
        <v>78.900000000000006</v>
      </c>
      <c r="G124" s="117">
        <v>86.7</v>
      </c>
      <c r="H124" s="117">
        <v>89</v>
      </c>
      <c r="I124" s="117">
        <v>85.2</v>
      </c>
      <c r="J124" s="117">
        <v>82.9</v>
      </c>
      <c r="K124" s="117">
        <v>97.8</v>
      </c>
      <c r="L124" s="117">
        <v>109.8</v>
      </c>
      <c r="M124" s="117">
        <v>105.6</v>
      </c>
      <c r="N124" s="117">
        <v>87.3</v>
      </c>
      <c r="O124" s="117">
        <v>74.5</v>
      </c>
      <c r="P124" s="117">
        <v>62.4</v>
      </c>
      <c r="Q124" s="117">
        <v>81.2</v>
      </c>
      <c r="R124" s="117">
        <v>87.3</v>
      </c>
      <c r="S124" s="117">
        <v>91.5</v>
      </c>
      <c r="T124" s="117">
        <v>90.8</v>
      </c>
      <c r="U124" s="117">
        <v>90.1</v>
      </c>
      <c r="V124" s="117">
        <v>86.4</v>
      </c>
      <c r="W124" s="117">
        <v>95</v>
      </c>
      <c r="X124" s="117">
        <v>95.3</v>
      </c>
      <c r="Y124" s="117">
        <v>98.6</v>
      </c>
      <c r="Z124" s="117">
        <v>88.4</v>
      </c>
      <c r="AA124" s="117">
        <v>92.5</v>
      </c>
      <c r="AB124" s="117">
        <v>89.7</v>
      </c>
      <c r="AC124" s="117">
        <v>86</v>
      </c>
      <c r="AD124" s="117">
        <v>86</v>
      </c>
      <c r="AE124" s="117"/>
      <c r="AF124" s="117">
        <v>77.3</v>
      </c>
      <c r="AG124" s="118"/>
      <c r="AH124" s="47">
        <f t="shared" si="39"/>
        <v>109.8</v>
      </c>
      <c r="AI124" s="48">
        <f t="shared" si="40"/>
        <v>62.4</v>
      </c>
    </row>
    <row r="125" spans="1:35" x14ac:dyDescent="0.25">
      <c r="A125" s="173" t="s">
        <v>256</v>
      </c>
      <c r="B125" s="117">
        <v>-75</v>
      </c>
      <c r="C125" s="117"/>
      <c r="D125" s="117"/>
      <c r="E125" s="117"/>
      <c r="F125" s="117"/>
      <c r="G125" s="117">
        <v>-78.3</v>
      </c>
      <c r="H125" s="117">
        <v>64</v>
      </c>
      <c r="I125" s="117">
        <v>35</v>
      </c>
      <c r="J125" s="117">
        <v>12.6</v>
      </c>
      <c r="K125" s="117">
        <v>0.6</v>
      </c>
      <c r="L125" s="117">
        <v>0</v>
      </c>
      <c r="M125" s="117">
        <v>-8.6999999999999993</v>
      </c>
      <c r="N125" s="117">
        <v>-28.9</v>
      </c>
      <c r="O125" s="117">
        <v>-43.7</v>
      </c>
      <c r="P125" s="117">
        <v>-43.5</v>
      </c>
      <c r="Q125" s="117"/>
      <c r="R125" s="117"/>
      <c r="S125" s="117">
        <v>28</v>
      </c>
      <c r="T125" s="117">
        <v>21.9</v>
      </c>
      <c r="U125" s="117">
        <v>18</v>
      </c>
      <c r="V125" s="117">
        <v>-4</v>
      </c>
      <c r="W125" s="117">
        <v>-11.4</v>
      </c>
      <c r="X125" s="117">
        <v>-48.1</v>
      </c>
      <c r="Y125" s="117">
        <v>-44.9</v>
      </c>
      <c r="Z125" s="117">
        <v>-56.2</v>
      </c>
      <c r="AA125" s="117">
        <v>-44.9</v>
      </c>
      <c r="AB125" s="117">
        <v>-31</v>
      </c>
      <c r="AC125" s="117">
        <v>-17</v>
      </c>
      <c r="AD125" s="117">
        <v>-17</v>
      </c>
      <c r="AE125" s="117">
        <v>-29</v>
      </c>
      <c r="AF125" s="117">
        <v>-37</v>
      </c>
      <c r="AG125" s="118"/>
      <c r="AH125" s="47">
        <f t="shared" si="39"/>
        <v>64</v>
      </c>
      <c r="AI125" s="48">
        <f t="shared" si="40"/>
        <v>-78.3</v>
      </c>
    </row>
    <row r="126" spans="1:35" ht="15.75" thickBot="1" x14ac:dyDescent="0.3">
      <c r="A126" s="173" t="s">
        <v>255</v>
      </c>
      <c r="B126" s="117">
        <v>65</v>
      </c>
      <c r="C126" s="117">
        <v>104</v>
      </c>
      <c r="D126" s="117">
        <v>94</v>
      </c>
      <c r="E126" s="117">
        <v>102</v>
      </c>
      <c r="F126" s="117">
        <v>102.1</v>
      </c>
      <c r="G126" s="117">
        <v>112</v>
      </c>
      <c r="H126" s="117">
        <v>110</v>
      </c>
      <c r="I126" s="117">
        <v>115</v>
      </c>
      <c r="J126" s="117">
        <v>99.1</v>
      </c>
      <c r="K126" s="117">
        <v>95.4</v>
      </c>
      <c r="L126" s="117">
        <v>99.1</v>
      </c>
      <c r="M126" s="117">
        <v>98.5</v>
      </c>
      <c r="N126" s="117">
        <v>85.5</v>
      </c>
      <c r="O126" s="117">
        <v>75.2</v>
      </c>
      <c r="P126" s="117">
        <v>48</v>
      </c>
      <c r="Q126" s="117">
        <v>85.9</v>
      </c>
      <c r="R126" s="117"/>
      <c r="S126" s="117">
        <v>99.5</v>
      </c>
      <c r="T126" s="117">
        <v>98.1</v>
      </c>
      <c r="U126" s="117">
        <v>89</v>
      </c>
      <c r="V126" s="117">
        <v>70.400000000000006</v>
      </c>
      <c r="W126" s="117">
        <v>76.7</v>
      </c>
      <c r="X126" s="117">
        <v>74.8</v>
      </c>
      <c r="Y126" s="117">
        <v>80.8</v>
      </c>
      <c r="Z126" s="117">
        <v>74.599999999999994</v>
      </c>
      <c r="AA126" s="117">
        <v>84.7</v>
      </c>
      <c r="AB126" s="117">
        <v>82.1</v>
      </c>
      <c r="AC126" s="117">
        <v>80</v>
      </c>
      <c r="AD126" s="117">
        <v>80</v>
      </c>
      <c r="AE126" s="117">
        <v>99</v>
      </c>
      <c r="AF126" s="117">
        <v>101</v>
      </c>
      <c r="AG126" s="114"/>
      <c r="AH126" s="47">
        <f t="shared" si="39"/>
        <v>115</v>
      </c>
      <c r="AI126" s="48">
        <f t="shared" si="40"/>
        <v>48</v>
      </c>
    </row>
    <row r="127" spans="1:35" x14ac:dyDescent="0.25">
      <c r="A127" s="172" t="s">
        <v>257</v>
      </c>
      <c r="B127" s="117">
        <v>-19</v>
      </c>
      <c r="C127" s="117">
        <v>62</v>
      </c>
      <c r="D127" s="117">
        <v>57</v>
      </c>
      <c r="E127" s="117">
        <v>52.7</v>
      </c>
      <c r="F127" s="117">
        <v>55.2</v>
      </c>
      <c r="G127" s="117">
        <v>52.7</v>
      </c>
      <c r="H127" s="117">
        <v>42.2</v>
      </c>
      <c r="I127" s="117">
        <v>36</v>
      </c>
      <c r="J127" s="117">
        <v>26.6</v>
      </c>
      <c r="K127" s="117">
        <v>22.6</v>
      </c>
      <c r="L127" s="117">
        <v>22</v>
      </c>
      <c r="M127" s="117">
        <v>22.3</v>
      </c>
      <c r="N127" s="117">
        <v>24.1</v>
      </c>
      <c r="O127" s="117">
        <v>24.4</v>
      </c>
      <c r="P127" s="117">
        <v>24.8</v>
      </c>
      <c r="Q127" s="117">
        <v>16.399999999999999</v>
      </c>
      <c r="R127" s="117"/>
      <c r="S127" s="117">
        <v>62.4</v>
      </c>
      <c r="T127" s="117">
        <v>55.3</v>
      </c>
      <c r="U127" s="117">
        <v>52.5</v>
      </c>
      <c r="V127" s="117">
        <v>28</v>
      </c>
      <c r="W127" s="117">
        <v>46.1</v>
      </c>
      <c r="X127" s="117">
        <v>4</v>
      </c>
      <c r="Y127" s="117">
        <v>19.600000000000001</v>
      </c>
      <c r="Z127" s="117">
        <v>11.8</v>
      </c>
      <c r="AA127" s="117">
        <v>20.3</v>
      </c>
      <c r="AB127" s="117">
        <v>23.1</v>
      </c>
      <c r="AC127" s="117">
        <v>37</v>
      </c>
      <c r="AD127" s="117">
        <v>37</v>
      </c>
      <c r="AE127" s="117">
        <v>48</v>
      </c>
      <c r="AF127" s="106">
        <v>52</v>
      </c>
      <c r="AG127" s="114"/>
      <c r="AH127" s="47">
        <f t="shared" si="39"/>
        <v>62.4</v>
      </c>
      <c r="AI127" s="48">
        <f t="shared" si="40"/>
        <v>-19</v>
      </c>
    </row>
    <row r="128" spans="1:35" x14ac:dyDescent="0.25">
      <c r="A128" s="173" t="s">
        <v>124</v>
      </c>
      <c r="B128" s="106">
        <v>-3.5</v>
      </c>
      <c r="C128" s="106">
        <v>-1.9</v>
      </c>
      <c r="D128" s="106">
        <v>-1.4</v>
      </c>
      <c r="E128" s="106">
        <v>-1.3</v>
      </c>
      <c r="F128" s="106">
        <v>-0.3</v>
      </c>
      <c r="G128" s="106">
        <v>-5</v>
      </c>
      <c r="H128" s="106">
        <v>-9.1</v>
      </c>
      <c r="I128" s="106">
        <v>-11.7</v>
      </c>
      <c r="J128" s="106">
        <v>-22.7</v>
      </c>
      <c r="K128" s="106">
        <v>-29.9</v>
      </c>
      <c r="L128" s="106">
        <v>-35.1</v>
      </c>
      <c r="M128" s="106">
        <v>-39.700000000000003</v>
      </c>
      <c r="N128" s="106">
        <v>-37.9</v>
      </c>
      <c r="O128" s="106">
        <v>-25.3</v>
      </c>
      <c r="P128" s="106">
        <v>-18.2</v>
      </c>
      <c r="Q128" s="106">
        <v>-16.899999999999999</v>
      </c>
      <c r="R128" s="106"/>
      <c r="S128" s="106">
        <v>-9.6999999999999993</v>
      </c>
      <c r="T128" s="106">
        <v>-10.5</v>
      </c>
      <c r="U128" s="106">
        <v>-15</v>
      </c>
      <c r="V128" s="106">
        <v>-30.9</v>
      </c>
      <c r="W128" s="106">
        <v>-37.200000000000003</v>
      </c>
      <c r="X128" s="106">
        <v>-48.6</v>
      </c>
      <c r="Y128" s="106">
        <v>-43</v>
      </c>
      <c r="Z128" s="106">
        <v>-38.799999999999997</v>
      </c>
      <c r="AA128" s="106">
        <v>-37.5</v>
      </c>
      <c r="AB128" s="106">
        <v>-33.9</v>
      </c>
      <c r="AC128" s="106">
        <v>-23</v>
      </c>
      <c r="AD128" s="106">
        <v>-23</v>
      </c>
      <c r="AE128" s="106">
        <v>-10</v>
      </c>
      <c r="AF128" s="106">
        <v>-7.5</v>
      </c>
      <c r="AG128" s="114"/>
      <c r="AH128" s="47">
        <f t="shared" si="39"/>
        <v>-0.3</v>
      </c>
      <c r="AI128" s="48">
        <f t="shared" si="40"/>
        <v>-48.6</v>
      </c>
    </row>
    <row r="129" spans="1:37" x14ac:dyDescent="0.25">
      <c r="A129" s="173" t="s">
        <v>261</v>
      </c>
      <c r="B129" s="106">
        <v>11.6</v>
      </c>
      <c r="C129" s="106">
        <v>14</v>
      </c>
      <c r="D129" s="106">
        <v>15</v>
      </c>
      <c r="E129" s="106">
        <v>10</v>
      </c>
      <c r="F129" s="106">
        <v>9.6</v>
      </c>
      <c r="G129" s="106">
        <v>1</v>
      </c>
      <c r="H129" s="106">
        <v>7</v>
      </c>
      <c r="I129" s="106">
        <v>6.8</v>
      </c>
      <c r="J129" s="106">
        <v>3</v>
      </c>
      <c r="K129" s="106">
        <v>-10.7</v>
      </c>
      <c r="L129" s="106">
        <v>-14.6</v>
      </c>
      <c r="M129" s="106">
        <v>-12.3</v>
      </c>
      <c r="N129" s="106">
        <v>8.8000000000000007</v>
      </c>
      <c r="O129" s="106">
        <v>14.8</v>
      </c>
      <c r="P129" s="106">
        <v>18</v>
      </c>
      <c r="Q129" s="106">
        <v>5.6</v>
      </c>
      <c r="R129" s="106"/>
      <c r="S129" s="106">
        <v>-8</v>
      </c>
      <c r="T129" s="106">
        <v>-9.6999999999999993</v>
      </c>
      <c r="U129" s="106">
        <v>-14</v>
      </c>
      <c r="V129" s="106">
        <v>-6</v>
      </c>
      <c r="W129" s="106">
        <v>-11.9</v>
      </c>
      <c r="X129" s="106">
        <v>-6.6</v>
      </c>
      <c r="Y129" s="106">
        <v>-13.4</v>
      </c>
      <c r="Z129" s="106">
        <v>-10</v>
      </c>
      <c r="AA129" s="106">
        <v>-16.8</v>
      </c>
      <c r="AB129" s="106">
        <v>-15.4</v>
      </c>
      <c r="AC129" s="106">
        <v>-20</v>
      </c>
      <c r="AD129" s="106">
        <v>-20</v>
      </c>
      <c r="AE129" s="106">
        <v>5</v>
      </c>
      <c r="AF129" s="106">
        <v>3</v>
      </c>
      <c r="AG129" s="114"/>
      <c r="AH129" s="47">
        <f t="shared" si="39"/>
        <v>18</v>
      </c>
      <c r="AI129" s="48">
        <f t="shared" si="40"/>
        <v>-20</v>
      </c>
    </row>
    <row r="130" spans="1:37" ht="15.75" thickBot="1" x14ac:dyDescent="0.3">
      <c r="A130" s="173" t="s">
        <v>258</v>
      </c>
      <c r="B130" s="106">
        <v>80</v>
      </c>
      <c r="C130" s="106">
        <v>77</v>
      </c>
      <c r="D130" s="106">
        <v>76</v>
      </c>
      <c r="E130" s="106">
        <v>73.8</v>
      </c>
      <c r="F130" s="106">
        <v>61.7</v>
      </c>
      <c r="G130" s="106">
        <v>86.3</v>
      </c>
      <c r="H130" s="106">
        <v>85.2</v>
      </c>
      <c r="I130" s="106">
        <v>92.7</v>
      </c>
      <c r="J130" s="106">
        <v>103.6</v>
      </c>
      <c r="K130" s="106">
        <v>95.7</v>
      </c>
      <c r="L130" s="106">
        <v>91</v>
      </c>
      <c r="M130" s="106">
        <v>107.2</v>
      </c>
      <c r="N130" s="106">
        <v>104.5</v>
      </c>
      <c r="O130" s="106">
        <v>94</v>
      </c>
      <c r="P130" s="106">
        <v>92.1</v>
      </c>
      <c r="Q130" s="106">
        <v>103</v>
      </c>
      <c r="R130" s="106"/>
      <c r="S130" s="106">
        <v>98</v>
      </c>
      <c r="T130" s="106">
        <v>85.2</v>
      </c>
      <c r="U130" s="106">
        <v>101</v>
      </c>
      <c r="V130" s="106">
        <v>91.6</v>
      </c>
      <c r="W130" s="106">
        <v>106.3</v>
      </c>
      <c r="X130" s="106">
        <v>104.4</v>
      </c>
      <c r="Y130" s="106">
        <v>102</v>
      </c>
      <c r="Z130" s="106">
        <v>95.4</v>
      </c>
      <c r="AA130" s="106">
        <v>94.3</v>
      </c>
      <c r="AB130" s="106">
        <v>91.7</v>
      </c>
      <c r="AC130" s="106">
        <v>79</v>
      </c>
      <c r="AD130" s="106">
        <v>79</v>
      </c>
      <c r="AE130" s="106">
        <v>97</v>
      </c>
      <c r="AF130" s="106">
        <v>88.5</v>
      </c>
      <c r="AG130" s="114"/>
      <c r="AH130" s="47">
        <f t="shared" si="39"/>
        <v>107.2</v>
      </c>
      <c r="AI130" s="48">
        <f t="shared" si="40"/>
        <v>61.7</v>
      </c>
    </row>
    <row r="131" spans="1:37" x14ac:dyDescent="0.25">
      <c r="A131" s="144" t="s">
        <v>238</v>
      </c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6"/>
      <c r="AG131" s="43"/>
      <c r="AH131" s="47"/>
      <c r="AI131" s="48"/>
    </row>
    <row r="132" spans="1:37" x14ac:dyDescent="0.25">
      <c r="A132" s="189" t="s">
        <v>368</v>
      </c>
      <c r="B132" s="147">
        <v>1983.49</v>
      </c>
      <c r="C132" s="147">
        <v>1983.82</v>
      </c>
      <c r="D132" s="147">
        <v>1984.1</v>
      </c>
      <c r="E132" s="147">
        <v>1984.42</v>
      </c>
      <c r="F132" s="147"/>
      <c r="G132" s="147">
        <v>1984.95</v>
      </c>
      <c r="H132" s="147"/>
      <c r="I132" s="147">
        <v>1985.21</v>
      </c>
      <c r="J132" s="147"/>
      <c r="K132" s="147">
        <v>1985.39</v>
      </c>
      <c r="L132" s="147"/>
      <c r="M132" s="147">
        <v>1984.7</v>
      </c>
      <c r="N132" s="147">
        <v>1983.65</v>
      </c>
      <c r="O132" s="147">
        <v>1982.81</v>
      </c>
      <c r="P132" s="147">
        <v>1982.69</v>
      </c>
      <c r="Q132" s="147">
        <v>1982.75</v>
      </c>
      <c r="R132" s="147">
        <v>1983.1</v>
      </c>
      <c r="S132" s="147">
        <v>1983.42</v>
      </c>
      <c r="T132" s="147">
        <v>1983.72</v>
      </c>
      <c r="U132" s="147">
        <v>1984.02</v>
      </c>
      <c r="V132" s="147">
        <v>1983.98</v>
      </c>
      <c r="W132" s="147"/>
      <c r="X132" s="147">
        <v>1983.35</v>
      </c>
      <c r="Y132" s="147"/>
      <c r="Z132" s="147">
        <v>1982.58</v>
      </c>
      <c r="AA132" s="147"/>
      <c r="AB132" s="147">
        <v>1982.64</v>
      </c>
      <c r="AC132" s="147"/>
      <c r="AD132" s="147">
        <v>1982.65</v>
      </c>
      <c r="AE132" s="147">
        <v>1982.95</v>
      </c>
      <c r="AF132" s="148">
        <v>1983.3</v>
      </c>
      <c r="AG132" s="149"/>
      <c r="AH132" s="47"/>
      <c r="AI132" s="48"/>
    </row>
    <row r="133" spans="1:37" x14ac:dyDescent="0.25">
      <c r="A133" s="189" t="s">
        <v>239</v>
      </c>
      <c r="B133" s="150">
        <v>520.32000000000005</v>
      </c>
      <c r="C133" s="150">
        <v>520.74</v>
      </c>
      <c r="D133" s="150">
        <v>521.19000000000005</v>
      </c>
      <c r="E133" s="150">
        <v>521.6</v>
      </c>
      <c r="F133" s="150"/>
      <c r="G133" s="150">
        <v>522.36</v>
      </c>
      <c r="H133" s="150"/>
      <c r="I133" s="150">
        <v>522.58000000000004</v>
      </c>
      <c r="J133" s="150"/>
      <c r="K133" s="150">
        <v>522.28</v>
      </c>
      <c r="L133" s="150"/>
      <c r="M133" s="150">
        <v>521.78</v>
      </c>
      <c r="N133" s="150">
        <v>521.24</v>
      </c>
      <c r="O133" s="150">
        <v>520.84</v>
      </c>
      <c r="P133" s="150">
        <v>520.46</v>
      </c>
      <c r="Q133" s="150">
        <v>520.05999999999995</v>
      </c>
      <c r="R133" s="150">
        <v>519.78</v>
      </c>
      <c r="S133" s="150">
        <v>519.77</v>
      </c>
      <c r="T133" s="150">
        <v>520.03</v>
      </c>
      <c r="U133" s="150">
        <v>520.25</v>
      </c>
      <c r="V133" s="150">
        <v>520.39</v>
      </c>
      <c r="W133" s="150"/>
      <c r="X133" s="150">
        <v>520.4</v>
      </c>
      <c r="Y133" s="150"/>
      <c r="Z133" s="150">
        <v>519.79999999999995</v>
      </c>
      <c r="AA133" s="150"/>
      <c r="AB133" s="150">
        <v>519.28</v>
      </c>
      <c r="AC133" s="150"/>
      <c r="AD133" s="150">
        <v>519.17999999999995</v>
      </c>
      <c r="AE133" s="150">
        <v>519.34</v>
      </c>
      <c r="AF133" s="151">
        <v>519.54</v>
      </c>
      <c r="AG133" s="149"/>
      <c r="AH133" s="47"/>
      <c r="AI133" s="48"/>
    </row>
    <row r="134" spans="1:37" x14ac:dyDescent="0.25">
      <c r="A134" s="189" t="s">
        <v>240</v>
      </c>
      <c r="B134" s="150">
        <v>521.79999999999995</v>
      </c>
      <c r="C134" s="150">
        <v>522.33000000000004</v>
      </c>
      <c r="D134" s="150">
        <v>622.91</v>
      </c>
      <c r="E134" s="150">
        <v>623.45000000000005</v>
      </c>
      <c r="F134" s="150"/>
      <c r="G134" s="150">
        <v>624.36</v>
      </c>
      <c r="H134" s="150"/>
      <c r="I134" s="150">
        <v>624.54</v>
      </c>
      <c r="J134" s="150"/>
      <c r="K134" s="150">
        <v>624.59</v>
      </c>
      <c r="L134" s="150"/>
      <c r="M134" s="150">
        <v>624.30999999999995</v>
      </c>
      <c r="N134" s="150">
        <v>623.97</v>
      </c>
      <c r="O134" s="150">
        <v>623.45000000000005</v>
      </c>
      <c r="P134" s="150">
        <v>622.89</v>
      </c>
      <c r="Q134" s="150">
        <v>622.38</v>
      </c>
      <c r="R134" s="150">
        <v>622.34</v>
      </c>
      <c r="S134" s="150"/>
      <c r="T134" s="150">
        <v>622.69000000000005</v>
      </c>
      <c r="U134" s="150">
        <v>622.82000000000005</v>
      </c>
      <c r="V134" s="150">
        <v>622.94000000000005</v>
      </c>
      <c r="W134" s="150"/>
      <c r="X134" s="150">
        <v>622.63</v>
      </c>
      <c r="Y134" s="150"/>
      <c r="Z134" s="150">
        <v>622.05999999999995</v>
      </c>
      <c r="AA134" s="150"/>
      <c r="AB134" s="150">
        <v>621.35</v>
      </c>
      <c r="AC134" s="150"/>
      <c r="AD134" s="150">
        <v>621.61</v>
      </c>
      <c r="AE134" s="150">
        <v>621.86</v>
      </c>
      <c r="AF134" s="151">
        <v>621.96</v>
      </c>
      <c r="AG134" s="149"/>
      <c r="AH134" s="47"/>
      <c r="AI134" s="48"/>
    </row>
    <row r="135" spans="1:37" x14ac:dyDescent="0.25">
      <c r="A135" s="189" t="s">
        <v>241</v>
      </c>
      <c r="B135" s="150"/>
      <c r="C135" s="150">
        <v>335.61</v>
      </c>
      <c r="D135" s="150">
        <v>35.909999999999997</v>
      </c>
      <c r="E135" s="150">
        <v>336.15</v>
      </c>
      <c r="F135" s="150"/>
      <c r="G135" s="150">
        <v>336.79</v>
      </c>
      <c r="H135" s="150"/>
      <c r="I135" s="150">
        <v>336.91</v>
      </c>
      <c r="J135" s="150"/>
      <c r="K135" s="150">
        <v>336.78</v>
      </c>
      <c r="L135" s="150"/>
      <c r="M135" s="150">
        <v>336.34</v>
      </c>
      <c r="N135" s="150">
        <v>335.87</v>
      </c>
      <c r="O135" s="150">
        <v>335.27</v>
      </c>
      <c r="P135" s="150">
        <v>334.67</v>
      </c>
      <c r="Q135" s="150">
        <v>333.95</v>
      </c>
      <c r="R135" s="150">
        <v>333.7</v>
      </c>
      <c r="S135" s="150">
        <v>334.58</v>
      </c>
      <c r="T135" s="150">
        <v>334.93</v>
      </c>
      <c r="U135" s="150">
        <v>335.56</v>
      </c>
      <c r="V135" s="150">
        <v>335.81</v>
      </c>
      <c r="W135" s="150"/>
      <c r="X135" s="150">
        <v>335.95</v>
      </c>
      <c r="Y135" s="150"/>
      <c r="Z135" s="150">
        <v>335.65</v>
      </c>
      <c r="AA135" s="150"/>
      <c r="AB135" s="150">
        <v>335.22</v>
      </c>
      <c r="AC135" s="150"/>
      <c r="AD135" s="150">
        <v>334.77</v>
      </c>
      <c r="AE135" s="150">
        <v>334.46</v>
      </c>
      <c r="AF135" s="151">
        <v>334.35</v>
      </c>
      <c r="AG135" s="149"/>
      <c r="AH135" s="47"/>
      <c r="AI135" s="48"/>
    </row>
    <row r="136" spans="1:37" x14ac:dyDescent="0.25">
      <c r="A136" s="189" t="s">
        <v>407</v>
      </c>
      <c r="B136" s="150">
        <v>884</v>
      </c>
      <c r="C136" s="150">
        <v>884.7</v>
      </c>
      <c r="D136" s="150">
        <v>885.4</v>
      </c>
      <c r="E136" s="150">
        <v>886</v>
      </c>
      <c r="F136" s="150"/>
      <c r="G136" s="150">
        <v>887</v>
      </c>
      <c r="H136" s="150"/>
      <c r="I136" s="150">
        <v>886.9</v>
      </c>
      <c r="J136" s="150"/>
      <c r="K136" s="150">
        <v>886.9</v>
      </c>
      <c r="L136" s="150"/>
      <c r="M136" s="150">
        <v>885.9</v>
      </c>
      <c r="N136" s="150">
        <v>884.9</v>
      </c>
      <c r="O136" s="150">
        <v>883.5</v>
      </c>
      <c r="P136" s="150">
        <v>882.6</v>
      </c>
      <c r="Q136" s="150">
        <v>882.5</v>
      </c>
      <c r="R136" s="150">
        <v>882.6</v>
      </c>
      <c r="S136" s="150">
        <v>882.5</v>
      </c>
      <c r="T136" s="150"/>
      <c r="U136" s="150">
        <v>882.4</v>
      </c>
      <c r="V136" s="150">
        <v>883.3</v>
      </c>
      <c r="W136" s="150"/>
      <c r="X136" s="150">
        <v>884.1</v>
      </c>
      <c r="Y136" s="150"/>
      <c r="Z136" s="150">
        <v>883.6</v>
      </c>
      <c r="AA136" s="150"/>
      <c r="AB136" s="150">
        <v>882.9</v>
      </c>
      <c r="AC136" s="150"/>
      <c r="AD136" s="150"/>
      <c r="AE136" s="150">
        <v>882</v>
      </c>
      <c r="AF136" s="151">
        <v>882.9</v>
      </c>
      <c r="AG136" s="149"/>
      <c r="AH136" s="47"/>
      <c r="AI136" s="48"/>
    </row>
    <row r="137" spans="1:37" ht="15.75" thickBot="1" x14ac:dyDescent="0.3">
      <c r="A137" s="189" t="s">
        <v>242</v>
      </c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  <c r="AC137" s="152"/>
      <c r="AD137" s="152"/>
      <c r="AE137" s="152"/>
      <c r="AF137" s="153"/>
      <c r="AG137" s="149"/>
      <c r="AH137" s="47"/>
      <c r="AI137" s="48"/>
    </row>
    <row r="138" spans="1:37" ht="15.75" thickBot="1" x14ac:dyDescent="0.3">
      <c r="A138" s="120" t="s">
        <v>125</v>
      </c>
      <c r="B138" s="121"/>
      <c r="C138" s="121"/>
      <c r="D138" s="121"/>
      <c r="E138" s="121"/>
      <c r="F138" s="170" t="s">
        <v>254</v>
      </c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74"/>
      <c r="AH138" s="47"/>
      <c r="AI138" s="48"/>
      <c r="AK138" s="50"/>
    </row>
    <row r="139" spans="1:37" x14ac:dyDescent="0.25">
      <c r="A139" s="122" t="s">
        <v>126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5">
        <v>9.94</v>
      </c>
      <c r="AH139" s="47"/>
      <c r="AI139" s="48"/>
      <c r="AK139" s="50"/>
    </row>
    <row r="140" spans="1:37" x14ac:dyDescent="0.25">
      <c r="A140" s="103" t="s">
        <v>127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5"/>
      <c r="AH140" s="47"/>
      <c r="AI140" s="48"/>
      <c r="AK140" s="50"/>
    </row>
    <row r="141" spans="1:37" x14ac:dyDescent="0.25">
      <c r="A141" s="103" t="s">
        <v>128</v>
      </c>
      <c r="B141" s="123"/>
      <c r="C141" s="124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5"/>
      <c r="AH141" s="47"/>
      <c r="AI141" s="48"/>
      <c r="AK141" s="50"/>
    </row>
    <row r="142" spans="1:37" x14ac:dyDescent="0.25">
      <c r="A142" s="103" t="s">
        <v>129</v>
      </c>
      <c r="B142" s="123"/>
      <c r="C142" s="124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5"/>
      <c r="AH142" s="47"/>
      <c r="AI142" s="48"/>
      <c r="AK142" s="50"/>
    </row>
    <row r="143" spans="1:37" x14ac:dyDescent="0.25">
      <c r="A143" s="103" t="s">
        <v>130</v>
      </c>
      <c r="B143" s="123"/>
      <c r="C143" s="124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5"/>
      <c r="AH143" s="47"/>
      <c r="AI143" s="48"/>
      <c r="AK143" s="50"/>
    </row>
    <row r="144" spans="1:37" x14ac:dyDescent="0.25">
      <c r="A144" s="103" t="s">
        <v>131</v>
      </c>
      <c r="B144" s="123"/>
      <c r="C144" s="124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5"/>
      <c r="AH144" s="47"/>
      <c r="AI144" s="48"/>
      <c r="AK144" s="50"/>
    </row>
    <row r="145" spans="1:37" x14ac:dyDescent="0.25">
      <c r="A145" s="103" t="s">
        <v>132</v>
      </c>
      <c r="B145" s="123"/>
      <c r="C145" s="124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5"/>
      <c r="AH145" s="47"/>
      <c r="AI145" s="48"/>
      <c r="AK145" s="50"/>
    </row>
    <row r="146" spans="1:37" x14ac:dyDescent="0.25">
      <c r="A146" s="103" t="s">
        <v>133</v>
      </c>
      <c r="B146" s="123"/>
      <c r="C146" s="124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5"/>
      <c r="AH146" s="47"/>
      <c r="AI146" s="48"/>
      <c r="AK146" s="50"/>
    </row>
    <row r="147" spans="1:37" x14ac:dyDescent="0.25">
      <c r="A147" s="103" t="s">
        <v>134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5"/>
      <c r="AH147" s="47"/>
      <c r="AI147" s="48"/>
      <c r="AK147" s="50"/>
    </row>
    <row r="148" spans="1:37" x14ac:dyDescent="0.25">
      <c r="A148" s="103" t="s">
        <v>135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5"/>
      <c r="AH148" s="47"/>
      <c r="AI148" s="48"/>
      <c r="AK148" s="50"/>
    </row>
    <row r="149" spans="1:37" x14ac:dyDescent="0.25">
      <c r="A149" s="103" t="s">
        <v>136</v>
      </c>
      <c r="B149" s="123"/>
      <c r="C149" s="124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5"/>
      <c r="AH149" s="47"/>
      <c r="AI149" s="48"/>
      <c r="AK149" s="50"/>
    </row>
    <row r="150" spans="1:37" x14ac:dyDescent="0.25">
      <c r="A150" s="103" t="s">
        <v>137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5"/>
      <c r="AH150" s="47"/>
      <c r="AI150" s="48"/>
      <c r="AK150" s="50"/>
    </row>
    <row r="151" spans="1:37" x14ac:dyDescent="0.25">
      <c r="A151" s="103" t="s">
        <v>138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5"/>
      <c r="AH151" s="47"/>
      <c r="AI151" s="48"/>
      <c r="AK151" s="50"/>
    </row>
    <row r="152" spans="1:37" x14ac:dyDescent="0.25">
      <c r="A152" s="103" t="s">
        <v>139</v>
      </c>
      <c r="B152" s="123"/>
      <c r="C152" s="124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5"/>
      <c r="AH152" s="47"/>
      <c r="AI152" s="48"/>
      <c r="AK152" s="50"/>
    </row>
    <row r="153" spans="1:37" x14ac:dyDescent="0.25">
      <c r="A153" s="103" t="s">
        <v>140</v>
      </c>
      <c r="B153" s="123"/>
      <c r="C153" s="124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5"/>
      <c r="AH153" s="47"/>
      <c r="AI153" s="48"/>
      <c r="AK153" s="50"/>
    </row>
    <row r="154" spans="1:37" x14ac:dyDescent="0.25">
      <c r="A154" s="103" t="s">
        <v>141</v>
      </c>
      <c r="B154" s="123"/>
      <c r="C154" s="124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5"/>
      <c r="AH154" s="47"/>
      <c r="AI154" s="48"/>
      <c r="AK154" s="50"/>
    </row>
    <row r="155" spans="1:37" x14ac:dyDescent="0.25">
      <c r="A155" s="103" t="s">
        <v>142</v>
      </c>
      <c r="B155" s="126"/>
      <c r="C155" s="127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8">
        <v>9.9</v>
      </c>
      <c r="AH155" s="47"/>
      <c r="AI155" s="48"/>
      <c r="AK155" s="50"/>
    </row>
    <row r="156" spans="1:37" x14ac:dyDescent="0.25">
      <c r="A156" s="116" t="s">
        <v>143</v>
      </c>
      <c r="B156" s="126"/>
      <c r="C156" s="127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9">
        <v>9.6579999999999995</v>
      </c>
      <c r="AH156" s="47"/>
      <c r="AI156" s="48"/>
      <c r="AK156" s="50"/>
    </row>
    <row r="157" spans="1:37" x14ac:dyDescent="0.25">
      <c r="A157" s="116" t="s">
        <v>144</v>
      </c>
      <c r="B157" s="126"/>
      <c r="C157" s="127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9">
        <v>9.6</v>
      </c>
      <c r="AH157" s="47"/>
      <c r="AI157" s="48"/>
      <c r="AK157" s="50"/>
    </row>
    <row r="158" spans="1:37" x14ac:dyDescent="0.25">
      <c r="A158" s="116" t="s">
        <v>145</v>
      </c>
      <c r="B158" s="126"/>
      <c r="C158" s="127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9">
        <v>9.51</v>
      </c>
      <c r="AH158" s="47"/>
      <c r="AI158" s="48"/>
      <c r="AK158" s="50"/>
    </row>
    <row r="159" spans="1:37" x14ac:dyDescent="0.25">
      <c r="A159" s="116" t="s">
        <v>146</v>
      </c>
      <c r="B159" s="126"/>
      <c r="C159" s="127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9">
        <v>9.4</v>
      </c>
      <c r="AH159" s="47"/>
      <c r="AI159" s="48"/>
      <c r="AK159" s="50"/>
    </row>
    <row r="160" spans="1:37" x14ac:dyDescent="0.25">
      <c r="A160" s="116" t="s">
        <v>147</v>
      </c>
      <c r="B160" s="126"/>
      <c r="C160" s="127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9">
        <v>8.8000000000000007</v>
      </c>
      <c r="AH160" s="47"/>
      <c r="AI160" s="48"/>
      <c r="AK160" s="50"/>
    </row>
    <row r="161" spans="1:37" x14ac:dyDescent="0.25">
      <c r="A161" s="116" t="s">
        <v>148</v>
      </c>
      <c r="B161" s="126"/>
      <c r="C161" s="127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9">
        <v>8.5</v>
      </c>
      <c r="AH161" s="47"/>
      <c r="AI161" s="48"/>
      <c r="AK161" s="50"/>
    </row>
    <row r="162" spans="1:37" x14ac:dyDescent="0.25">
      <c r="A162" s="116" t="s">
        <v>149</v>
      </c>
      <c r="B162" s="126"/>
      <c r="C162" s="127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9">
        <v>8.5</v>
      </c>
      <c r="AH162" s="47"/>
      <c r="AI162" s="48"/>
      <c r="AK162" s="50"/>
    </row>
    <row r="163" spans="1:37" x14ac:dyDescent="0.25">
      <c r="A163" s="116" t="s">
        <v>150</v>
      </c>
      <c r="B163" s="126"/>
      <c r="C163" s="127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9">
        <v>8.4</v>
      </c>
      <c r="AH163" s="47"/>
      <c r="AI163" s="48"/>
      <c r="AK163" s="50"/>
    </row>
    <row r="164" spans="1:37" ht="13.5" customHeight="1" x14ac:dyDescent="0.25">
      <c r="A164" s="116" t="s">
        <v>151</v>
      </c>
      <c r="B164" s="126"/>
      <c r="C164" s="127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9">
        <v>8</v>
      </c>
      <c r="AH164" s="47"/>
      <c r="AI164" s="48"/>
      <c r="AK164" s="50"/>
    </row>
    <row r="165" spans="1:37" x14ac:dyDescent="0.25">
      <c r="A165" s="116" t="s">
        <v>152</v>
      </c>
      <c r="B165" s="126"/>
      <c r="C165" s="127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9">
        <v>8</v>
      </c>
      <c r="AH165" s="47"/>
      <c r="AI165" s="48"/>
      <c r="AK165" s="50"/>
    </row>
    <row r="166" spans="1:37" x14ac:dyDescent="0.25">
      <c r="A166" s="116" t="s">
        <v>153</v>
      </c>
      <c r="B166" s="126"/>
      <c r="C166" s="127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9">
        <v>8</v>
      </c>
      <c r="AH166" s="47"/>
      <c r="AI166" s="48"/>
      <c r="AK166" s="50"/>
    </row>
    <row r="167" spans="1:37" x14ac:dyDescent="0.25">
      <c r="A167" s="116" t="s">
        <v>154</v>
      </c>
      <c r="B167" s="126"/>
      <c r="C167" s="127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9">
        <v>7.8</v>
      </c>
      <c r="AH167" s="47"/>
      <c r="AI167" s="48"/>
      <c r="AK167" s="50"/>
    </row>
    <row r="168" spans="1:37" x14ac:dyDescent="0.25">
      <c r="A168" s="116" t="s">
        <v>155</v>
      </c>
      <c r="B168" s="126"/>
      <c r="C168" s="127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9">
        <v>7.6</v>
      </c>
      <c r="AH168" s="47"/>
      <c r="AI168" s="48"/>
      <c r="AK168" s="50"/>
    </row>
    <row r="169" spans="1:37" x14ac:dyDescent="0.25">
      <c r="A169" s="116" t="s">
        <v>156</v>
      </c>
      <c r="B169" s="126"/>
      <c r="C169" s="127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9">
        <v>7.5</v>
      </c>
      <c r="AH169" s="47"/>
      <c r="AI169" s="48"/>
      <c r="AK169" s="50"/>
    </row>
    <row r="170" spans="1:37" x14ac:dyDescent="0.25">
      <c r="A170" s="116" t="s">
        <v>157</v>
      </c>
      <c r="B170" s="126"/>
      <c r="C170" s="127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9">
        <v>7.5</v>
      </c>
      <c r="AH170" s="47"/>
      <c r="AI170" s="48"/>
      <c r="AK170" s="50"/>
    </row>
    <row r="171" spans="1:37" x14ac:dyDescent="0.25">
      <c r="A171" s="116" t="s">
        <v>158</v>
      </c>
      <c r="B171" s="126"/>
      <c r="C171" s="127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9">
        <v>7</v>
      </c>
      <c r="AH171" s="47"/>
      <c r="AI171" s="48"/>
      <c r="AK171" s="50"/>
    </row>
    <row r="172" spans="1:37" x14ac:dyDescent="0.25">
      <c r="A172" s="116" t="s">
        <v>159</v>
      </c>
      <c r="B172" s="126"/>
      <c r="C172" s="127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9">
        <v>7</v>
      </c>
      <c r="AH172" s="47"/>
      <c r="AI172" s="48"/>
      <c r="AK172" s="50"/>
    </row>
    <row r="173" spans="1:37" x14ac:dyDescent="0.25">
      <c r="A173" s="116" t="s">
        <v>160</v>
      </c>
      <c r="B173" s="126"/>
      <c r="C173" s="127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9">
        <v>7</v>
      </c>
      <c r="AH173" s="47"/>
      <c r="AI173" s="48"/>
      <c r="AK173" s="50"/>
    </row>
    <row r="174" spans="1:37" x14ac:dyDescent="0.25">
      <c r="A174" s="116" t="s">
        <v>161</v>
      </c>
      <c r="B174" s="126"/>
      <c r="C174" s="127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9">
        <v>7</v>
      </c>
      <c r="AH174" s="47"/>
      <c r="AI174" s="48"/>
      <c r="AK174" s="50"/>
    </row>
    <row r="175" spans="1:37" x14ac:dyDescent="0.25">
      <c r="A175" s="116" t="s">
        <v>162</v>
      </c>
      <c r="B175" s="126"/>
      <c r="C175" s="127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9">
        <v>6.6</v>
      </c>
      <c r="AH175" s="47"/>
      <c r="AI175" s="48"/>
      <c r="AK175" s="50"/>
    </row>
    <row r="176" spans="1:37" x14ac:dyDescent="0.25">
      <c r="A176" s="116" t="s">
        <v>163</v>
      </c>
      <c r="B176" s="126"/>
      <c r="C176" s="127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9">
        <v>6.6</v>
      </c>
      <c r="AH176" s="47"/>
      <c r="AI176" s="48"/>
      <c r="AK176" s="50"/>
    </row>
    <row r="177" spans="1:37" x14ac:dyDescent="0.25">
      <c r="A177" s="116" t="s">
        <v>164</v>
      </c>
      <c r="B177" s="126"/>
      <c r="C177" s="127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9">
        <v>6.4</v>
      </c>
      <c r="AH177" s="47"/>
      <c r="AI177" s="48"/>
      <c r="AK177" s="50"/>
    </row>
    <row r="178" spans="1:37" x14ac:dyDescent="0.25">
      <c r="A178" s="116" t="s">
        <v>165</v>
      </c>
      <c r="B178" s="126"/>
      <c r="C178" s="127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9">
        <v>6</v>
      </c>
      <c r="AH178" s="47"/>
      <c r="AI178" s="48"/>
      <c r="AK178" s="50"/>
    </row>
    <row r="179" spans="1:37" x14ac:dyDescent="0.25">
      <c r="A179" s="116" t="s">
        <v>166</v>
      </c>
      <c r="B179" s="126"/>
      <c r="C179" s="127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9">
        <v>5.0999999999999996</v>
      </c>
      <c r="AH179" s="47"/>
      <c r="AI179" s="48"/>
      <c r="AK179" s="50"/>
    </row>
    <row r="180" spans="1:37" x14ac:dyDescent="0.25">
      <c r="A180" s="116" t="s">
        <v>167</v>
      </c>
      <c r="B180" s="126"/>
      <c r="C180" s="127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9">
        <v>5</v>
      </c>
      <c r="AH180" s="47"/>
      <c r="AI180" s="48"/>
      <c r="AK180" s="50"/>
    </row>
    <row r="181" spans="1:37" x14ac:dyDescent="0.25">
      <c r="A181" s="103" t="s">
        <v>168</v>
      </c>
      <c r="B181" s="126"/>
      <c r="C181" s="127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8">
        <v>5</v>
      </c>
      <c r="AH181" s="47"/>
      <c r="AI181" s="48"/>
      <c r="AK181" s="50"/>
    </row>
    <row r="182" spans="1:37" x14ac:dyDescent="0.25">
      <c r="A182" s="116" t="s">
        <v>169</v>
      </c>
      <c r="B182" s="126"/>
      <c r="C182" s="127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9">
        <v>5</v>
      </c>
      <c r="AH182" s="47"/>
      <c r="AI182" s="48"/>
      <c r="AK182" s="50"/>
    </row>
    <row r="183" spans="1:37" x14ac:dyDescent="0.25">
      <c r="A183" s="116" t="s">
        <v>170</v>
      </c>
      <c r="B183" s="126"/>
      <c r="C183" s="127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9">
        <v>5</v>
      </c>
      <c r="AH183" s="47"/>
      <c r="AI183" s="48"/>
      <c r="AK183" s="50"/>
    </row>
    <row r="184" spans="1:37" x14ac:dyDescent="0.25">
      <c r="A184" s="116" t="s">
        <v>171</v>
      </c>
      <c r="B184" s="126"/>
      <c r="C184" s="127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9">
        <v>5</v>
      </c>
      <c r="AH184" s="47"/>
      <c r="AI184" s="48"/>
      <c r="AK184" s="50"/>
    </row>
    <row r="185" spans="1:37" x14ac:dyDescent="0.25">
      <c r="A185" s="116" t="s">
        <v>172</v>
      </c>
      <c r="B185" s="126"/>
      <c r="C185" s="127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9">
        <v>5</v>
      </c>
      <c r="AH185" s="47"/>
      <c r="AI185" s="48"/>
      <c r="AK185" s="50"/>
    </row>
    <row r="186" spans="1:37" x14ac:dyDescent="0.25">
      <c r="A186" s="116" t="s">
        <v>173</v>
      </c>
      <c r="B186" s="126"/>
      <c r="C186" s="127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9">
        <v>5</v>
      </c>
      <c r="AH186" s="47"/>
      <c r="AI186" s="48"/>
      <c r="AK186" s="50"/>
    </row>
    <row r="187" spans="1:37" x14ac:dyDescent="0.25">
      <c r="A187" s="116" t="s">
        <v>174</v>
      </c>
      <c r="B187" s="126"/>
      <c r="C187" s="127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9">
        <v>4.9930000000000003</v>
      </c>
      <c r="AH187" s="47"/>
      <c r="AI187" s="48"/>
      <c r="AK187" s="50"/>
    </row>
    <row r="188" spans="1:37" x14ac:dyDescent="0.25">
      <c r="A188" s="116" t="s">
        <v>175</v>
      </c>
      <c r="B188" s="126"/>
      <c r="C188" s="127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9">
        <v>4.9800000000000004</v>
      </c>
      <c r="AH188" s="47"/>
      <c r="AI188" s="48"/>
      <c r="AK188" s="50"/>
    </row>
    <row r="189" spans="1:37" x14ac:dyDescent="0.25">
      <c r="A189" s="116" t="s">
        <v>176</v>
      </c>
      <c r="B189" s="126"/>
      <c r="C189" s="127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9">
        <v>4.95</v>
      </c>
      <c r="AH189" s="47"/>
      <c r="AI189" s="48"/>
      <c r="AK189" s="50"/>
    </row>
    <row r="190" spans="1:37" x14ac:dyDescent="0.25">
      <c r="A190" s="116" t="s">
        <v>177</v>
      </c>
      <c r="B190" s="126"/>
      <c r="C190" s="127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9">
        <v>4.95</v>
      </c>
      <c r="AH190" s="47"/>
      <c r="AI190" s="48"/>
      <c r="AK190" s="50"/>
    </row>
    <row r="191" spans="1:37" x14ac:dyDescent="0.25">
      <c r="A191" s="116" t="s">
        <v>178</v>
      </c>
      <c r="B191" s="126"/>
      <c r="C191" s="127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9">
        <v>4.8</v>
      </c>
      <c r="AH191" s="47"/>
      <c r="AI191" s="48"/>
      <c r="AK191" s="50"/>
    </row>
    <row r="192" spans="1:37" x14ac:dyDescent="0.25">
      <c r="A192" s="116" t="s">
        <v>179</v>
      </c>
      <c r="B192" s="126"/>
      <c r="C192" s="127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9">
        <v>4.8</v>
      </c>
      <c r="AH192" s="47"/>
      <c r="AI192" s="48"/>
      <c r="AK192" s="50"/>
    </row>
    <row r="193" spans="1:37" x14ac:dyDescent="0.25">
      <c r="A193" s="116" t="s">
        <v>180</v>
      </c>
      <c r="B193" s="126"/>
      <c r="C193" s="127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9">
        <v>4.8</v>
      </c>
      <c r="AH193" s="47"/>
      <c r="AI193" s="48"/>
      <c r="AK193" s="50"/>
    </row>
    <row r="194" spans="1:37" x14ac:dyDescent="0.25">
      <c r="A194" s="116" t="s">
        <v>181</v>
      </c>
      <c r="B194" s="126"/>
      <c r="C194" s="127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9">
        <v>4.5</v>
      </c>
      <c r="AH194" s="47"/>
      <c r="AI194" s="48"/>
      <c r="AK194" s="50"/>
    </row>
    <row r="195" spans="1:37" x14ac:dyDescent="0.25">
      <c r="A195" s="116" t="s">
        <v>182</v>
      </c>
      <c r="B195" s="126"/>
      <c r="C195" s="127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9">
        <v>4.5</v>
      </c>
      <c r="AH195" s="47"/>
      <c r="AI195" s="48"/>
      <c r="AK195" s="50"/>
    </row>
    <row r="196" spans="1:37" x14ac:dyDescent="0.25">
      <c r="A196" s="116" t="s">
        <v>183</v>
      </c>
      <c r="B196" s="126"/>
      <c r="C196" s="127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9">
        <v>4.4550000000000001</v>
      </c>
      <c r="AH196" s="47"/>
      <c r="AI196" s="48"/>
      <c r="AK196" s="50"/>
    </row>
    <row r="197" spans="1:37" x14ac:dyDescent="0.25">
      <c r="A197" s="116" t="s">
        <v>184</v>
      </c>
      <c r="B197" s="126"/>
      <c r="C197" s="127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9">
        <v>4.41</v>
      </c>
      <c r="AH197" s="47"/>
      <c r="AI197" s="48"/>
      <c r="AK197" s="50"/>
    </row>
    <row r="198" spans="1:37" x14ac:dyDescent="0.25">
      <c r="A198" s="116" t="s">
        <v>185</v>
      </c>
      <c r="B198" s="126"/>
      <c r="C198" s="127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9">
        <v>4.4000000000000004</v>
      </c>
      <c r="AH198" s="47"/>
      <c r="AI198" s="48"/>
      <c r="AK198" s="50"/>
    </row>
    <row r="199" spans="1:37" x14ac:dyDescent="0.25">
      <c r="A199" s="116" t="s">
        <v>186</v>
      </c>
      <c r="B199" s="126"/>
      <c r="C199" s="127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9">
        <v>4.3600000000000003</v>
      </c>
      <c r="AH199" s="47"/>
      <c r="AI199" s="48"/>
      <c r="AK199" s="50"/>
    </row>
    <row r="200" spans="1:37" x14ac:dyDescent="0.25">
      <c r="A200" s="116" t="s">
        <v>187</v>
      </c>
      <c r="B200" s="126"/>
      <c r="C200" s="127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9">
        <v>4.2</v>
      </c>
      <c r="AH200" s="47"/>
      <c r="AI200" s="48"/>
      <c r="AK200" s="50"/>
    </row>
    <row r="201" spans="1:37" x14ac:dyDescent="0.25">
      <c r="A201" s="116" t="s">
        <v>188</v>
      </c>
      <c r="B201" s="126"/>
      <c r="C201" s="127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9">
        <v>4</v>
      </c>
      <c r="AH201" s="47"/>
      <c r="AI201" s="48"/>
      <c r="AK201" s="50"/>
    </row>
    <row r="202" spans="1:37" x14ac:dyDescent="0.25">
      <c r="A202" s="116" t="s">
        <v>189</v>
      </c>
      <c r="B202" s="126"/>
      <c r="C202" s="127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9">
        <v>4</v>
      </c>
      <c r="AH202" s="47"/>
      <c r="AI202" s="48"/>
      <c r="AK202" s="50"/>
    </row>
    <row r="203" spans="1:37" x14ac:dyDescent="0.25">
      <c r="A203" s="116" t="s">
        <v>190</v>
      </c>
      <c r="B203" s="126"/>
      <c r="C203" s="127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9">
        <v>4</v>
      </c>
      <c r="AH203" s="47"/>
      <c r="AI203" s="48"/>
      <c r="AK203" s="50"/>
    </row>
    <row r="204" spans="1:37" x14ac:dyDescent="0.25">
      <c r="A204" s="116" t="s">
        <v>191</v>
      </c>
      <c r="B204" s="126"/>
      <c r="C204" s="127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9">
        <v>4</v>
      </c>
      <c r="AH204" s="47"/>
      <c r="AI204" s="48"/>
      <c r="AK204" s="50"/>
    </row>
    <row r="205" spans="1:37" x14ac:dyDescent="0.25">
      <c r="A205" s="116" t="s">
        <v>192</v>
      </c>
      <c r="B205" s="126"/>
      <c r="C205" s="127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9">
        <v>4</v>
      </c>
      <c r="AH205" s="47"/>
      <c r="AI205" s="48"/>
      <c r="AK205" s="50"/>
    </row>
    <row r="206" spans="1:37" x14ac:dyDescent="0.25">
      <c r="A206" s="116" t="s">
        <v>193</v>
      </c>
      <c r="B206" s="126"/>
      <c r="C206" s="127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9">
        <v>4</v>
      </c>
      <c r="AH206" s="47"/>
      <c r="AI206" s="48"/>
      <c r="AK206" s="50"/>
    </row>
    <row r="207" spans="1:37" x14ac:dyDescent="0.25">
      <c r="A207" s="116" t="s">
        <v>194</v>
      </c>
      <c r="B207" s="126"/>
      <c r="C207" s="127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9">
        <v>4</v>
      </c>
      <c r="AH207" s="47"/>
      <c r="AI207" s="48"/>
      <c r="AK207" s="50"/>
    </row>
    <row r="208" spans="1:37" x14ac:dyDescent="0.25">
      <c r="A208" s="116" t="s">
        <v>195</v>
      </c>
      <c r="B208" s="126"/>
      <c r="C208" s="127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9">
        <v>4</v>
      </c>
      <c r="AH208" s="47"/>
      <c r="AI208" s="48"/>
      <c r="AK208" s="50"/>
    </row>
    <row r="209" spans="1:37" x14ac:dyDescent="0.25">
      <c r="A209" s="116" t="s">
        <v>196</v>
      </c>
      <c r="B209" s="126"/>
      <c r="C209" s="127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9">
        <v>3.75</v>
      </c>
      <c r="AH209" s="47"/>
      <c r="AI209" s="48"/>
      <c r="AK209" s="50"/>
    </row>
    <row r="210" spans="1:37" x14ac:dyDescent="0.25">
      <c r="A210" s="116" t="s">
        <v>197</v>
      </c>
      <c r="B210" s="126"/>
      <c r="C210" s="127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9">
        <v>3.52</v>
      </c>
      <c r="AH210" s="47"/>
      <c r="AI210" s="48"/>
      <c r="AK210" s="50"/>
    </row>
    <row r="211" spans="1:37" x14ac:dyDescent="0.25">
      <c r="A211" s="116" t="s">
        <v>198</v>
      </c>
      <c r="B211" s="126"/>
      <c r="C211" s="127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9">
        <v>3.33</v>
      </c>
      <c r="AH211" s="47"/>
      <c r="AI211" s="48"/>
      <c r="AK211" s="50"/>
    </row>
    <row r="212" spans="1:37" x14ac:dyDescent="0.25">
      <c r="A212" s="116" t="s">
        <v>199</v>
      </c>
      <c r="B212" s="126"/>
      <c r="C212" s="127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9">
        <v>3.2</v>
      </c>
      <c r="AH212" s="47"/>
      <c r="AI212" s="48"/>
      <c r="AK212" s="50"/>
    </row>
    <row r="213" spans="1:37" x14ac:dyDescent="0.25">
      <c r="A213" s="116" t="s">
        <v>200</v>
      </c>
      <c r="B213" s="126"/>
      <c r="C213" s="127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9">
        <v>3</v>
      </c>
      <c r="AH213" s="47"/>
      <c r="AI213" s="48"/>
      <c r="AK213" s="50"/>
    </row>
    <row r="214" spans="1:37" x14ac:dyDescent="0.25">
      <c r="A214" s="116" t="s">
        <v>201</v>
      </c>
      <c r="B214" s="126"/>
      <c r="C214" s="127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9">
        <v>3</v>
      </c>
      <c r="AH214" s="47"/>
      <c r="AI214" s="48"/>
      <c r="AK214" s="50"/>
    </row>
    <row r="215" spans="1:37" x14ac:dyDescent="0.25">
      <c r="A215" s="116" t="s">
        <v>202</v>
      </c>
      <c r="B215" s="126"/>
      <c r="C215" s="127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9">
        <v>3</v>
      </c>
      <c r="AH215" s="47"/>
      <c r="AI215" s="48"/>
      <c r="AK215" s="50"/>
    </row>
    <row r="216" spans="1:37" x14ac:dyDescent="0.25">
      <c r="A216" s="116" t="s">
        <v>203</v>
      </c>
      <c r="B216" s="126"/>
      <c r="C216" s="127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9">
        <v>3</v>
      </c>
      <c r="AH216" s="47"/>
      <c r="AI216" s="48"/>
      <c r="AK216" s="50"/>
    </row>
    <row r="217" spans="1:37" x14ac:dyDescent="0.25">
      <c r="A217" s="116" t="s">
        <v>204</v>
      </c>
      <c r="B217" s="126"/>
      <c r="C217" s="127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9">
        <v>3</v>
      </c>
      <c r="AH217" s="47"/>
      <c r="AI217" s="48"/>
      <c r="AK217" s="50"/>
    </row>
    <row r="218" spans="1:37" x14ac:dyDescent="0.25">
      <c r="A218" s="116" t="s">
        <v>205</v>
      </c>
      <c r="B218" s="126"/>
      <c r="C218" s="127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9">
        <v>3</v>
      </c>
      <c r="AH218" s="47"/>
      <c r="AI218" s="48"/>
      <c r="AK218" s="50"/>
    </row>
    <row r="219" spans="1:37" x14ac:dyDescent="0.25">
      <c r="A219" s="116" t="s">
        <v>206</v>
      </c>
      <c r="B219" s="126"/>
      <c r="C219" s="127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9">
        <v>3</v>
      </c>
      <c r="AH219" s="47"/>
      <c r="AI219" s="48"/>
      <c r="AK219" s="50"/>
    </row>
    <row r="220" spans="1:37" x14ac:dyDescent="0.25">
      <c r="A220" s="116" t="s">
        <v>207</v>
      </c>
      <c r="B220" s="126"/>
      <c r="C220" s="127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9">
        <v>3</v>
      </c>
      <c r="AH220" s="47"/>
      <c r="AI220" s="48"/>
      <c r="AK220" s="50"/>
    </row>
    <row r="221" spans="1:37" x14ac:dyDescent="0.25">
      <c r="A221" s="116" t="s">
        <v>208</v>
      </c>
      <c r="B221" s="126"/>
      <c r="C221" s="127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9">
        <v>2.83</v>
      </c>
      <c r="AH221" s="47"/>
      <c r="AI221" s="48"/>
      <c r="AK221" s="50"/>
    </row>
    <row r="222" spans="1:37" x14ac:dyDescent="0.25">
      <c r="A222" s="116" t="s">
        <v>209</v>
      </c>
      <c r="B222" s="126"/>
      <c r="C222" s="127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9">
        <v>2.5</v>
      </c>
      <c r="AH222" s="47"/>
      <c r="AI222" s="48"/>
      <c r="AK222" s="50"/>
    </row>
    <row r="223" spans="1:37" x14ac:dyDescent="0.25">
      <c r="A223" s="116" t="s">
        <v>210</v>
      </c>
      <c r="B223" s="126"/>
      <c r="C223" s="127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9">
        <v>2.5</v>
      </c>
      <c r="AH223" s="47"/>
      <c r="AI223" s="48"/>
      <c r="AK223" s="50"/>
    </row>
    <row r="224" spans="1:37" x14ac:dyDescent="0.25">
      <c r="A224" s="116" t="s">
        <v>211</v>
      </c>
      <c r="B224" s="126"/>
      <c r="C224" s="127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9">
        <v>2.4</v>
      </c>
      <c r="AH224" s="47"/>
      <c r="AI224" s="48"/>
      <c r="AK224" s="50"/>
    </row>
    <row r="225" spans="1:37" x14ac:dyDescent="0.25">
      <c r="A225" s="116" t="s">
        <v>212</v>
      </c>
      <c r="B225" s="126"/>
      <c r="C225" s="127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9">
        <v>2.4</v>
      </c>
      <c r="AH225" s="47"/>
      <c r="AI225" s="48"/>
      <c r="AK225" s="50"/>
    </row>
    <row r="226" spans="1:37" x14ac:dyDescent="0.25">
      <c r="A226" s="116" t="s">
        <v>213</v>
      </c>
      <c r="B226" s="126"/>
      <c r="C226" s="127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9">
        <v>2.2000000000000002</v>
      </c>
      <c r="AH226" s="47"/>
      <c r="AI226" s="48"/>
      <c r="AK226" s="50"/>
    </row>
    <row r="227" spans="1:37" x14ac:dyDescent="0.25">
      <c r="A227" s="116" t="s">
        <v>214</v>
      </c>
      <c r="B227" s="126"/>
      <c r="C227" s="127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9">
        <v>2</v>
      </c>
      <c r="AH227" s="47"/>
      <c r="AI227" s="48"/>
      <c r="AK227" s="50"/>
    </row>
    <row r="228" spans="1:37" x14ac:dyDescent="0.25">
      <c r="A228" s="116" t="s">
        <v>215</v>
      </c>
      <c r="B228" s="126"/>
      <c r="C228" s="127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9">
        <v>2</v>
      </c>
      <c r="AH228" s="47"/>
      <c r="AI228" s="48"/>
      <c r="AK228" s="50"/>
    </row>
    <row r="229" spans="1:37" x14ac:dyDescent="0.25">
      <c r="A229" s="116" t="s">
        <v>216</v>
      </c>
      <c r="B229" s="126"/>
      <c r="C229" s="127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9">
        <v>2</v>
      </c>
      <c r="AH229" s="47"/>
      <c r="AI229" s="48"/>
      <c r="AK229" s="50"/>
    </row>
    <row r="230" spans="1:37" x14ac:dyDescent="0.25">
      <c r="A230" s="116" t="s">
        <v>217</v>
      </c>
      <c r="B230" s="126"/>
      <c r="C230" s="127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9">
        <v>1.8</v>
      </c>
      <c r="AH230" s="47"/>
      <c r="AI230" s="48"/>
      <c r="AK230" s="50"/>
    </row>
    <row r="231" spans="1:37" x14ac:dyDescent="0.25">
      <c r="A231" s="116" t="s">
        <v>218</v>
      </c>
      <c r="B231" s="126"/>
      <c r="C231" s="127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9">
        <v>1.8</v>
      </c>
      <c r="AH231" s="47"/>
      <c r="AI231" s="48"/>
      <c r="AK231" s="50"/>
    </row>
    <row r="232" spans="1:37" x14ac:dyDescent="0.25">
      <c r="A232" s="116" t="s">
        <v>219</v>
      </c>
      <c r="B232" s="126"/>
      <c r="C232" s="127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9">
        <v>1.65</v>
      </c>
      <c r="AH232" s="47"/>
      <c r="AI232" s="48"/>
      <c r="AK232" s="50"/>
    </row>
    <row r="233" spans="1:37" x14ac:dyDescent="0.25">
      <c r="A233" s="116" t="s">
        <v>220</v>
      </c>
      <c r="B233" s="126"/>
      <c r="C233" s="127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9">
        <v>1.5</v>
      </c>
      <c r="AH233" s="47"/>
      <c r="AI233" s="48"/>
      <c r="AK233" s="50"/>
    </row>
    <row r="234" spans="1:37" x14ac:dyDescent="0.25">
      <c r="A234" s="116" t="s">
        <v>221</v>
      </c>
      <c r="B234" s="126"/>
      <c r="C234" s="127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9">
        <v>0.998</v>
      </c>
      <c r="AH234" s="47"/>
      <c r="AI234" s="48"/>
      <c r="AK234" s="50"/>
    </row>
    <row r="235" spans="1:37" x14ac:dyDescent="0.25">
      <c r="A235" s="116" t="s">
        <v>222</v>
      </c>
      <c r="B235" s="126"/>
      <c r="C235" s="127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9">
        <v>0.997</v>
      </c>
      <c r="AH235" s="47"/>
      <c r="AI235" s="48"/>
      <c r="AK235" s="50"/>
    </row>
    <row r="236" spans="1:37" x14ac:dyDescent="0.25">
      <c r="A236" s="116" t="s">
        <v>223</v>
      </c>
      <c r="B236" s="126"/>
      <c r="C236" s="127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9">
        <v>0.997</v>
      </c>
      <c r="AH236" s="47"/>
      <c r="AI236" s="48"/>
      <c r="AK236" s="50"/>
    </row>
    <row r="237" spans="1:37" x14ac:dyDescent="0.25">
      <c r="A237" s="116" t="s">
        <v>224</v>
      </c>
      <c r="B237" s="126"/>
      <c r="C237" s="127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9">
        <v>0.996</v>
      </c>
      <c r="AH237" s="47"/>
      <c r="AI237" s="48"/>
      <c r="AK237" s="50"/>
    </row>
    <row r="238" spans="1:37" x14ac:dyDescent="0.25">
      <c r="A238" s="116" t="s">
        <v>225</v>
      </c>
      <c r="B238" s="126"/>
      <c r="C238" s="127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9">
        <v>0.996</v>
      </c>
      <c r="AH238" s="47"/>
      <c r="AI238" s="48"/>
      <c r="AK238" s="50"/>
    </row>
    <row r="239" spans="1:37" x14ac:dyDescent="0.25">
      <c r="A239" s="116" t="s">
        <v>226</v>
      </c>
      <c r="B239" s="126"/>
      <c r="C239" s="127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9">
        <v>0.996</v>
      </c>
      <c r="AH239" s="47"/>
      <c r="AI239" s="48"/>
      <c r="AK239" s="50"/>
    </row>
    <row r="240" spans="1:37" x14ac:dyDescent="0.25">
      <c r="A240" s="116" t="s">
        <v>227</v>
      </c>
      <c r="B240" s="126"/>
      <c r="C240" s="127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9">
        <v>0.995</v>
      </c>
      <c r="AH240" s="47"/>
      <c r="AI240" s="48"/>
      <c r="AK240" s="50"/>
    </row>
    <row r="241" spans="1:37" x14ac:dyDescent="0.25">
      <c r="A241" s="116" t="s">
        <v>228</v>
      </c>
      <c r="B241" s="126"/>
      <c r="C241" s="127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9">
        <v>0.99299999999999999</v>
      </c>
      <c r="AH241" s="47"/>
      <c r="AI241" s="48"/>
      <c r="AK241" s="50"/>
    </row>
    <row r="242" spans="1:37" x14ac:dyDescent="0.25">
      <c r="A242" s="116" t="s">
        <v>229</v>
      </c>
      <c r="B242" s="126"/>
      <c r="C242" s="124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9">
        <v>0.99</v>
      </c>
      <c r="AH242" s="47"/>
      <c r="AI242" s="48"/>
      <c r="AK242" s="50"/>
    </row>
    <row r="243" spans="1:37" ht="15.75" thickBot="1" x14ac:dyDescent="0.3">
      <c r="A243" s="116" t="s">
        <v>230</v>
      </c>
      <c r="B243" s="130"/>
      <c r="C243" s="131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29">
        <v>0.97899999999999998</v>
      </c>
      <c r="AH243" s="47"/>
      <c r="AI243" s="48"/>
      <c r="AK243" s="50"/>
    </row>
    <row r="244" spans="1:37" ht="15.75" thickBot="1" x14ac:dyDescent="0.3">
      <c r="A244" s="132" t="s">
        <v>231</v>
      </c>
      <c r="B244" s="133">
        <f t="shared" ref="B244:AG244" si="78">SUM(B139:B243)</f>
        <v>0</v>
      </c>
      <c r="C244" s="134">
        <f t="shared" si="78"/>
        <v>0</v>
      </c>
      <c r="D244" s="134">
        <f t="shared" si="78"/>
        <v>0</v>
      </c>
      <c r="E244" s="134">
        <f t="shared" si="78"/>
        <v>0</v>
      </c>
      <c r="F244" s="134">
        <f t="shared" si="78"/>
        <v>0</v>
      </c>
      <c r="G244" s="134">
        <f t="shared" si="78"/>
        <v>0</v>
      </c>
      <c r="H244" s="134">
        <f t="shared" si="78"/>
        <v>0</v>
      </c>
      <c r="I244" s="134">
        <f t="shared" si="78"/>
        <v>0</v>
      </c>
      <c r="J244" s="134">
        <f t="shared" si="78"/>
        <v>0</v>
      </c>
      <c r="K244" s="134">
        <f t="shared" si="78"/>
        <v>0</v>
      </c>
      <c r="L244" s="134">
        <f t="shared" si="78"/>
        <v>0</v>
      </c>
      <c r="M244" s="134">
        <f t="shared" si="78"/>
        <v>0</v>
      </c>
      <c r="N244" s="134">
        <f t="shared" si="78"/>
        <v>0</v>
      </c>
      <c r="O244" s="134">
        <f t="shared" si="78"/>
        <v>0</v>
      </c>
      <c r="P244" s="134">
        <f t="shared" si="78"/>
        <v>0</v>
      </c>
      <c r="Q244" s="134">
        <f t="shared" si="78"/>
        <v>0</v>
      </c>
      <c r="R244" s="134">
        <f t="shared" si="78"/>
        <v>0</v>
      </c>
      <c r="S244" s="134">
        <f t="shared" si="78"/>
        <v>0</v>
      </c>
      <c r="T244" s="134">
        <f t="shared" si="78"/>
        <v>0</v>
      </c>
      <c r="U244" s="134">
        <f t="shared" si="78"/>
        <v>0</v>
      </c>
      <c r="V244" s="134">
        <f t="shared" si="78"/>
        <v>0</v>
      </c>
      <c r="W244" s="134">
        <f t="shared" si="78"/>
        <v>0</v>
      </c>
      <c r="X244" s="134">
        <f t="shared" si="78"/>
        <v>0</v>
      </c>
      <c r="Y244" s="134">
        <f t="shared" si="78"/>
        <v>0</v>
      </c>
      <c r="Z244" s="134">
        <f t="shared" si="78"/>
        <v>0</v>
      </c>
      <c r="AA244" s="134">
        <f t="shared" si="78"/>
        <v>0</v>
      </c>
      <c r="AB244" s="134">
        <f t="shared" si="78"/>
        <v>0</v>
      </c>
      <c r="AC244" s="134">
        <f t="shared" si="78"/>
        <v>0</v>
      </c>
      <c r="AD244" s="134">
        <f t="shared" si="78"/>
        <v>0</v>
      </c>
      <c r="AE244" s="134">
        <f t="shared" si="78"/>
        <v>0</v>
      </c>
      <c r="AF244" s="135">
        <f t="shared" si="78"/>
        <v>0</v>
      </c>
      <c r="AG244" s="136">
        <f t="shared" si="78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19"/>
      <c r="AH245" s="47"/>
      <c r="AI245" s="48"/>
      <c r="AK245" s="50"/>
    </row>
    <row r="246" spans="1:37" x14ac:dyDescent="0.25">
      <c r="A246" s="100" t="s">
        <v>232</v>
      </c>
      <c r="B246" s="138">
        <f t="shared" ref="B246:B251" si="79">AF246</f>
        <v>0.3</v>
      </c>
      <c r="C246" s="138">
        <v>0.3</v>
      </c>
      <c r="D246" s="138">
        <f t="shared" ref="D246:S251" si="80">C246</f>
        <v>0.3</v>
      </c>
      <c r="E246" s="138">
        <f t="shared" si="80"/>
        <v>0.3</v>
      </c>
      <c r="F246" s="138">
        <f t="shared" si="80"/>
        <v>0.3</v>
      </c>
      <c r="G246" s="138">
        <f t="shared" si="80"/>
        <v>0.3</v>
      </c>
      <c r="H246" s="138">
        <f t="shared" si="80"/>
        <v>0.3</v>
      </c>
      <c r="I246" s="138">
        <f t="shared" si="80"/>
        <v>0.3</v>
      </c>
      <c r="J246" s="138">
        <f t="shared" si="80"/>
        <v>0.3</v>
      </c>
      <c r="K246" s="138">
        <f t="shared" si="80"/>
        <v>0.3</v>
      </c>
      <c r="L246" s="138">
        <f t="shared" si="80"/>
        <v>0.3</v>
      </c>
      <c r="M246" s="138">
        <f t="shared" si="80"/>
        <v>0.3</v>
      </c>
      <c r="N246" s="138">
        <f t="shared" si="80"/>
        <v>0.3</v>
      </c>
      <c r="O246" s="138">
        <f t="shared" si="80"/>
        <v>0.3</v>
      </c>
      <c r="P246" s="138">
        <f t="shared" si="80"/>
        <v>0.3</v>
      </c>
      <c r="Q246" s="138">
        <f t="shared" si="80"/>
        <v>0.3</v>
      </c>
      <c r="R246" s="138">
        <f t="shared" si="80"/>
        <v>0.3</v>
      </c>
      <c r="S246" s="138">
        <f t="shared" si="80"/>
        <v>0.3</v>
      </c>
      <c r="T246" s="138">
        <f t="shared" ref="T246:AF251" si="81">S246</f>
        <v>0.3</v>
      </c>
      <c r="U246" s="138">
        <f t="shared" si="81"/>
        <v>0.3</v>
      </c>
      <c r="V246" s="138">
        <f t="shared" si="81"/>
        <v>0.3</v>
      </c>
      <c r="W246" s="138">
        <f t="shared" si="81"/>
        <v>0.3</v>
      </c>
      <c r="X246" s="138">
        <f t="shared" si="81"/>
        <v>0.3</v>
      </c>
      <c r="Y246" s="138">
        <f t="shared" si="81"/>
        <v>0.3</v>
      </c>
      <c r="Z246" s="138">
        <f t="shared" si="81"/>
        <v>0.3</v>
      </c>
      <c r="AA246" s="138">
        <f t="shared" si="81"/>
        <v>0.3</v>
      </c>
      <c r="AB246" s="138">
        <f t="shared" si="81"/>
        <v>0.3</v>
      </c>
      <c r="AC246" s="138">
        <f t="shared" si="81"/>
        <v>0.3</v>
      </c>
      <c r="AD246" s="138">
        <f t="shared" si="81"/>
        <v>0.3</v>
      </c>
      <c r="AE246" s="138">
        <f t="shared" si="81"/>
        <v>0.3</v>
      </c>
      <c r="AF246" s="138">
        <f t="shared" si="81"/>
        <v>0.3</v>
      </c>
      <c r="AG246" s="139">
        <v>2.4</v>
      </c>
      <c r="AH246" s="47"/>
      <c r="AI246" s="48"/>
      <c r="AK246" s="50"/>
    </row>
    <row r="247" spans="1:37" x14ac:dyDescent="0.25">
      <c r="A247" s="103" t="s">
        <v>233</v>
      </c>
      <c r="B247" s="126">
        <f t="shared" si="79"/>
        <v>0.4</v>
      </c>
      <c r="C247" s="126">
        <v>0.4</v>
      </c>
      <c r="D247" s="126">
        <f t="shared" si="80"/>
        <v>0.4</v>
      </c>
      <c r="E247" s="126">
        <f t="shared" si="80"/>
        <v>0.4</v>
      </c>
      <c r="F247" s="126">
        <f t="shared" si="80"/>
        <v>0.4</v>
      </c>
      <c r="G247" s="126">
        <f t="shared" si="80"/>
        <v>0.4</v>
      </c>
      <c r="H247" s="126">
        <f t="shared" si="80"/>
        <v>0.4</v>
      </c>
      <c r="I247" s="126">
        <f t="shared" si="80"/>
        <v>0.4</v>
      </c>
      <c r="J247" s="126">
        <f t="shared" si="80"/>
        <v>0.4</v>
      </c>
      <c r="K247" s="126">
        <f t="shared" si="80"/>
        <v>0.4</v>
      </c>
      <c r="L247" s="126">
        <f t="shared" si="80"/>
        <v>0.4</v>
      </c>
      <c r="M247" s="126">
        <f t="shared" si="80"/>
        <v>0.4</v>
      </c>
      <c r="N247" s="126">
        <f t="shared" si="80"/>
        <v>0.4</v>
      </c>
      <c r="O247" s="126">
        <f t="shared" si="80"/>
        <v>0.4</v>
      </c>
      <c r="P247" s="126">
        <f t="shared" si="80"/>
        <v>0.4</v>
      </c>
      <c r="Q247" s="126">
        <f t="shared" si="80"/>
        <v>0.4</v>
      </c>
      <c r="R247" s="126">
        <f t="shared" si="80"/>
        <v>0.4</v>
      </c>
      <c r="S247" s="126">
        <f t="shared" si="80"/>
        <v>0.4</v>
      </c>
      <c r="T247" s="126">
        <f t="shared" si="81"/>
        <v>0.4</v>
      </c>
      <c r="U247" s="126">
        <f t="shared" si="81"/>
        <v>0.4</v>
      </c>
      <c r="V247" s="126">
        <f t="shared" si="81"/>
        <v>0.4</v>
      </c>
      <c r="W247" s="126">
        <f t="shared" si="81"/>
        <v>0.4</v>
      </c>
      <c r="X247" s="126">
        <f t="shared" si="81"/>
        <v>0.4</v>
      </c>
      <c r="Y247" s="126">
        <f t="shared" si="81"/>
        <v>0.4</v>
      </c>
      <c r="Z247" s="126">
        <f t="shared" si="81"/>
        <v>0.4</v>
      </c>
      <c r="AA247" s="126">
        <f t="shared" si="81"/>
        <v>0.4</v>
      </c>
      <c r="AB247" s="126">
        <f t="shared" si="81"/>
        <v>0.4</v>
      </c>
      <c r="AC247" s="126">
        <f t="shared" si="81"/>
        <v>0.4</v>
      </c>
      <c r="AD247" s="126">
        <f t="shared" si="81"/>
        <v>0.4</v>
      </c>
      <c r="AE247" s="126">
        <f t="shared" si="81"/>
        <v>0.4</v>
      </c>
      <c r="AF247" s="126">
        <f t="shared" si="81"/>
        <v>0.4</v>
      </c>
      <c r="AG247" s="140">
        <v>2</v>
      </c>
      <c r="AH247" s="47"/>
      <c r="AI247" s="48"/>
      <c r="AK247" s="50"/>
    </row>
    <row r="248" spans="1:37" x14ac:dyDescent="0.25">
      <c r="A248" s="103" t="s">
        <v>234</v>
      </c>
      <c r="B248" s="126">
        <f t="shared" si="79"/>
        <v>1.5</v>
      </c>
      <c r="C248" s="126">
        <v>1.5</v>
      </c>
      <c r="D248" s="126">
        <f t="shared" si="80"/>
        <v>1.5</v>
      </c>
      <c r="E248" s="126">
        <f t="shared" si="80"/>
        <v>1.5</v>
      </c>
      <c r="F248" s="126">
        <f t="shared" si="80"/>
        <v>1.5</v>
      </c>
      <c r="G248" s="126">
        <f t="shared" si="80"/>
        <v>1.5</v>
      </c>
      <c r="H248" s="126">
        <f t="shared" si="80"/>
        <v>1.5</v>
      </c>
      <c r="I248" s="126">
        <f t="shared" si="80"/>
        <v>1.5</v>
      </c>
      <c r="J248" s="126">
        <f t="shared" si="80"/>
        <v>1.5</v>
      </c>
      <c r="K248" s="126">
        <f t="shared" si="80"/>
        <v>1.5</v>
      </c>
      <c r="L248" s="126">
        <f t="shared" si="80"/>
        <v>1.5</v>
      </c>
      <c r="M248" s="126">
        <f t="shared" si="80"/>
        <v>1.5</v>
      </c>
      <c r="N248" s="126">
        <f t="shared" si="80"/>
        <v>1.5</v>
      </c>
      <c r="O248" s="126">
        <f t="shared" si="80"/>
        <v>1.5</v>
      </c>
      <c r="P248" s="126">
        <f t="shared" si="80"/>
        <v>1.5</v>
      </c>
      <c r="Q248" s="126">
        <f t="shared" si="80"/>
        <v>1.5</v>
      </c>
      <c r="R248" s="126">
        <f t="shared" si="80"/>
        <v>1.5</v>
      </c>
      <c r="S248" s="126">
        <f t="shared" si="80"/>
        <v>1.5</v>
      </c>
      <c r="T248" s="126">
        <f t="shared" si="81"/>
        <v>1.5</v>
      </c>
      <c r="U248" s="126">
        <f t="shared" si="81"/>
        <v>1.5</v>
      </c>
      <c r="V248" s="126">
        <f t="shared" si="81"/>
        <v>1.5</v>
      </c>
      <c r="W248" s="126">
        <f t="shared" si="81"/>
        <v>1.5</v>
      </c>
      <c r="X248" s="126">
        <f t="shared" si="81"/>
        <v>1.5</v>
      </c>
      <c r="Y248" s="126">
        <f t="shared" si="81"/>
        <v>1.5</v>
      </c>
      <c r="Z248" s="126">
        <f t="shared" si="81"/>
        <v>1.5</v>
      </c>
      <c r="AA248" s="126">
        <f t="shared" si="81"/>
        <v>1.5</v>
      </c>
      <c r="AB248" s="126">
        <f t="shared" si="81"/>
        <v>1.5</v>
      </c>
      <c r="AC248" s="126">
        <f t="shared" si="81"/>
        <v>1.5</v>
      </c>
      <c r="AD248" s="126">
        <f t="shared" si="81"/>
        <v>1.5</v>
      </c>
      <c r="AE248" s="126">
        <f t="shared" si="81"/>
        <v>1.5</v>
      </c>
      <c r="AF248" s="126">
        <f t="shared" si="81"/>
        <v>1.5</v>
      </c>
      <c r="AG248" s="140">
        <v>1.5</v>
      </c>
      <c r="AH248" s="47"/>
      <c r="AI248" s="48"/>
      <c r="AK248" s="50"/>
    </row>
    <row r="249" spans="1:37" x14ac:dyDescent="0.25">
      <c r="A249" s="103" t="s">
        <v>235</v>
      </c>
      <c r="B249" s="126">
        <f t="shared" si="79"/>
        <v>0.3</v>
      </c>
      <c r="C249" s="126">
        <v>0.3</v>
      </c>
      <c r="D249" s="126">
        <f t="shared" si="80"/>
        <v>0.3</v>
      </c>
      <c r="E249" s="126">
        <f t="shared" si="80"/>
        <v>0.3</v>
      </c>
      <c r="F249" s="126">
        <f t="shared" si="80"/>
        <v>0.3</v>
      </c>
      <c r="G249" s="126">
        <f t="shared" si="80"/>
        <v>0.3</v>
      </c>
      <c r="H249" s="126">
        <f t="shared" si="80"/>
        <v>0.3</v>
      </c>
      <c r="I249" s="126">
        <f t="shared" si="80"/>
        <v>0.3</v>
      </c>
      <c r="J249" s="126">
        <f t="shared" si="80"/>
        <v>0.3</v>
      </c>
      <c r="K249" s="126">
        <f t="shared" si="80"/>
        <v>0.3</v>
      </c>
      <c r="L249" s="126">
        <f t="shared" si="80"/>
        <v>0.3</v>
      </c>
      <c r="M249" s="126">
        <f t="shared" si="80"/>
        <v>0.3</v>
      </c>
      <c r="N249" s="126">
        <f t="shared" si="80"/>
        <v>0.3</v>
      </c>
      <c r="O249" s="126">
        <f t="shared" si="80"/>
        <v>0.3</v>
      </c>
      <c r="P249" s="126">
        <f t="shared" si="80"/>
        <v>0.3</v>
      </c>
      <c r="Q249" s="126">
        <f t="shared" si="80"/>
        <v>0.3</v>
      </c>
      <c r="R249" s="126">
        <f t="shared" si="80"/>
        <v>0.3</v>
      </c>
      <c r="S249" s="126">
        <f t="shared" si="80"/>
        <v>0.3</v>
      </c>
      <c r="T249" s="126">
        <f t="shared" si="81"/>
        <v>0.3</v>
      </c>
      <c r="U249" s="126">
        <f t="shared" si="81"/>
        <v>0.3</v>
      </c>
      <c r="V249" s="126">
        <f t="shared" si="81"/>
        <v>0.3</v>
      </c>
      <c r="W249" s="126">
        <f t="shared" si="81"/>
        <v>0.3</v>
      </c>
      <c r="X249" s="126">
        <f t="shared" si="81"/>
        <v>0.3</v>
      </c>
      <c r="Y249" s="126">
        <f t="shared" si="81"/>
        <v>0.3</v>
      </c>
      <c r="Z249" s="126">
        <f t="shared" si="81"/>
        <v>0.3</v>
      </c>
      <c r="AA249" s="126">
        <f t="shared" si="81"/>
        <v>0.3</v>
      </c>
      <c r="AB249" s="126">
        <f t="shared" si="81"/>
        <v>0.3</v>
      </c>
      <c r="AC249" s="126">
        <f t="shared" si="81"/>
        <v>0.3</v>
      </c>
      <c r="AD249" s="126">
        <f t="shared" si="81"/>
        <v>0.3</v>
      </c>
      <c r="AE249" s="126">
        <f t="shared" si="81"/>
        <v>0.3</v>
      </c>
      <c r="AF249" s="126">
        <f t="shared" si="81"/>
        <v>0.3</v>
      </c>
      <c r="AG249" s="140">
        <v>1</v>
      </c>
      <c r="AH249" s="47"/>
      <c r="AI249" s="48"/>
      <c r="AK249" s="50"/>
    </row>
    <row r="250" spans="1:37" x14ac:dyDescent="0.25">
      <c r="A250" s="103" t="s">
        <v>236</v>
      </c>
      <c r="B250" s="126">
        <f t="shared" si="79"/>
        <v>0.4</v>
      </c>
      <c r="C250" s="126">
        <v>0.4</v>
      </c>
      <c r="D250" s="126">
        <f t="shared" si="80"/>
        <v>0.4</v>
      </c>
      <c r="E250" s="126">
        <f t="shared" si="80"/>
        <v>0.4</v>
      </c>
      <c r="F250" s="126">
        <f t="shared" si="80"/>
        <v>0.4</v>
      </c>
      <c r="G250" s="126">
        <f t="shared" si="80"/>
        <v>0.4</v>
      </c>
      <c r="H250" s="126">
        <f t="shared" si="80"/>
        <v>0.4</v>
      </c>
      <c r="I250" s="126">
        <f t="shared" si="80"/>
        <v>0.4</v>
      </c>
      <c r="J250" s="126">
        <f t="shared" si="80"/>
        <v>0.4</v>
      </c>
      <c r="K250" s="126">
        <f t="shared" si="80"/>
        <v>0.4</v>
      </c>
      <c r="L250" s="126">
        <f t="shared" si="80"/>
        <v>0.4</v>
      </c>
      <c r="M250" s="126">
        <f t="shared" si="80"/>
        <v>0.4</v>
      </c>
      <c r="N250" s="126">
        <f t="shared" si="80"/>
        <v>0.4</v>
      </c>
      <c r="O250" s="126">
        <f t="shared" si="80"/>
        <v>0.4</v>
      </c>
      <c r="P250" s="126">
        <f t="shared" si="80"/>
        <v>0.4</v>
      </c>
      <c r="Q250" s="126">
        <f t="shared" si="80"/>
        <v>0.4</v>
      </c>
      <c r="R250" s="126">
        <f t="shared" si="80"/>
        <v>0.4</v>
      </c>
      <c r="S250" s="126">
        <f t="shared" si="80"/>
        <v>0.4</v>
      </c>
      <c r="T250" s="126">
        <f t="shared" si="81"/>
        <v>0.4</v>
      </c>
      <c r="U250" s="126">
        <f t="shared" si="81"/>
        <v>0.4</v>
      </c>
      <c r="V250" s="126">
        <f t="shared" si="81"/>
        <v>0.4</v>
      </c>
      <c r="W250" s="126">
        <f t="shared" si="81"/>
        <v>0.4</v>
      </c>
      <c r="X250" s="126">
        <f t="shared" si="81"/>
        <v>0.4</v>
      </c>
      <c r="Y250" s="126">
        <f t="shared" si="81"/>
        <v>0.4</v>
      </c>
      <c r="Z250" s="126">
        <f t="shared" si="81"/>
        <v>0.4</v>
      </c>
      <c r="AA250" s="126">
        <f t="shared" si="81"/>
        <v>0.4</v>
      </c>
      <c r="AB250" s="126">
        <f t="shared" si="81"/>
        <v>0.4</v>
      </c>
      <c r="AC250" s="126">
        <f t="shared" si="81"/>
        <v>0.4</v>
      </c>
      <c r="AD250" s="126">
        <f t="shared" si="81"/>
        <v>0.4</v>
      </c>
      <c r="AE250" s="126">
        <f t="shared" si="81"/>
        <v>0.4</v>
      </c>
      <c r="AF250" s="126">
        <f t="shared" si="81"/>
        <v>0.4</v>
      </c>
      <c r="AG250" s="140">
        <v>1</v>
      </c>
      <c r="AH250" s="47"/>
      <c r="AI250" s="48"/>
      <c r="AK250" s="50"/>
    </row>
    <row r="251" spans="1:37" ht="15.75" thickBot="1" x14ac:dyDescent="0.3">
      <c r="A251" s="116" t="s">
        <v>237</v>
      </c>
      <c r="B251" s="130">
        <f t="shared" si="79"/>
        <v>0.64</v>
      </c>
      <c r="C251" s="130">
        <v>0.64</v>
      </c>
      <c r="D251" s="130">
        <f t="shared" si="80"/>
        <v>0.64</v>
      </c>
      <c r="E251" s="130">
        <f t="shared" si="80"/>
        <v>0.64</v>
      </c>
      <c r="F251" s="130">
        <f t="shared" si="80"/>
        <v>0.64</v>
      </c>
      <c r="G251" s="130">
        <f t="shared" si="80"/>
        <v>0.64</v>
      </c>
      <c r="H251" s="130">
        <f t="shared" si="80"/>
        <v>0.64</v>
      </c>
      <c r="I251" s="130">
        <f t="shared" si="80"/>
        <v>0.64</v>
      </c>
      <c r="J251" s="130">
        <f t="shared" si="80"/>
        <v>0.64</v>
      </c>
      <c r="K251" s="130">
        <f t="shared" si="80"/>
        <v>0.64</v>
      </c>
      <c r="L251" s="130">
        <f t="shared" si="80"/>
        <v>0.64</v>
      </c>
      <c r="M251" s="130">
        <f t="shared" si="80"/>
        <v>0.64</v>
      </c>
      <c r="N251" s="130">
        <f t="shared" si="80"/>
        <v>0.64</v>
      </c>
      <c r="O251" s="130">
        <f t="shared" si="80"/>
        <v>0.64</v>
      </c>
      <c r="P251" s="130">
        <f t="shared" si="80"/>
        <v>0.64</v>
      </c>
      <c r="Q251" s="130">
        <f t="shared" si="80"/>
        <v>0.64</v>
      </c>
      <c r="R251" s="130">
        <f t="shared" si="80"/>
        <v>0.64</v>
      </c>
      <c r="S251" s="130">
        <f t="shared" si="80"/>
        <v>0.64</v>
      </c>
      <c r="T251" s="130">
        <f t="shared" si="81"/>
        <v>0.64</v>
      </c>
      <c r="U251" s="130">
        <f t="shared" si="81"/>
        <v>0.64</v>
      </c>
      <c r="V251" s="130">
        <f t="shared" si="81"/>
        <v>0.64</v>
      </c>
      <c r="W251" s="130">
        <f t="shared" si="81"/>
        <v>0.64</v>
      </c>
      <c r="X251" s="130">
        <f t="shared" si="81"/>
        <v>0.64</v>
      </c>
      <c r="Y251" s="130">
        <f t="shared" si="81"/>
        <v>0.64</v>
      </c>
      <c r="Z251" s="130">
        <f t="shared" si="81"/>
        <v>0.64</v>
      </c>
      <c r="AA251" s="130">
        <f t="shared" si="81"/>
        <v>0.64</v>
      </c>
      <c r="AB251" s="130">
        <f t="shared" si="81"/>
        <v>0.64</v>
      </c>
      <c r="AC251" s="130">
        <f t="shared" si="81"/>
        <v>0.64</v>
      </c>
      <c r="AD251" s="130">
        <f t="shared" si="81"/>
        <v>0.64</v>
      </c>
      <c r="AE251" s="130">
        <f t="shared" si="81"/>
        <v>0.64</v>
      </c>
      <c r="AF251" s="130">
        <f t="shared" si="81"/>
        <v>0.64</v>
      </c>
      <c r="AG251" s="141">
        <v>0.66</v>
      </c>
      <c r="AH251" s="47"/>
      <c r="AI251" s="48"/>
    </row>
    <row r="252" spans="1:37" ht="15.75" thickBot="1" x14ac:dyDescent="0.3">
      <c r="A252" s="142" t="s">
        <v>75</v>
      </c>
      <c r="B252" s="134">
        <f t="shared" ref="B252:AG252" si="82">SUM(B246:B251)</f>
        <v>3.54</v>
      </c>
      <c r="C252" s="134">
        <f t="shared" si="82"/>
        <v>3.54</v>
      </c>
      <c r="D252" s="134">
        <f t="shared" si="82"/>
        <v>3.54</v>
      </c>
      <c r="E252" s="134">
        <f t="shared" si="82"/>
        <v>3.54</v>
      </c>
      <c r="F252" s="134">
        <f t="shared" si="82"/>
        <v>3.54</v>
      </c>
      <c r="G252" s="134">
        <f t="shared" si="82"/>
        <v>3.54</v>
      </c>
      <c r="H252" s="134">
        <f t="shared" si="82"/>
        <v>3.54</v>
      </c>
      <c r="I252" s="134">
        <f t="shared" si="82"/>
        <v>3.54</v>
      </c>
      <c r="J252" s="134">
        <f t="shared" si="82"/>
        <v>3.54</v>
      </c>
      <c r="K252" s="134">
        <f t="shared" si="82"/>
        <v>3.54</v>
      </c>
      <c r="L252" s="134">
        <f t="shared" si="82"/>
        <v>3.54</v>
      </c>
      <c r="M252" s="134">
        <f t="shared" si="82"/>
        <v>3.54</v>
      </c>
      <c r="N252" s="134">
        <f t="shared" si="82"/>
        <v>3.54</v>
      </c>
      <c r="O252" s="134">
        <f t="shared" si="82"/>
        <v>3.54</v>
      </c>
      <c r="P252" s="134">
        <f t="shared" si="82"/>
        <v>3.54</v>
      </c>
      <c r="Q252" s="134">
        <f t="shared" si="82"/>
        <v>3.54</v>
      </c>
      <c r="R252" s="134">
        <f t="shared" si="82"/>
        <v>3.54</v>
      </c>
      <c r="S252" s="134">
        <f t="shared" si="82"/>
        <v>3.54</v>
      </c>
      <c r="T252" s="134">
        <f t="shared" si="82"/>
        <v>3.54</v>
      </c>
      <c r="U252" s="134">
        <f t="shared" si="82"/>
        <v>3.54</v>
      </c>
      <c r="V252" s="134">
        <f t="shared" si="82"/>
        <v>3.54</v>
      </c>
      <c r="W252" s="134">
        <f t="shared" si="82"/>
        <v>3.54</v>
      </c>
      <c r="X252" s="134">
        <f t="shared" si="82"/>
        <v>3.54</v>
      </c>
      <c r="Y252" s="134">
        <f t="shared" si="82"/>
        <v>3.54</v>
      </c>
      <c r="Z252" s="134">
        <f t="shared" si="82"/>
        <v>3.54</v>
      </c>
      <c r="AA252" s="134">
        <f t="shared" si="82"/>
        <v>3.54</v>
      </c>
      <c r="AB252" s="134">
        <f t="shared" si="82"/>
        <v>3.54</v>
      </c>
      <c r="AC252" s="134">
        <f t="shared" si="82"/>
        <v>3.54</v>
      </c>
      <c r="AD252" s="134">
        <f t="shared" si="82"/>
        <v>3.54</v>
      </c>
      <c r="AE252" s="134">
        <f t="shared" si="82"/>
        <v>3.54</v>
      </c>
      <c r="AF252" s="134">
        <f t="shared" si="82"/>
        <v>3.54</v>
      </c>
      <c r="AG252" s="143">
        <f t="shared" si="82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37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54" t="s">
        <v>243</v>
      </c>
      <c r="B256" s="155">
        <f>MAX(G99:N99)</f>
        <v>1772.0400000000002</v>
      </c>
      <c r="C256" s="156">
        <f>INDEX(G9:N9,1,MATCH(MAX(G99:N99),G99:N99,0))</f>
        <v>0.33333333333333331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50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157">
        <v>5</v>
      </c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50" x14ac:dyDescent="0.25">
      <c r="A258" s="257" t="s">
        <v>244</v>
      </c>
      <c r="B258" s="257"/>
      <c r="C258" s="43"/>
      <c r="D258" s="157" t="str">
        <f ca="1">"Pie Chart of Daily Peak Demand(Inclusive of Export) of Nepal ("&amp;A4&amp;" "&amp;B4&amp;")"</f>
        <v>Pie Chart of Daily Peak Demand(Inclusive of Export) of Nepal (Nepali Date: 2080/09/5)</v>
      </c>
      <c r="E258" s="43"/>
      <c r="F258" s="43"/>
      <c r="G258" s="157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157" t="str">
        <f ca="1">"Daily Load Curve(Excluding of Export) of Nepal ("&amp;A4&amp;" "&amp;B4&amp;")"</f>
        <v>Daily Load Curve(Excluding of Export) of Nepal (Nepali Date: 2080/09/5)</v>
      </c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50" ht="12.75" customHeight="1" thickBot="1" x14ac:dyDescent="0.3">
      <c r="A259" s="158" t="s">
        <v>7</v>
      </c>
      <c r="B259" s="159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50" ht="15.75" thickTop="1" x14ac:dyDescent="0.25">
      <c r="A260" s="158" t="s">
        <v>245</v>
      </c>
      <c r="B260" s="15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160" t="s">
        <v>246</v>
      </c>
      <c r="T260" s="161">
        <v>0</v>
      </c>
      <c r="U260" s="162">
        <v>4.1666666666666664E-2</v>
      </c>
      <c r="V260" s="163">
        <v>8.3333333333333301E-2</v>
      </c>
      <c r="W260" s="163">
        <v>0.125</v>
      </c>
      <c r="X260" s="163">
        <v>0.16666666666666699</v>
      </c>
      <c r="Y260" s="163">
        <v>0.20833333333333301</v>
      </c>
      <c r="Z260" s="163">
        <v>0.22916666666666666</v>
      </c>
      <c r="AA260" s="163">
        <v>0.25</v>
      </c>
      <c r="AB260" s="163">
        <v>0.27083333333333331</v>
      </c>
      <c r="AC260" s="163">
        <v>0.29166666666666669</v>
      </c>
      <c r="AD260" s="163">
        <v>0.3125</v>
      </c>
      <c r="AE260" s="164">
        <v>0.33333333333333331</v>
      </c>
      <c r="AF260" s="164">
        <v>0.375</v>
      </c>
      <c r="AG260" s="164">
        <v>0.41666666666666702</v>
      </c>
      <c r="AH260" s="164">
        <v>0.45833333333333298</v>
      </c>
      <c r="AI260" s="164">
        <v>0.5</v>
      </c>
      <c r="AJ260" s="164">
        <v>0.54166666666666696</v>
      </c>
      <c r="AK260" s="164">
        <v>0.58333333333333304</v>
      </c>
      <c r="AL260" s="164">
        <v>0.625</v>
      </c>
      <c r="AM260" s="164">
        <v>0.66666666666666696</v>
      </c>
      <c r="AN260" s="164">
        <v>0.70833333333333304</v>
      </c>
      <c r="AO260" s="164">
        <v>0.72916666666666663</v>
      </c>
      <c r="AP260" s="164">
        <v>0.75</v>
      </c>
      <c r="AQ260" s="164">
        <v>0.77083333333333337</v>
      </c>
      <c r="AR260" s="164">
        <v>0.79166666666666663</v>
      </c>
      <c r="AS260" s="164">
        <v>0.8125</v>
      </c>
      <c r="AT260" s="163">
        <v>0.83333333333333337</v>
      </c>
      <c r="AU260" s="163">
        <v>0.85416666666666663</v>
      </c>
      <c r="AV260" s="163">
        <v>0.875</v>
      </c>
      <c r="AW260" s="163">
        <v>0.91666666666666696</v>
      </c>
      <c r="AX260" s="163">
        <v>0.95833333333333304</v>
      </c>
    </row>
    <row r="261" spans="1:50" x14ac:dyDescent="0.25">
      <c r="A261" s="158" t="s">
        <v>247</v>
      </c>
      <c r="B261" s="15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 t="s">
        <v>248</v>
      </c>
      <c r="T261" s="165">
        <f t="shared" ref="T261:AX261" si="83">B99</f>
        <v>1174.7400000000002</v>
      </c>
      <c r="U261" s="165">
        <f t="shared" si="83"/>
        <v>1133.1399999999999</v>
      </c>
      <c r="V261" s="165">
        <f t="shared" si="83"/>
        <v>1111.3400000000001</v>
      </c>
      <c r="W261" s="165">
        <f t="shared" si="83"/>
        <v>1108.54</v>
      </c>
      <c r="X261" s="165">
        <f t="shared" si="83"/>
        <v>1133.3400000000001</v>
      </c>
      <c r="Y261" s="165">
        <f t="shared" si="83"/>
        <v>1186.54</v>
      </c>
      <c r="Z261" s="165">
        <f t="shared" si="83"/>
        <v>1239.54</v>
      </c>
      <c r="AA261" s="165">
        <f t="shared" si="83"/>
        <v>1318.8400000000001</v>
      </c>
      <c r="AB261" s="165">
        <f t="shared" si="83"/>
        <v>1445.8400000000001</v>
      </c>
      <c r="AC261" s="165">
        <f t="shared" si="83"/>
        <v>1204.44</v>
      </c>
      <c r="AD261" s="165">
        <f t="shared" si="83"/>
        <v>1598.24</v>
      </c>
      <c r="AE261" s="165">
        <f t="shared" si="83"/>
        <v>1772.0400000000002</v>
      </c>
      <c r="AF261" s="165">
        <f t="shared" si="83"/>
        <v>1733.7400000000002</v>
      </c>
      <c r="AG261" s="165">
        <f t="shared" si="83"/>
        <v>1643.8400000000001</v>
      </c>
      <c r="AH261" s="165">
        <f t="shared" si="83"/>
        <v>1555.8400000000001</v>
      </c>
      <c r="AI261" s="165">
        <f t="shared" si="83"/>
        <v>1482.8400000000001</v>
      </c>
      <c r="AJ261" s="165">
        <f t="shared" si="83"/>
        <v>1464.7400000000002</v>
      </c>
      <c r="AK261" s="165">
        <f t="shared" si="83"/>
        <v>1484.8400000000001</v>
      </c>
      <c r="AL261" s="165">
        <f t="shared" si="83"/>
        <v>1428.54</v>
      </c>
      <c r="AM261" s="165">
        <f t="shared" si="83"/>
        <v>1414.94</v>
      </c>
      <c r="AN261" s="165">
        <f t="shared" si="83"/>
        <v>1502.94</v>
      </c>
      <c r="AO261" s="165">
        <f t="shared" si="83"/>
        <v>1637.54</v>
      </c>
      <c r="AP261" s="165">
        <f t="shared" si="83"/>
        <v>1725.2</v>
      </c>
      <c r="AQ261" s="165">
        <f t="shared" si="83"/>
        <v>1818.84</v>
      </c>
      <c r="AR261" s="165">
        <f t="shared" si="83"/>
        <v>1770.14</v>
      </c>
      <c r="AS261" s="165">
        <f t="shared" si="83"/>
        <v>1754.44</v>
      </c>
      <c r="AT261" s="165">
        <f t="shared" si="83"/>
        <v>1673.14</v>
      </c>
      <c r="AU261" s="165">
        <f t="shared" si="83"/>
        <v>1667.44</v>
      </c>
      <c r="AV261" s="165">
        <f t="shared" si="83"/>
        <v>1606.44</v>
      </c>
      <c r="AW261" s="165">
        <f t="shared" si="83"/>
        <v>1317.04</v>
      </c>
      <c r="AX261" s="165">
        <f t="shared" si="83"/>
        <v>1217.3400000000001</v>
      </c>
    </row>
    <row r="262" spans="1:50" x14ac:dyDescent="0.25">
      <c r="A262" s="158" t="s">
        <v>249</v>
      </c>
      <c r="B262" s="15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50" x14ac:dyDescent="0.25">
      <c r="A263" s="158" t="s">
        <v>250</v>
      </c>
      <c r="B263" s="15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50" x14ac:dyDescent="0.25">
      <c r="A264" s="158" t="s">
        <v>251</v>
      </c>
      <c r="B264" s="15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50" x14ac:dyDescent="0.25">
      <c r="A265" s="158" t="s">
        <v>252</v>
      </c>
      <c r="B265" s="166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50" x14ac:dyDescent="0.25">
      <c r="A266" s="158" t="s">
        <v>253</v>
      </c>
      <c r="B266" s="15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50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50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50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50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50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50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1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1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1:34" x14ac:dyDescent="0.25">
      <c r="A282" s="167" t="s">
        <v>238</v>
      </c>
      <c r="B282" s="168">
        <f t="shared" ref="B282:AE282" si="84">C251</f>
        <v>0.64</v>
      </c>
      <c r="C282" s="168">
        <f t="shared" si="84"/>
        <v>0.64</v>
      </c>
      <c r="D282" s="168">
        <f t="shared" si="84"/>
        <v>0.64</v>
      </c>
      <c r="E282" s="168">
        <f t="shared" si="84"/>
        <v>0.64</v>
      </c>
      <c r="F282" s="168">
        <f t="shared" si="84"/>
        <v>0.64</v>
      </c>
      <c r="G282" s="168">
        <f t="shared" si="84"/>
        <v>0.64</v>
      </c>
      <c r="H282" s="168">
        <f t="shared" si="84"/>
        <v>0.64</v>
      </c>
      <c r="I282" s="168">
        <f t="shared" si="84"/>
        <v>0.64</v>
      </c>
      <c r="J282" s="168">
        <f t="shared" si="84"/>
        <v>0.64</v>
      </c>
      <c r="K282" s="168">
        <f t="shared" si="84"/>
        <v>0.64</v>
      </c>
      <c r="L282" s="168">
        <f t="shared" si="84"/>
        <v>0.64</v>
      </c>
      <c r="M282" s="168">
        <f t="shared" si="84"/>
        <v>0.64</v>
      </c>
      <c r="N282" s="168">
        <f t="shared" si="84"/>
        <v>0.64</v>
      </c>
      <c r="O282" s="168">
        <f t="shared" si="84"/>
        <v>0.64</v>
      </c>
      <c r="P282" s="168">
        <f t="shared" si="84"/>
        <v>0.64</v>
      </c>
      <c r="Q282" s="168">
        <f t="shared" si="84"/>
        <v>0.64</v>
      </c>
      <c r="R282" s="168">
        <f t="shared" si="84"/>
        <v>0.64</v>
      </c>
      <c r="S282" s="168">
        <f t="shared" si="84"/>
        <v>0.64</v>
      </c>
      <c r="T282" s="168">
        <f t="shared" si="84"/>
        <v>0.64</v>
      </c>
      <c r="U282" s="168">
        <f t="shared" si="84"/>
        <v>0.64</v>
      </c>
      <c r="V282" s="168">
        <f t="shared" si="84"/>
        <v>0.64</v>
      </c>
      <c r="W282" s="168">
        <f t="shared" si="84"/>
        <v>0.64</v>
      </c>
      <c r="X282" s="168">
        <f t="shared" si="84"/>
        <v>0.64</v>
      </c>
      <c r="Y282" s="168">
        <f t="shared" si="84"/>
        <v>0.64</v>
      </c>
      <c r="Z282" s="168">
        <f t="shared" si="84"/>
        <v>0.64</v>
      </c>
      <c r="AA282" s="168">
        <f t="shared" si="84"/>
        <v>0.64</v>
      </c>
      <c r="AB282" s="168">
        <f t="shared" si="84"/>
        <v>0.64</v>
      </c>
      <c r="AC282" s="168">
        <f t="shared" si="84"/>
        <v>0.64</v>
      </c>
      <c r="AD282" s="168">
        <f t="shared" si="84"/>
        <v>0.64</v>
      </c>
      <c r="AE282" s="168">
        <f t="shared" si="84"/>
        <v>0.64</v>
      </c>
      <c r="AF282" s="168">
        <f>B251</f>
        <v>0.64</v>
      </c>
      <c r="AG282" s="43"/>
      <c r="AH282" s="43"/>
    </row>
    <row r="283" spans="1:34" x14ac:dyDescent="0.25">
      <c r="A283" s="169" t="e">
        <f>#REF!</f>
        <v>#REF!</v>
      </c>
      <c r="B283" s="169" t="e">
        <f>IF(#REF!&lt;100,"",#REF!-520)</f>
        <v>#REF!</v>
      </c>
      <c r="C283" s="169" t="e">
        <f>IF(#REF!&lt;100,"",#REF!-520)</f>
        <v>#REF!</v>
      </c>
      <c r="D283" s="169" t="e">
        <f>IF(#REF!&lt;100,"",#REF!-520)</f>
        <v>#REF!</v>
      </c>
      <c r="E283" s="169" t="e">
        <f>IF(#REF!&lt;100,"",#REF!-520)</f>
        <v>#REF!</v>
      </c>
      <c r="F283" s="169" t="e">
        <f>IF(#REF!&lt;100,"",#REF!-520)</f>
        <v>#REF!</v>
      </c>
      <c r="G283" s="169" t="e">
        <f>IF(#REF!&lt;100,"",#REF!-520)</f>
        <v>#REF!</v>
      </c>
      <c r="H283" s="169" t="e">
        <f>IF(#REF!&lt;100,"",#REF!-520)</f>
        <v>#REF!</v>
      </c>
      <c r="I283" s="169" t="e">
        <f>IF(#REF!&lt;100,"",#REF!-520)</f>
        <v>#REF!</v>
      </c>
      <c r="J283" s="169" t="e">
        <f>IF(#REF!&lt;100,"",#REF!-520)</f>
        <v>#REF!</v>
      </c>
      <c r="K283" s="169" t="e">
        <f>IF(#REF!&lt;100,"",#REF!-520)</f>
        <v>#REF!</v>
      </c>
      <c r="L283" s="169" t="e">
        <f>IF(#REF!&lt;100,"",#REF!-520)</f>
        <v>#REF!</v>
      </c>
      <c r="M283" s="169" t="e">
        <f>IF(#REF!&lt;100,"",#REF!-520)</f>
        <v>#REF!</v>
      </c>
      <c r="N283" s="169" t="e">
        <f>IF(#REF!&lt;100,"",#REF!-520)</f>
        <v>#REF!</v>
      </c>
      <c r="O283" s="169" t="e">
        <f>IF(#REF!&lt;100,"",#REF!-520)</f>
        <v>#REF!</v>
      </c>
      <c r="P283" s="169" t="e">
        <f>IF(#REF!&lt;100,"",#REF!-520)</f>
        <v>#REF!</v>
      </c>
      <c r="Q283" s="169" t="e">
        <f>IF(#REF!&lt;100,"",#REF!-520)</f>
        <v>#REF!</v>
      </c>
      <c r="R283" s="169" t="e">
        <f>IF(#REF!&lt;100,"",#REF!-520)</f>
        <v>#REF!</v>
      </c>
      <c r="S283" s="169" t="e">
        <f>IF(#REF!&lt;100,"",#REF!-520)</f>
        <v>#REF!</v>
      </c>
      <c r="T283" s="169" t="e">
        <f>IF(#REF!&lt;100,"",#REF!-520)</f>
        <v>#REF!</v>
      </c>
      <c r="U283" s="169" t="e">
        <f>IF(#REF!&lt;100,"",#REF!-520)</f>
        <v>#REF!</v>
      </c>
      <c r="V283" s="169" t="e">
        <f>IF(#REF!&lt;100,"",#REF!-520)</f>
        <v>#REF!</v>
      </c>
      <c r="W283" s="169" t="e">
        <f>IF(#REF!&lt;100,"",#REF!-520)</f>
        <v>#REF!</v>
      </c>
      <c r="X283" s="169" t="e">
        <f>IF(#REF!&lt;100,"",#REF!-520)</f>
        <v>#REF!</v>
      </c>
      <c r="Y283" s="169" t="e">
        <f>IF(#REF!&lt;100,"",#REF!-520)</f>
        <v>#REF!</v>
      </c>
      <c r="Z283" s="169" t="e">
        <f>IF(#REF!&lt;100,"",#REF!-520)</f>
        <v>#REF!</v>
      </c>
      <c r="AA283" s="169" t="e">
        <f>IF(#REF!&lt;100,"",#REF!-520)</f>
        <v>#REF!</v>
      </c>
      <c r="AB283" s="169" t="e">
        <f>IF(#REF!&lt;100,"",#REF!-520)</f>
        <v>#REF!</v>
      </c>
      <c r="AC283" s="169" t="e">
        <f>IF(#REF!&lt;100,"",#REF!-520)</f>
        <v>#REF!</v>
      </c>
      <c r="AD283" s="169" t="e">
        <f>IF(#REF!&lt;100,"",#REF!-520)</f>
        <v>#REF!</v>
      </c>
      <c r="AE283" s="169" t="e">
        <f>IF(#REF!&lt;100,"",#REF!-520)</f>
        <v>#REF!</v>
      </c>
      <c r="AF283" s="169" t="e">
        <f>IF(#REF!&lt;100,"",#REF!-520)</f>
        <v>#REF!</v>
      </c>
      <c r="AG283" s="43"/>
      <c r="AH283" s="43"/>
    </row>
    <row r="284" spans="1:34" x14ac:dyDescent="0.25">
      <c r="A284" s="169" t="e">
        <f>#REF!</f>
        <v>#REF!</v>
      </c>
      <c r="B284" s="169" t="e">
        <f>IF(#REF!&lt;100,"",#REF!-620)</f>
        <v>#REF!</v>
      </c>
      <c r="C284" s="169" t="e">
        <f>IF(#REF!&lt;100,"",#REF!-620)</f>
        <v>#REF!</v>
      </c>
      <c r="D284" s="169" t="e">
        <f>IF(#REF!&lt;100,"",#REF!-620)</f>
        <v>#REF!</v>
      </c>
      <c r="E284" s="169" t="e">
        <f>IF(#REF!&lt;100,"",#REF!-620)</f>
        <v>#REF!</v>
      </c>
      <c r="F284" s="169" t="e">
        <f>IF(#REF!&lt;100,"",#REF!-620)</f>
        <v>#REF!</v>
      </c>
      <c r="G284" s="169" t="e">
        <f>IF(#REF!&lt;100,"",#REF!-620)</f>
        <v>#REF!</v>
      </c>
      <c r="H284" s="169" t="e">
        <f>IF(#REF!&lt;100,"",#REF!-620)</f>
        <v>#REF!</v>
      </c>
      <c r="I284" s="169" t="e">
        <f>IF(#REF!&lt;100,"",#REF!-620)</f>
        <v>#REF!</v>
      </c>
      <c r="J284" s="169" t="e">
        <f>IF(#REF!&lt;100,"",#REF!-620)</f>
        <v>#REF!</v>
      </c>
      <c r="K284" s="169" t="e">
        <f>IF(#REF!&lt;100,"",#REF!-620)</f>
        <v>#REF!</v>
      </c>
      <c r="L284" s="169" t="e">
        <f>IF(#REF!&lt;100,"",#REF!-620)</f>
        <v>#REF!</v>
      </c>
      <c r="M284" s="169" t="e">
        <f>IF(#REF!&lt;100,"",#REF!-620)</f>
        <v>#REF!</v>
      </c>
      <c r="N284" s="169" t="e">
        <f>IF(#REF!&lt;100,"",#REF!-620)</f>
        <v>#REF!</v>
      </c>
      <c r="O284" s="169" t="e">
        <f>IF(#REF!&lt;100,"",#REF!-620)</f>
        <v>#REF!</v>
      </c>
      <c r="P284" s="169" t="e">
        <f>IF(#REF!&lt;100,"",#REF!-620)</f>
        <v>#REF!</v>
      </c>
      <c r="Q284" s="169" t="e">
        <f>IF(#REF!&lt;100,"",#REF!-620)</f>
        <v>#REF!</v>
      </c>
      <c r="R284" s="169" t="e">
        <f>IF(#REF!&lt;100,"",#REF!-620)</f>
        <v>#REF!</v>
      </c>
      <c r="S284" s="169" t="e">
        <f>IF(#REF!&lt;100,"",#REF!-620)</f>
        <v>#REF!</v>
      </c>
      <c r="T284" s="169" t="e">
        <f>IF(#REF!&lt;100,"",#REF!-620)</f>
        <v>#REF!</v>
      </c>
      <c r="U284" s="169" t="e">
        <f>IF(#REF!&lt;100,"",#REF!-620)</f>
        <v>#REF!</v>
      </c>
      <c r="V284" s="169" t="e">
        <f>IF(#REF!&lt;100,"",#REF!-620)</f>
        <v>#REF!</v>
      </c>
      <c r="W284" s="169" t="e">
        <f>IF(#REF!&lt;100,"",#REF!-620)</f>
        <v>#REF!</v>
      </c>
      <c r="X284" s="169" t="e">
        <f>IF(#REF!&lt;100,"",#REF!-620)</f>
        <v>#REF!</v>
      </c>
      <c r="Y284" s="169" t="e">
        <f>IF(#REF!&lt;100,"",#REF!-620)</f>
        <v>#REF!</v>
      </c>
      <c r="Z284" s="169" t="e">
        <f>IF(#REF!&lt;100,"",#REF!-620)</f>
        <v>#REF!</v>
      </c>
      <c r="AA284" s="169" t="e">
        <f>IF(#REF!&lt;100,"",#REF!-620)</f>
        <v>#REF!</v>
      </c>
      <c r="AB284" s="169" t="e">
        <f>IF(#REF!&lt;100,"",#REF!-620)</f>
        <v>#REF!</v>
      </c>
      <c r="AC284" s="169" t="e">
        <f>IF(#REF!&lt;100,"",#REF!-620)</f>
        <v>#REF!</v>
      </c>
      <c r="AD284" s="169" t="e">
        <f>IF(#REF!&lt;100,"",#REF!-620)</f>
        <v>#REF!</v>
      </c>
      <c r="AE284" s="169" t="e">
        <f>IF(#REF!&lt;100,"",#REF!-620)</f>
        <v>#REF!</v>
      </c>
      <c r="AF284" s="169" t="e">
        <f>IF(#REF!&lt;100,"",#REF!-620)</f>
        <v>#REF!</v>
      </c>
      <c r="AG284" s="43"/>
      <c r="AH284" s="43"/>
    </row>
    <row r="285" spans="1:34" x14ac:dyDescent="0.25">
      <c r="A285" s="169" t="e">
        <f>#REF!</f>
        <v>#REF!</v>
      </c>
      <c r="B285" s="169" t="e">
        <f>IF(#REF!&lt;100,"",#REF!-330)</f>
        <v>#REF!</v>
      </c>
      <c r="C285" s="169" t="e">
        <f>IF(#REF!&lt;100,"",#REF!-330)</f>
        <v>#REF!</v>
      </c>
      <c r="D285" s="169" t="e">
        <f>IF(#REF!&lt;100,"",#REF!-330)</f>
        <v>#REF!</v>
      </c>
      <c r="E285" s="169" t="e">
        <f>IF(#REF!&lt;100,"",#REF!-330)</f>
        <v>#REF!</v>
      </c>
      <c r="F285" s="169" t="e">
        <f>IF(#REF!&lt;100,"",#REF!-330)</f>
        <v>#REF!</v>
      </c>
      <c r="G285" s="169" t="e">
        <f>IF(#REF!&lt;100,"",#REF!-330)</f>
        <v>#REF!</v>
      </c>
      <c r="H285" s="169" t="e">
        <f>IF(#REF!&lt;100,"",#REF!-330)</f>
        <v>#REF!</v>
      </c>
      <c r="I285" s="169" t="e">
        <f>IF(#REF!&lt;100,"",#REF!-330)</f>
        <v>#REF!</v>
      </c>
      <c r="J285" s="169" t="e">
        <f>IF(#REF!&lt;100,"",#REF!-330)</f>
        <v>#REF!</v>
      </c>
      <c r="K285" s="169" t="e">
        <f>IF(#REF!&lt;100,"",#REF!-330)</f>
        <v>#REF!</v>
      </c>
      <c r="L285" s="169" t="e">
        <f>IF(#REF!&lt;100,"",#REF!-330)</f>
        <v>#REF!</v>
      </c>
      <c r="M285" s="169" t="e">
        <f>IF(#REF!&lt;100,"",#REF!-330)</f>
        <v>#REF!</v>
      </c>
      <c r="N285" s="169" t="e">
        <f>IF(#REF!&lt;100,"",#REF!-330)</f>
        <v>#REF!</v>
      </c>
      <c r="O285" s="169" t="e">
        <f>IF(#REF!&lt;100,"",#REF!-330)</f>
        <v>#REF!</v>
      </c>
      <c r="P285" s="169" t="e">
        <f>IF(#REF!&lt;100,"",#REF!-330)</f>
        <v>#REF!</v>
      </c>
      <c r="Q285" s="169" t="e">
        <f>IF(#REF!&lt;100,"",#REF!-330)</f>
        <v>#REF!</v>
      </c>
      <c r="R285" s="169" t="e">
        <f>IF(#REF!&lt;100,"",#REF!-330)</f>
        <v>#REF!</v>
      </c>
      <c r="S285" s="169" t="e">
        <f>IF(#REF!&lt;100,"",#REF!-330)</f>
        <v>#REF!</v>
      </c>
      <c r="T285" s="169" t="e">
        <f>IF(#REF!&lt;100,"",#REF!-330)</f>
        <v>#REF!</v>
      </c>
      <c r="U285" s="169" t="e">
        <f>IF(#REF!&lt;100,"",#REF!-330)</f>
        <v>#REF!</v>
      </c>
      <c r="V285" s="169" t="e">
        <f>IF(#REF!&lt;100,"",#REF!-330)</f>
        <v>#REF!</v>
      </c>
      <c r="W285" s="169" t="e">
        <f>IF(#REF!&lt;100,"",#REF!-330)</f>
        <v>#REF!</v>
      </c>
      <c r="X285" s="169" t="e">
        <f>IF(#REF!&lt;100,"",#REF!-330)</f>
        <v>#REF!</v>
      </c>
      <c r="Y285" s="169" t="e">
        <f>IF(#REF!&lt;100,"",#REF!-330)</f>
        <v>#REF!</v>
      </c>
      <c r="Z285" s="169" t="e">
        <f>IF(#REF!&lt;100,"",#REF!-330)</f>
        <v>#REF!</v>
      </c>
      <c r="AA285" s="169" t="e">
        <f>IF(#REF!&lt;100,"",#REF!-330)</f>
        <v>#REF!</v>
      </c>
      <c r="AB285" s="169" t="e">
        <f>IF(#REF!&lt;100,"",#REF!-330)</f>
        <v>#REF!</v>
      </c>
      <c r="AC285" s="169" t="e">
        <f>IF(#REF!&lt;100,"",#REF!-330)</f>
        <v>#REF!</v>
      </c>
      <c r="AD285" s="169" t="e">
        <f>IF(#REF!&lt;100,"",#REF!-330)</f>
        <v>#REF!</v>
      </c>
      <c r="AE285" s="169" t="e">
        <f>IF(#REF!&lt;100,"",#REF!-330)</f>
        <v>#REF!</v>
      </c>
      <c r="AF285" s="169" t="e">
        <f>IF(#REF!&lt;100,"",#REF!-330)</f>
        <v>#REF!</v>
      </c>
      <c r="AG285" s="43"/>
      <c r="AH285" s="43"/>
    </row>
    <row r="286" spans="1:34" x14ac:dyDescent="0.25">
      <c r="A286" s="169" t="e">
        <f>#REF!</f>
        <v>#REF!</v>
      </c>
      <c r="B286" s="169" t="e">
        <f>IF(#REF!&lt;100,"",#REF!-1500)</f>
        <v>#REF!</v>
      </c>
      <c r="C286" s="169" t="e">
        <f>IF(#REF!&lt;100,"",#REF!-1500)</f>
        <v>#REF!</v>
      </c>
      <c r="D286" s="169" t="e">
        <f>IF(#REF!&lt;100,"",#REF!-1500)</f>
        <v>#REF!</v>
      </c>
      <c r="E286" s="169" t="e">
        <f>IF(#REF!&lt;100,"",#REF!-1500)</f>
        <v>#REF!</v>
      </c>
      <c r="F286" s="169" t="e">
        <f>IF(#REF!&lt;100,"",#REF!-1500)</f>
        <v>#REF!</v>
      </c>
      <c r="G286" s="169" t="e">
        <f>IF(#REF!&lt;100,"",#REF!-1500)</f>
        <v>#REF!</v>
      </c>
      <c r="H286" s="169" t="e">
        <f>IF(#REF!&lt;100,"",#REF!-1500)</f>
        <v>#REF!</v>
      </c>
      <c r="I286" s="169" t="e">
        <f>IF(#REF!&lt;100,"",#REF!-1500)</f>
        <v>#REF!</v>
      </c>
      <c r="J286" s="169" t="e">
        <f>IF(#REF!&lt;100,"",#REF!-1500)</f>
        <v>#REF!</v>
      </c>
      <c r="K286" s="169" t="e">
        <f>IF(#REF!&lt;100,"",#REF!-1500)</f>
        <v>#REF!</v>
      </c>
      <c r="L286" s="169" t="e">
        <f>IF(#REF!&lt;100,"",#REF!-1500)</f>
        <v>#REF!</v>
      </c>
      <c r="M286" s="169" t="e">
        <f>IF(#REF!&lt;100,"",#REF!-1500)</f>
        <v>#REF!</v>
      </c>
      <c r="N286" s="169" t="e">
        <f>IF(#REF!&lt;100,"",#REF!-1500)</f>
        <v>#REF!</v>
      </c>
      <c r="O286" s="169" t="e">
        <f>IF(#REF!&lt;100,"",#REF!-1500)</f>
        <v>#REF!</v>
      </c>
      <c r="P286" s="169" t="e">
        <f>IF(#REF!&lt;100,"",#REF!-1500)</f>
        <v>#REF!</v>
      </c>
      <c r="Q286" s="169" t="e">
        <f>IF(#REF!&lt;100,"",#REF!-1500)</f>
        <v>#REF!</v>
      </c>
      <c r="R286" s="169" t="e">
        <f>IF(#REF!&lt;100,"",#REF!-1500)</f>
        <v>#REF!</v>
      </c>
      <c r="S286" s="169" t="e">
        <f>IF(#REF!&lt;100,"",#REF!-1500)</f>
        <v>#REF!</v>
      </c>
      <c r="T286" s="169" t="e">
        <f>IF(#REF!&lt;100,"",#REF!-1500)</f>
        <v>#REF!</v>
      </c>
      <c r="U286" s="169" t="e">
        <f>IF(#REF!&lt;100,"",#REF!-1500)</f>
        <v>#REF!</v>
      </c>
      <c r="V286" s="169" t="e">
        <f>IF(#REF!&lt;100,"",#REF!-1500)</f>
        <v>#REF!</v>
      </c>
      <c r="W286" s="169" t="e">
        <f>IF(#REF!&lt;100,"",#REF!-1500)</f>
        <v>#REF!</v>
      </c>
      <c r="X286" s="169" t="e">
        <f>IF(#REF!&lt;100,"",#REF!-1500)</f>
        <v>#REF!</v>
      </c>
      <c r="Y286" s="169" t="e">
        <f>IF(#REF!&lt;100,"",#REF!-1500)</f>
        <v>#REF!</v>
      </c>
      <c r="Z286" s="169" t="e">
        <f>IF(#REF!&lt;100,"",#REF!-1500)</f>
        <v>#REF!</v>
      </c>
      <c r="AA286" s="169" t="e">
        <f>IF(#REF!&lt;100,"",#REF!-1500)</f>
        <v>#REF!</v>
      </c>
      <c r="AB286" s="169" t="e">
        <f>IF(#REF!&lt;100,"",#REF!-1500)</f>
        <v>#REF!</v>
      </c>
      <c r="AC286" s="169" t="e">
        <f>IF(#REF!&lt;100,"",#REF!-1500)</f>
        <v>#REF!</v>
      </c>
      <c r="AD286" s="169" t="e">
        <f>IF(#REF!&lt;100,"",#REF!-1500)</f>
        <v>#REF!</v>
      </c>
      <c r="AE286" s="169" t="e">
        <f>IF(#REF!&lt;100,"",#REF!-1500)</f>
        <v>#REF!</v>
      </c>
      <c r="AF286" s="169" t="e">
        <f>IF(#REF!&lt;100,"",#REF!-1500)</f>
        <v>#REF!</v>
      </c>
      <c r="AG286" s="43"/>
      <c r="AH286" s="43"/>
    </row>
    <row r="287" spans="1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1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2:34" x14ac:dyDescent="0.25"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2:34" x14ac:dyDescent="0.25"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2:34" x14ac:dyDescent="0.25"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2:34" x14ac:dyDescent="0.25"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2:34" x14ac:dyDescent="0.25"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2505" priority="54">
      <formula>$AH11=0</formula>
    </cfRule>
  </conditionalFormatting>
  <conditionalFormatting sqref="A132:A253">
    <cfRule type="expression" dxfId="2504" priority="5">
      <formula>$AH132=0</formula>
    </cfRule>
  </conditionalFormatting>
  <conditionalFormatting sqref="B8 M8 S8 AB8">
    <cfRule type="expression" dxfId="2503" priority="115">
      <formula>AND(C$9&gt;=8/24,C$9&lt;14/24)</formula>
    </cfRule>
    <cfRule type="expression" dxfId="2502" priority="114">
      <formula>AND(C$9&gt;=14/24,C$9&lt;20/24)</formula>
    </cfRule>
    <cfRule type="expression" dxfId="2501" priority="116">
      <formula>C$9&lt;8/24</formula>
    </cfRule>
  </conditionalFormatting>
  <conditionalFormatting sqref="B63:I74 J64:K74 L66:R74 K69:L71 S69:W73">
    <cfRule type="expression" dxfId="2500" priority="22">
      <formula>AND(B$9&gt;=8/24,B$9&lt;14/24)</formula>
    </cfRule>
    <cfRule type="expression" dxfId="2499" priority="21">
      <formula>AND(B$9&gt;=14/24,B$9&lt;20/24)</formula>
    </cfRule>
    <cfRule type="expression" dxfId="2498" priority="20">
      <formula>B$9&gt;=20/24</formula>
    </cfRule>
    <cfRule type="expression" dxfId="2497" priority="23">
      <formula>B$9&lt;8/24</formula>
    </cfRule>
  </conditionalFormatting>
  <conditionalFormatting sqref="B51:W54">
    <cfRule type="expression" dxfId="2496" priority="14">
      <formula>B51&gt;$AG51</formula>
    </cfRule>
  </conditionalFormatting>
  <conditionalFormatting sqref="B53:W54">
    <cfRule type="expression" dxfId="2495" priority="13">
      <formula>B$9&lt;8/24</formula>
    </cfRule>
  </conditionalFormatting>
  <conditionalFormatting sqref="B55:W55">
    <cfRule type="expression" dxfId="2494" priority="34">
      <formula>B55&gt;$AG55</formula>
    </cfRule>
  </conditionalFormatting>
  <conditionalFormatting sqref="B9:AF52">
    <cfRule type="expression" dxfId="2493" priority="25">
      <formula>B$9&gt;=20/24</formula>
    </cfRule>
    <cfRule type="expression" dxfId="2492" priority="26">
      <formula>AND(B$9&gt;=14/24,B$9&lt;20/24)</formula>
    </cfRule>
    <cfRule type="expression" dxfId="2491" priority="27">
      <formula>AND(B$9&gt;=8/24,B$9&lt;14/24)</formula>
    </cfRule>
    <cfRule type="expression" dxfId="2490" priority="28">
      <formula>B$9&lt;8/24</formula>
    </cfRule>
  </conditionalFormatting>
  <conditionalFormatting sqref="B53:AF54">
    <cfRule type="expression" dxfId="2489" priority="12">
      <formula>AND(B$9&gt;=8/24,B$9&lt;14/24)</formula>
    </cfRule>
    <cfRule type="expression" dxfId="2488" priority="11">
      <formula>AND(B$9&gt;=14/24,B$9&lt;20/24)</formula>
    </cfRule>
    <cfRule type="expression" dxfId="2487" priority="10">
      <formula>B$9&gt;=20/24</formula>
    </cfRule>
  </conditionalFormatting>
  <conditionalFormatting sqref="B55:AF57">
    <cfRule type="expression" dxfId="2486" priority="31">
      <formula>AND(B$9&gt;=14/24,B$9&lt;20/24)</formula>
    </cfRule>
    <cfRule type="expression" dxfId="2485" priority="30">
      <formula>B$9&gt;=20/24</formula>
    </cfRule>
    <cfRule type="expression" dxfId="2484" priority="32">
      <formula>AND(B$9&gt;=8/24,B$9&lt;14/24)</formula>
    </cfRule>
  </conditionalFormatting>
  <conditionalFormatting sqref="B56:AF61">
    <cfRule type="expression" dxfId="2483" priority="29">
      <formula>B56&gt;$AG56</formula>
    </cfRule>
  </conditionalFormatting>
  <conditionalFormatting sqref="B59:AF61">
    <cfRule type="expression" dxfId="2482" priority="43">
      <formula>B$9&lt;8/24</formula>
    </cfRule>
    <cfRule type="expression" dxfId="2481" priority="42">
      <formula>AND(B$9&gt;=8/24,B$9&lt;14/24)</formula>
    </cfRule>
    <cfRule type="expression" dxfId="2480" priority="40">
      <formula>B$9&gt;=20/24</formula>
    </cfRule>
    <cfRule type="expression" dxfId="2479" priority="41">
      <formula>AND(B$9&gt;=14/24,B$9&lt;20/24)</formula>
    </cfRule>
  </conditionalFormatting>
  <conditionalFormatting sqref="B63:AF74">
    <cfRule type="expression" dxfId="2478" priority="19">
      <formula>B63&gt;$AG63</formula>
    </cfRule>
  </conditionalFormatting>
  <conditionalFormatting sqref="B77:AF79">
    <cfRule type="expression" dxfId="2477" priority="46">
      <formula>AND(B$9&gt;=14/24,B$9&lt;20/24)</formula>
    </cfRule>
    <cfRule type="expression" dxfId="2476" priority="45">
      <formula>B$9&gt;=20/24</formula>
    </cfRule>
    <cfRule type="expression" dxfId="2475" priority="44">
      <formula>B77&gt;$AG77</formula>
    </cfRule>
    <cfRule type="expression" dxfId="2474" priority="47">
      <formula>AND(B$9&gt;=8/24,B$9&lt;14/24)</formula>
    </cfRule>
    <cfRule type="expression" dxfId="2473" priority="48">
      <formula>B$9&lt;8/24</formula>
    </cfRule>
  </conditionalFormatting>
  <conditionalFormatting sqref="B81:AF99">
    <cfRule type="expression" dxfId="2472" priority="16">
      <formula>AND(B$9&gt;=14/24,B$9&lt;20/24)</formula>
    </cfRule>
    <cfRule type="expression" dxfId="2471" priority="18">
      <formula>B$9&lt;8/24</formula>
    </cfRule>
    <cfRule type="expression" dxfId="2470" priority="15">
      <formula>B$9&gt;=20/24</formula>
    </cfRule>
    <cfRule type="expression" dxfId="2469" priority="17">
      <formula>AND(B$9&gt;=8/24,B$9&lt;14/24)</formula>
    </cfRule>
  </conditionalFormatting>
  <conditionalFormatting sqref="B101:AF117">
    <cfRule type="expression" dxfId="2468" priority="8">
      <formula>AND(B$9&gt;=8/24,B$9&lt;14/24)</formula>
    </cfRule>
    <cfRule type="expression" dxfId="2467" priority="9">
      <formula>B$9&lt;8/24</formula>
    </cfRule>
    <cfRule type="expression" dxfId="2466" priority="7">
      <formula>AND(B$9&gt;=14/24,B$9&lt;20/24)</formula>
    </cfRule>
    <cfRule type="expression" dxfId="2465" priority="6">
      <formula>B$9&gt;=20/24</formula>
    </cfRule>
  </conditionalFormatting>
  <conditionalFormatting sqref="B119:AF137">
    <cfRule type="expression" dxfId="2464" priority="4">
      <formula>B$9&lt;8/24</formula>
    </cfRule>
    <cfRule type="expression" dxfId="2463" priority="3">
      <formula>AND(B$9&gt;=8/24,B$9&lt;14/24)</formula>
    </cfRule>
    <cfRule type="expression" dxfId="2462" priority="2">
      <formula>AND(B$9&gt;=14/24,B$9&lt;20/24)</formula>
    </cfRule>
    <cfRule type="expression" dxfId="2461" priority="1">
      <formula>B$9&gt;=20/24</formula>
    </cfRule>
  </conditionalFormatting>
  <conditionalFormatting sqref="B244:AF244 B246:B252 D246:AF252 U260:AF260">
    <cfRule type="expression" dxfId="2460" priority="110">
      <formula>B$9&lt;8/24</formula>
    </cfRule>
    <cfRule type="expression" dxfId="2459" priority="109">
      <formula>AND(B$9&gt;=8/24,B$9&lt;14/24)</formula>
    </cfRule>
    <cfRule type="expression" dxfId="2458" priority="108">
      <formula>AND(B$9&gt;=14/24,B$9&lt;20/24)</formula>
    </cfRule>
    <cfRule type="expression" dxfId="2457" priority="107">
      <formula>B$9&gt;=20/24</formula>
    </cfRule>
  </conditionalFormatting>
  <conditionalFormatting sqref="B62:AG62">
    <cfRule type="expression" dxfId="2456" priority="50">
      <formula>B$9&gt;=20/24</formula>
    </cfRule>
    <cfRule type="expression" dxfId="2455" priority="51">
      <formula>AND(B$9&gt;=14/24,B$9&lt;20/24)</formula>
    </cfRule>
    <cfRule type="expression" dxfId="2454" priority="52">
      <formula>AND(B$9&gt;=8/24,B$9&lt;14/24)</formula>
    </cfRule>
    <cfRule type="expression" dxfId="2453" priority="53">
      <formula>B$9&lt;8/24</formula>
    </cfRule>
    <cfRule type="expression" dxfId="2452" priority="49">
      <formula>B62&gt;$AG62</formula>
    </cfRule>
  </conditionalFormatting>
  <conditionalFormatting sqref="B75:AG76 B80:AG80">
    <cfRule type="expression" dxfId="2451" priority="35">
      <formula>B75&gt;$AG75</formula>
    </cfRule>
  </conditionalFormatting>
  <conditionalFormatting sqref="B80:AG80">
    <cfRule type="expression" dxfId="2450" priority="38">
      <formula>AND(B$9&gt;=8/24,B$9&lt;14/24)</formula>
    </cfRule>
    <cfRule type="expression" dxfId="2449" priority="39">
      <formula>B$9&lt;8/24</formula>
    </cfRule>
    <cfRule type="expression" dxfId="2448" priority="36">
      <formula>B$9&gt;=20/24</formula>
    </cfRule>
    <cfRule type="expression" dxfId="2447" priority="37">
      <formula>AND(B$9&gt;=14/24,B$9&lt;20/24)</formula>
    </cfRule>
  </conditionalFormatting>
  <conditionalFormatting sqref="G63:R65">
    <cfRule type="expression" dxfId="2446" priority="88">
      <formula>G$9&gt;=20/24</formula>
    </cfRule>
    <cfRule type="expression" dxfId="2445" priority="91">
      <formula>G$9&lt;8/24</formula>
    </cfRule>
    <cfRule type="expression" dxfId="2444" priority="90">
      <formula>AND(G$9&gt;=8/24,G$9&lt;14/24)</formula>
    </cfRule>
    <cfRule type="expression" dxfId="2443" priority="89">
      <formula>AND(G$9&gt;=14/24,G$9&lt;20/24)</formula>
    </cfRule>
  </conditionalFormatting>
  <conditionalFormatting sqref="G68:R68">
    <cfRule type="expression" dxfId="2442" priority="68">
      <formula>G$9&lt;8/24</formula>
    </cfRule>
    <cfRule type="expression" dxfId="2441" priority="65">
      <formula>G$9&gt;=20/24</formula>
    </cfRule>
    <cfRule type="expression" dxfId="2440" priority="66">
      <formula>AND(G$9&gt;=14/24,G$9&lt;20/24)</formula>
    </cfRule>
    <cfRule type="expression" dxfId="2439" priority="67">
      <formula>AND(G$9&gt;=8/24,G$9&lt;14/24)</formula>
    </cfRule>
  </conditionalFormatting>
  <conditionalFormatting sqref="G69:AF74">
    <cfRule type="expression" dxfId="2438" priority="55">
      <formula>G$9&gt;=20/24</formula>
    </cfRule>
    <cfRule type="expression" dxfId="2437" priority="56">
      <formula>AND(G$9&gt;=14/24,G$9&lt;20/24)</formula>
    </cfRule>
    <cfRule type="expression" dxfId="2436" priority="58">
      <formula>G$9&lt;8/24</formula>
    </cfRule>
    <cfRule type="expression" dxfId="2435" priority="57">
      <formula>AND(G$9&gt;=8/24,G$9&lt;14/24)</formula>
    </cfRule>
  </conditionalFormatting>
  <conditionalFormatting sqref="O3:P3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2434" priority="113">
      <formula>C$9&gt;=20/24</formula>
    </cfRule>
  </conditionalFormatting>
  <conditionalFormatting sqref="S8">
    <cfRule type="expression" dxfId="2433" priority="103">
      <formula>U$9&lt;8/24</formula>
    </cfRule>
    <cfRule type="expression" dxfId="2432" priority="100">
      <formula>U$9&gt;=20/24</formula>
    </cfRule>
    <cfRule type="expression" dxfId="2431" priority="101">
      <formula>AND(U$9&gt;=14/24,U$9&lt;20/24)</formula>
    </cfRule>
    <cfRule type="expression" dxfId="2430" priority="102">
      <formula>AND(U$9&gt;=8/24,U$9&lt;14/24)</formula>
    </cfRule>
  </conditionalFormatting>
  <conditionalFormatting sqref="S55:W56 B55:R57">
    <cfRule type="expression" dxfId="2429" priority="33">
      <formula>B$9&lt;8/24</formula>
    </cfRule>
  </conditionalFormatting>
  <conditionalFormatting sqref="S63:AF68">
    <cfRule type="expression" dxfId="2428" priority="59">
      <formula>S$9&gt;=20/24</formula>
    </cfRule>
    <cfRule type="expression" dxfId="2427" priority="60">
      <formula>AND(S$9&gt;=14/24,S$9&lt;20/24)</formula>
    </cfRule>
    <cfRule type="expression" dxfId="2426" priority="62">
      <formula>S$9&lt;8/24</formula>
    </cfRule>
    <cfRule type="expression" dxfId="2425" priority="61">
      <formula>AND(S$9&gt;=8/24,S$9&lt;14/24)</formula>
    </cfRule>
  </conditionalFormatting>
  <conditionalFormatting sqref="T260">
    <cfRule type="expression" dxfId="2424" priority="127">
      <formula>AND(AX$9&gt;=8/24,AX$9&lt;14/24)</formula>
    </cfRule>
    <cfRule type="expression" dxfId="2423" priority="125">
      <formula>AX$9&gt;=20/24</formula>
    </cfRule>
    <cfRule type="expression" dxfId="2422" priority="126">
      <formula>AND(AX$9&gt;=14/24,AX$9&lt;20/24)</formula>
    </cfRule>
    <cfRule type="expression" dxfId="2421" priority="128">
      <formula>AX$9&lt;8/24</formula>
    </cfRule>
  </conditionalFormatting>
  <conditionalFormatting sqref="V3 AB3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V11:AA11 B11:U50 AB11:AF52 W12:X12 V12:V50 Y12:AA52 W13:W50 X13:X52">
    <cfRule type="expression" dxfId="2420" priority="24">
      <formula>B11&gt;$AG11</formula>
    </cfRule>
  </conditionalFormatting>
  <conditionalFormatting sqref="X53:AF55">
    <cfRule type="expression" dxfId="2419" priority="64">
      <formula>X53&gt;$AG53</formula>
    </cfRule>
  </conditionalFormatting>
  <conditionalFormatting sqref="X53:AF56 B56:W56 S57:AF57">
    <cfRule type="expression" dxfId="2418" priority="63">
      <formula>B$9&lt;8/24</formula>
    </cfRule>
  </conditionalFormatting>
  <conditionalFormatting sqref="AB8">
    <cfRule type="expression" dxfId="2417" priority="96">
      <formula>AD$9&gt;=20/24</formula>
    </cfRule>
    <cfRule type="expression" dxfId="2416" priority="97">
      <formula>AND(AD$9&gt;=14/24,AD$9&lt;20/24)</formula>
    </cfRule>
    <cfRule type="expression" dxfId="2415" priority="98">
      <formula>AND(AD$9&gt;=8/24,AD$9&lt;14/24)</formula>
    </cfRule>
    <cfRule type="expression" dxfId="2414" priority="99">
      <formula>AD$9&lt;8/24</formula>
    </cfRule>
  </conditionalFormatting>
  <conditionalFormatting sqref="AG58">
    <cfRule type="expression" dxfId="2413" priority="83">
      <formula>AG58&gt;$AG58</formula>
    </cfRule>
  </conditionalFormatting>
  <conditionalFormatting sqref="AG97">
    <cfRule type="expression" dxfId="2412" priority="84">
      <formula>AG$9&gt;=20/24</formula>
    </cfRule>
    <cfRule type="expression" dxfId="2411" priority="85">
      <formula>AND(AG$9&gt;=14/24,AG$9&lt;20/24)</formula>
    </cfRule>
    <cfRule type="expression" dxfId="2410" priority="86">
      <formula>AND(AG$9&gt;=8/24,AG$9&lt;14/24)</formula>
    </cfRule>
    <cfRule type="expression" dxfId="2409" priority="87">
      <formula>AG$9&lt;8/24</formula>
    </cfRule>
  </conditionalFormatting>
  <conditionalFormatting sqref="AG260">
    <cfRule type="expression" dxfId="2408" priority="117">
      <formula>B$9&gt;=20/24</formula>
    </cfRule>
    <cfRule type="expression" dxfId="2407" priority="118">
      <formula>AND(B$9&gt;=14/24,B$9&lt;20/24)</formula>
    </cfRule>
    <cfRule type="expression" dxfId="2406" priority="120">
      <formula>B$9&lt;8/24</formula>
    </cfRule>
    <cfRule type="expression" dxfId="2405" priority="119">
      <formula>AND(B$9&gt;=8/24,B$9&lt;14/24)</formula>
    </cfRule>
  </conditionalFormatting>
  <conditionalFormatting sqref="AH260:AX260">
    <cfRule type="expression" dxfId="2404" priority="121">
      <formula>AG$9&gt;=20/24</formula>
    </cfRule>
    <cfRule type="expression" dxfId="2403" priority="122">
      <formula>AND(AG$9&gt;=14/24,AG$9&lt;20/24)</formula>
    </cfRule>
    <cfRule type="expression" dxfId="2402" priority="123">
      <formula>AND(AG$9&gt;=8/24,AG$9&lt;14/24)</formula>
    </cfRule>
    <cfRule type="expression" dxfId="2401" priority="124">
      <formula>AG$9&lt;8/24</formula>
    </cfRule>
  </conditionalFormatting>
  <conditionalFormatting sqref="AL4:AL6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19:AL20">
    <cfRule type="iconSet" priority="71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8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70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8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82">
      <iconSet iconSet="3TrafficLights2" reverse="1">
        <cfvo type="percent" val="0"/>
        <cfvo type="num" val="1"/>
        <cfvo type="num" val="1"/>
      </iconSet>
    </cfRule>
  </conditionalFormatting>
  <conditionalFormatting sqref="AL48 AL45:AL46 AL21:AL24 AL7:AL18 AL26:AL37 AL39:AL43 AL54:AL55">
    <cfRule type="iconSet" priority="129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04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69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2400" priority="130">
      <formula>AJ$9&gt;=20/24</formula>
    </cfRule>
    <cfRule type="expression" dxfId="2399" priority="131">
      <formula>AND(AJ$9&gt;=14/24,AJ$9&lt;20/24)</formula>
    </cfRule>
    <cfRule type="expression" dxfId="2398" priority="132">
      <formula>AND(AJ$9&gt;=8/24,AJ$9&lt;14/24)</formula>
    </cfRule>
    <cfRule type="expression" dxfId="2397" priority="133">
      <formula>AJ$9&lt;8/24</formula>
    </cfRule>
  </conditionalFormatting>
  <conditionalFormatting sqref="AL88:AN88 AL94:AN94">
    <cfRule type="expression" dxfId="2396" priority="79">
      <formula>AL$9&lt;8/24</formula>
    </cfRule>
    <cfRule type="expression" dxfId="2395" priority="78">
      <formula>AND(AL$9&gt;=8/24,AL$9&lt;14/24)</formula>
    </cfRule>
    <cfRule type="expression" dxfId="2394" priority="77">
      <formula>AND(AL$9&gt;=14/24,AL$9&lt;20/24)</formula>
    </cfRule>
    <cfRule type="expression" dxfId="2393" priority="76">
      <formula>AL$9&gt;=20/24</formula>
    </cfRule>
  </conditionalFormatting>
  <conditionalFormatting sqref="AN89:AN92">
    <cfRule type="expression" dxfId="2392" priority="74">
      <formula>AND(AN$9&gt;=8/24,AN$9&lt;14/24)</formula>
    </cfRule>
    <cfRule type="expression" dxfId="2391" priority="73">
      <formula>AND(AN$9&gt;=14/24,AN$9&lt;20/24)</formula>
    </cfRule>
    <cfRule type="expression" dxfId="2390" priority="72">
      <formula>AN$9&gt;=20/24</formula>
    </cfRule>
    <cfRule type="expression" dxfId="2389" priority="75">
      <formula>AN$9&lt;8/24</formula>
    </cfRule>
  </conditionalFormatting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3DBA7-CE06-4FC1-A132-F81F5CEB7254}">
  <sheetPr codeName="Sheet7"/>
  <dimension ref="A1:CJ293"/>
  <sheetViews>
    <sheetView zoomScale="106" workbookViewId="0">
      <pane xSplit="1" ySplit="10" topLeftCell="G66" activePane="bottomRight" state="frozen"/>
      <selection activeCell="P118" sqref="P118"/>
      <selection pane="topRight" activeCell="P118" sqref="P118"/>
      <selection pane="bottomLeft" activeCell="P118" sqref="P118"/>
      <selection pane="bottomRight" activeCell="AD85" activeCellId="4" sqref="Q85:V85 X85 Z85 AB85 AD85:AF85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6" width="6.42578125" style="1" bestFit="1" customWidth="1"/>
    <col min="7" max="7" width="6.5703125" style="1" bestFit="1" customWidth="1"/>
    <col min="8" max="8" width="6.42578125" style="1" bestFit="1" customWidth="1"/>
    <col min="9" max="9" width="6.5703125" style="1" bestFit="1" customWidth="1"/>
    <col min="10" max="10" width="6.28515625" style="1" bestFit="1" customWidth="1"/>
    <col min="11" max="11" width="6.5703125" style="1" bestFit="1" customWidth="1"/>
    <col min="12" max="12" width="6" style="1" bestFit="1" customWidth="1"/>
    <col min="13" max="15" width="6.57031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hidden="1" customHeight="1" thickBot="1" x14ac:dyDescent="0.3">
      <c r="A1" s="275" t="s">
        <v>0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  <c r="AD1" s="275"/>
      <c r="AE1" s="275"/>
      <c r="AF1" s="275"/>
      <c r="AG1" s="276" t="s">
        <v>1</v>
      </c>
      <c r="AH1" s="276"/>
      <c r="AI1" s="276"/>
      <c r="AL1" s="2"/>
    </row>
    <row r="2" spans="1:88" ht="20.25" hidden="1" x14ac:dyDescent="0.25">
      <c r="A2" s="3"/>
      <c r="B2" s="277" t="s">
        <v>2</v>
      </c>
      <c r="C2" s="4"/>
      <c r="D2" s="279" t="s">
        <v>3</v>
      </c>
      <c r="E2" s="4"/>
      <c r="F2" s="279" t="s">
        <v>4</v>
      </c>
      <c r="G2" s="4"/>
      <c r="H2" s="279" t="s">
        <v>5</v>
      </c>
      <c r="I2" s="5"/>
      <c r="J2" s="281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78"/>
      <c r="C3" s="16"/>
      <c r="D3" s="280"/>
      <c r="E3" s="16"/>
      <c r="F3" s="280"/>
      <c r="G3" s="16"/>
      <c r="H3" s="280"/>
      <c r="I3" s="17"/>
      <c r="J3" s="281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hidden="1" x14ac:dyDescent="0.25">
      <c r="A4" s="25" t="s">
        <v>11</v>
      </c>
      <c r="B4" s="270" t="str">
        <f ca="1">"2080/"&amp;"09/"&amp;INT(MID(CELL("filename",D6),FIND("]",CELL("filename",D6))+1,200))</f>
        <v>2080/09/6</v>
      </c>
      <c r="C4" s="270"/>
      <c r="D4" s="270"/>
      <c r="E4" s="271" t="str">
        <f ca="1">"2080/"&amp;"09/"&amp;INT(MID(CELL("filename",G6),FIND("]",CELL("filename",G6))+1,200))</f>
        <v>2080/09/6</v>
      </c>
      <c r="F4" s="271"/>
      <c r="G4" s="271"/>
      <c r="H4" s="271" t="str">
        <f ca="1">TEXT(E4,"dddd")</f>
        <v>Friday</v>
      </c>
      <c r="I4" s="271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C92</f>
        <v>429</v>
      </c>
      <c r="C5" s="30">
        <f t="shared" si="0"/>
        <v>452</v>
      </c>
      <c r="D5" s="30">
        <f t="shared" si="0"/>
        <v>430.5</v>
      </c>
      <c r="E5" s="30">
        <f t="shared" si="0"/>
        <v>451.3</v>
      </c>
      <c r="F5" s="30">
        <f t="shared" si="0"/>
        <v>434.8</v>
      </c>
      <c r="G5" s="30">
        <f t="shared" si="0"/>
        <v>463.1</v>
      </c>
      <c r="H5" s="30">
        <f t="shared" si="0"/>
        <v>434.4</v>
      </c>
      <c r="I5" s="30">
        <f t="shared" si="0"/>
        <v>443.6</v>
      </c>
      <c r="J5" s="30">
        <f t="shared" si="0"/>
        <v>148.5</v>
      </c>
      <c r="K5" s="30">
        <f t="shared" si="0"/>
        <v>99.1</v>
      </c>
      <c r="L5" s="30">
        <f t="shared" si="0"/>
        <v>93.9</v>
      </c>
      <c r="M5" s="30">
        <f t="shared" si="0"/>
        <v>100.6</v>
      </c>
      <c r="N5" s="30">
        <f t="shared" si="0"/>
        <v>333.6</v>
      </c>
      <c r="O5" s="30">
        <f t="shared" si="0"/>
        <v>386</v>
      </c>
      <c r="P5" s="30">
        <f t="shared" si="0"/>
        <v>469.1</v>
      </c>
      <c r="Q5" s="30">
        <f t="shared" si="0"/>
        <v>499.9</v>
      </c>
      <c r="R5" s="30">
        <f t="shared" si="0"/>
        <v>494.4</v>
      </c>
      <c r="S5" s="30">
        <f t="shared" si="0"/>
        <v>540</v>
      </c>
      <c r="T5" s="30">
        <f t="shared" si="0"/>
        <v>510.2</v>
      </c>
      <c r="U5" s="30">
        <f t="shared" si="0"/>
        <v>257</v>
      </c>
      <c r="V5" s="30">
        <f t="shared" si="0"/>
        <v>185.39999999999998</v>
      </c>
      <c r="W5" s="30">
        <f t="shared" si="0"/>
        <v>195</v>
      </c>
      <c r="X5" s="30">
        <f t="shared" si="0"/>
        <v>199</v>
      </c>
      <c r="Y5" s="30">
        <f t="shared" si="0"/>
        <v>413</v>
      </c>
      <c r="Z5" s="30">
        <f t="shared" si="0"/>
        <v>438</v>
      </c>
      <c r="AA5" s="30">
        <f t="shared" si="0"/>
        <v>428.5</v>
      </c>
      <c r="AB5" s="30">
        <f t="shared" si="0"/>
        <v>361.40000000000003</v>
      </c>
      <c r="AC5" s="30">
        <f t="shared" si="0"/>
        <v>405.6</v>
      </c>
      <c r="AD5" s="30">
        <f t="shared" si="0"/>
        <v>443.09999999999997</v>
      </c>
      <c r="AE5" s="30">
        <f t="shared" si="0"/>
        <v>452.7</v>
      </c>
      <c r="AF5" s="30">
        <f>B92</f>
        <v>458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hidden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1653MW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Load=1100</v>
      </c>
      <c r="B7" s="35">
        <f>B100</f>
        <v>1144.8400000000001</v>
      </c>
      <c r="C7" s="35">
        <f t="shared" ref="C7:AF7" si="1">C100</f>
        <v>1100.24</v>
      </c>
      <c r="D7" s="35">
        <f t="shared" si="1"/>
        <v>1124.24</v>
      </c>
      <c r="E7" s="35">
        <f t="shared" si="1"/>
        <v>1106.1400000000001</v>
      </c>
      <c r="F7" s="35">
        <f t="shared" si="1"/>
        <v>1127.0400000000002</v>
      </c>
      <c r="G7" s="35">
        <f t="shared" si="1"/>
        <v>1127.74</v>
      </c>
      <c r="H7" s="35">
        <f t="shared" si="1"/>
        <v>1189.1400000000001</v>
      </c>
      <c r="I7" s="35">
        <f t="shared" si="1"/>
        <v>1267.94</v>
      </c>
      <c r="J7" s="35">
        <f t="shared" si="1"/>
        <v>1327.94</v>
      </c>
      <c r="K7" s="35">
        <f t="shared" si="1"/>
        <v>1497.2400000000002</v>
      </c>
      <c r="L7" s="35">
        <f t="shared" si="1"/>
        <v>1550.14</v>
      </c>
      <c r="M7" s="35">
        <f t="shared" si="1"/>
        <v>1613.7400000000002</v>
      </c>
      <c r="N7" s="35">
        <f t="shared" si="1"/>
        <v>1653.04</v>
      </c>
      <c r="O7" s="35">
        <f t="shared" si="1"/>
        <v>1567.44</v>
      </c>
      <c r="P7" s="35">
        <f t="shared" si="1"/>
        <v>1427.8400000000001</v>
      </c>
      <c r="Q7" s="35">
        <f t="shared" si="1"/>
        <v>1262.54</v>
      </c>
      <c r="R7" s="35">
        <f t="shared" si="1"/>
        <v>1293.3400000000001</v>
      </c>
      <c r="S7" s="35">
        <f t="shared" si="1"/>
        <v>1287.3400000000001</v>
      </c>
      <c r="T7" s="35">
        <f t="shared" si="1"/>
        <v>1324.74</v>
      </c>
      <c r="U7" s="35">
        <f t="shared" si="1"/>
        <v>1313.64</v>
      </c>
      <c r="V7" s="35">
        <f t="shared" si="1"/>
        <v>1184.74</v>
      </c>
      <c r="W7" s="35">
        <f t="shared" si="1"/>
        <v>1465.3400000000001</v>
      </c>
      <c r="X7" s="35">
        <f t="shared" si="1"/>
        <v>1822.84</v>
      </c>
      <c r="Y7" s="35">
        <f t="shared" si="1"/>
        <v>1823.8</v>
      </c>
      <c r="Z7" s="35">
        <f t="shared" si="1"/>
        <v>1786.64</v>
      </c>
      <c r="AA7" s="35">
        <f t="shared" si="1"/>
        <v>1757.64</v>
      </c>
      <c r="AB7" s="35">
        <f t="shared" si="1"/>
        <v>1696.54</v>
      </c>
      <c r="AC7" s="35">
        <f t="shared" si="1"/>
        <v>1623.3400000000001</v>
      </c>
      <c r="AD7" s="35">
        <f t="shared" si="1"/>
        <v>1566.2400000000002</v>
      </c>
      <c r="AE7" s="35">
        <f t="shared" si="1"/>
        <v>1328.64</v>
      </c>
      <c r="AF7" s="35">
        <f t="shared" si="1"/>
        <v>1206.3399999999999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72" t="s">
        <v>14</v>
      </c>
      <c r="C8" s="273"/>
      <c r="D8" s="273"/>
      <c r="E8" s="273"/>
      <c r="F8" s="273"/>
      <c r="G8" s="273"/>
      <c r="H8" s="273"/>
      <c r="I8" s="273"/>
      <c r="J8" s="273"/>
      <c r="K8" s="273"/>
      <c r="L8" s="274"/>
      <c r="M8" s="265" t="s">
        <v>15</v>
      </c>
      <c r="N8" s="266"/>
      <c r="O8" s="266"/>
      <c r="P8" s="266"/>
      <c r="Q8" s="266"/>
      <c r="R8" s="267"/>
      <c r="S8" s="265" t="s">
        <v>16</v>
      </c>
      <c r="T8" s="266"/>
      <c r="U8" s="266"/>
      <c r="V8" s="266"/>
      <c r="W8" s="266"/>
      <c r="X8" s="266"/>
      <c r="Y8" s="266"/>
      <c r="Z8" s="266"/>
      <c r="AA8" s="267"/>
      <c r="AB8" s="265" t="s">
        <v>17</v>
      </c>
      <c r="AC8" s="266"/>
      <c r="AD8" s="266"/>
      <c r="AE8" s="266"/>
      <c r="AF8" s="267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68" t="s">
        <v>18</v>
      </c>
      <c r="B9" s="264">
        <v>0</v>
      </c>
      <c r="C9" s="264">
        <v>4.1666666666666664E-2</v>
      </c>
      <c r="D9" s="264">
        <v>8.3333333333333301E-2</v>
      </c>
      <c r="E9" s="264">
        <v>0.125</v>
      </c>
      <c r="F9" s="264">
        <v>0.16666666666666699</v>
      </c>
      <c r="G9" s="264">
        <v>0.20833333333333301</v>
      </c>
      <c r="H9" s="264">
        <v>0.22916666666666666</v>
      </c>
      <c r="I9" s="264">
        <v>0.25</v>
      </c>
      <c r="J9" s="264">
        <v>0.27083333333333331</v>
      </c>
      <c r="K9" s="264">
        <v>0.29166666666666669</v>
      </c>
      <c r="L9" s="264">
        <v>0.3125</v>
      </c>
      <c r="M9" s="262">
        <v>0.33333333333333331</v>
      </c>
      <c r="N9" s="262">
        <v>0.375</v>
      </c>
      <c r="O9" s="262">
        <v>0.41666666666666702</v>
      </c>
      <c r="P9" s="262">
        <v>0.45833333333333298</v>
      </c>
      <c r="Q9" s="262">
        <v>0.5</v>
      </c>
      <c r="R9" s="262">
        <v>0.54166666666666696</v>
      </c>
      <c r="S9" s="258">
        <v>0.58333333333333304</v>
      </c>
      <c r="T9" s="258">
        <v>0.625</v>
      </c>
      <c r="U9" s="258">
        <v>0.66666666666666696</v>
      </c>
      <c r="V9" s="258">
        <v>0.70833333333333304</v>
      </c>
      <c r="W9" s="258">
        <v>0.72916666666666663</v>
      </c>
      <c r="X9" s="258">
        <v>0.75</v>
      </c>
      <c r="Y9" s="258">
        <v>0.77083333333333337</v>
      </c>
      <c r="Z9" s="258">
        <v>0.79166666666666663</v>
      </c>
      <c r="AA9" s="258">
        <v>0.8125</v>
      </c>
      <c r="AB9" s="258">
        <v>0.83333333333333337</v>
      </c>
      <c r="AC9" s="258">
        <v>0.85416666666666663</v>
      </c>
      <c r="AD9" s="258">
        <v>0.875</v>
      </c>
      <c r="AE9" s="258">
        <v>0.91666666666666696</v>
      </c>
      <c r="AF9" s="258">
        <v>0.95833333333333304</v>
      </c>
      <c r="AG9" s="260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69"/>
      <c r="B10" s="259"/>
      <c r="C10" s="259"/>
      <c r="D10" s="259"/>
      <c r="E10" s="259"/>
      <c r="F10" s="259"/>
      <c r="G10" s="259"/>
      <c r="H10" s="259"/>
      <c r="I10" s="259"/>
      <c r="J10" s="259"/>
      <c r="K10" s="259"/>
      <c r="L10" s="259"/>
      <c r="M10" s="263"/>
      <c r="N10" s="263"/>
      <c r="O10" s="263"/>
      <c r="P10" s="263"/>
      <c r="Q10" s="263"/>
      <c r="R10" s="263"/>
      <c r="S10" s="259"/>
      <c r="T10" s="259"/>
      <c r="U10" s="259"/>
      <c r="V10" s="259"/>
      <c r="W10" s="259"/>
      <c r="X10" s="259"/>
      <c r="Y10" s="259"/>
      <c r="Z10" s="259"/>
      <c r="AA10" s="259"/>
      <c r="AB10" s="259"/>
      <c r="AC10" s="259"/>
      <c r="AD10" s="259"/>
      <c r="AE10" s="259"/>
      <c r="AF10" s="259"/>
      <c r="AG10" s="261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31.6</v>
      </c>
      <c r="C11" s="45">
        <v>32</v>
      </c>
      <c r="D11" s="45">
        <v>33</v>
      </c>
      <c r="E11" s="45">
        <v>33</v>
      </c>
      <c r="F11" s="45">
        <v>33</v>
      </c>
      <c r="G11" s="45">
        <v>33</v>
      </c>
      <c r="H11" s="45">
        <v>33</v>
      </c>
      <c r="I11" s="45">
        <v>33</v>
      </c>
      <c r="J11" s="45">
        <v>33</v>
      </c>
      <c r="K11" s="45">
        <v>33</v>
      </c>
      <c r="L11" s="45">
        <v>33</v>
      </c>
      <c r="M11" s="45">
        <v>33</v>
      </c>
      <c r="N11" s="45">
        <v>33</v>
      </c>
      <c r="O11" s="45">
        <v>33</v>
      </c>
      <c r="P11" s="45">
        <v>33</v>
      </c>
      <c r="Q11" s="45">
        <v>33</v>
      </c>
      <c r="R11" s="45">
        <v>33</v>
      </c>
      <c r="S11" s="45">
        <v>30.8</v>
      </c>
      <c r="T11" s="45">
        <v>30.8</v>
      </c>
      <c r="U11" s="45">
        <v>30.8</v>
      </c>
      <c r="V11" s="45">
        <v>30.8</v>
      </c>
      <c r="W11" s="45">
        <v>30.8</v>
      </c>
      <c r="X11" s="45">
        <v>30.8</v>
      </c>
      <c r="Y11" s="45">
        <v>30.8</v>
      </c>
      <c r="Z11" s="45">
        <v>30.8</v>
      </c>
      <c r="AA11" s="45">
        <v>30.8</v>
      </c>
      <c r="AB11" s="45">
        <v>31.1</v>
      </c>
      <c r="AC11" s="45">
        <v>31.1</v>
      </c>
      <c r="AD11" s="45">
        <v>31.1</v>
      </c>
      <c r="AE11" s="45">
        <v>32.4</v>
      </c>
      <c r="AF11" s="45">
        <v>31.9</v>
      </c>
      <c r="AG11" s="46">
        <v>86</v>
      </c>
      <c r="AH11" s="47">
        <f t="shared" ref="AH11:AH84" si="2">MAX(B11:AF11)</f>
        <v>33</v>
      </c>
      <c r="AI11" s="48">
        <f t="shared" ref="AI11:AI84" si="3">MIN(B11:AF11)</f>
        <v>30.8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262</v>
      </c>
      <c r="B12" s="45">
        <v>11.2</v>
      </c>
      <c r="C12" s="45">
        <v>11.2</v>
      </c>
      <c r="D12" s="45">
        <v>11.2</v>
      </c>
      <c r="E12" s="45">
        <v>11.2</v>
      </c>
      <c r="F12" s="45">
        <v>11.2</v>
      </c>
      <c r="G12" s="45">
        <v>11.2</v>
      </c>
      <c r="H12" s="45">
        <v>11.2</v>
      </c>
      <c r="I12" s="45">
        <v>11.2</v>
      </c>
      <c r="J12" s="45">
        <v>11.2</v>
      </c>
      <c r="K12" s="45">
        <v>11.2</v>
      </c>
      <c r="L12" s="45">
        <v>11.2</v>
      </c>
      <c r="M12" s="45">
        <v>11.2</v>
      </c>
      <c r="N12" s="45">
        <v>11.2</v>
      </c>
      <c r="O12" s="45">
        <v>11.2</v>
      </c>
      <c r="P12" s="45">
        <v>11.2</v>
      </c>
      <c r="Q12" s="45">
        <v>11.2</v>
      </c>
      <c r="R12" s="45">
        <v>11.2</v>
      </c>
      <c r="S12" s="45">
        <v>11.2</v>
      </c>
      <c r="T12" s="45">
        <v>11.2</v>
      </c>
      <c r="U12" s="45">
        <v>11.2</v>
      </c>
      <c r="V12" s="45">
        <v>11.2</v>
      </c>
      <c r="W12" s="45">
        <v>11.2</v>
      </c>
      <c r="X12" s="45">
        <v>11.2</v>
      </c>
      <c r="Y12" s="45">
        <v>11.2</v>
      </c>
      <c r="Z12" s="45">
        <v>11.2</v>
      </c>
      <c r="AA12" s="45">
        <v>11.2</v>
      </c>
      <c r="AB12" s="45">
        <v>11.2</v>
      </c>
      <c r="AC12" s="45">
        <v>11.2</v>
      </c>
      <c r="AD12" s="45">
        <v>11.2</v>
      </c>
      <c r="AE12" s="45">
        <v>11.2</v>
      </c>
      <c r="AF12" s="45">
        <v>11.2</v>
      </c>
      <c r="AG12" s="49">
        <v>54</v>
      </c>
      <c r="AH12" s="47">
        <f t="shared" si="2"/>
        <v>11.2</v>
      </c>
      <c r="AI12" s="48">
        <f t="shared" si="3"/>
        <v>11.2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15.5</v>
      </c>
      <c r="C13" s="45">
        <v>15.5</v>
      </c>
      <c r="D13" s="45">
        <v>15.5</v>
      </c>
      <c r="E13" s="45">
        <v>15.5</v>
      </c>
      <c r="F13" s="45">
        <v>15.5</v>
      </c>
      <c r="G13" s="45">
        <v>15.5</v>
      </c>
      <c r="H13" s="45">
        <v>15.5</v>
      </c>
      <c r="I13" s="45">
        <v>15.5</v>
      </c>
      <c r="J13" s="45">
        <v>15.5</v>
      </c>
      <c r="K13" s="45">
        <v>15.5</v>
      </c>
      <c r="L13" s="45">
        <v>15.5</v>
      </c>
      <c r="M13" s="45">
        <v>15.5</v>
      </c>
      <c r="N13" s="45">
        <v>15.5</v>
      </c>
      <c r="O13" s="45">
        <v>15.5</v>
      </c>
      <c r="P13" s="45">
        <v>15.5</v>
      </c>
      <c r="Q13" s="45">
        <v>15.5</v>
      </c>
      <c r="R13" s="45">
        <v>15.5</v>
      </c>
      <c r="S13" s="45">
        <v>15.5</v>
      </c>
      <c r="T13" s="45">
        <v>15.5</v>
      </c>
      <c r="U13" s="45">
        <v>15.5</v>
      </c>
      <c r="V13" s="45">
        <v>15.5</v>
      </c>
      <c r="W13" s="45">
        <v>15.5</v>
      </c>
      <c r="X13" s="45">
        <v>15.5</v>
      </c>
      <c r="Y13" s="45">
        <v>15.5</v>
      </c>
      <c r="Z13" s="45">
        <v>15.5</v>
      </c>
      <c r="AA13" s="45">
        <v>15.5</v>
      </c>
      <c r="AB13" s="45">
        <v>15.5</v>
      </c>
      <c r="AC13" s="45">
        <v>15.5</v>
      </c>
      <c r="AD13" s="45">
        <v>15.5</v>
      </c>
      <c r="AE13" s="45">
        <v>15.5</v>
      </c>
      <c r="AF13" s="45">
        <v>15.5</v>
      </c>
      <c r="AG13" s="49">
        <v>54</v>
      </c>
      <c r="AH13" s="47">
        <f t="shared" si="2"/>
        <v>15.5</v>
      </c>
      <c r="AI13" s="48">
        <f t="shared" si="3"/>
        <v>15.5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15.4</v>
      </c>
      <c r="C14" s="45">
        <v>15.4</v>
      </c>
      <c r="D14" s="45">
        <v>15.4</v>
      </c>
      <c r="E14" s="45">
        <v>15.4</v>
      </c>
      <c r="F14" s="45">
        <v>15.4</v>
      </c>
      <c r="G14" s="45">
        <v>15.4</v>
      </c>
      <c r="H14" s="45">
        <v>15.4</v>
      </c>
      <c r="I14" s="45">
        <v>15.4</v>
      </c>
      <c r="J14" s="45">
        <v>15.4</v>
      </c>
      <c r="K14" s="45">
        <v>15.4</v>
      </c>
      <c r="L14" s="45">
        <v>15.4</v>
      </c>
      <c r="M14" s="45">
        <v>15.4</v>
      </c>
      <c r="N14" s="45">
        <v>15.4</v>
      </c>
      <c r="O14" s="45">
        <v>15.4</v>
      </c>
      <c r="P14" s="45">
        <v>15.4</v>
      </c>
      <c r="Q14" s="45">
        <v>15.4</v>
      </c>
      <c r="R14" s="45">
        <v>15.4</v>
      </c>
      <c r="S14" s="45">
        <v>16.2</v>
      </c>
      <c r="T14" s="45">
        <v>16.2</v>
      </c>
      <c r="U14" s="45">
        <v>16.2</v>
      </c>
      <c r="V14" s="45">
        <v>16.2</v>
      </c>
      <c r="W14" s="45">
        <v>16.2</v>
      </c>
      <c r="X14" s="45">
        <v>16.2</v>
      </c>
      <c r="Y14" s="45">
        <v>16.2</v>
      </c>
      <c r="Z14" s="45">
        <v>16.2</v>
      </c>
      <c r="AA14" s="45">
        <v>16.2</v>
      </c>
      <c r="AB14" s="45">
        <v>16.2</v>
      </c>
      <c r="AC14" s="45">
        <v>16.2</v>
      </c>
      <c r="AD14" s="45">
        <v>16.2</v>
      </c>
      <c r="AE14" s="45">
        <v>17.100000000000001</v>
      </c>
      <c r="AF14" s="45">
        <v>16.8</v>
      </c>
      <c r="AG14" s="46">
        <v>52.4</v>
      </c>
      <c r="AH14" s="47">
        <f t="shared" si="2"/>
        <v>17.100000000000001</v>
      </c>
      <c r="AI14" s="48">
        <f t="shared" si="3"/>
        <v>15.4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34.1</v>
      </c>
      <c r="C15" s="45">
        <v>34.1</v>
      </c>
      <c r="D15" s="45">
        <v>34.1</v>
      </c>
      <c r="E15" s="45">
        <v>34.1</v>
      </c>
      <c r="F15" s="45">
        <v>34.1</v>
      </c>
      <c r="G15" s="45">
        <v>34.1</v>
      </c>
      <c r="H15" s="45">
        <v>34.1</v>
      </c>
      <c r="I15" s="45">
        <v>34.1</v>
      </c>
      <c r="J15" s="45">
        <v>34.1</v>
      </c>
      <c r="K15" s="45">
        <v>34.1</v>
      </c>
      <c r="L15" s="45">
        <v>34.1</v>
      </c>
      <c r="M15" s="45">
        <v>34.1</v>
      </c>
      <c r="N15" s="45">
        <v>34.1</v>
      </c>
      <c r="O15" s="45">
        <v>34.1</v>
      </c>
      <c r="P15" s="45">
        <v>34.1</v>
      </c>
      <c r="Q15" s="45">
        <v>34.1</v>
      </c>
      <c r="R15" s="45">
        <v>34.1</v>
      </c>
      <c r="S15" s="45">
        <v>34.5</v>
      </c>
      <c r="T15" s="45">
        <v>34.5</v>
      </c>
      <c r="U15" s="45">
        <v>34.5</v>
      </c>
      <c r="V15" s="45">
        <v>34.5</v>
      </c>
      <c r="W15" s="45">
        <v>34.5</v>
      </c>
      <c r="X15" s="45">
        <v>34.5</v>
      </c>
      <c r="Y15" s="51">
        <v>34.5</v>
      </c>
      <c r="Z15" s="51">
        <v>34.5</v>
      </c>
      <c r="AA15" s="51">
        <v>34.5</v>
      </c>
      <c r="AB15" s="51">
        <v>34.5</v>
      </c>
      <c r="AC15" s="51">
        <v>34.5</v>
      </c>
      <c r="AD15" s="51">
        <v>34.5</v>
      </c>
      <c r="AE15" s="51">
        <v>34.200000000000003</v>
      </c>
      <c r="AF15" s="51">
        <v>34.5</v>
      </c>
      <c r="AG15" s="49">
        <v>50</v>
      </c>
      <c r="AH15" s="47">
        <f t="shared" si="2"/>
        <v>34.5</v>
      </c>
      <c r="AI15" s="48">
        <f t="shared" si="3"/>
        <v>34.1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17.100000000000001</v>
      </c>
      <c r="C16" s="45">
        <v>17.100000000000001</v>
      </c>
      <c r="D16" s="45">
        <v>17.100000000000001</v>
      </c>
      <c r="E16" s="45">
        <v>17.100000000000001</v>
      </c>
      <c r="F16" s="45">
        <v>17.100000000000001</v>
      </c>
      <c r="G16" s="45">
        <v>17.100000000000001</v>
      </c>
      <c r="H16" s="45">
        <v>17.100000000000001</v>
      </c>
      <c r="I16" s="45">
        <v>17.100000000000001</v>
      </c>
      <c r="J16" s="45">
        <v>17.100000000000001</v>
      </c>
      <c r="K16" s="45">
        <v>17.100000000000001</v>
      </c>
      <c r="L16" s="45">
        <v>17.100000000000001</v>
      </c>
      <c r="M16" s="45">
        <v>17.100000000000001</v>
      </c>
      <c r="N16" s="45">
        <v>17.100000000000001</v>
      </c>
      <c r="O16" s="45">
        <v>17.100000000000001</v>
      </c>
      <c r="P16" s="45">
        <v>17.100000000000001</v>
      </c>
      <c r="Q16" s="45">
        <v>17.100000000000001</v>
      </c>
      <c r="R16" s="45">
        <v>17.100000000000001</v>
      </c>
      <c r="S16" s="45">
        <v>17.100000000000001</v>
      </c>
      <c r="T16" s="45">
        <v>17.100000000000001</v>
      </c>
      <c r="U16" s="45">
        <v>17.100000000000001</v>
      </c>
      <c r="V16" s="45">
        <v>17.100000000000001</v>
      </c>
      <c r="W16" s="45">
        <v>17.100000000000001</v>
      </c>
      <c r="X16" s="45">
        <v>17.100000000000001</v>
      </c>
      <c r="Y16" s="45">
        <v>17.100000000000001</v>
      </c>
      <c r="Z16" s="45">
        <v>17.100000000000001</v>
      </c>
      <c r="AA16" s="45">
        <v>17.100000000000001</v>
      </c>
      <c r="AB16" s="45">
        <v>17.100000000000001</v>
      </c>
      <c r="AC16" s="45">
        <v>17.100000000000001</v>
      </c>
      <c r="AD16" s="45">
        <v>17.100000000000001</v>
      </c>
      <c r="AE16" s="45">
        <v>17.100000000000001</v>
      </c>
      <c r="AF16" s="45">
        <v>17.100000000000001</v>
      </c>
      <c r="AG16" s="49">
        <v>45</v>
      </c>
      <c r="AH16" s="47">
        <f t="shared" si="2"/>
        <v>17.100000000000001</v>
      </c>
      <c r="AI16" s="48">
        <f t="shared" si="3"/>
        <v>17.100000000000001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16.5</v>
      </c>
      <c r="C17" s="45">
        <v>16.5</v>
      </c>
      <c r="D17" s="45">
        <v>16.5</v>
      </c>
      <c r="E17" s="45">
        <v>16.5</v>
      </c>
      <c r="F17" s="45">
        <v>16.5</v>
      </c>
      <c r="G17" s="45">
        <v>16.5</v>
      </c>
      <c r="H17" s="45">
        <v>16.5</v>
      </c>
      <c r="I17" s="45">
        <v>16.5</v>
      </c>
      <c r="J17" s="45">
        <v>16.5</v>
      </c>
      <c r="K17" s="45">
        <v>16.5</v>
      </c>
      <c r="L17" s="45">
        <v>16.5</v>
      </c>
      <c r="M17" s="45">
        <v>16.5</v>
      </c>
      <c r="N17" s="45">
        <v>16.5</v>
      </c>
      <c r="O17" s="45">
        <v>16.5</v>
      </c>
      <c r="P17" s="45">
        <v>16.5</v>
      </c>
      <c r="Q17" s="45">
        <v>16.5</v>
      </c>
      <c r="R17" s="45">
        <v>16.5</v>
      </c>
      <c r="S17" s="45">
        <v>16.5</v>
      </c>
      <c r="T17" s="45">
        <v>16.5</v>
      </c>
      <c r="U17" s="45">
        <v>16.5</v>
      </c>
      <c r="V17" s="45">
        <v>16.5</v>
      </c>
      <c r="W17" s="45">
        <v>16.5</v>
      </c>
      <c r="X17" s="45">
        <v>16.5</v>
      </c>
      <c r="Y17" s="45">
        <v>16.5</v>
      </c>
      <c r="Z17" s="45">
        <v>16.5</v>
      </c>
      <c r="AA17" s="45">
        <v>16.5</v>
      </c>
      <c r="AB17" s="45">
        <v>16.5</v>
      </c>
      <c r="AC17" s="45">
        <v>16.5</v>
      </c>
      <c r="AD17" s="45">
        <v>16.5</v>
      </c>
      <c r="AE17" s="45">
        <v>16.5</v>
      </c>
      <c r="AF17" s="45">
        <v>16.5</v>
      </c>
      <c r="AG17" s="49">
        <v>44</v>
      </c>
      <c r="AH17" s="47">
        <f>MAX(B17:AG17)</f>
        <v>44</v>
      </c>
      <c r="AI17" s="48">
        <f>MIN(B17:AG17)</f>
        <v>16.5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9</v>
      </c>
      <c r="C18" s="45">
        <v>9</v>
      </c>
      <c r="D18" s="45">
        <v>9</v>
      </c>
      <c r="E18" s="45">
        <v>9</v>
      </c>
      <c r="F18" s="45">
        <v>9</v>
      </c>
      <c r="G18" s="45">
        <v>9</v>
      </c>
      <c r="H18" s="45">
        <v>9</v>
      </c>
      <c r="I18" s="45">
        <v>9</v>
      </c>
      <c r="J18" s="45">
        <v>9</v>
      </c>
      <c r="K18" s="45">
        <v>9</v>
      </c>
      <c r="L18" s="45">
        <v>9</v>
      </c>
      <c r="M18" s="45">
        <v>9</v>
      </c>
      <c r="N18" s="45">
        <v>9</v>
      </c>
      <c r="O18" s="45">
        <v>9</v>
      </c>
      <c r="P18" s="45">
        <v>9</v>
      </c>
      <c r="Q18" s="45">
        <v>9</v>
      </c>
      <c r="R18" s="45">
        <v>9</v>
      </c>
      <c r="S18" s="45">
        <v>14</v>
      </c>
      <c r="T18" s="45">
        <v>14</v>
      </c>
      <c r="U18" s="45">
        <v>14</v>
      </c>
      <c r="V18" s="45">
        <v>14</v>
      </c>
      <c r="W18" s="45">
        <v>14</v>
      </c>
      <c r="X18" s="45">
        <v>14</v>
      </c>
      <c r="Y18" s="45">
        <v>14</v>
      </c>
      <c r="Z18" s="45">
        <v>14</v>
      </c>
      <c r="AA18" s="45">
        <v>14</v>
      </c>
      <c r="AB18" s="45">
        <v>10</v>
      </c>
      <c r="AC18" s="45">
        <v>10</v>
      </c>
      <c r="AD18" s="45">
        <v>10</v>
      </c>
      <c r="AE18" s="45">
        <v>10</v>
      </c>
      <c r="AF18" s="45">
        <v>10</v>
      </c>
      <c r="AG18" s="49">
        <v>42</v>
      </c>
      <c r="AH18" s="47">
        <f t="shared" si="2"/>
        <v>14</v>
      </c>
      <c r="AI18" s="48">
        <f t="shared" si="3"/>
        <v>9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263</v>
      </c>
      <c r="B19" s="45">
        <v>15.4</v>
      </c>
      <c r="C19" s="45">
        <v>15.4</v>
      </c>
      <c r="D19" s="45">
        <v>15.4</v>
      </c>
      <c r="E19" s="45">
        <v>15.4</v>
      </c>
      <c r="F19" s="45">
        <v>15.4</v>
      </c>
      <c r="G19" s="45">
        <v>15.4</v>
      </c>
      <c r="H19" s="45">
        <v>15.4</v>
      </c>
      <c r="I19" s="45">
        <v>15.4</v>
      </c>
      <c r="J19" s="45">
        <v>15.4</v>
      </c>
      <c r="K19" s="45">
        <v>15.4</v>
      </c>
      <c r="L19" s="45">
        <v>15.4</v>
      </c>
      <c r="M19" s="45">
        <v>15.4</v>
      </c>
      <c r="N19" s="45">
        <v>15.4</v>
      </c>
      <c r="O19" s="45">
        <v>15.4</v>
      </c>
      <c r="P19" s="45">
        <v>15.4</v>
      </c>
      <c r="Q19" s="45">
        <v>15.4</v>
      </c>
      <c r="R19" s="45">
        <v>15.4</v>
      </c>
      <c r="S19" s="45">
        <v>15.4</v>
      </c>
      <c r="T19" s="45">
        <v>15.4</v>
      </c>
      <c r="U19" s="45">
        <v>15.4</v>
      </c>
      <c r="V19" s="45">
        <v>15.4</v>
      </c>
      <c r="W19" s="45">
        <v>15.4</v>
      </c>
      <c r="X19" s="45">
        <v>15.4</v>
      </c>
      <c r="Y19" s="45">
        <v>15.4</v>
      </c>
      <c r="Z19" s="45">
        <v>15.4</v>
      </c>
      <c r="AA19" s="45">
        <v>15.4</v>
      </c>
      <c r="AB19" s="45">
        <v>15.4</v>
      </c>
      <c r="AC19" s="45">
        <v>15.4</v>
      </c>
      <c r="AD19" s="45">
        <v>15.4</v>
      </c>
      <c r="AE19" s="45">
        <v>15.4</v>
      </c>
      <c r="AF19" s="45">
        <v>15.4</v>
      </c>
      <c r="AG19" s="49">
        <v>38.46</v>
      </c>
      <c r="AH19" s="47">
        <f t="shared" si="2"/>
        <v>15.4</v>
      </c>
      <c r="AI19" s="48">
        <f t="shared" si="3"/>
        <v>15.4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10.199999999999999</v>
      </c>
      <c r="C20" s="45">
        <v>10.199999999999999</v>
      </c>
      <c r="D20" s="45">
        <v>10.199999999999999</v>
      </c>
      <c r="E20" s="45">
        <v>10.199999999999999</v>
      </c>
      <c r="F20" s="45">
        <v>10.199999999999999</v>
      </c>
      <c r="G20" s="45">
        <v>10.199999999999999</v>
      </c>
      <c r="H20" s="45">
        <v>10.199999999999999</v>
      </c>
      <c r="I20" s="45">
        <v>10.199999999999999</v>
      </c>
      <c r="J20" s="45">
        <v>10.199999999999999</v>
      </c>
      <c r="K20" s="45">
        <v>10.199999999999999</v>
      </c>
      <c r="L20" s="45">
        <v>10.199999999999999</v>
      </c>
      <c r="M20" s="45">
        <v>10.199999999999999</v>
      </c>
      <c r="N20" s="45">
        <v>10.199999999999999</v>
      </c>
      <c r="O20" s="45">
        <v>10.199999999999999</v>
      </c>
      <c r="P20" s="45">
        <v>10.199999999999999</v>
      </c>
      <c r="Q20" s="45">
        <v>10.199999999999999</v>
      </c>
      <c r="R20" s="45">
        <v>10.199999999999999</v>
      </c>
      <c r="S20" s="45">
        <v>10.199999999999999</v>
      </c>
      <c r="T20" s="45">
        <v>10.199999999999999</v>
      </c>
      <c r="U20" s="45">
        <v>10.199999999999999</v>
      </c>
      <c r="V20" s="45">
        <v>10.199999999999999</v>
      </c>
      <c r="W20" s="45">
        <v>10.199999999999999</v>
      </c>
      <c r="X20" s="45">
        <v>10.199999999999999</v>
      </c>
      <c r="Y20" s="45">
        <v>10.199999999999999</v>
      </c>
      <c r="Z20" s="45">
        <v>10.199999999999999</v>
      </c>
      <c r="AA20" s="45">
        <v>10.199999999999999</v>
      </c>
      <c r="AB20" s="45">
        <v>10.199999999999999</v>
      </c>
      <c r="AC20" s="45">
        <v>10.199999999999999</v>
      </c>
      <c r="AD20" s="45">
        <v>10.199999999999999</v>
      </c>
      <c r="AE20" s="45">
        <v>10.199999999999999</v>
      </c>
      <c r="AF20" s="45">
        <v>10.199999999999999</v>
      </c>
      <c r="AG20" s="49">
        <v>38.46</v>
      </c>
      <c r="AH20" s="47">
        <f t="shared" si="2"/>
        <v>10.199999999999999</v>
      </c>
      <c r="AI20" s="48">
        <f t="shared" si="3"/>
        <v>10.199999999999999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13.6</v>
      </c>
      <c r="C21" s="45">
        <v>13.6</v>
      </c>
      <c r="D21" s="45">
        <v>13.6</v>
      </c>
      <c r="E21" s="45">
        <v>13.6</v>
      </c>
      <c r="F21" s="45">
        <v>13.6</v>
      </c>
      <c r="G21" s="45">
        <v>13.6</v>
      </c>
      <c r="H21" s="45">
        <v>13.6</v>
      </c>
      <c r="I21" s="45">
        <v>13.6</v>
      </c>
      <c r="J21" s="45">
        <v>13.6</v>
      </c>
      <c r="K21" s="45">
        <v>13.6</v>
      </c>
      <c r="L21" s="45">
        <v>13.6</v>
      </c>
      <c r="M21" s="45">
        <v>13.6</v>
      </c>
      <c r="N21" s="45">
        <v>13.6</v>
      </c>
      <c r="O21" s="45">
        <v>13.6</v>
      </c>
      <c r="P21" s="45">
        <v>13.6</v>
      </c>
      <c r="Q21" s="45">
        <v>13.6</v>
      </c>
      <c r="R21" s="45">
        <v>13.6</v>
      </c>
      <c r="S21" s="45">
        <v>13.6</v>
      </c>
      <c r="T21" s="45">
        <v>13.6</v>
      </c>
      <c r="U21" s="45">
        <v>13.6</v>
      </c>
      <c r="V21" s="45">
        <v>13.6</v>
      </c>
      <c r="W21" s="45">
        <v>13.6</v>
      </c>
      <c r="X21" s="45">
        <v>13.6</v>
      </c>
      <c r="Y21" s="45">
        <v>13.6</v>
      </c>
      <c r="Z21" s="45">
        <v>13.6</v>
      </c>
      <c r="AA21" s="45">
        <v>13.6</v>
      </c>
      <c r="AB21" s="45">
        <v>13.6</v>
      </c>
      <c r="AC21" s="45">
        <v>13.6</v>
      </c>
      <c r="AD21" s="45">
        <v>13.6</v>
      </c>
      <c r="AE21" s="45">
        <v>13.6</v>
      </c>
      <c r="AF21" s="45">
        <v>13.6</v>
      </c>
      <c r="AG21" s="49">
        <v>36</v>
      </c>
      <c r="AH21" s="47">
        <f t="shared" si="2"/>
        <v>13.6</v>
      </c>
      <c r="AI21" s="48">
        <f t="shared" si="3"/>
        <v>13.6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9.3000000000000007</v>
      </c>
      <c r="C22" s="45">
        <v>9.3000000000000007</v>
      </c>
      <c r="D22" s="45">
        <v>9.3000000000000007</v>
      </c>
      <c r="E22" s="45">
        <v>9.3000000000000007</v>
      </c>
      <c r="F22" s="45">
        <v>9.3000000000000007</v>
      </c>
      <c r="G22" s="45">
        <v>9.3000000000000007</v>
      </c>
      <c r="H22" s="45">
        <v>9.3000000000000007</v>
      </c>
      <c r="I22" s="45">
        <v>9.3000000000000007</v>
      </c>
      <c r="J22" s="45">
        <v>9.3000000000000007</v>
      </c>
      <c r="K22" s="45">
        <v>9.3000000000000007</v>
      </c>
      <c r="L22" s="45">
        <v>9.3000000000000007</v>
      </c>
      <c r="M22" s="45">
        <v>9.3000000000000007</v>
      </c>
      <c r="N22" s="45">
        <v>9.3000000000000007</v>
      </c>
      <c r="O22" s="45">
        <v>9.3000000000000007</v>
      </c>
      <c r="P22" s="45">
        <v>9.3000000000000007</v>
      </c>
      <c r="Q22" s="45">
        <v>9.3000000000000007</v>
      </c>
      <c r="R22" s="45">
        <v>9.3000000000000007</v>
      </c>
      <c r="S22" s="45">
        <v>9.3000000000000007</v>
      </c>
      <c r="T22" s="45">
        <v>9.3000000000000007</v>
      </c>
      <c r="U22" s="45">
        <v>9.3000000000000007</v>
      </c>
      <c r="V22" s="45">
        <v>9.3000000000000007</v>
      </c>
      <c r="W22" s="45">
        <v>9.3000000000000007</v>
      </c>
      <c r="X22" s="45">
        <v>9.3000000000000007</v>
      </c>
      <c r="Y22" s="45">
        <v>9.3000000000000007</v>
      </c>
      <c r="Z22" s="45">
        <v>9.3000000000000007</v>
      </c>
      <c r="AA22" s="45">
        <v>9.3000000000000007</v>
      </c>
      <c r="AB22" s="45">
        <v>9.3000000000000007</v>
      </c>
      <c r="AC22" s="45">
        <v>9.3000000000000007</v>
      </c>
      <c r="AD22" s="45">
        <v>9.3000000000000007</v>
      </c>
      <c r="AE22" s="45">
        <v>9.4</v>
      </c>
      <c r="AF22" s="45">
        <v>9.4</v>
      </c>
      <c r="AG22" s="52">
        <v>30</v>
      </c>
      <c r="AH22" s="47">
        <f t="shared" si="2"/>
        <v>9.4</v>
      </c>
      <c r="AI22" s="48">
        <f t="shared" si="3"/>
        <v>9.3000000000000007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9</v>
      </c>
      <c r="C23" s="45">
        <v>9</v>
      </c>
      <c r="D23" s="45">
        <v>9</v>
      </c>
      <c r="E23" s="45">
        <v>9</v>
      </c>
      <c r="F23" s="45">
        <v>9</v>
      </c>
      <c r="G23" s="45">
        <v>9</v>
      </c>
      <c r="H23" s="45">
        <v>9</v>
      </c>
      <c r="I23" s="45">
        <v>9</v>
      </c>
      <c r="J23" s="45">
        <v>9</v>
      </c>
      <c r="K23" s="45">
        <v>9</v>
      </c>
      <c r="L23" s="45">
        <v>9</v>
      </c>
      <c r="M23" s="45">
        <v>9</v>
      </c>
      <c r="N23" s="45">
        <v>9</v>
      </c>
      <c r="O23" s="45">
        <v>9</v>
      </c>
      <c r="P23" s="45">
        <v>9</v>
      </c>
      <c r="Q23" s="45">
        <v>9</v>
      </c>
      <c r="R23" s="45">
        <v>9</v>
      </c>
      <c r="S23" s="45">
        <v>9</v>
      </c>
      <c r="T23" s="45">
        <v>9</v>
      </c>
      <c r="U23" s="45">
        <v>9</v>
      </c>
      <c r="V23" s="45">
        <v>9</v>
      </c>
      <c r="W23" s="45">
        <v>9</v>
      </c>
      <c r="X23" s="45">
        <v>9</v>
      </c>
      <c r="Y23" s="45">
        <v>9</v>
      </c>
      <c r="Z23" s="45">
        <v>9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9</v>
      </c>
      <c r="AG23" s="49">
        <v>24.2</v>
      </c>
      <c r="AH23" s="47">
        <f t="shared" si="2"/>
        <v>9</v>
      </c>
      <c r="AI23" s="48">
        <f t="shared" si="3"/>
        <v>9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10.3</v>
      </c>
      <c r="C24" s="45">
        <v>10.3</v>
      </c>
      <c r="D24" s="45">
        <v>10.3</v>
      </c>
      <c r="E24" s="45">
        <v>10.3</v>
      </c>
      <c r="F24" s="45">
        <v>10.3</v>
      </c>
      <c r="G24" s="45">
        <v>10.3</v>
      </c>
      <c r="H24" s="45">
        <v>10.3</v>
      </c>
      <c r="I24" s="45">
        <v>10.3</v>
      </c>
      <c r="J24" s="45">
        <v>10.3</v>
      </c>
      <c r="K24" s="45">
        <v>10.3</v>
      </c>
      <c r="L24" s="45">
        <v>10.3</v>
      </c>
      <c r="M24" s="45">
        <v>10.3</v>
      </c>
      <c r="N24" s="45">
        <v>10.3</v>
      </c>
      <c r="O24" s="45">
        <v>10.3</v>
      </c>
      <c r="P24" s="45">
        <v>10.3</v>
      </c>
      <c r="Q24" s="45">
        <v>10.3</v>
      </c>
      <c r="R24" s="45">
        <v>10.3</v>
      </c>
      <c r="S24" s="45">
        <v>8.9</v>
      </c>
      <c r="T24" s="45">
        <v>8.9</v>
      </c>
      <c r="U24" s="45">
        <v>8.9</v>
      </c>
      <c r="V24" s="45">
        <v>8.9</v>
      </c>
      <c r="W24" s="45">
        <v>8.9</v>
      </c>
      <c r="X24" s="45">
        <v>8.9</v>
      </c>
      <c r="Y24" s="45">
        <v>8.9</v>
      </c>
      <c r="Z24" s="45">
        <v>8.9</v>
      </c>
      <c r="AA24" s="45">
        <v>8.9</v>
      </c>
      <c r="AB24" s="45">
        <v>8.9</v>
      </c>
      <c r="AC24" s="45">
        <v>8.9</v>
      </c>
      <c r="AD24" s="45">
        <v>8.9</v>
      </c>
      <c r="AE24" s="45">
        <v>10.1</v>
      </c>
      <c r="AF24" s="45">
        <v>10.1</v>
      </c>
      <c r="AG24" s="49">
        <v>28</v>
      </c>
      <c r="AH24" s="47">
        <f t="shared" si="2"/>
        <v>10.3</v>
      </c>
      <c r="AI24" s="48">
        <f t="shared" si="3"/>
        <v>8.9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7.9</v>
      </c>
      <c r="C25" s="45">
        <v>7.9</v>
      </c>
      <c r="D25" s="45">
        <v>7.9</v>
      </c>
      <c r="E25" s="45">
        <v>7.9</v>
      </c>
      <c r="F25" s="45">
        <v>7.9</v>
      </c>
      <c r="G25" s="45">
        <v>7.9</v>
      </c>
      <c r="H25" s="45">
        <v>7.9</v>
      </c>
      <c r="I25" s="45">
        <v>7.9</v>
      </c>
      <c r="J25" s="45">
        <v>7.9</v>
      </c>
      <c r="K25" s="45">
        <v>7.9</v>
      </c>
      <c r="L25" s="45">
        <v>7.9</v>
      </c>
      <c r="M25" s="45">
        <v>7.9</v>
      </c>
      <c r="N25" s="45">
        <v>7.9</v>
      </c>
      <c r="O25" s="45">
        <v>7.9</v>
      </c>
      <c r="P25" s="45">
        <v>7.9</v>
      </c>
      <c r="Q25" s="45">
        <v>7.9</v>
      </c>
      <c r="R25" s="45">
        <v>7.9</v>
      </c>
      <c r="S25" s="45">
        <v>8.1999999999999993</v>
      </c>
      <c r="T25" s="45">
        <v>8.1999999999999993</v>
      </c>
      <c r="U25" s="45">
        <v>8.1999999999999993</v>
      </c>
      <c r="V25" s="45">
        <v>8.1999999999999993</v>
      </c>
      <c r="W25" s="45">
        <v>8.1999999999999993</v>
      </c>
      <c r="X25" s="45">
        <v>8.1999999999999993</v>
      </c>
      <c r="Y25" s="45">
        <v>8.1999999999999993</v>
      </c>
      <c r="Z25" s="45">
        <v>8.1999999999999993</v>
      </c>
      <c r="AA25" s="45">
        <v>8.1999999999999993</v>
      </c>
      <c r="AB25" s="45">
        <v>8.1999999999999993</v>
      </c>
      <c r="AC25" s="45">
        <v>8.1999999999999993</v>
      </c>
      <c r="AD25" s="45">
        <v>8.1999999999999993</v>
      </c>
      <c r="AE25" s="45">
        <v>9</v>
      </c>
      <c r="AF25" s="45">
        <v>9</v>
      </c>
      <c r="AG25" s="52">
        <v>30</v>
      </c>
      <c r="AH25" s="47">
        <f t="shared" si="2"/>
        <v>9</v>
      </c>
      <c r="AI25" s="48">
        <f t="shared" si="3"/>
        <v>7.9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10</v>
      </c>
      <c r="C26" s="45">
        <v>10</v>
      </c>
      <c r="D26" s="45">
        <v>10</v>
      </c>
      <c r="E26" s="45">
        <v>10</v>
      </c>
      <c r="F26" s="45">
        <v>10</v>
      </c>
      <c r="G26" s="45">
        <v>10</v>
      </c>
      <c r="H26" s="45">
        <v>10</v>
      </c>
      <c r="I26" s="45">
        <v>10</v>
      </c>
      <c r="J26" s="45">
        <v>10</v>
      </c>
      <c r="K26" s="45">
        <v>10</v>
      </c>
      <c r="L26" s="45">
        <v>10</v>
      </c>
      <c r="M26" s="45">
        <v>10</v>
      </c>
      <c r="N26" s="45">
        <v>10</v>
      </c>
      <c r="O26" s="45">
        <v>10</v>
      </c>
      <c r="P26" s="45">
        <v>10</v>
      </c>
      <c r="Q26" s="45">
        <v>10</v>
      </c>
      <c r="R26" s="45">
        <v>10</v>
      </c>
      <c r="S26" s="45">
        <v>11.1</v>
      </c>
      <c r="T26" s="45">
        <v>11.1</v>
      </c>
      <c r="U26" s="45">
        <v>11.1</v>
      </c>
      <c r="V26" s="45">
        <v>11.1</v>
      </c>
      <c r="W26" s="45">
        <v>11.1</v>
      </c>
      <c r="X26" s="45">
        <v>11.1</v>
      </c>
      <c r="Y26" s="45">
        <v>11.1</v>
      </c>
      <c r="Z26" s="45">
        <v>11.1</v>
      </c>
      <c r="AA26" s="45">
        <v>11.1</v>
      </c>
      <c r="AB26" s="45">
        <v>11.1</v>
      </c>
      <c r="AC26" s="45">
        <v>11.1</v>
      </c>
      <c r="AD26" s="45">
        <v>11.1</v>
      </c>
      <c r="AE26" s="45">
        <v>10.1</v>
      </c>
      <c r="AF26" s="45">
        <v>11.1</v>
      </c>
      <c r="AG26" s="49">
        <v>25</v>
      </c>
      <c r="AH26" s="47">
        <f t="shared" si="2"/>
        <v>11.1</v>
      </c>
      <c r="AI26" s="48">
        <f t="shared" si="3"/>
        <v>10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0</v>
      </c>
      <c r="C27" s="45">
        <v>0</v>
      </c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9">
        <v>25</v>
      </c>
      <c r="AH27" s="47">
        <f t="shared" si="2"/>
        <v>0</v>
      </c>
      <c r="AI27" s="48">
        <f t="shared" si="3"/>
        <v>0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7.5</v>
      </c>
      <c r="C28" s="45">
        <v>7.5</v>
      </c>
      <c r="D28" s="45">
        <v>7.5</v>
      </c>
      <c r="E28" s="45">
        <v>7.5</v>
      </c>
      <c r="F28" s="45">
        <v>7.5</v>
      </c>
      <c r="G28" s="45">
        <v>7.5</v>
      </c>
      <c r="H28" s="45">
        <v>7.5</v>
      </c>
      <c r="I28" s="45">
        <v>7.5</v>
      </c>
      <c r="J28" s="45">
        <v>7.5</v>
      </c>
      <c r="K28" s="45">
        <v>7.5</v>
      </c>
      <c r="L28" s="45">
        <v>7.5</v>
      </c>
      <c r="M28" s="45">
        <v>7.5</v>
      </c>
      <c r="N28" s="45">
        <v>7.5</v>
      </c>
      <c r="O28" s="45">
        <v>7.5</v>
      </c>
      <c r="P28" s="45">
        <v>7.5</v>
      </c>
      <c r="Q28" s="45">
        <v>7.5</v>
      </c>
      <c r="R28" s="45">
        <v>7.5</v>
      </c>
      <c r="S28" s="45">
        <v>7.5</v>
      </c>
      <c r="T28" s="45">
        <v>7.5</v>
      </c>
      <c r="U28" s="45">
        <v>7.5</v>
      </c>
      <c r="V28" s="45">
        <v>7.5</v>
      </c>
      <c r="W28" s="45">
        <v>7.5</v>
      </c>
      <c r="X28" s="45">
        <v>7.5</v>
      </c>
      <c r="Y28" s="45">
        <v>7.5</v>
      </c>
      <c r="Z28" s="45">
        <v>7.5</v>
      </c>
      <c r="AA28" s="45">
        <v>7.5</v>
      </c>
      <c r="AB28" s="45">
        <v>7.5</v>
      </c>
      <c r="AC28" s="45">
        <v>7.5</v>
      </c>
      <c r="AD28" s="45">
        <v>7.5</v>
      </c>
      <c r="AE28" s="45">
        <v>7.5</v>
      </c>
      <c r="AF28" s="45">
        <v>7.5</v>
      </c>
      <c r="AG28" s="49">
        <v>25</v>
      </c>
      <c r="AH28" s="47">
        <f t="shared" si="2"/>
        <v>7.5</v>
      </c>
      <c r="AI28" s="48">
        <f t="shared" si="3"/>
        <v>7.5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9</v>
      </c>
      <c r="C29" s="45">
        <v>9</v>
      </c>
      <c r="D29" s="45">
        <v>9</v>
      </c>
      <c r="E29" s="45">
        <v>9</v>
      </c>
      <c r="F29" s="45">
        <v>9</v>
      </c>
      <c r="G29" s="45">
        <v>9</v>
      </c>
      <c r="H29" s="45">
        <v>9</v>
      </c>
      <c r="I29" s="45">
        <v>9</v>
      </c>
      <c r="J29" s="45">
        <v>9</v>
      </c>
      <c r="K29" s="45">
        <v>9</v>
      </c>
      <c r="L29" s="45">
        <v>9</v>
      </c>
      <c r="M29" s="45">
        <v>9</v>
      </c>
      <c r="N29" s="45">
        <v>9</v>
      </c>
      <c r="O29" s="45">
        <v>9</v>
      </c>
      <c r="P29" s="45">
        <v>9</v>
      </c>
      <c r="Q29" s="45">
        <v>9</v>
      </c>
      <c r="R29" s="45">
        <v>9</v>
      </c>
      <c r="S29" s="45">
        <v>9.4</v>
      </c>
      <c r="T29" s="45">
        <v>9.4</v>
      </c>
      <c r="U29" s="45">
        <v>9.4</v>
      </c>
      <c r="V29" s="45">
        <v>9.4</v>
      </c>
      <c r="W29" s="45">
        <v>9.4</v>
      </c>
      <c r="X29" s="45">
        <v>9.4</v>
      </c>
      <c r="Y29" s="45">
        <v>9.4</v>
      </c>
      <c r="Z29" s="45">
        <v>9.4</v>
      </c>
      <c r="AA29" s="45">
        <v>9.4</v>
      </c>
      <c r="AB29" s="45">
        <v>9.4</v>
      </c>
      <c r="AC29" s="45">
        <v>9.4</v>
      </c>
      <c r="AD29" s="45">
        <v>9.4</v>
      </c>
      <c r="AE29" s="45">
        <v>9.1999999999999993</v>
      </c>
      <c r="AF29" s="45">
        <v>9.4</v>
      </c>
      <c r="AG29" s="49">
        <v>25</v>
      </c>
      <c r="AH29" s="47">
        <f t="shared" si="2"/>
        <v>9.4</v>
      </c>
      <c r="AI29" s="48">
        <f t="shared" si="3"/>
        <v>9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7.1</v>
      </c>
      <c r="C30" s="45">
        <v>7.1</v>
      </c>
      <c r="D30" s="45">
        <v>7.1</v>
      </c>
      <c r="E30" s="45">
        <v>7.1</v>
      </c>
      <c r="F30" s="45">
        <v>7.1</v>
      </c>
      <c r="G30" s="45">
        <v>7.1</v>
      </c>
      <c r="H30" s="45">
        <v>7.1</v>
      </c>
      <c r="I30" s="45">
        <v>7.1</v>
      </c>
      <c r="J30" s="45">
        <v>7.1</v>
      </c>
      <c r="K30" s="45">
        <v>7.1</v>
      </c>
      <c r="L30" s="45">
        <v>7.1</v>
      </c>
      <c r="M30" s="45">
        <v>7.1</v>
      </c>
      <c r="N30" s="45">
        <v>7.1</v>
      </c>
      <c r="O30" s="45">
        <v>7.1</v>
      </c>
      <c r="P30" s="45">
        <v>7.1</v>
      </c>
      <c r="Q30" s="45">
        <v>7.1</v>
      </c>
      <c r="R30" s="45">
        <v>7.1</v>
      </c>
      <c r="S30" s="45">
        <v>7.1</v>
      </c>
      <c r="T30" s="45">
        <v>7.1</v>
      </c>
      <c r="U30" s="45">
        <v>7.1</v>
      </c>
      <c r="V30" s="45">
        <v>7.1</v>
      </c>
      <c r="W30" s="45">
        <v>7.1</v>
      </c>
      <c r="X30" s="45">
        <v>7.1</v>
      </c>
      <c r="Y30" s="45">
        <v>7.1</v>
      </c>
      <c r="Z30" s="45">
        <v>7.1</v>
      </c>
      <c r="AA30" s="45">
        <v>7.1</v>
      </c>
      <c r="AB30" s="45">
        <v>7.1</v>
      </c>
      <c r="AC30" s="45">
        <v>7.1</v>
      </c>
      <c r="AD30" s="45">
        <v>7.1</v>
      </c>
      <c r="AE30" s="45">
        <v>7.1</v>
      </c>
      <c r="AF30" s="45">
        <v>9.4</v>
      </c>
      <c r="AG30" s="49">
        <v>23.5</v>
      </c>
      <c r="AH30" s="47">
        <f t="shared" si="2"/>
        <v>9.4</v>
      </c>
      <c r="AI30" s="48">
        <f t="shared" si="3"/>
        <v>7.1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4.5</v>
      </c>
      <c r="C31" s="45">
        <v>4.5</v>
      </c>
      <c r="D31" s="45">
        <v>4.5</v>
      </c>
      <c r="E31" s="45">
        <v>4.5</v>
      </c>
      <c r="F31" s="45">
        <v>4.5</v>
      </c>
      <c r="G31" s="45">
        <v>4.5</v>
      </c>
      <c r="H31" s="45">
        <v>4.5</v>
      </c>
      <c r="I31" s="45">
        <v>4.5</v>
      </c>
      <c r="J31" s="45">
        <v>4.5</v>
      </c>
      <c r="K31" s="45">
        <v>4.5</v>
      </c>
      <c r="L31" s="45">
        <v>4.5</v>
      </c>
      <c r="M31" s="45">
        <v>4.5</v>
      </c>
      <c r="N31" s="45">
        <v>4.5</v>
      </c>
      <c r="O31" s="45">
        <v>4.5</v>
      </c>
      <c r="P31" s="45">
        <v>4.5</v>
      </c>
      <c r="Q31" s="45">
        <v>4.5</v>
      </c>
      <c r="R31" s="45">
        <v>4.5</v>
      </c>
      <c r="S31" s="45">
        <v>4.5</v>
      </c>
      <c r="T31" s="45">
        <v>4.5</v>
      </c>
      <c r="U31" s="45">
        <v>4.5</v>
      </c>
      <c r="V31" s="45">
        <v>4.5</v>
      </c>
      <c r="W31" s="45">
        <v>4.5</v>
      </c>
      <c r="X31" s="45">
        <v>4.5</v>
      </c>
      <c r="Y31" s="45">
        <v>4.5</v>
      </c>
      <c r="Z31" s="45">
        <v>4.5</v>
      </c>
      <c r="AA31" s="45">
        <v>4.5</v>
      </c>
      <c r="AB31" s="45">
        <v>4.5</v>
      </c>
      <c r="AC31" s="45">
        <v>4.5</v>
      </c>
      <c r="AD31" s="45">
        <v>4.5</v>
      </c>
      <c r="AE31" s="45">
        <v>4.5</v>
      </c>
      <c r="AF31" s="45">
        <v>4.5</v>
      </c>
      <c r="AG31" s="49">
        <v>22.2</v>
      </c>
      <c r="AH31" s="47">
        <f t="shared" si="2"/>
        <v>4.5</v>
      </c>
      <c r="AI31" s="48">
        <f t="shared" si="3"/>
        <v>4.5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>
        <v>5.5</v>
      </c>
      <c r="N32" s="45">
        <v>5.5</v>
      </c>
      <c r="O32" s="45">
        <v>5.5</v>
      </c>
      <c r="P32" s="45">
        <v>5.5</v>
      </c>
      <c r="Q32" s="45">
        <v>5.5</v>
      </c>
      <c r="R32" s="45">
        <v>5.5</v>
      </c>
      <c r="S32" s="45">
        <v>5.5</v>
      </c>
      <c r="T32" s="45">
        <v>5.5</v>
      </c>
      <c r="U32" s="45">
        <v>5.5</v>
      </c>
      <c r="V32" s="45">
        <v>5.5</v>
      </c>
      <c r="W32" s="45">
        <v>5.5</v>
      </c>
      <c r="X32" s="45">
        <v>5.5</v>
      </c>
      <c r="Y32" s="45">
        <v>5.5</v>
      </c>
      <c r="Z32" s="45">
        <v>5.5</v>
      </c>
      <c r="AA32" s="45">
        <v>5.5</v>
      </c>
      <c r="AB32" s="45">
        <v>5.5</v>
      </c>
      <c r="AC32" s="45">
        <v>5.5</v>
      </c>
      <c r="AD32" s="45">
        <v>5.5</v>
      </c>
      <c r="AE32" s="45">
        <v>5.5</v>
      </c>
      <c r="AF32" s="45">
        <v>5.5</v>
      </c>
      <c r="AG32" s="49">
        <v>22.1</v>
      </c>
      <c r="AH32" s="47">
        <f t="shared" si="2"/>
        <v>5.5</v>
      </c>
      <c r="AI32" s="48">
        <f t="shared" si="3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22</v>
      </c>
      <c r="AH33" s="47">
        <f t="shared" si="2"/>
        <v>6</v>
      </c>
      <c r="AI33" s="48">
        <f t="shared" si="3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9</v>
      </c>
      <c r="C34" s="45">
        <v>9</v>
      </c>
      <c r="D34" s="45">
        <v>9</v>
      </c>
      <c r="E34" s="45">
        <v>9</v>
      </c>
      <c r="F34" s="45">
        <v>9</v>
      </c>
      <c r="G34" s="45">
        <v>9</v>
      </c>
      <c r="H34" s="45">
        <v>9</v>
      </c>
      <c r="I34" s="45">
        <v>9</v>
      </c>
      <c r="J34" s="45">
        <v>9</v>
      </c>
      <c r="K34" s="45">
        <v>9</v>
      </c>
      <c r="L34" s="45">
        <v>9</v>
      </c>
      <c r="M34" s="45">
        <v>9</v>
      </c>
      <c r="N34" s="45">
        <v>9</v>
      </c>
      <c r="O34" s="45">
        <v>9</v>
      </c>
      <c r="P34" s="45">
        <v>9</v>
      </c>
      <c r="Q34" s="45">
        <v>9</v>
      </c>
      <c r="R34" s="45">
        <v>9</v>
      </c>
      <c r="S34" s="45">
        <v>7.5</v>
      </c>
      <c r="T34" s="45">
        <v>7.5</v>
      </c>
      <c r="U34" s="45">
        <v>7.5</v>
      </c>
      <c r="V34" s="45">
        <v>7.5</v>
      </c>
      <c r="W34" s="45">
        <v>7.5</v>
      </c>
      <c r="X34" s="45">
        <v>7.5</v>
      </c>
      <c r="Y34" s="45">
        <v>7.5</v>
      </c>
      <c r="Z34" s="45">
        <v>7.5</v>
      </c>
      <c r="AA34" s="45">
        <v>7.5</v>
      </c>
      <c r="AB34" s="45">
        <v>7.5</v>
      </c>
      <c r="AC34" s="45">
        <v>7.5</v>
      </c>
      <c r="AD34" s="45">
        <v>7.5</v>
      </c>
      <c r="AE34" s="45">
        <v>11.7</v>
      </c>
      <c r="AF34" s="45">
        <v>12.9</v>
      </c>
      <c r="AG34" s="49">
        <v>22</v>
      </c>
      <c r="AH34" s="47">
        <f t="shared" si="2"/>
        <v>12.9</v>
      </c>
      <c r="AI34" s="48">
        <f t="shared" si="3"/>
        <v>7.5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6.5</v>
      </c>
      <c r="C35" s="45">
        <v>6.5</v>
      </c>
      <c r="D35" s="45">
        <v>6.5</v>
      </c>
      <c r="E35" s="45">
        <v>6.5</v>
      </c>
      <c r="F35" s="45">
        <v>6.5</v>
      </c>
      <c r="G35" s="45">
        <v>6.5</v>
      </c>
      <c r="H35" s="45">
        <v>6.5</v>
      </c>
      <c r="I35" s="45">
        <v>6.5</v>
      </c>
      <c r="J35" s="45">
        <v>6.5</v>
      </c>
      <c r="K35" s="45">
        <v>6.5</v>
      </c>
      <c r="L35" s="45">
        <v>6.5</v>
      </c>
      <c r="M35" s="45">
        <v>6.5</v>
      </c>
      <c r="N35" s="45">
        <v>6.5</v>
      </c>
      <c r="O35" s="45">
        <v>6.5</v>
      </c>
      <c r="P35" s="45">
        <v>6.5</v>
      </c>
      <c r="Q35" s="45">
        <v>6.5</v>
      </c>
      <c r="R35" s="45">
        <v>6.5</v>
      </c>
      <c r="S35" s="45">
        <v>6.5</v>
      </c>
      <c r="T35" s="45">
        <v>6.5</v>
      </c>
      <c r="U35" s="45">
        <v>6.5</v>
      </c>
      <c r="V35" s="45">
        <v>6.5</v>
      </c>
      <c r="W35" s="45">
        <v>6.5</v>
      </c>
      <c r="X35" s="45">
        <v>6.5</v>
      </c>
      <c r="Y35" s="45">
        <v>6.5</v>
      </c>
      <c r="Z35" s="45">
        <v>6.5</v>
      </c>
      <c r="AA35" s="45">
        <v>6.5</v>
      </c>
      <c r="AB35" s="45">
        <v>6.5</v>
      </c>
      <c r="AC35" s="45">
        <v>6.5</v>
      </c>
      <c r="AD35" s="45">
        <v>6.5</v>
      </c>
      <c r="AE35" s="45">
        <v>6.5</v>
      </c>
      <c r="AF35" s="45">
        <v>6.5</v>
      </c>
      <c r="AG35" s="49">
        <v>20</v>
      </c>
      <c r="AH35" s="47">
        <f t="shared" si="2"/>
        <v>6.5</v>
      </c>
      <c r="AI35" s="48">
        <f t="shared" si="3"/>
        <v>6.5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264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2"/>
        <v>4</v>
      </c>
      <c r="AI36" s="48">
        <f t="shared" si="3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5.5</v>
      </c>
      <c r="C37" s="45">
        <v>5.5</v>
      </c>
      <c r="D37" s="45">
        <v>5.5</v>
      </c>
      <c r="E37" s="45">
        <v>5.5</v>
      </c>
      <c r="F37" s="45">
        <v>5.5</v>
      </c>
      <c r="G37" s="45">
        <v>5.5</v>
      </c>
      <c r="H37" s="45">
        <v>5.5</v>
      </c>
      <c r="I37" s="45">
        <v>5.5</v>
      </c>
      <c r="J37" s="45">
        <v>5.5</v>
      </c>
      <c r="K37" s="45">
        <v>5.5</v>
      </c>
      <c r="L37" s="45">
        <v>5.5</v>
      </c>
      <c r="M37" s="45">
        <v>5.5</v>
      </c>
      <c r="N37" s="45">
        <v>5.5</v>
      </c>
      <c r="O37" s="45">
        <v>5.5</v>
      </c>
      <c r="P37" s="45">
        <v>5.5</v>
      </c>
      <c r="Q37" s="45">
        <v>5.5</v>
      </c>
      <c r="R37" s="45">
        <v>5.5</v>
      </c>
      <c r="S37" s="45">
        <v>5.5</v>
      </c>
      <c r="T37" s="45">
        <v>5.5</v>
      </c>
      <c r="U37" s="45">
        <v>5.5</v>
      </c>
      <c r="V37" s="45">
        <v>5.5</v>
      </c>
      <c r="W37" s="45">
        <v>5.5</v>
      </c>
      <c r="X37" s="45">
        <v>5.5</v>
      </c>
      <c r="Y37" s="45">
        <v>5.5</v>
      </c>
      <c r="Z37" s="45">
        <v>5.5</v>
      </c>
      <c r="AA37" s="45">
        <v>5.5</v>
      </c>
      <c r="AB37" s="45">
        <v>5.5</v>
      </c>
      <c r="AC37" s="45">
        <v>5.5</v>
      </c>
      <c r="AD37" s="45">
        <v>5.5</v>
      </c>
      <c r="AE37" s="45">
        <v>5.5</v>
      </c>
      <c r="AF37" s="45">
        <v>5.5</v>
      </c>
      <c r="AG37" s="49">
        <v>18</v>
      </c>
      <c r="AH37" s="47">
        <f t="shared" si="2"/>
        <v>5.5</v>
      </c>
      <c r="AI37" s="48">
        <f t="shared" si="3"/>
        <v>5.5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>
        <v>7.2</v>
      </c>
      <c r="N38" s="45">
        <v>7.2</v>
      </c>
      <c r="O38" s="45">
        <v>7.2</v>
      </c>
      <c r="P38" s="45">
        <v>7.2</v>
      </c>
      <c r="Q38" s="45">
        <v>7.2</v>
      </c>
      <c r="R38" s="45">
        <v>7.2</v>
      </c>
      <c r="S38" s="45">
        <v>7.2</v>
      </c>
      <c r="T38" s="45">
        <v>7.2</v>
      </c>
      <c r="U38" s="45">
        <v>7.2</v>
      </c>
      <c r="V38" s="45">
        <v>7.2</v>
      </c>
      <c r="W38" s="45">
        <v>7.2</v>
      </c>
      <c r="X38" s="45">
        <v>7.2</v>
      </c>
      <c r="Y38" s="45">
        <v>7.2</v>
      </c>
      <c r="Z38" s="45">
        <v>7.2</v>
      </c>
      <c r="AA38" s="45">
        <v>7.2</v>
      </c>
      <c r="AB38" s="45">
        <v>7.2</v>
      </c>
      <c r="AC38" s="45">
        <v>7.2</v>
      </c>
      <c r="AD38" s="45">
        <v>7.2</v>
      </c>
      <c r="AE38" s="45">
        <v>7.2</v>
      </c>
      <c r="AF38" s="45">
        <v>7.2</v>
      </c>
      <c r="AG38" s="49">
        <v>14.9</v>
      </c>
      <c r="AH38" s="47">
        <f t="shared" si="2"/>
        <v>7.2</v>
      </c>
      <c r="AI38" s="48">
        <f t="shared" si="3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265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2"/>
        <v>5</v>
      </c>
      <c r="AI40" s="48">
        <f t="shared" si="3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266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>
        <v>4</v>
      </c>
      <c r="N41" s="45">
        <v>4</v>
      </c>
      <c r="O41" s="45">
        <v>4</v>
      </c>
      <c r="P41" s="45">
        <v>4</v>
      </c>
      <c r="Q41" s="45">
        <v>4</v>
      </c>
      <c r="R41" s="45">
        <v>4</v>
      </c>
      <c r="S41" s="45">
        <v>4</v>
      </c>
      <c r="T41" s="45">
        <v>4</v>
      </c>
      <c r="U41" s="45">
        <v>4</v>
      </c>
      <c r="V41" s="45">
        <v>4</v>
      </c>
      <c r="W41" s="45">
        <v>4</v>
      </c>
      <c r="X41" s="45">
        <v>4</v>
      </c>
      <c r="Y41" s="45">
        <v>4</v>
      </c>
      <c r="Z41" s="45">
        <v>4</v>
      </c>
      <c r="AA41" s="45">
        <v>4</v>
      </c>
      <c r="AB41" s="45">
        <v>4</v>
      </c>
      <c r="AC41" s="45">
        <v>4</v>
      </c>
      <c r="AD41" s="45">
        <v>4</v>
      </c>
      <c r="AE41" s="45">
        <v>4</v>
      </c>
      <c r="AF41" s="45">
        <v>4</v>
      </c>
      <c r="AG41" s="49">
        <v>14.9</v>
      </c>
      <c r="AH41" s="47">
        <f t="shared" si="2"/>
        <v>4</v>
      </c>
      <c r="AI41" s="48">
        <f t="shared" si="3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2"/>
        <v>1.8</v>
      </c>
      <c r="AI42" s="48">
        <f t="shared" si="3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2"/>
        <v>3.8</v>
      </c>
      <c r="AI43" s="48">
        <f t="shared" si="3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4</v>
      </c>
      <c r="C44" s="45">
        <v>4</v>
      </c>
      <c r="D44" s="45">
        <v>4</v>
      </c>
      <c r="E44" s="45">
        <v>4</v>
      </c>
      <c r="F44" s="45">
        <v>4</v>
      </c>
      <c r="G44" s="45">
        <v>4</v>
      </c>
      <c r="H44" s="45">
        <v>4</v>
      </c>
      <c r="I44" s="45">
        <v>4</v>
      </c>
      <c r="J44" s="45">
        <v>4</v>
      </c>
      <c r="K44" s="45">
        <v>4</v>
      </c>
      <c r="L44" s="45">
        <v>4</v>
      </c>
      <c r="M44" s="45">
        <v>4</v>
      </c>
      <c r="N44" s="45">
        <v>4</v>
      </c>
      <c r="O44" s="45">
        <v>4</v>
      </c>
      <c r="P44" s="45">
        <v>4</v>
      </c>
      <c r="Q44" s="45">
        <v>4</v>
      </c>
      <c r="R44" s="45">
        <v>4</v>
      </c>
      <c r="S44" s="45">
        <v>4</v>
      </c>
      <c r="T44" s="45">
        <v>4</v>
      </c>
      <c r="U44" s="45">
        <v>4</v>
      </c>
      <c r="V44" s="45">
        <v>4</v>
      </c>
      <c r="W44" s="45">
        <v>4</v>
      </c>
      <c r="X44" s="45">
        <v>4</v>
      </c>
      <c r="Y44" s="45">
        <v>4</v>
      </c>
      <c r="Z44" s="45">
        <v>4</v>
      </c>
      <c r="AA44" s="45">
        <v>4</v>
      </c>
      <c r="AB44" s="45">
        <v>4</v>
      </c>
      <c r="AC44" s="45">
        <v>4</v>
      </c>
      <c r="AD44" s="45">
        <v>4</v>
      </c>
      <c r="AE44" s="45">
        <v>4</v>
      </c>
      <c r="AF44" s="45">
        <v>4</v>
      </c>
      <c r="AG44" s="49">
        <v>12</v>
      </c>
      <c r="AH44" s="47">
        <f t="shared" si="2"/>
        <v>4</v>
      </c>
      <c r="AI44" s="48">
        <f t="shared" si="3"/>
        <v>4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49">
        <v>12</v>
      </c>
      <c r="AH45" s="47">
        <f t="shared" si="2"/>
        <v>9</v>
      </c>
      <c r="AI45" s="48">
        <f t="shared" si="3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2"/>
        <v>3</v>
      </c>
      <c r="AI46" s="48">
        <f t="shared" si="3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2"/>
        <v>3.5</v>
      </c>
      <c r="AI47" s="48">
        <f t="shared" si="3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>
        <v>5</v>
      </c>
      <c r="N48" s="45">
        <v>5</v>
      </c>
      <c r="O48" s="45">
        <v>5</v>
      </c>
      <c r="P48" s="45">
        <v>5</v>
      </c>
      <c r="Q48" s="45">
        <v>5</v>
      </c>
      <c r="R48" s="45">
        <v>5</v>
      </c>
      <c r="S48" s="45">
        <v>5</v>
      </c>
      <c r="T48" s="45">
        <v>5</v>
      </c>
      <c r="U48" s="45">
        <v>5</v>
      </c>
      <c r="V48" s="45">
        <v>5</v>
      </c>
      <c r="W48" s="45">
        <v>5</v>
      </c>
      <c r="X48" s="45">
        <v>5</v>
      </c>
      <c r="Y48" s="45">
        <v>5</v>
      </c>
      <c r="Z48" s="45">
        <v>5</v>
      </c>
      <c r="AA48" s="45">
        <v>5</v>
      </c>
      <c r="AB48" s="45">
        <v>5</v>
      </c>
      <c r="AC48" s="45">
        <v>5</v>
      </c>
      <c r="AD48" s="45">
        <v>5</v>
      </c>
      <c r="AE48" s="45">
        <v>5</v>
      </c>
      <c r="AF48" s="45">
        <v>5</v>
      </c>
      <c r="AG48" s="52">
        <v>11.88</v>
      </c>
      <c r="AH48" s="47">
        <f t="shared" si="2"/>
        <v>5</v>
      </c>
      <c r="AI48" s="48">
        <f t="shared" si="3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>
        <v>3</v>
      </c>
      <c r="N49" s="45">
        <v>3</v>
      </c>
      <c r="O49" s="45">
        <v>3</v>
      </c>
      <c r="P49" s="45">
        <v>3</v>
      </c>
      <c r="Q49" s="45">
        <v>3</v>
      </c>
      <c r="R49" s="45">
        <v>3</v>
      </c>
      <c r="S49" s="45">
        <v>3</v>
      </c>
      <c r="T49" s="45">
        <v>3</v>
      </c>
      <c r="U49" s="45">
        <v>3</v>
      </c>
      <c r="V49" s="45">
        <v>3</v>
      </c>
      <c r="W49" s="45">
        <v>3</v>
      </c>
      <c r="X49" s="45">
        <v>3</v>
      </c>
      <c r="Y49" s="45">
        <v>3</v>
      </c>
      <c r="Z49" s="45">
        <v>3</v>
      </c>
      <c r="AA49" s="45">
        <v>3</v>
      </c>
      <c r="AB49" s="45">
        <v>3</v>
      </c>
      <c r="AC49" s="45">
        <v>3</v>
      </c>
      <c r="AD49" s="45">
        <v>3</v>
      </c>
      <c r="AE49" s="45">
        <v>3</v>
      </c>
      <c r="AF49" s="45">
        <v>3</v>
      </c>
      <c r="AG49" s="55">
        <v>11</v>
      </c>
      <c r="AH49" s="47">
        <f t="shared" si="2"/>
        <v>3</v>
      </c>
      <c r="AI49" s="48">
        <f t="shared" si="3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267</v>
      </c>
      <c r="B50" s="45">
        <v>3.3</v>
      </c>
      <c r="C50" s="45">
        <v>3.3</v>
      </c>
      <c r="D50" s="45">
        <v>3.3</v>
      </c>
      <c r="E50" s="45">
        <v>3.3</v>
      </c>
      <c r="F50" s="45">
        <v>3.3</v>
      </c>
      <c r="G50" s="45">
        <v>3.3</v>
      </c>
      <c r="H50" s="45">
        <v>3.3</v>
      </c>
      <c r="I50" s="45">
        <v>3.3</v>
      </c>
      <c r="J50" s="45">
        <v>3.3</v>
      </c>
      <c r="K50" s="45">
        <v>3.3</v>
      </c>
      <c r="L50" s="45">
        <v>3.3</v>
      </c>
      <c r="M50" s="45">
        <v>3.3</v>
      </c>
      <c r="N50" s="45">
        <v>3.3</v>
      </c>
      <c r="O50" s="45">
        <v>3.3</v>
      </c>
      <c r="P50" s="45">
        <v>3.3</v>
      </c>
      <c r="Q50" s="45">
        <v>3.3</v>
      </c>
      <c r="R50" s="45">
        <v>3.3</v>
      </c>
      <c r="S50" s="45">
        <v>3.3</v>
      </c>
      <c r="T50" s="45">
        <v>3.3</v>
      </c>
      <c r="U50" s="45">
        <v>3.3</v>
      </c>
      <c r="V50" s="45">
        <v>3.3</v>
      </c>
      <c r="W50" s="45">
        <v>3.3</v>
      </c>
      <c r="X50" s="45">
        <v>3.3</v>
      </c>
      <c r="Y50" s="45">
        <v>3.3</v>
      </c>
      <c r="Z50" s="45">
        <v>3.3</v>
      </c>
      <c r="AA50" s="45">
        <v>3.3</v>
      </c>
      <c r="AB50" s="45">
        <v>3.3</v>
      </c>
      <c r="AC50" s="45">
        <v>3.3</v>
      </c>
      <c r="AD50" s="45">
        <v>3.3</v>
      </c>
      <c r="AE50" s="45">
        <v>3.3</v>
      </c>
      <c r="AF50" s="45">
        <v>3.3</v>
      </c>
      <c r="AG50" s="55">
        <v>11</v>
      </c>
      <c r="AH50" s="47">
        <f t="shared" si="2"/>
        <v>3.3</v>
      </c>
      <c r="AI50" s="48">
        <f t="shared" si="3"/>
        <v>3.3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268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"/>
        <v>3</v>
      </c>
      <c r="AI51" s="48">
        <f t="shared" si="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2"/>
        <v>4</v>
      </c>
      <c r="AI52" s="48">
        <f t="shared" si="3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"/>
        <v>4.5</v>
      </c>
      <c r="AI53" s="48">
        <f t="shared" si="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269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"/>
        <v>0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175</v>
      </c>
      <c r="C56" s="57">
        <v>175</v>
      </c>
      <c r="D56" s="57">
        <v>175</v>
      </c>
      <c r="E56" s="57">
        <v>175</v>
      </c>
      <c r="F56" s="57">
        <v>175</v>
      </c>
      <c r="G56" s="57">
        <v>175</v>
      </c>
      <c r="H56" s="57">
        <v>175</v>
      </c>
      <c r="I56" s="57">
        <v>175</v>
      </c>
      <c r="J56" s="57">
        <v>175</v>
      </c>
      <c r="K56" s="57">
        <v>175</v>
      </c>
      <c r="L56" s="57">
        <v>175</v>
      </c>
      <c r="M56" s="57">
        <v>175</v>
      </c>
      <c r="N56" s="57">
        <v>175</v>
      </c>
      <c r="O56" s="57">
        <v>175</v>
      </c>
      <c r="P56" s="57">
        <v>175</v>
      </c>
      <c r="Q56" s="57">
        <v>175</v>
      </c>
      <c r="R56" s="57">
        <v>175</v>
      </c>
      <c r="S56" s="57">
        <v>175</v>
      </c>
      <c r="T56" s="57">
        <v>175</v>
      </c>
      <c r="U56" s="57">
        <v>175</v>
      </c>
      <c r="V56" s="57">
        <v>175</v>
      </c>
      <c r="W56" s="57">
        <v>175</v>
      </c>
      <c r="X56" s="57">
        <v>175</v>
      </c>
      <c r="Y56" s="57">
        <v>175</v>
      </c>
      <c r="Z56" s="57">
        <v>175</v>
      </c>
      <c r="AA56" s="57">
        <v>175</v>
      </c>
      <c r="AB56" s="57">
        <v>175</v>
      </c>
      <c r="AC56" s="57">
        <v>175</v>
      </c>
      <c r="AD56" s="57">
        <v>175</v>
      </c>
      <c r="AE56" s="57">
        <v>175</v>
      </c>
      <c r="AF56" s="57">
        <v>175</v>
      </c>
      <c r="AG56" s="55">
        <v>85</v>
      </c>
      <c r="AH56" s="47">
        <f t="shared" si="2"/>
        <v>175</v>
      </c>
      <c r="AI56" s="48">
        <f t="shared" si="3"/>
        <v>175</v>
      </c>
      <c r="AK56" s="50"/>
    </row>
    <row r="57" spans="1:88" ht="15.75" thickBot="1" x14ac:dyDescent="0.3">
      <c r="A57" s="58" t="s">
        <v>57</v>
      </c>
      <c r="B57" s="57"/>
      <c r="C57" s="57"/>
      <c r="D57" s="57"/>
      <c r="E57" s="57"/>
      <c r="F57" s="57"/>
      <c r="G57" s="57"/>
      <c r="H57" s="57"/>
      <c r="I57" s="57"/>
      <c r="J57" s="57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7"/>
      <c r="Y57" s="57"/>
      <c r="Z57" s="57"/>
      <c r="AA57" s="57"/>
      <c r="AB57" s="57"/>
      <c r="AC57" s="57"/>
      <c r="AD57" s="57"/>
      <c r="AE57" s="57"/>
      <c r="AF57" s="57"/>
      <c r="AG57" s="55">
        <v>240</v>
      </c>
      <c r="AH57" s="47">
        <f t="shared" si="2"/>
        <v>0</v>
      </c>
      <c r="AI57" s="48">
        <f t="shared" si="3"/>
        <v>0</v>
      </c>
      <c r="AK57" s="50"/>
    </row>
    <row r="58" spans="1:88" ht="15.75" thickBot="1" x14ac:dyDescent="0.3">
      <c r="A58" s="59" t="s">
        <v>58</v>
      </c>
      <c r="B58" s="60">
        <f>SUM(B11:B56)</f>
        <v>539.80000000000007</v>
      </c>
      <c r="C58" s="60">
        <f t="shared" ref="C58:AD58" si="4">SUM(C11:C56)</f>
        <v>540.20000000000005</v>
      </c>
      <c r="D58" s="60">
        <f t="shared" si="4"/>
        <v>541.20000000000005</v>
      </c>
      <c r="E58" s="60">
        <f t="shared" si="4"/>
        <v>541.20000000000005</v>
      </c>
      <c r="F58" s="60">
        <f t="shared" si="4"/>
        <v>541.20000000000005</v>
      </c>
      <c r="G58" s="60">
        <f t="shared" si="4"/>
        <v>541.20000000000005</v>
      </c>
      <c r="H58" s="60">
        <f t="shared" si="4"/>
        <v>541.20000000000005</v>
      </c>
      <c r="I58" s="60">
        <f t="shared" si="4"/>
        <v>541.20000000000005</v>
      </c>
      <c r="J58" s="60">
        <f t="shared" si="4"/>
        <v>541.20000000000005</v>
      </c>
      <c r="K58" s="60">
        <f t="shared" si="4"/>
        <v>541.20000000000005</v>
      </c>
      <c r="L58" s="60">
        <f t="shared" si="4"/>
        <v>541.20000000000005</v>
      </c>
      <c r="M58" s="60">
        <f t="shared" ref="M58" si="5">SUM(M11:M56)</f>
        <v>541.20000000000005</v>
      </c>
      <c r="N58" s="60">
        <f t="shared" si="4"/>
        <v>541.20000000000005</v>
      </c>
      <c r="O58" s="60">
        <f t="shared" ref="O58" si="6">SUM(O11:O56)</f>
        <v>541.20000000000005</v>
      </c>
      <c r="P58" s="60">
        <f t="shared" si="4"/>
        <v>541.20000000000005</v>
      </c>
      <c r="Q58" s="60">
        <f t="shared" si="4"/>
        <v>541.20000000000005</v>
      </c>
      <c r="R58" s="60">
        <f t="shared" si="4"/>
        <v>541.20000000000005</v>
      </c>
      <c r="S58" s="60">
        <f t="shared" si="4"/>
        <v>544.1</v>
      </c>
      <c r="T58" s="60">
        <f t="shared" si="4"/>
        <v>544.1</v>
      </c>
      <c r="U58" s="60">
        <f t="shared" si="4"/>
        <v>544.1</v>
      </c>
      <c r="V58" s="60">
        <f t="shared" si="4"/>
        <v>544.1</v>
      </c>
      <c r="W58" s="60">
        <f t="shared" si="4"/>
        <v>544.1</v>
      </c>
      <c r="X58" s="60">
        <f t="shared" si="4"/>
        <v>544.1</v>
      </c>
      <c r="Y58" s="60">
        <f t="shared" si="4"/>
        <v>544.1</v>
      </c>
      <c r="Z58" s="60">
        <f t="shared" si="4"/>
        <v>544.1</v>
      </c>
      <c r="AA58" s="60">
        <f t="shared" si="4"/>
        <v>544.1</v>
      </c>
      <c r="AB58" s="60">
        <f t="shared" si="4"/>
        <v>540.40000000000009</v>
      </c>
      <c r="AC58" s="60">
        <f t="shared" si="4"/>
        <v>540.40000000000009</v>
      </c>
      <c r="AD58" s="60">
        <f t="shared" si="4"/>
        <v>540.40000000000009</v>
      </c>
      <c r="AE58" s="60">
        <f t="shared" ref="AE58:AF58" si="7">SUM(AE11:AE56)</f>
        <v>547.40000000000009</v>
      </c>
      <c r="AF58" s="60">
        <f t="shared" si="7"/>
        <v>551.59999999999991</v>
      </c>
      <c r="AG58" s="61">
        <f>SUM(AG14:AG56)</f>
        <v>1042.4000000000001</v>
      </c>
      <c r="AH58" s="47">
        <f t="shared" si="2"/>
        <v>551.59999999999991</v>
      </c>
      <c r="AI58" s="48">
        <f t="shared" si="3"/>
        <v>539.80000000000007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15</v>
      </c>
      <c r="K59" s="45">
        <v>270</v>
      </c>
      <c r="L59" s="45">
        <v>360</v>
      </c>
      <c r="M59" s="45">
        <v>390</v>
      </c>
      <c r="N59" s="45">
        <v>390</v>
      </c>
      <c r="O59" s="45">
        <v>90</v>
      </c>
      <c r="P59" s="45">
        <v>90</v>
      </c>
      <c r="Q59" s="45">
        <v>0</v>
      </c>
      <c r="R59" s="45">
        <v>0</v>
      </c>
      <c r="S59" s="45">
        <v>0</v>
      </c>
      <c r="T59" s="45">
        <v>0</v>
      </c>
      <c r="U59" s="45">
        <v>0</v>
      </c>
      <c r="V59" s="45">
        <v>160</v>
      </c>
      <c r="W59" s="45">
        <v>180</v>
      </c>
      <c r="X59" s="45">
        <v>400</v>
      </c>
      <c r="Y59" s="45">
        <v>400</v>
      </c>
      <c r="Z59" s="45">
        <v>100</v>
      </c>
      <c r="AA59" s="45">
        <v>100</v>
      </c>
      <c r="AB59" s="45">
        <v>80</v>
      </c>
      <c r="AC59" s="45">
        <v>80</v>
      </c>
      <c r="AD59" s="45">
        <v>80</v>
      </c>
      <c r="AE59" s="45">
        <v>40</v>
      </c>
      <c r="AF59" s="45">
        <v>0</v>
      </c>
      <c r="AG59" s="52">
        <v>456</v>
      </c>
      <c r="AH59" s="47">
        <f t="shared" si="2"/>
        <v>400</v>
      </c>
      <c r="AI59" s="48">
        <f t="shared" si="3"/>
        <v>0</v>
      </c>
      <c r="AK59" s="50"/>
    </row>
    <row r="60" spans="1:88" x14ac:dyDescent="0.25">
      <c r="A60" s="64" t="s">
        <v>60</v>
      </c>
      <c r="B60" s="65">
        <v>36</v>
      </c>
      <c r="C60" s="65">
        <v>36</v>
      </c>
      <c r="D60" s="65">
        <v>36</v>
      </c>
      <c r="E60" s="65">
        <v>36</v>
      </c>
      <c r="F60" s="65">
        <v>36</v>
      </c>
      <c r="G60" s="65">
        <v>36</v>
      </c>
      <c r="H60" s="65">
        <v>36</v>
      </c>
      <c r="I60" s="65">
        <v>36</v>
      </c>
      <c r="J60" s="65">
        <v>36</v>
      </c>
      <c r="K60" s="65">
        <v>36</v>
      </c>
      <c r="L60" s="65">
        <v>36</v>
      </c>
      <c r="M60" s="65">
        <v>36</v>
      </c>
      <c r="N60" s="65">
        <v>36</v>
      </c>
      <c r="O60" s="65">
        <v>36</v>
      </c>
      <c r="P60" s="65">
        <v>36</v>
      </c>
      <c r="Q60" s="65">
        <v>36</v>
      </c>
      <c r="R60" s="65">
        <v>36</v>
      </c>
      <c r="S60" s="65">
        <v>36</v>
      </c>
      <c r="T60" s="65">
        <v>36</v>
      </c>
      <c r="U60" s="65">
        <v>36</v>
      </c>
      <c r="V60" s="65">
        <v>36</v>
      </c>
      <c r="W60" s="65">
        <v>36</v>
      </c>
      <c r="X60" s="65">
        <v>36</v>
      </c>
      <c r="Y60" s="65">
        <v>36</v>
      </c>
      <c r="Z60" s="65">
        <v>36</v>
      </c>
      <c r="AA60" s="65">
        <v>36</v>
      </c>
      <c r="AB60" s="65">
        <v>36</v>
      </c>
      <c r="AC60" s="65">
        <v>36</v>
      </c>
      <c r="AD60" s="65">
        <v>36</v>
      </c>
      <c r="AE60" s="65">
        <v>36</v>
      </c>
      <c r="AF60" s="65">
        <v>36</v>
      </c>
      <c r="AG60" s="55">
        <v>60</v>
      </c>
      <c r="AH60" s="47">
        <f t="shared" si="2"/>
        <v>36</v>
      </c>
      <c r="AI60" s="48">
        <f t="shared" si="3"/>
        <v>36</v>
      </c>
      <c r="AK60" s="50"/>
    </row>
    <row r="61" spans="1:88" ht="15.75" thickBot="1" x14ac:dyDescent="0.3">
      <c r="A61" s="66" t="s">
        <v>61</v>
      </c>
      <c r="B61" s="67">
        <v>16</v>
      </c>
      <c r="C61" s="67">
        <v>16</v>
      </c>
      <c r="D61" s="67">
        <v>16</v>
      </c>
      <c r="E61" s="67">
        <v>11.6</v>
      </c>
      <c r="F61" s="67">
        <v>11.7</v>
      </c>
      <c r="G61" s="67">
        <v>11.7</v>
      </c>
      <c r="H61" s="67">
        <v>11.7</v>
      </c>
      <c r="I61" s="67">
        <v>11.6</v>
      </c>
      <c r="J61" s="67">
        <v>11.7</v>
      </c>
      <c r="K61" s="67">
        <v>11.7</v>
      </c>
      <c r="L61" s="67">
        <v>11.7</v>
      </c>
      <c r="M61" s="67">
        <v>11.7</v>
      </c>
      <c r="N61" s="67">
        <v>11.7</v>
      </c>
      <c r="O61" s="67">
        <v>11.7</v>
      </c>
      <c r="P61" s="67">
        <v>11.7</v>
      </c>
      <c r="Q61" s="67">
        <v>11.7</v>
      </c>
      <c r="R61" s="67">
        <v>11.7</v>
      </c>
      <c r="S61" s="67">
        <v>11.6</v>
      </c>
      <c r="T61" s="67">
        <v>11.6</v>
      </c>
      <c r="U61" s="67">
        <v>11.6</v>
      </c>
      <c r="V61" s="67">
        <v>10.199999999999999</v>
      </c>
      <c r="W61" s="67">
        <v>10.199999999999999</v>
      </c>
      <c r="X61" s="67">
        <v>10.199999999999999</v>
      </c>
      <c r="Y61" s="67">
        <v>10.199999999999999</v>
      </c>
      <c r="Z61" s="67">
        <v>16</v>
      </c>
      <c r="AA61" s="67">
        <v>16</v>
      </c>
      <c r="AB61" s="67">
        <v>16.100000000000001</v>
      </c>
      <c r="AC61" s="67">
        <v>16.2</v>
      </c>
      <c r="AD61" s="67">
        <v>16.2</v>
      </c>
      <c r="AE61" s="67">
        <v>11.6</v>
      </c>
      <c r="AF61" s="67">
        <v>11.7</v>
      </c>
      <c r="AG61" s="68">
        <v>22.1</v>
      </c>
      <c r="AH61" s="47">
        <f t="shared" si="2"/>
        <v>16.2</v>
      </c>
      <c r="AI61" s="48">
        <f t="shared" si="3"/>
        <v>10.199999999999999</v>
      </c>
      <c r="AK61" s="50"/>
    </row>
    <row r="62" spans="1:88" ht="15.75" thickBot="1" x14ac:dyDescent="0.3">
      <c r="A62" s="69" t="s">
        <v>62</v>
      </c>
      <c r="B62" s="60">
        <f t="shared" ref="B62:AG62" si="8">SUM(B59:B61)</f>
        <v>52</v>
      </c>
      <c r="C62" s="60">
        <f t="shared" si="8"/>
        <v>52</v>
      </c>
      <c r="D62" s="60">
        <f t="shared" si="8"/>
        <v>52</v>
      </c>
      <c r="E62" s="60">
        <f t="shared" si="8"/>
        <v>47.6</v>
      </c>
      <c r="F62" s="60">
        <f t="shared" si="8"/>
        <v>47.7</v>
      </c>
      <c r="G62" s="60">
        <f t="shared" si="8"/>
        <v>47.7</v>
      </c>
      <c r="H62" s="60">
        <f t="shared" si="8"/>
        <v>47.7</v>
      </c>
      <c r="I62" s="60">
        <f t="shared" si="8"/>
        <v>47.6</v>
      </c>
      <c r="J62" s="60">
        <f t="shared" si="8"/>
        <v>62.7</v>
      </c>
      <c r="K62" s="60">
        <f t="shared" si="8"/>
        <v>317.7</v>
      </c>
      <c r="L62" s="60">
        <f t="shared" si="8"/>
        <v>407.7</v>
      </c>
      <c r="M62" s="60">
        <f t="shared" ref="M62" si="9">SUM(M59:M61)</f>
        <v>437.7</v>
      </c>
      <c r="N62" s="60">
        <f t="shared" si="8"/>
        <v>437.7</v>
      </c>
      <c r="O62" s="60">
        <f t="shared" ref="O62" si="10">SUM(O59:O61)</f>
        <v>137.69999999999999</v>
      </c>
      <c r="P62" s="60">
        <f t="shared" si="8"/>
        <v>137.69999999999999</v>
      </c>
      <c r="Q62" s="60">
        <f t="shared" si="8"/>
        <v>47.7</v>
      </c>
      <c r="R62" s="60">
        <f t="shared" si="8"/>
        <v>47.7</v>
      </c>
      <c r="S62" s="60">
        <f t="shared" si="8"/>
        <v>47.6</v>
      </c>
      <c r="T62" s="60">
        <f t="shared" si="8"/>
        <v>47.6</v>
      </c>
      <c r="U62" s="60">
        <f t="shared" si="8"/>
        <v>47.6</v>
      </c>
      <c r="V62" s="60">
        <f t="shared" si="8"/>
        <v>206.2</v>
      </c>
      <c r="W62" s="60">
        <f t="shared" si="8"/>
        <v>226.2</v>
      </c>
      <c r="X62" s="60">
        <f t="shared" si="8"/>
        <v>446.2</v>
      </c>
      <c r="Y62" s="60">
        <f t="shared" si="8"/>
        <v>446.2</v>
      </c>
      <c r="Z62" s="60">
        <f t="shared" si="8"/>
        <v>152</v>
      </c>
      <c r="AA62" s="60">
        <f t="shared" si="8"/>
        <v>152</v>
      </c>
      <c r="AB62" s="60">
        <f t="shared" si="8"/>
        <v>132.1</v>
      </c>
      <c r="AC62" s="60">
        <f t="shared" si="8"/>
        <v>132.19999999999999</v>
      </c>
      <c r="AD62" s="60">
        <f t="shared" si="8"/>
        <v>132.19999999999999</v>
      </c>
      <c r="AE62" s="60">
        <f t="shared" ref="AE62:AF62" si="11">SUM(AE59:AE61)</f>
        <v>87.6</v>
      </c>
      <c r="AF62" s="60">
        <f t="shared" si="11"/>
        <v>47.7</v>
      </c>
      <c r="AG62" s="61">
        <f t="shared" si="8"/>
        <v>538.1</v>
      </c>
      <c r="AH62" s="47">
        <f t="shared" si="2"/>
        <v>446.2</v>
      </c>
      <c r="AI62" s="48">
        <f t="shared" si="3"/>
        <v>47.6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47</v>
      </c>
      <c r="J63" s="45">
        <v>92.5</v>
      </c>
      <c r="K63" s="45">
        <v>123.1</v>
      </c>
      <c r="L63" s="45">
        <v>106.3</v>
      </c>
      <c r="M63" s="45">
        <v>121.9</v>
      </c>
      <c r="N63" s="45">
        <v>144</v>
      </c>
      <c r="O63" s="45">
        <v>134.4</v>
      </c>
      <c r="P63" s="45">
        <v>112</v>
      </c>
      <c r="Q63" s="45">
        <v>0</v>
      </c>
      <c r="R63" s="45">
        <v>0</v>
      </c>
      <c r="S63" s="45">
        <v>84</v>
      </c>
      <c r="T63" s="45">
        <v>84</v>
      </c>
      <c r="U63" s="45">
        <v>94.8</v>
      </c>
      <c r="V63" s="45">
        <v>60.5</v>
      </c>
      <c r="W63" s="45">
        <v>87</v>
      </c>
      <c r="X63" s="45">
        <v>120</v>
      </c>
      <c r="Y63" s="45">
        <v>97</v>
      </c>
      <c r="Z63" s="45">
        <v>140</v>
      </c>
      <c r="AA63" s="45">
        <v>86</v>
      </c>
      <c r="AB63" s="45">
        <v>86.2</v>
      </c>
      <c r="AC63" s="45">
        <v>71.099999999999994</v>
      </c>
      <c r="AD63" s="45">
        <v>40.799999999999997</v>
      </c>
      <c r="AE63" s="45">
        <v>40.4</v>
      </c>
      <c r="AF63" s="45">
        <v>0</v>
      </c>
      <c r="AG63" s="52">
        <v>144</v>
      </c>
      <c r="AH63" s="47">
        <f t="shared" si="2"/>
        <v>144</v>
      </c>
      <c r="AI63" s="48">
        <f t="shared" si="3"/>
        <v>0</v>
      </c>
      <c r="AK63" s="50"/>
    </row>
    <row r="64" spans="1:88" x14ac:dyDescent="0.25">
      <c r="A64" s="54" t="s">
        <v>64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24.8</v>
      </c>
      <c r="I64" s="65">
        <v>45.9</v>
      </c>
      <c r="J64" s="65">
        <v>46.1</v>
      </c>
      <c r="K64" s="65">
        <v>61.4</v>
      </c>
      <c r="L64" s="65">
        <v>49.8</v>
      </c>
      <c r="M64" s="65">
        <v>60</v>
      </c>
      <c r="N64" s="65">
        <v>69</v>
      </c>
      <c r="O64" s="65">
        <v>60</v>
      </c>
      <c r="P64" s="65">
        <v>68</v>
      </c>
      <c r="Q64" s="65">
        <v>33.4</v>
      </c>
      <c r="R64" s="65">
        <v>33.4</v>
      </c>
      <c r="S64" s="45">
        <v>0</v>
      </c>
      <c r="T64" s="45">
        <v>0</v>
      </c>
      <c r="U64" s="45">
        <v>24.4</v>
      </c>
      <c r="V64" s="45">
        <v>24.4</v>
      </c>
      <c r="W64" s="45">
        <v>49</v>
      </c>
      <c r="X64" s="45">
        <v>60</v>
      </c>
      <c r="Y64" s="45">
        <v>70</v>
      </c>
      <c r="Z64" s="45">
        <v>70</v>
      </c>
      <c r="AA64" s="45">
        <v>70</v>
      </c>
      <c r="AB64" s="45">
        <v>67.599999999999994</v>
      </c>
      <c r="AC64" s="45">
        <v>67.5</v>
      </c>
      <c r="AD64" s="65">
        <v>24.7</v>
      </c>
      <c r="AE64" s="65">
        <v>24.9</v>
      </c>
      <c r="AF64" s="65">
        <v>25.6</v>
      </c>
      <c r="AG64" s="55">
        <v>70</v>
      </c>
      <c r="AH64" s="47">
        <f t="shared" si="2"/>
        <v>70</v>
      </c>
      <c r="AI64" s="48">
        <f t="shared" si="3"/>
        <v>0</v>
      </c>
      <c r="AK64" s="50"/>
    </row>
    <row r="65" spans="1:41" x14ac:dyDescent="0.25">
      <c r="A65" s="54" t="s">
        <v>65</v>
      </c>
      <c r="B65" s="65">
        <v>16</v>
      </c>
      <c r="C65" s="65">
        <v>0</v>
      </c>
      <c r="D65" s="65">
        <v>0</v>
      </c>
      <c r="E65" s="65">
        <v>0</v>
      </c>
      <c r="F65" s="65">
        <v>0</v>
      </c>
      <c r="G65" s="65">
        <v>17.2</v>
      </c>
      <c r="H65" s="65">
        <v>17.399999999999999</v>
      </c>
      <c r="I65" s="65">
        <v>43.9</v>
      </c>
      <c r="J65" s="65">
        <v>33.9</v>
      </c>
      <c r="K65" s="65">
        <v>47.2</v>
      </c>
      <c r="L65" s="65">
        <v>33.9</v>
      </c>
      <c r="M65" s="65">
        <v>46.6</v>
      </c>
      <c r="N65" s="65">
        <v>46.6</v>
      </c>
      <c r="O65" s="65">
        <v>46.6</v>
      </c>
      <c r="P65" s="65">
        <v>67.2</v>
      </c>
      <c r="Q65" s="65">
        <v>54.3</v>
      </c>
      <c r="R65" s="65">
        <v>54.3</v>
      </c>
      <c r="S65" s="45">
        <v>34.200000000000003</v>
      </c>
      <c r="T65" s="45">
        <v>36</v>
      </c>
      <c r="U65" s="45">
        <v>21.6</v>
      </c>
      <c r="V65" s="45">
        <v>16.899999999999999</v>
      </c>
      <c r="W65" s="45">
        <v>51</v>
      </c>
      <c r="X65" s="45">
        <v>60</v>
      </c>
      <c r="Y65" s="45">
        <v>70</v>
      </c>
      <c r="Z65" s="45">
        <v>70</v>
      </c>
      <c r="AA65" s="45">
        <v>70</v>
      </c>
      <c r="AB65" s="45">
        <v>67.2</v>
      </c>
      <c r="AC65" s="45">
        <v>67.599999999999994</v>
      </c>
      <c r="AD65" s="65">
        <v>67.2</v>
      </c>
      <c r="AE65" s="65">
        <v>66</v>
      </c>
      <c r="AF65" s="65">
        <v>33.299999999999997</v>
      </c>
      <c r="AG65" s="55">
        <v>69</v>
      </c>
      <c r="AH65" s="47">
        <f t="shared" si="2"/>
        <v>70</v>
      </c>
      <c r="AI65" s="48">
        <f t="shared" si="3"/>
        <v>0</v>
      </c>
      <c r="AK65" s="50"/>
    </row>
    <row r="66" spans="1:41" x14ac:dyDescent="0.25">
      <c r="A66" s="54" t="s">
        <v>66</v>
      </c>
      <c r="B66" s="65">
        <v>40</v>
      </c>
      <c r="C66" s="65">
        <v>40</v>
      </c>
      <c r="D66" s="65">
        <v>40</v>
      </c>
      <c r="E66" s="65">
        <v>47.8</v>
      </c>
      <c r="F66" s="65">
        <v>47.8</v>
      </c>
      <c r="G66" s="65">
        <v>47.8</v>
      </c>
      <c r="H66" s="65">
        <v>45.9</v>
      </c>
      <c r="I66" s="65">
        <v>45.9</v>
      </c>
      <c r="J66" s="65">
        <v>45.9</v>
      </c>
      <c r="K66" s="57">
        <v>46.1</v>
      </c>
      <c r="L66" s="57">
        <v>46.1</v>
      </c>
      <c r="M66" s="65">
        <v>46.4</v>
      </c>
      <c r="N66" s="65">
        <v>50.4</v>
      </c>
      <c r="O66" s="65">
        <v>50.4</v>
      </c>
      <c r="P66" s="65">
        <v>50.4</v>
      </c>
      <c r="Q66" s="65">
        <v>50.4</v>
      </c>
      <c r="R66" s="65">
        <v>50.4</v>
      </c>
      <c r="S66" s="45">
        <v>46.4</v>
      </c>
      <c r="T66" s="45">
        <v>46.4</v>
      </c>
      <c r="U66" s="45">
        <v>45.1</v>
      </c>
      <c r="V66" s="45">
        <v>45.1</v>
      </c>
      <c r="W66" s="45">
        <v>43.8</v>
      </c>
      <c r="X66" s="45">
        <v>43.8</v>
      </c>
      <c r="Y66" s="45">
        <v>43.8</v>
      </c>
      <c r="Z66" s="45">
        <v>43.8</v>
      </c>
      <c r="AA66" s="45">
        <v>43.8</v>
      </c>
      <c r="AB66" s="45">
        <v>32.5</v>
      </c>
      <c r="AC66" s="45">
        <v>41.1</v>
      </c>
      <c r="AD66" s="65">
        <v>50.2</v>
      </c>
      <c r="AE66" s="65">
        <v>50.2</v>
      </c>
      <c r="AF66" s="65">
        <v>50.4</v>
      </c>
      <c r="AG66" s="55">
        <v>60</v>
      </c>
      <c r="AH66" s="47">
        <f t="shared" si="2"/>
        <v>50.4</v>
      </c>
      <c r="AI66" s="48">
        <f t="shared" si="3"/>
        <v>32.5</v>
      </c>
      <c r="AK66" s="50"/>
    </row>
    <row r="67" spans="1:41" x14ac:dyDescent="0.25">
      <c r="A67" s="54" t="s">
        <v>67</v>
      </c>
      <c r="B67" s="65">
        <v>0</v>
      </c>
      <c r="C67" s="65">
        <v>0</v>
      </c>
      <c r="D67" s="65">
        <v>0</v>
      </c>
      <c r="E67" s="65">
        <v>0</v>
      </c>
      <c r="F67" s="65">
        <v>0</v>
      </c>
      <c r="G67" s="65">
        <v>0</v>
      </c>
      <c r="H67" s="65">
        <v>10</v>
      </c>
      <c r="I67" s="65">
        <v>23</v>
      </c>
      <c r="J67" s="65">
        <v>23</v>
      </c>
      <c r="K67" s="57">
        <v>23</v>
      </c>
      <c r="L67" s="57">
        <v>27</v>
      </c>
      <c r="M67" s="65">
        <v>27</v>
      </c>
      <c r="N67" s="65">
        <v>23</v>
      </c>
      <c r="O67" s="65">
        <v>23</v>
      </c>
      <c r="P67" s="65">
        <v>10</v>
      </c>
      <c r="Q67" s="65">
        <v>10</v>
      </c>
      <c r="R67" s="65">
        <v>10</v>
      </c>
      <c r="S67" s="45">
        <v>10</v>
      </c>
      <c r="T67" s="45">
        <v>0</v>
      </c>
      <c r="U67" s="45">
        <v>0</v>
      </c>
      <c r="V67" s="45">
        <v>0</v>
      </c>
      <c r="W67" s="45">
        <v>0</v>
      </c>
      <c r="X67" s="45">
        <v>30</v>
      </c>
      <c r="Y67" s="45">
        <v>30</v>
      </c>
      <c r="Z67" s="45">
        <v>30</v>
      </c>
      <c r="AA67" s="45">
        <v>30</v>
      </c>
      <c r="AB67" s="45">
        <v>15</v>
      </c>
      <c r="AC67" s="45">
        <v>15</v>
      </c>
      <c r="AD67" s="65">
        <v>0</v>
      </c>
      <c r="AE67" s="65">
        <v>0</v>
      </c>
      <c r="AF67" s="65">
        <v>0</v>
      </c>
      <c r="AG67" s="55">
        <v>30</v>
      </c>
      <c r="AH67" s="47">
        <f t="shared" si="2"/>
        <v>30</v>
      </c>
      <c r="AI67" s="48">
        <f t="shared" si="3"/>
        <v>0</v>
      </c>
      <c r="AK67" s="50"/>
    </row>
    <row r="68" spans="1:41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65">
        <v>0</v>
      </c>
      <c r="L68" s="65">
        <v>0</v>
      </c>
      <c r="M68" s="65">
        <v>0</v>
      </c>
      <c r="N68" s="65">
        <v>1.5</v>
      </c>
      <c r="O68" s="65">
        <v>1.5</v>
      </c>
      <c r="P68" s="65">
        <v>14.4</v>
      </c>
      <c r="Q68" s="65">
        <v>15.5</v>
      </c>
      <c r="R68" s="65">
        <v>15.5</v>
      </c>
      <c r="S68" s="45">
        <v>10.6</v>
      </c>
      <c r="T68" s="45">
        <v>10.6</v>
      </c>
      <c r="U68" s="45">
        <v>3.8</v>
      </c>
      <c r="V68" s="45">
        <v>0.8</v>
      </c>
      <c r="W68" s="45">
        <v>0</v>
      </c>
      <c r="X68" s="45">
        <v>0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55">
        <v>25</v>
      </c>
      <c r="AH68" s="47">
        <f t="shared" si="2"/>
        <v>15.5</v>
      </c>
      <c r="AI68" s="48">
        <f t="shared" si="3"/>
        <v>0</v>
      </c>
      <c r="AK68" s="50"/>
    </row>
    <row r="69" spans="1:41" x14ac:dyDescent="0.25">
      <c r="A69" s="54" t="s">
        <v>69</v>
      </c>
      <c r="B69" s="65">
        <v>15</v>
      </c>
      <c r="C69" s="65">
        <v>15</v>
      </c>
      <c r="D69" s="65">
        <v>15</v>
      </c>
      <c r="E69" s="65">
        <v>15</v>
      </c>
      <c r="F69" s="65">
        <v>15</v>
      </c>
      <c r="G69" s="65">
        <v>15</v>
      </c>
      <c r="H69" s="65">
        <v>15</v>
      </c>
      <c r="I69" s="65">
        <v>15</v>
      </c>
      <c r="J69" s="65">
        <v>15</v>
      </c>
      <c r="K69" s="65">
        <v>15</v>
      </c>
      <c r="L69" s="65">
        <v>15</v>
      </c>
      <c r="M69" s="65">
        <v>15</v>
      </c>
      <c r="N69" s="65">
        <v>15</v>
      </c>
      <c r="O69" s="65">
        <v>15</v>
      </c>
      <c r="P69" s="65">
        <v>15</v>
      </c>
      <c r="Q69" s="65">
        <v>15</v>
      </c>
      <c r="R69" s="65">
        <v>15</v>
      </c>
      <c r="S69" s="65">
        <v>0</v>
      </c>
      <c r="T69" s="65">
        <v>0</v>
      </c>
      <c r="U69" s="65">
        <v>6</v>
      </c>
      <c r="V69" s="65">
        <v>9</v>
      </c>
      <c r="W69" s="65">
        <v>9</v>
      </c>
      <c r="X69" s="65">
        <v>9</v>
      </c>
      <c r="Y69" s="65">
        <v>9</v>
      </c>
      <c r="Z69" s="65">
        <v>9</v>
      </c>
      <c r="AA69" s="65">
        <v>9</v>
      </c>
      <c r="AB69" s="65">
        <v>9</v>
      </c>
      <c r="AC69" s="65">
        <v>9</v>
      </c>
      <c r="AD69" s="65">
        <v>9</v>
      </c>
      <c r="AE69" s="65">
        <v>15</v>
      </c>
      <c r="AF69" s="65">
        <v>15</v>
      </c>
      <c r="AG69" s="55">
        <v>24</v>
      </c>
      <c r="AH69" s="47">
        <f t="shared" si="2"/>
        <v>15</v>
      </c>
      <c r="AI69" s="48">
        <f t="shared" si="3"/>
        <v>0</v>
      </c>
      <c r="AK69" s="50"/>
    </row>
    <row r="70" spans="1:41" x14ac:dyDescent="0.25">
      <c r="A70" s="54" t="s">
        <v>70</v>
      </c>
      <c r="B70" s="65">
        <v>4.5</v>
      </c>
      <c r="C70" s="65">
        <v>4.5</v>
      </c>
      <c r="D70" s="65">
        <v>4.5</v>
      </c>
      <c r="E70" s="65">
        <v>4.5</v>
      </c>
      <c r="F70" s="65">
        <v>4.5</v>
      </c>
      <c r="G70" s="65">
        <v>4.5</v>
      </c>
      <c r="H70" s="65">
        <v>4.5</v>
      </c>
      <c r="I70" s="65">
        <v>4.5</v>
      </c>
      <c r="J70" s="65">
        <v>4.5</v>
      </c>
      <c r="K70" s="65">
        <v>4.5</v>
      </c>
      <c r="L70" s="65">
        <v>4.5</v>
      </c>
      <c r="M70" s="65">
        <v>4.5</v>
      </c>
      <c r="N70" s="65">
        <v>4.5</v>
      </c>
      <c r="O70" s="65">
        <v>4.5</v>
      </c>
      <c r="P70" s="65">
        <v>4.5</v>
      </c>
      <c r="Q70" s="65">
        <v>4.5</v>
      </c>
      <c r="R70" s="65">
        <v>4.5</v>
      </c>
      <c r="S70" s="65">
        <v>4.5</v>
      </c>
      <c r="T70" s="65">
        <v>4.5</v>
      </c>
      <c r="U70" s="65">
        <v>4.5</v>
      </c>
      <c r="V70" s="65">
        <v>4.5</v>
      </c>
      <c r="W70" s="65">
        <v>4.5</v>
      </c>
      <c r="X70" s="65">
        <v>4.5</v>
      </c>
      <c r="Y70" s="65">
        <v>4.5</v>
      </c>
      <c r="Z70" s="65">
        <v>4.5</v>
      </c>
      <c r="AA70" s="65">
        <v>4.5</v>
      </c>
      <c r="AB70" s="65">
        <v>4.5</v>
      </c>
      <c r="AC70" s="65">
        <v>4.5</v>
      </c>
      <c r="AD70" s="65">
        <v>4.5</v>
      </c>
      <c r="AE70" s="65">
        <v>4.5</v>
      </c>
      <c r="AF70" s="65">
        <v>4.5</v>
      </c>
      <c r="AG70" s="55">
        <v>15</v>
      </c>
      <c r="AH70" s="47">
        <f t="shared" si="2"/>
        <v>4.5</v>
      </c>
      <c r="AI70" s="48">
        <f t="shared" si="3"/>
        <v>4.5</v>
      </c>
      <c r="AK70" s="50"/>
      <c r="AL70" s="70"/>
      <c r="AO70" s="70"/>
    </row>
    <row r="71" spans="1:41" s="70" customFormat="1" x14ac:dyDescent="0.25">
      <c r="A71" s="54" t="s">
        <v>71</v>
      </c>
      <c r="B71" s="65">
        <v>9.9</v>
      </c>
      <c r="C71" s="65">
        <v>9.9</v>
      </c>
      <c r="D71" s="65">
        <v>9.9</v>
      </c>
      <c r="E71" s="65">
        <v>9.9</v>
      </c>
      <c r="F71" s="65">
        <v>9.9</v>
      </c>
      <c r="G71" s="65">
        <v>9.9</v>
      </c>
      <c r="H71" s="65">
        <v>9.9</v>
      </c>
      <c r="I71" s="65">
        <v>9.9</v>
      </c>
      <c r="J71" s="65">
        <v>9.9</v>
      </c>
      <c r="K71" s="65">
        <v>9.9</v>
      </c>
      <c r="L71" s="65">
        <v>9.9</v>
      </c>
      <c r="M71" s="65">
        <v>9.9</v>
      </c>
      <c r="N71" s="65">
        <v>9.9</v>
      </c>
      <c r="O71" s="65">
        <v>9.9</v>
      </c>
      <c r="P71" s="65">
        <v>9.9</v>
      </c>
      <c r="Q71" s="65">
        <v>9.9</v>
      </c>
      <c r="R71" s="65">
        <v>9.9</v>
      </c>
      <c r="S71" s="65">
        <v>0</v>
      </c>
      <c r="T71" s="65">
        <v>0</v>
      </c>
      <c r="U71" s="65">
        <v>0</v>
      </c>
      <c r="V71" s="65">
        <v>4.7</v>
      </c>
      <c r="W71" s="65">
        <v>4.7</v>
      </c>
      <c r="X71" s="65">
        <v>4.7</v>
      </c>
      <c r="Y71" s="65">
        <v>4.7</v>
      </c>
      <c r="Z71" s="65">
        <v>4.7</v>
      </c>
      <c r="AA71" s="65">
        <v>4.7</v>
      </c>
      <c r="AB71" s="65">
        <v>4.7</v>
      </c>
      <c r="AC71" s="65">
        <v>4.7</v>
      </c>
      <c r="AD71" s="65">
        <v>4.7</v>
      </c>
      <c r="AE71" s="65">
        <v>9.6999999999999993</v>
      </c>
      <c r="AF71" s="65">
        <v>9.6999999999999993</v>
      </c>
      <c r="AG71" s="55">
        <v>14.1</v>
      </c>
      <c r="AH71" s="47">
        <f t="shared" si="2"/>
        <v>9.9</v>
      </c>
      <c r="AI71" s="48">
        <f t="shared" si="3"/>
        <v>0</v>
      </c>
      <c r="AJ71" s="1"/>
      <c r="AK71" s="50"/>
      <c r="AL71" s="1"/>
      <c r="AM71" s="1"/>
      <c r="AN71" s="1"/>
      <c r="AO71" s="1"/>
    </row>
    <row r="72" spans="1:41" x14ac:dyDescent="0.25">
      <c r="A72" s="71" t="s">
        <v>72</v>
      </c>
      <c r="B72" s="65">
        <v>3.1</v>
      </c>
      <c r="C72" s="65">
        <v>3.1</v>
      </c>
      <c r="D72" s="65">
        <v>3.1</v>
      </c>
      <c r="E72" s="65">
        <v>3.1</v>
      </c>
      <c r="F72" s="65">
        <v>3.1</v>
      </c>
      <c r="G72" s="65">
        <v>3.1</v>
      </c>
      <c r="H72" s="65">
        <v>3.1</v>
      </c>
      <c r="I72" s="65">
        <v>3.1</v>
      </c>
      <c r="J72" s="65">
        <v>3.1</v>
      </c>
      <c r="K72" s="65">
        <v>3.1</v>
      </c>
      <c r="L72" s="65">
        <v>3.1</v>
      </c>
      <c r="M72" s="65">
        <v>3.1</v>
      </c>
      <c r="N72" s="65">
        <v>3.1</v>
      </c>
      <c r="O72" s="65">
        <v>3.1</v>
      </c>
      <c r="P72" s="65">
        <v>5</v>
      </c>
      <c r="Q72" s="65">
        <v>5</v>
      </c>
      <c r="R72" s="65">
        <v>5</v>
      </c>
      <c r="S72" s="65">
        <v>5</v>
      </c>
      <c r="T72" s="65">
        <v>5</v>
      </c>
      <c r="U72" s="65">
        <v>5</v>
      </c>
      <c r="V72" s="65">
        <v>5</v>
      </c>
      <c r="W72" s="65">
        <v>5</v>
      </c>
      <c r="X72" s="65">
        <v>5</v>
      </c>
      <c r="Y72" s="65">
        <v>5</v>
      </c>
      <c r="Z72" s="65">
        <v>5</v>
      </c>
      <c r="AA72" s="65">
        <v>5</v>
      </c>
      <c r="AB72" s="65">
        <v>5</v>
      </c>
      <c r="AC72" s="65">
        <v>5</v>
      </c>
      <c r="AD72" s="65">
        <v>5</v>
      </c>
      <c r="AE72" s="65">
        <v>4.9000000000000004</v>
      </c>
      <c r="AF72" s="65">
        <v>5.2</v>
      </c>
      <c r="AG72" s="55">
        <v>14</v>
      </c>
      <c r="AH72" s="47">
        <f t="shared" si="2"/>
        <v>5.2</v>
      </c>
      <c r="AI72" s="48">
        <f t="shared" si="3"/>
        <v>3.1</v>
      </c>
      <c r="AK72" s="50"/>
    </row>
    <row r="73" spans="1:41" x14ac:dyDescent="0.25">
      <c r="A73" s="54" t="s">
        <v>73</v>
      </c>
      <c r="B73" s="65">
        <v>0</v>
      </c>
      <c r="C73" s="65">
        <v>0</v>
      </c>
      <c r="D73" s="65">
        <v>0</v>
      </c>
      <c r="E73" s="65">
        <v>0</v>
      </c>
      <c r="F73" s="65">
        <v>0</v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  <c r="O73" s="65">
        <v>0</v>
      </c>
      <c r="P73" s="65">
        <v>0</v>
      </c>
      <c r="Q73" s="65">
        <v>0</v>
      </c>
      <c r="R73" s="65">
        <v>0</v>
      </c>
      <c r="S73" s="65">
        <v>0</v>
      </c>
      <c r="T73" s="65">
        <v>0</v>
      </c>
      <c r="U73" s="65">
        <v>0</v>
      </c>
      <c r="V73" s="65">
        <v>0</v>
      </c>
      <c r="W73" s="65">
        <v>0</v>
      </c>
      <c r="X73" s="65">
        <v>0</v>
      </c>
      <c r="Y73" s="65">
        <v>0</v>
      </c>
      <c r="Z73" s="65">
        <v>0</v>
      </c>
      <c r="AA73" s="65">
        <v>0</v>
      </c>
      <c r="AB73" s="65">
        <v>0</v>
      </c>
      <c r="AC73" s="65">
        <v>0</v>
      </c>
      <c r="AD73" s="65">
        <v>0</v>
      </c>
      <c r="AE73" s="65">
        <v>4.0999999999999996</v>
      </c>
      <c r="AF73" s="65">
        <v>4.0999999999999996</v>
      </c>
      <c r="AG73" s="55">
        <v>10.050000000000001</v>
      </c>
      <c r="AH73" s="47">
        <f t="shared" si="2"/>
        <v>4.0999999999999996</v>
      </c>
      <c r="AI73" s="48">
        <f t="shared" si="3"/>
        <v>0</v>
      </c>
      <c r="AK73" s="50"/>
    </row>
    <row r="74" spans="1:41" x14ac:dyDescent="0.25">
      <c r="A74" s="54" t="s">
        <v>74</v>
      </c>
      <c r="B74" s="65">
        <v>3</v>
      </c>
      <c r="C74" s="65">
        <v>3</v>
      </c>
      <c r="D74" s="65">
        <v>3</v>
      </c>
      <c r="E74" s="65">
        <v>3</v>
      </c>
      <c r="F74" s="65">
        <v>3</v>
      </c>
      <c r="G74" s="65">
        <v>3</v>
      </c>
      <c r="H74" s="65">
        <v>3</v>
      </c>
      <c r="I74" s="65">
        <v>3</v>
      </c>
      <c r="J74" s="65">
        <v>3</v>
      </c>
      <c r="K74" s="65">
        <v>3</v>
      </c>
      <c r="L74" s="65">
        <v>3</v>
      </c>
      <c r="M74" s="65">
        <v>3</v>
      </c>
      <c r="N74" s="65">
        <v>3</v>
      </c>
      <c r="O74" s="65">
        <v>3</v>
      </c>
      <c r="P74" s="65">
        <v>3</v>
      </c>
      <c r="Q74" s="65">
        <v>3</v>
      </c>
      <c r="R74" s="65">
        <v>3</v>
      </c>
      <c r="S74" s="65">
        <v>3</v>
      </c>
      <c r="T74" s="65">
        <v>3</v>
      </c>
      <c r="U74" s="65">
        <v>3</v>
      </c>
      <c r="V74" s="65">
        <v>3</v>
      </c>
      <c r="W74" s="65">
        <v>3</v>
      </c>
      <c r="X74" s="65">
        <v>3</v>
      </c>
      <c r="Y74" s="65">
        <v>3</v>
      </c>
      <c r="Z74" s="65">
        <v>3</v>
      </c>
      <c r="AA74" s="65">
        <v>3</v>
      </c>
      <c r="AB74" s="65">
        <v>3</v>
      </c>
      <c r="AC74" s="65">
        <v>3</v>
      </c>
      <c r="AD74" s="65">
        <v>3</v>
      </c>
      <c r="AE74" s="65">
        <v>3</v>
      </c>
      <c r="AF74" s="65">
        <v>3</v>
      </c>
      <c r="AG74" s="55">
        <v>6.2</v>
      </c>
      <c r="AH74" s="47">
        <f t="shared" si="2"/>
        <v>3</v>
      </c>
      <c r="AI74" s="48">
        <f t="shared" si="3"/>
        <v>3</v>
      </c>
      <c r="AK74" s="50"/>
    </row>
    <row r="75" spans="1:41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</v>
      </c>
      <c r="Z75" s="72">
        <v>3.54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2"/>
        <v>3.54</v>
      </c>
      <c r="AI75" s="48">
        <f t="shared" si="3"/>
        <v>3.5</v>
      </c>
      <c r="AK75" s="50"/>
    </row>
    <row r="76" spans="1:41" ht="15.75" thickBot="1" x14ac:dyDescent="0.3">
      <c r="A76" s="74" t="s">
        <v>76</v>
      </c>
      <c r="B76" s="60">
        <f t="shared" ref="B76:AG76" si="12">SUM(B63:B75)</f>
        <v>95.04</v>
      </c>
      <c r="C76" s="60">
        <f t="shared" si="12"/>
        <v>79.040000000000006</v>
      </c>
      <c r="D76" s="60">
        <f t="shared" si="12"/>
        <v>79.040000000000006</v>
      </c>
      <c r="E76" s="60">
        <f t="shared" si="12"/>
        <v>86.84</v>
      </c>
      <c r="F76" s="60">
        <f t="shared" si="12"/>
        <v>86.84</v>
      </c>
      <c r="G76" s="60">
        <f t="shared" si="12"/>
        <v>104.04</v>
      </c>
      <c r="H76" s="60">
        <f t="shared" si="12"/>
        <v>137.13999999999999</v>
      </c>
      <c r="I76" s="60">
        <f t="shared" si="12"/>
        <v>244.74</v>
      </c>
      <c r="J76" s="60">
        <f t="shared" si="12"/>
        <v>280.44</v>
      </c>
      <c r="K76" s="60">
        <f t="shared" si="12"/>
        <v>339.84000000000003</v>
      </c>
      <c r="L76" s="60">
        <f t="shared" si="12"/>
        <v>302.14000000000004</v>
      </c>
      <c r="M76" s="60">
        <f t="shared" si="12"/>
        <v>340.94</v>
      </c>
      <c r="N76" s="60">
        <f t="shared" si="12"/>
        <v>373.54</v>
      </c>
      <c r="O76" s="60">
        <f t="shared" si="12"/>
        <v>354.94</v>
      </c>
      <c r="P76" s="60">
        <f t="shared" si="12"/>
        <v>362.93999999999994</v>
      </c>
      <c r="Q76" s="60">
        <f t="shared" si="12"/>
        <v>204.54</v>
      </c>
      <c r="R76" s="60">
        <f t="shared" si="12"/>
        <v>204.54</v>
      </c>
      <c r="S76" s="60">
        <f t="shared" si="12"/>
        <v>201.23999999999998</v>
      </c>
      <c r="T76" s="60">
        <f t="shared" si="12"/>
        <v>193.04</v>
      </c>
      <c r="U76" s="60">
        <f t="shared" si="12"/>
        <v>211.73999999999998</v>
      </c>
      <c r="V76" s="60">
        <f t="shared" si="12"/>
        <v>177.44</v>
      </c>
      <c r="W76" s="60">
        <f t="shared" si="12"/>
        <v>260.54000000000002</v>
      </c>
      <c r="X76" s="60">
        <f t="shared" si="12"/>
        <v>343.54</v>
      </c>
      <c r="Y76" s="60">
        <f t="shared" si="12"/>
        <v>340.5</v>
      </c>
      <c r="Z76" s="60">
        <f t="shared" si="12"/>
        <v>383.54</v>
      </c>
      <c r="AA76" s="60">
        <f t="shared" si="12"/>
        <v>329.54</v>
      </c>
      <c r="AB76" s="60">
        <f t="shared" si="12"/>
        <v>298.24</v>
      </c>
      <c r="AC76" s="60">
        <f t="shared" si="12"/>
        <v>292.03999999999996</v>
      </c>
      <c r="AD76" s="60">
        <f t="shared" si="12"/>
        <v>212.63999999999996</v>
      </c>
      <c r="AE76" s="60">
        <f t="shared" ref="AE76:AF76" si="13">SUM(AE63:AE75)</f>
        <v>226.23999999999998</v>
      </c>
      <c r="AF76" s="60">
        <f t="shared" si="13"/>
        <v>154.33999999999997</v>
      </c>
      <c r="AG76" s="61">
        <f t="shared" si="12"/>
        <v>489.91</v>
      </c>
      <c r="AH76" s="47">
        <f t="shared" si="2"/>
        <v>383.54</v>
      </c>
      <c r="AI76" s="48">
        <f t="shared" si="3"/>
        <v>79.040000000000006</v>
      </c>
      <c r="AK76" s="50"/>
    </row>
    <row r="77" spans="1:41" x14ac:dyDescent="0.25">
      <c r="A77" s="44" t="s">
        <v>77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>
        <v>30</v>
      </c>
      <c r="X77" s="45">
        <v>60</v>
      </c>
      <c r="Y77" s="45">
        <v>60</v>
      </c>
      <c r="Z77" s="45">
        <v>60</v>
      </c>
      <c r="AA77" s="45">
        <v>60</v>
      </c>
      <c r="AB77" s="45">
        <v>59.3</v>
      </c>
      <c r="AC77" s="45">
        <v>59.3</v>
      </c>
      <c r="AD77" s="45">
        <v>45.4</v>
      </c>
      <c r="AE77" s="45">
        <v>10.199999999999999</v>
      </c>
      <c r="AF77" s="45">
        <v>0</v>
      </c>
      <c r="AG77" s="52">
        <v>60</v>
      </c>
      <c r="AH77" s="47">
        <f t="shared" si="2"/>
        <v>60</v>
      </c>
      <c r="AI77" s="48">
        <f t="shared" si="3"/>
        <v>0</v>
      </c>
      <c r="AK77" s="50"/>
    </row>
    <row r="78" spans="1:41" x14ac:dyDescent="0.25">
      <c r="A78" s="54" t="s">
        <v>78</v>
      </c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>
        <v>14</v>
      </c>
      <c r="X78" s="65">
        <v>25</v>
      </c>
      <c r="Y78" s="65">
        <v>25</v>
      </c>
      <c r="Z78" s="65">
        <v>25</v>
      </c>
      <c r="AA78" s="65">
        <v>25</v>
      </c>
      <c r="AB78" s="65">
        <v>27.8</v>
      </c>
      <c r="AC78" s="65">
        <v>27.8</v>
      </c>
      <c r="AD78" s="65">
        <v>22</v>
      </c>
      <c r="AE78" s="65">
        <v>10.3</v>
      </c>
      <c r="AF78" s="65">
        <v>0</v>
      </c>
      <c r="AG78" s="55">
        <v>32</v>
      </c>
      <c r="AH78" s="47">
        <f t="shared" si="2"/>
        <v>27.8</v>
      </c>
      <c r="AI78" s="48">
        <f t="shared" si="3"/>
        <v>0</v>
      </c>
      <c r="AK78" s="50"/>
    </row>
    <row r="79" spans="1:41" ht="15.75" thickBot="1" x14ac:dyDescent="0.3">
      <c r="A79" s="71" t="s">
        <v>79</v>
      </c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>
        <v>5.0999999999999996</v>
      </c>
      <c r="X79" s="67">
        <v>9</v>
      </c>
      <c r="Y79" s="67">
        <v>9</v>
      </c>
      <c r="Z79" s="67">
        <v>9</v>
      </c>
      <c r="AA79" s="67">
        <v>9</v>
      </c>
      <c r="AB79" s="67">
        <v>10.199999999999999</v>
      </c>
      <c r="AC79" s="67">
        <v>10.199999999999999</v>
      </c>
      <c r="AD79" s="67">
        <v>8</v>
      </c>
      <c r="AE79" s="67">
        <v>3.8</v>
      </c>
      <c r="AF79" s="67">
        <v>0</v>
      </c>
      <c r="AG79" s="68">
        <v>14</v>
      </c>
      <c r="AH79" s="47">
        <f t="shared" si="2"/>
        <v>10.199999999999999</v>
      </c>
      <c r="AI79" s="48">
        <f t="shared" si="3"/>
        <v>0</v>
      </c>
      <c r="AK79" s="50"/>
    </row>
    <row r="80" spans="1:41" ht="15.75" thickBot="1" x14ac:dyDescent="0.3">
      <c r="A80" s="74" t="s">
        <v>80</v>
      </c>
      <c r="B80" s="60">
        <f t="shared" ref="B80:AD80" si="14">B77+B78+B79</f>
        <v>0</v>
      </c>
      <c r="C80" s="60">
        <f t="shared" si="14"/>
        <v>0</v>
      </c>
      <c r="D80" s="60">
        <f t="shared" si="14"/>
        <v>0</v>
      </c>
      <c r="E80" s="60">
        <f t="shared" si="14"/>
        <v>0</v>
      </c>
      <c r="F80" s="60">
        <f t="shared" si="14"/>
        <v>0</v>
      </c>
      <c r="G80" s="60">
        <f t="shared" si="14"/>
        <v>0</v>
      </c>
      <c r="H80" s="60">
        <f t="shared" si="14"/>
        <v>0</v>
      </c>
      <c r="I80" s="60">
        <f t="shared" si="14"/>
        <v>0</v>
      </c>
      <c r="J80" s="60">
        <f t="shared" si="14"/>
        <v>0</v>
      </c>
      <c r="K80" s="60">
        <f t="shared" si="14"/>
        <v>0</v>
      </c>
      <c r="L80" s="60">
        <f t="shared" si="14"/>
        <v>0</v>
      </c>
      <c r="M80" s="60">
        <f t="shared" si="14"/>
        <v>0</v>
      </c>
      <c r="N80" s="60">
        <f t="shared" si="14"/>
        <v>0</v>
      </c>
      <c r="O80" s="60">
        <f t="shared" si="14"/>
        <v>0</v>
      </c>
      <c r="P80" s="60">
        <f t="shared" si="14"/>
        <v>0</v>
      </c>
      <c r="Q80" s="60">
        <f t="shared" si="14"/>
        <v>0</v>
      </c>
      <c r="R80" s="60">
        <f t="shared" si="14"/>
        <v>0</v>
      </c>
      <c r="S80" s="60">
        <f t="shared" si="14"/>
        <v>0</v>
      </c>
      <c r="T80" s="60">
        <f t="shared" si="14"/>
        <v>0</v>
      </c>
      <c r="U80" s="60">
        <f t="shared" si="14"/>
        <v>0</v>
      </c>
      <c r="V80" s="60">
        <f t="shared" si="14"/>
        <v>0</v>
      </c>
      <c r="W80" s="60">
        <f t="shared" si="14"/>
        <v>49.1</v>
      </c>
      <c r="X80" s="60">
        <f t="shared" si="14"/>
        <v>94</v>
      </c>
      <c r="Y80" s="60">
        <f t="shared" si="14"/>
        <v>94</v>
      </c>
      <c r="Z80" s="60">
        <f t="shared" si="14"/>
        <v>94</v>
      </c>
      <c r="AA80" s="60">
        <f t="shared" si="14"/>
        <v>94</v>
      </c>
      <c r="AB80" s="60">
        <f t="shared" si="14"/>
        <v>97.3</v>
      </c>
      <c r="AC80" s="60">
        <f t="shared" si="14"/>
        <v>97.3</v>
      </c>
      <c r="AD80" s="60">
        <f t="shared" si="14"/>
        <v>75.400000000000006</v>
      </c>
      <c r="AE80" s="60">
        <f t="shared" ref="AE80:AF80" si="15">AE77+AE78+AE79</f>
        <v>24.3</v>
      </c>
      <c r="AF80" s="60">
        <f t="shared" si="15"/>
        <v>0</v>
      </c>
      <c r="AG80" s="61">
        <f>SUM(AG77:AG79)</f>
        <v>106</v>
      </c>
      <c r="AH80" s="47">
        <f t="shared" si="2"/>
        <v>97.3</v>
      </c>
      <c r="AI80" s="48">
        <f t="shared" si="3"/>
        <v>0</v>
      </c>
      <c r="AK80" s="50"/>
    </row>
    <row r="81" spans="1:40" x14ac:dyDescent="0.25">
      <c r="A81" s="44" t="s">
        <v>81</v>
      </c>
      <c r="B81" s="45">
        <v>59</v>
      </c>
      <c r="C81" s="45">
        <v>56</v>
      </c>
      <c r="D81" s="45">
        <v>63</v>
      </c>
      <c r="E81" s="45">
        <v>67.2</v>
      </c>
      <c r="F81" s="45">
        <v>62.5</v>
      </c>
      <c r="G81" s="45">
        <v>60.8</v>
      </c>
      <c r="H81" s="45">
        <v>66.8</v>
      </c>
      <c r="I81" s="45">
        <v>57.4</v>
      </c>
      <c r="J81" s="45">
        <v>65.599999999999994</v>
      </c>
      <c r="K81" s="45">
        <v>62.1</v>
      </c>
      <c r="L81" s="45">
        <v>36.4</v>
      </c>
      <c r="M81" s="45">
        <v>39.799999999999997</v>
      </c>
      <c r="N81" s="45">
        <v>45.2</v>
      </c>
      <c r="O81" s="45">
        <v>51.6</v>
      </c>
      <c r="P81" s="45">
        <v>56</v>
      </c>
      <c r="Q81" s="45">
        <v>58.1</v>
      </c>
      <c r="R81" s="45">
        <v>62</v>
      </c>
      <c r="S81" s="45">
        <v>51.2</v>
      </c>
      <c r="T81" s="45">
        <v>59</v>
      </c>
      <c r="U81" s="45">
        <v>57.3</v>
      </c>
      <c r="V81" s="45">
        <v>54.2</v>
      </c>
      <c r="W81" s="45">
        <v>66.8</v>
      </c>
      <c r="X81" s="45">
        <v>50</v>
      </c>
      <c r="Y81" s="45">
        <v>68</v>
      </c>
      <c r="Z81" s="45">
        <v>65</v>
      </c>
      <c r="AA81" s="45">
        <v>68</v>
      </c>
      <c r="AB81" s="45">
        <v>66.2</v>
      </c>
      <c r="AC81" s="45">
        <v>57.8</v>
      </c>
      <c r="AD81" s="45">
        <v>65.599999999999994</v>
      </c>
      <c r="AE81" s="45">
        <v>63.7</v>
      </c>
      <c r="AF81" s="45">
        <v>63.5</v>
      </c>
      <c r="AG81" s="52"/>
      <c r="AH81" s="47">
        <f t="shared" si="2"/>
        <v>68</v>
      </c>
      <c r="AI81" s="48">
        <f t="shared" si="3"/>
        <v>36.4</v>
      </c>
      <c r="AK81" s="50"/>
    </row>
    <row r="82" spans="1:40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55"/>
      <c r="AH82" s="47">
        <f t="shared" si="2"/>
        <v>0</v>
      </c>
      <c r="AI82" s="48">
        <f t="shared" si="3"/>
        <v>0</v>
      </c>
      <c r="AK82" s="50"/>
    </row>
    <row r="83" spans="1:40" x14ac:dyDescent="0.25">
      <c r="A83" s="54" t="s">
        <v>83</v>
      </c>
      <c r="B83" s="65">
        <v>399</v>
      </c>
      <c r="C83" s="65">
        <v>373</v>
      </c>
      <c r="D83" s="65">
        <v>389</v>
      </c>
      <c r="E83" s="65">
        <v>363.3</v>
      </c>
      <c r="F83" s="65">
        <v>388.8</v>
      </c>
      <c r="G83" s="65">
        <v>374</v>
      </c>
      <c r="H83" s="65">
        <v>396.3</v>
      </c>
      <c r="I83" s="65">
        <v>377</v>
      </c>
      <c r="J83" s="65">
        <v>378</v>
      </c>
      <c r="K83" s="65">
        <v>86.4</v>
      </c>
      <c r="L83" s="65">
        <v>62.7</v>
      </c>
      <c r="M83" s="65">
        <v>54.1</v>
      </c>
      <c r="N83" s="65">
        <v>55.4</v>
      </c>
      <c r="O83" s="65">
        <v>282</v>
      </c>
      <c r="P83" s="65">
        <v>330</v>
      </c>
      <c r="Q83" s="65">
        <v>391</v>
      </c>
      <c r="R83" s="65">
        <v>391</v>
      </c>
      <c r="S83" s="65">
        <v>396.3</v>
      </c>
      <c r="T83" s="65">
        <v>438</v>
      </c>
      <c r="U83" s="65">
        <v>408</v>
      </c>
      <c r="V83" s="65">
        <v>155.6</v>
      </c>
      <c r="W83" s="65">
        <v>73.599999999999994</v>
      </c>
      <c r="X83" s="65">
        <v>100</v>
      </c>
      <c r="Y83" s="65">
        <v>120</v>
      </c>
      <c r="Z83" s="65">
        <v>328</v>
      </c>
      <c r="AA83" s="65">
        <v>350</v>
      </c>
      <c r="AB83" s="65">
        <v>342.3</v>
      </c>
      <c r="AC83" s="65">
        <v>283.8</v>
      </c>
      <c r="AD83" s="65">
        <v>320.5</v>
      </c>
      <c r="AE83" s="65">
        <v>361.5</v>
      </c>
      <c r="AF83" s="65">
        <v>371</v>
      </c>
      <c r="AG83" s="75"/>
      <c r="AH83" s="47">
        <f t="shared" si="2"/>
        <v>438</v>
      </c>
      <c r="AI83" s="48">
        <f t="shared" si="3"/>
        <v>54.1</v>
      </c>
      <c r="AK83" s="50"/>
    </row>
    <row r="84" spans="1:40" x14ac:dyDescent="0.25">
      <c r="A84" s="54" t="s">
        <v>84</v>
      </c>
      <c r="B84" s="65"/>
      <c r="C84" s="65"/>
      <c r="D84" s="65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>
        <v>24.5</v>
      </c>
      <c r="S84" s="76">
        <v>23.9</v>
      </c>
      <c r="T84" s="76">
        <v>20</v>
      </c>
      <c r="U84" s="76">
        <v>20.9</v>
      </c>
      <c r="V84" s="76">
        <v>23.6</v>
      </c>
      <c r="W84" s="76">
        <v>24</v>
      </c>
      <c r="X84" s="76">
        <v>24</v>
      </c>
      <c r="Y84" s="76"/>
      <c r="Z84" s="76"/>
      <c r="AA84" s="76"/>
      <c r="AB84" s="76"/>
      <c r="AC84" s="76"/>
      <c r="AD84" s="65"/>
      <c r="AE84" s="65"/>
      <c r="AF84" s="65"/>
      <c r="AG84" s="75"/>
      <c r="AH84" s="47">
        <f t="shared" si="2"/>
        <v>24.5</v>
      </c>
      <c r="AI84" s="48">
        <f t="shared" si="3"/>
        <v>20</v>
      </c>
      <c r="AK84" s="50"/>
    </row>
    <row r="85" spans="1:40" x14ac:dyDescent="0.25">
      <c r="A85" s="54" t="s">
        <v>85</v>
      </c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>
        <v>20</v>
      </c>
      <c r="R85" s="45">
        <v>22.4</v>
      </c>
      <c r="S85" s="45">
        <v>23</v>
      </c>
      <c r="T85" s="45">
        <v>23</v>
      </c>
      <c r="U85" s="45">
        <v>24</v>
      </c>
      <c r="V85" s="45">
        <v>23.6</v>
      </c>
      <c r="W85" s="45">
        <v>21</v>
      </c>
      <c r="X85" s="45">
        <v>21</v>
      </c>
      <c r="Y85" s="45">
        <v>11</v>
      </c>
      <c r="Z85" s="45">
        <v>20</v>
      </c>
      <c r="AA85" s="45">
        <v>20</v>
      </c>
      <c r="AB85" s="45">
        <v>20</v>
      </c>
      <c r="AC85" s="45">
        <v>19.8</v>
      </c>
      <c r="AD85" s="45">
        <v>19.5</v>
      </c>
      <c r="AE85" s="45">
        <v>17.899999999999999</v>
      </c>
      <c r="AF85" s="45">
        <v>18.2</v>
      </c>
      <c r="AG85" s="75"/>
      <c r="AH85" s="47">
        <f t="shared" ref="AH85:AH130" si="16">MAX(B85:AF85)</f>
        <v>24</v>
      </c>
      <c r="AI85" s="48">
        <f t="shared" ref="AI85:AI130" si="17">MIN(B85:AF85)</f>
        <v>11</v>
      </c>
      <c r="AK85" s="50"/>
    </row>
    <row r="86" spans="1:40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5"/>
      <c r="AH86" s="47">
        <f t="shared" si="16"/>
        <v>0</v>
      </c>
      <c r="AI86" s="48">
        <f t="shared" si="17"/>
        <v>0</v>
      </c>
      <c r="AK86" s="50"/>
    </row>
    <row r="87" spans="1:40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5"/>
      <c r="AH87" s="47">
        <f t="shared" si="16"/>
        <v>0</v>
      </c>
      <c r="AI87" s="48">
        <f t="shared" si="17"/>
        <v>0</v>
      </c>
      <c r="AK87" s="50"/>
      <c r="AL87" s="78" t="s">
        <v>88</v>
      </c>
      <c r="AM87" s="78"/>
    </row>
    <row r="88" spans="1:40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5"/>
      <c r="AH88" s="47">
        <f t="shared" si="16"/>
        <v>0</v>
      </c>
      <c r="AI88" s="48">
        <f t="shared" si="17"/>
        <v>0</v>
      </c>
      <c r="AK88" s="79"/>
      <c r="AL88" s="80"/>
      <c r="AM88" s="80"/>
      <c r="AN88" s="81"/>
    </row>
    <row r="89" spans="1:40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5"/>
      <c r="AH89" s="47">
        <f t="shared" si="16"/>
        <v>0</v>
      </c>
      <c r="AI89" s="48">
        <f t="shared" si="17"/>
        <v>0</v>
      </c>
      <c r="AK89" s="82" t="s">
        <v>91</v>
      </c>
      <c r="AL89" s="65"/>
      <c r="AM89" s="76"/>
      <c r="AN89" s="83"/>
    </row>
    <row r="90" spans="1:40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85"/>
      <c r="AH90" s="47">
        <f t="shared" si="16"/>
        <v>0</v>
      </c>
      <c r="AI90" s="48">
        <f t="shared" si="17"/>
        <v>0</v>
      </c>
      <c r="AK90" s="82" t="s">
        <v>93</v>
      </c>
      <c r="AL90" s="76"/>
      <c r="AM90" s="76"/>
      <c r="AN90" s="83"/>
    </row>
    <row r="91" spans="1:40" ht="15.75" thickBot="1" x14ac:dyDescent="0.3">
      <c r="A91" s="84" t="s">
        <v>94</v>
      </c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85"/>
      <c r="AH91" s="47">
        <f t="shared" si="16"/>
        <v>0</v>
      </c>
      <c r="AI91" s="48">
        <f t="shared" si="17"/>
        <v>0</v>
      </c>
      <c r="AK91" s="86"/>
      <c r="AL91" s="45"/>
      <c r="AM91" s="45"/>
      <c r="AN91" s="87"/>
    </row>
    <row r="92" spans="1:40" ht="15.75" thickBot="1" x14ac:dyDescent="0.3">
      <c r="A92" s="74" t="s">
        <v>95</v>
      </c>
      <c r="B92" s="60">
        <f t="shared" ref="B92:AD92" si="18">SUMIF(B81:B91,"&gt;0")</f>
        <v>458</v>
      </c>
      <c r="C92" s="60">
        <f t="shared" si="18"/>
        <v>429</v>
      </c>
      <c r="D92" s="60">
        <f t="shared" si="18"/>
        <v>452</v>
      </c>
      <c r="E92" s="60">
        <f t="shared" si="18"/>
        <v>430.5</v>
      </c>
      <c r="F92" s="60">
        <f t="shared" si="18"/>
        <v>451.3</v>
      </c>
      <c r="G92" s="60">
        <f t="shared" si="18"/>
        <v>434.8</v>
      </c>
      <c r="H92" s="60">
        <f t="shared" si="18"/>
        <v>463.1</v>
      </c>
      <c r="I92" s="60">
        <f t="shared" si="18"/>
        <v>434.4</v>
      </c>
      <c r="J92" s="60">
        <f t="shared" si="18"/>
        <v>443.6</v>
      </c>
      <c r="K92" s="60">
        <f t="shared" si="18"/>
        <v>148.5</v>
      </c>
      <c r="L92" s="60">
        <f t="shared" si="18"/>
        <v>99.1</v>
      </c>
      <c r="M92" s="60">
        <f t="shared" si="18"/>
        <v>93.9</v>
      </c>
      <c r="N92" s="60">
        <f t="shared" si="18"/>
        <v>100.6</v>
      </c>
      <c r="O92" s="60">
        <f t="shared" si="18"/>
        <v>333.6</v>
      </c>
      <c r="P92" s="60">
        <f t="shared" si="18"/>
        <v>386</v>
      </c>
      <c r="Q92" s="60">
        <f t="shared" si="18"/>
        <v>469.1</v>
      </c>
      <c r="R92" s="60">
        <f t="shared" si="18"/>
        <v>499.9</v>
      </c>
      <c r="S92" s="60">
        <f t="shared" si="18"/>
        <v>494.4</v>
      </c>
      <c r="T92" s="60">
        <f t="shared" si="18"/>
        <v>540</v>
      </c>
      <c r="U92" s="60">
        <f t="shared" si="18"/>
        <v>510.2</v>
      </c>
      <c r="V92" s="60">
        <f t="shared" si="18"/>
        <v>257</v>
      </c>
      <c r="W92" s="60">
        <f t="shared" si="18"/>
        <v>185.39999999999998</v>
      </c>
      <c r="X92" s="60">
        <f t="shared" si="18"/>
        <v>195</v>
      </c>
      <c r="Y92" s="60">
        <f t="shared" si="18"/>
        <v>199</v>
      </c>
      <c r="Z92" s="60">
        <f t="shared" si="18"/>
        <v>413</v>
      </c>
      <c r="AA92" s="60">
        <f t="shared" si="18"/>
        <v>438</v>
      </c>
      <c r="AB92" s="60">
        <f t="shared" si="18"/>
        <v>428.5</v>
      </c>
      <c r="AC92" s="60">
        <f t="shared" si="18"/>
        <v>361.40000000000003</v>
      </c>
      <c r="AD92" s="60">
        <f t="shared" si="18"/>
        <v>405.6</v>
      </c>
      <c r="AE92" s="60">
        <f t="shared" ref="AE92:AF92" si="19">SUMIF(AE81:AE91,"&gt;0")</f>
        <v>443.09999999999997</v>
      </c>
      <c r="AF92" s="60">
        <f t="shared" si="19"/>
        <v>452.7</v>
      </c>
      <c r="AG92" s="88">
        <f>SUM(AG81:AG91)</f>
        <v>0</v>
      </c>
      <c r="AH92" s="47">
        <f t="shared" si="16"/>
        <v>540</v>
      </c>
      <c r="AI92" s="48">
        <f t="shared" si="17"/>
        <v>93.9</v>
      </c>
      <c r="AK92" s="86"/>
      <c r="AL92" s="77"/>
      <c r="AM92" s="89"/>
      <c r="AN92" s="255"/>
    </row>
    <row r="93" spans="1:40" x14ac:dyDescent="0.25">
      <c r="A93" s="44" t="s">
        <v>96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16"/>
        <v>0</v>
      </c>
      <c r="AI93" s="48">
        <f t="shared" si="17"/>
        <v>0</v>
      </c>
      <c r="AK93" s="86"/>
      <c r="AL93" s="77"/>
      <c r="AM93" s="77"/>
      <c r="AN93" s="256"/>
    </row>
    <row r="94" spans="1:40" ht="15.75" thickBot="1" x14ac:dyDescent="0.3">
      <c r="A94" s="54" t="s">
        <v>97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16"/>
        <v>0</v>
      </c>
      <c r="AI94" s="48">
        <f t="shared" si="17"/>
        <v>0</v>
      </c>
      <c r="AK94" s="91"/>
      <c r="AL94" s="92"/>
      <c r="AM94" s="92"/>
      <c r="AN94" s="93"/>
    </row>
    <row r="95" spans="1:40" ht="15.75" thickBot="1" x14ac:dyDescent="0.3">
      <c r="A95" s="84" t="s">
        <v>98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16"/>
        <v>0</v>
      </c>
      <c r="AI95" s="48">
        <f t="shared" si="17"/>
        <v>0</v>
      </c>
    </row>
    <row r="96" spans="1:40" ht="15.75" thickBot="1" x14ac:dyDescent="0.3">
      <c r="A96" s="74" t="s">
        <v>99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>
        <v>0</v>
      </c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16"/>
        <v>0</v>
      </c>
      <c r="AI96" s="48">
        <f t="shared" si="17"/>
        <v>0</v>
      </c>
    </row>
    <row r="97" spans="1:37" ht="15.75" thickBot="1" x14ac:dyDescent="0.3">
      <c r="A97" s="74" t="s">
        <v>100</v>
      </c>
      <c r="B97" s="95">
        <f t="shared" ref="B97:AG97" si="20">B58+B62+B80+B76+B92+B96</f>
        <v>1144.8400000000001</v>
      </c>
      <c r="C97" s="95">
        <f t="shared" si="20"/>
        <v>1100.24</v>
      </c>
      <c r="D97" s="95">
        <f t="shared" si="20"/>
        <v>1124.24</v>
      </c>
      <c r="E97" s="95">
        <f t="shared" si="20"/>
        <v>1106.1400000000001</v>
      </c>
      <c r="F97" s="95">
        <f t="shared" si="20"/>
        <v>1127.0400000000002</v>
      </c>
      <c r="G97" s="95">
        <f t="shared" si="20"/>
        <v>1127.74</v>
      </c>
      <c r="H97" s="95">
        <f t="shared" si="20"/>
        <v>1189.1400000000001</v>
      </c>
      <c r="I97" s="95">
        <f t="shared" si="20"/>
        <v>1267.94</v>
      </c>
      <c r="J97" s="95">
        <f t="shared" si="20"/>
        <v>1327.94</v>
      </c>
      <c r="K97" s="95">
        <f t="shared" si="20"/>
        <v>1347.2400000000002</v>
      </c>
      <c r="L97" s="95">
        <f t="shared" si="20"/>
        <v>1350.14</v>
      </c>
      <c r="M97" s="95">
        <f t="shared" si="20"/>
        <v>1413.7400000000002</v>
      </c>
      <c r="N97" s="95">
        <f t="shared" si="20"/>
        <v>1453.04</v>
      </c>
      <c r="O97" s="95">
        <f t="shared" si="20"/>
        <v>1367.44</v>
      </c>
      <c r="P97" s="95">
        <f t="shared" si="20"/>
        <v>1427.8400000000001</v>
      </c>
      <c r="Q97" s="95">
        <f t="shared" si="20"/>
        <v>1262.54</v>
      </c>
      <c r="R97" s="95">
        <f t="shared" si="20"/>
        <v>1293.3400000000001</v>
      </c>
      <c r="S97" s="95">
        <f t="shared" si="20"/>
        <v>1287.3400000000001</v>
      </c>
      <c r="T97" s="95">
        <f t="shared" si="20"/>
        <v>1324.74</v>
      </c>
      <c r="U97" s="95">
        <f t="shared" si="20"/>
        <v>1313.64</v>
      </c>
      <c r="V97" s="95">
        <f t="shared" si="20"/>
        <v>1184.74</v>
      </c>
      <c r="W97" s="95">
        <f t="shared" si="20"/>
        <v>1265.3400000000001</v>
      </c>
      <c r="X97" s="95">
        <f t="shared" si="20"/>
        <v>1622.84</v>
      </c>
      <c r="Y97" s="95">
        <f t="shared" si="20"/>
        <v>1623.8</v>
      </c>
      <c r="Z97" s="95">
        <f t="shared" si="20"/>
        <v>1586.64</v>
      </c>
      <c r="AA97" s="95">
        <f t="shared" si="20"/>
        <v>1557.64</v>
      </c>
      <c r="AB97" s="95">
        <f t="shared" si="20"/>
        <v>1496.54</v>
      </c>
      <c r="AC97" s="95">
        <f t="shared" si="20"/>
        <v>1423.3400000000001</v>
      </c>
      <c r="AD97" s="95">
        <f t="shared" si="20"/>
        <v>1366.2400000000002</v>
      </c>
      <c r="AE97" s="95">
        <f t="shared" ref="AE97:AF97" si="21">AE58+AE62+AE80+AE76+AE92+AE96</f>
        <v>1328.64</v>
      </c>
      <c r="AF97" s="95">
        <f t="shared" si="21"/>
        <v>1206.3399999999999</v>
      </c>
      <c r="AG97" s="61">
        <f t="shared" si="20"/>
        <v>2231.81</v>
      </c>
      <c r="AH97" s="47">
        <f t="shared" si="16"/>
        <v>1623.8</v>
      </c>
      <c r="AI97" s="48">
        <f t="shared" si="17"/>
        <v>1100.24</v>
      </c>
    </row>
    <row r="98" spans="1:37" ht="15.75" thickBot="1" x14ac:dyDescent="0.3">
      <c r="A98" s="96" t="s">
        <v>101</v>
      </c>
      <c r="B98" s="97"/>
      <c r="C98" s="97"/>
      <c r="D98" s="97"/>
      <c r="E98" s="97"/>
      <c r="F98" s="97"/>
      <c r="G98" s="97"/>
      <c r="H98" s="97"/>
      <c r="I98" s="97"/>
      <c r="J98" s="97"/>
      <c r="K98" s="97">
        <v>150</v>
      </c>
      <c r="L98" s="97">
        <v>200</v>
      </c>
      <c r="M98" s="97">
        <v>200</v>
      </c>
      <c r="N98" s="97">
        <v>200</v>
      </c>
      <c r="O98" s="97">
        <v>200</v>
      </c>
      <c r="P98" s="97"/>
      <c r="Q98" s="97"/>
      <c r="R98" s="97"/>
      <c r="S98" s="97"/>
      <c r="T98" s="97"/>
      <c r="U98" s="97"/>
      <c r="V98" s="97"/>
      <c r="W98" s="97">
        <v>200</v>
      </c>
      <c r="X98" s="97">
        <v>200</v>
      </c>
      <c r="Y98" s="97">
        <v>200</v>
      </c>
      <c r="Z98" s="97">
        <v>200</v>
      </c>
      <c r="AA98" s="97">
        <v>200</v>
      </c>
      <c r="AB98" s="97">
        <v>200</v>
      </c>
      <c r="AC98" s="97">
        <v>200</v>
      </c>
      <c r="AD98" s="97">
        <v>200</v>
      </c>
      <c r="AE98" s="97">
        <v>0</v>
      </c>
      <c r="AF98" s="97">
        <v>0</v>
      </c>
      <c r="AG98" s="88"/>
      <c r="AH98" s="47">
        <f t="shared" si="16"/>
        <v>200</v>
      </c>
      <c r="AI98" s="48">
        <f t="shared" si="17"/>
        <v>0</v>
      </c>
    </row>
    <row r="99" spans="1:37" ht="15.75" thickBot="1" x14ac:dyDescent="0.3">
      <c r="A99" s="74" t="s">
        <v>102</v>
      </c>
      <c r="B99" s="95">
        <f t="shared" ref="B99:AD99" si="22">B97+B98</f>
        <v>1144.8400000000001</v>
      </c>
      <c r="C99" s="95">
        <f t="shared" si="22"/>
        <v>1100.24</v>
      </c>
      <c r="D99" s="95">
        <f t="shared" si="22"/>
        <v>1124.24</v>
      </c>
      <c r="E99" s="95">
        <f t="shared" si="22"/>
        <v>1106.1400000000001</v>
      </c>
      <c r="F99" s="95">
        <f t="shared" si="22"/>
        <v>1127.0400000000002</v>
      </c>
      <c r="G99" s="95">
        <f t="shared" si="22"/>
        <v>1127.74</v>
      </c>
      <c r="H99" s="95">
        <f t="shared" si="22"/>
        <v>1189.1400000000001</v>
      </c>
      <c r="I99" s="95">
        <f t="shared" si="22"/>
        <v>1267.94</v>
      </c>
      <c r="J99" s="95">
        <f t="shared" si="22"/>
        <v>1327.94</v>
      </c>
      <c r="K99" s="95">
        <f t="shared" si="22"/>
        <v>1497.2400000000002</v>
      </c>
      <c r="L99" s="95">
        <f t="shared" si="22"/>
        <v>1550.14</v>
      </c>
      <c r="M99" s="95">
        <f t="shared" si="22"/>
        <v>1613.7400000000002</v>
      </c>
      <c r="N99" s="95">
        <f t="shared" si="22"/>
        <v>1653.04</v>
      </c>
      <c r="O99" s="95">
        <f t="shared" si="22"/>
        <v>1567.44</v>
      </c>
      <c r="P99" s="95">
        <f t="shared" si="22"/>
        <v>1427.8400000000001</v>
      </c>
      <c r="Q99" s="95">
        <f t="shared" si="22"/>
        <v>1262.54</v>
      </c>
      <c r="R99" s="95">
        <f t="shared" si="22"/>
        <v>1293.3400000000001</v>
      </c>
      <c r="S99" s="95">
        <f t="shared" si="22"/>
        <v>1287.3400000000001</v>
      </c>
      <c r="T99" s="95">
        <f t="shared" si="22"/>
        <v>1324.74</v>
      </c>
      <c r="U99" s="95">
        <f t="shared" si="22"/>
        <v>1313.64</v>
      </c>
      <c r="V99" s="95">
        <f t="shared" si="22"/>
        <v>1184.74</v>
      </c>
      <c r="W99" s="95">
        <f t="shared" si="22"/>
        <v>1465.3400000000001</v>
      </c>
      <c r="X99" s="95">
        <f t="shared" si="22"/>
        <v>1822.84</v>
      </c>
      <c r="Y99" s="95">
        <f t="shared" si="22"/>
        <v>1823.8</v>
      </c>
      <c r="Z99" s="95">
        <f t="shared" si="22"/>
        <v>1786.64</v>
      </c>
      <c r="AA99" s="95">
        <f t="shared" si="22"/>
        <v>1757.64</v>
      </c>
      <c r="AB99" s="95">
        <f t="shared" si="22"/>
        <v>1696.54</v>
      </c>
      <c r="AC99" s="95">
        <f t="shared" si="22"/>
        <v>1623.3400000000001</v>
      </c>
      <c r="AD99" s="95">
        <f t="shared" si="22"/>
        <v>1566.2400000000002</v>
      </c>
      <c r="AE99" s="95">
        <f t="shared" ref="AE99:AF99" si="23">AE97+AE98</f>
        <v>1328.64</v>
      </c>
      <c r="AF99" s="95">
        <f t="shared" si="23"/>
        <v>1206.3399999999999</v>
      </c>
      <c r="AG99" s="88">
        <f>AG96+AG92+AG80+AG76+AG58+AG98</f>
        <v>1693.71</v>
      </c>
      <c r="AH99" s="47">
        <f t="shared" si="16"/>
        <v>1823.8</v>
      </c>
      <c r="AI99" s="48">
        <f t="shared" si="17"/>
        <v>1100.24</v>
      </c>
    </row>
    <row r="100" spans="1:37" ht="15.75" thickBot="1" x14ac:dyDescent="0.3">
      <c r="A100" s="74" t="s">
        <v>103</v>
      </c>
      <c r="B100" s="95">
        <f t="shared" ref="B100:M100" si="24">B99-(B107)</f>
        <v>1144.8400000000001</v>
      </c>
      <c r="C100" s="95">
        <f t="shared" si="24"/>
        <v>1100.24</v>
      </c>
      <c r="D100" s="95">
        <f t="shared" si="24"/>
        <v>1124.24</v>
      </c>
      <c r="E100" s="95">
        <f t="shared" si="24"/>
        <v>1106.1400000000001</v>
      </c>
      <c r="F100" s="95">
        <f t="shared" si="24"/>
        <v>1127.0400000000002</v>
      </c>
      <c r="G100" s="95">
        <f t="shared" si="24"/>
        <v>1127.74</v>
      </c>
      <c r="H100" s="95">
        <f t="shared" si="24"/>
        <v>1189.1400000000001</v>
      </c>
      <c r="I100" s="95">
        <f t="shared" si="24"/>
        <v>1267.94</v>
      </c>
      <c r="J100" s="95">
        <f t="shared" si="24"/>
        <v>1327.94</v>
      </c>
      <c r="K100" s="95">
        <f t="shared" si="24"/>
        <v>1497.2400000000002</v>
      </c>
      <c r="L100" s="95">
        <f t="shared" si="24"/>
        <v>1550.14</v>
      </c>
      <c r="M100" s="95">
        <f t="shared" si="24"/>
        <v>1613.7400000000002</v>
      </c>
      <c r="N100" s="95">
        <f>N99-(N107)</f>
        <v>1653.04</v>
      </c>
      <c r="O100" s="95">
        <f t="shared" ref="O100:AD100" si="25">O99-(O107)</f>
        <v>1567.44</v>
      </c>
      <c r="P100" s="95">
        <f t="shared" si="25"/>
        <v>1427.8400000000001</v>
      </c>
      <c r="Q100" s="95">
        <f t="shared" si="25"/>
        <v>1262.54</v>
      </c>
      <c r="R100" s="95">
        <f t="shared" si="25"/>
        <v>1293.3400000000001</v>
      </c>
      <c r="S100" s="95">
        <f t="shared" si="25"/>
        <v>1287.3400000000001</v>
      </c>
      <c r="T100" s="95">
        <f t="shared" si="25"/>
        <v>1324.74</v>
      </c>
      <c r="U100" s="95">
        <f t="shared" si="25"/>
        <v>1313.64</v>
      </c>
      <c r="V100" s="95">
        <f t="shared" si="25"/>
        <v>1184.74</v>
      </c>
      <c r="W100" s="95">
        <f t="shared" si="25"/>
        <v>1465.3400000000001</v>
      </c>
      <c r="X100" s="95">
        <f t="shared" si="25"/>
        <v>1822.84</v>
      </c>
      <c r="Y100" s="95">
        <f t="shared" si="25"/>
        <v>1823.8</v>
      </c>
      <c r="Z100" s="95">
        <f t="shared" si="25"/>
        <v>1786.64</v>
      </c>
      <c r="AA100" s="95">
        <f t="shared" si="25"/>
        <v>1757.64</v>
      </c>
      <c r="AB100" s="95">
        <f t="shared" si="25"/>
        <v>1696.54</v>
      </c>
      <c r="AC100" s="95">
        <f t="shared" si="25"/>
        <v>1623.3400000000001</v>
      </c>
      <c r="AD100" s="95">
        <f t="shared" si="25"/>
        <v>1566.2400000000002</v>
      </c>
      <c r="AE100" s="95">
        <f t="shared" ref="AE100:AF100" si="26">AE99-(AE107)</f>
        <v>1328.64</v>
      </c>
      <c r="AF100" s="95">
        <f t="shared" si="26"/>
        <v>1206.3399999999999</v>
      </c>
      <c r="AG100" s="88"/>
      <c r="AH100" s="47">
        <f t="shared" si="16"/>
        <v>1823.8</v>
      </c>
      <c r="AI100" s="48">
        <f t="shared" si="17"/>
        <v>1100.24</v>
      </c>
    </row>
    <row r="101" spans="1:37" x14ac:dyDescent="0.25">
      <c r="A101" s="44" t="s">
        <v>84</v>
      </c>
      <c r="B101" s="76">
        <f>IF(B84&lt;0,B84*-1,0)</f>
        <v>0</v>
      </c>
      <c r="C101" s="76">
        <f t="shared" ref="C101:AD101" si="27">IF(C84&lt;0,C84*-1,0)</f>
        <v>0</v>
      </c>
      <c r="D101" s="76">
        <f t="shared" si="27"/>
        <v>0</v>
      </c>
      <c r="E101" s="76">
        <f t="shared" si="27"/>
        <v>0</v>
      </c>
      <c r="F101" s="76">
        <f t="shared" si="27"/>
        <v>0</v>
      </c>
      <c r="G101" s="76">
        <f t="shared" si="27"/>
        <v>0</v>
      </c>
      <c r="H101" s="76">
        <f t="shared" si="27"/>
        <v>0</v>
      </c>
      <c r="I101" s="76">
        <f t="shared" si="27"/>
        <v>0</v>
      </c>
      <c r="J101" s="76">
        <f t="shared" si="27"/>
        <v>0</v>
      </c>
      <c r="K101" s="76">
        <f t="shared" si="27"/>
        <v>0</v>
      </c>
      <c r="L101" s="76">
        <f t="shared" si="27"/>
        <v>0</v>
      </c>
      <c r="M101" s="76">
        <f t="shared" si="27"/>
        <v>0</v>
      </c>
      <c r="N101" s="76">
        <f t="shared" si="27"/>
        <v>0</v>
      </c>
      <c r="O101" s="76">
        <f t="shared" si="27"/>
        <v>0</v>
      </c>
      <c r="P101" s="76">
        <f t="shared" si="27"/>
        <v>0</v>
      </c>
      <c r="Q101" s="76">
        <f t="shared" si="27"/>
        <v>0</v>
      </c>
      <c r="R101" s="76">
        <f t="shared" si="27"/>
        <v>0</v>
      </c>
      <c r="S101" s="76">
        <f t="shared" si="27"/>
        <v>0</v>
      </c>
      <c r="T101" s="76">
        <f t="shared" si="27"/>
        <v>0</v>
      </c>
      <c r="U101" s="76">
        <f t="shared" si="27"/>
        <v>0</v>
      </c>
      <c r="V101" s="76">
        <f t="shared" si="27"/>
        <v>0</v>
      </c>
      <c r="W101" s="76">
        <f t="shared" si="27"/>
        <v>0</v>
      </c>
      <c r="X101" s="76">
        <f t="shared" si="27"/>
        <v>0</v>
      </c>
      <c r="Y101" s="76">
        <f t="shared" si="27"/>
        <v>0</v>
      </c>
      <c r="Z101" s="76">
        <f t="shared" si="27"/>
        <v>0</v>
      </c>
      <c r="AA101" s="76">
        <f t="shared" si="27"/>
        <v>0</v>
      </c>
      <c r="AB101" s="76">
        <f t="shared" si="27"/>
        <v>0</v>
      </c>
      <c r="AC101" s="76">
        <f t="shared" si="27"/>
        <v>0</v>
      </c>
      <c r="AD101" s="76">
        <f t="shared" si="27"/>
        <v>0</v>
      </c>
      <c r="AE101" s="76">
        <f t="shared" ref="AE101:AF101" si="28">IF(AE84&lt;0,AE84*-1,0)</f>
        <v>0</v>
      </c>
      <c r="AF101" s="76">
        <f t="shared" si="28"/>
        <v>0</v>
      </c>
      <c r="AG101" s="52"/>
      <c r="AH101" s="47">
        <f t="shared" si="16"/>
        <v>0</v>
      </c>
      <c r="AI101" s="48">
        <f t="shared" si="17"/>
        <v>0</v>
      </c>
    </row>
    <row r="102" spans="1:37" x14ac:dyDescent="0.25">
      <c r="A102" s="54" t="s">
        <v>82</v>
      </c>
      <c r="B102" s="76">
        <f>IF(B82&lt;0,B82*-1,0)</f>
        <v>0</v>
      </c>
      <c r="C102" s="76">
        <f t="shared" ref="C102:AD102" si="29">IF(C82&lt;0,C82*-1,0)</f>
        <v>0</v>
      </c>
      <c r="D102" s="76">
        <f t="shared" si="29"/>
        <v>0</v>
      </c>
      <c r="E102" s="76">
        <f t="shared" si="29"/>
        <v>0</v>
      </c>
      <c r="F102" s="76">
        <f t="shared" si="29"/>
        <v>0</v>
      </c>
      <c r="G102" s="76">
        <f t="shared" si="29"/>
        <v>0</v>
      </c>
      <c r="H102" s="76">
        <f t="shared" si="29"/>
        <v>0</v>
      </c>
      <c r="I102" s="76">
        <f t="shared" si="29"/>
        <v>0</v>
      </c>
      <c r="J102" s="76">
        <f t="shared" si="29"/>
        <v>0</v>
      </c>
      <c r="K102" s="76">
        <f t="shared" si="29"/>
        <v>0</v>
      </c>
      <c r="L102" s="76">
        <f t="shared" si="29"/>
        <v>0</v>
      </c>
      <c r="M102" s="76">
        <f t="shared" si="29"/>
        <v>0</v>
      </c>
      <c r="N102" s="76">
        <f t="shared" si="29"/>
        <v>0</v>
      </c>
      <c r="O102" s="76">
        <f t="shared" si="29"/>
        <v>0</v>
      </c>
      <c r="P102" s="76">
        <f t="shared" si="29"/>
        <v>0</v>
      </c>
      <c r="Q102" s="76">
        <f t="shared" si="29"/>
        <v>0</v>
      </c>
      <c r="R102" s="76">
        <f t="shared" si="29"/>
        <v>0</v>
      </c>
      <c r="S102" s="76">
        <f t="shared" si="29"/>
        <v>0</v>
      </c>
      <c r="T102" s="76">
        <f t="shared" si="29"/>
        <v>0</v>
      </c>
      <c r="U102" s="76">
        <f t="shared" si="29"/>
        <v>0</v>
      </c>
      <c r="V102" s="76">
        <f t="shared" si="29"/>
        <v>0</v>
      </c>
      <c r="W102" s="76">
        <f t="shared" si="29"/>
        <v>0</v>
      </c>
      <c r="X102" s="76">
        <f t="shared" si="29"/>
        <v>0</v>
      </c>
      <c r="Y102" s="76">
        <f t="shared" si="29"/>
        <v>0</v>
      </c>
      <c r="Z102" s="76">
        <f t="shared" si="29"/>
        <v>0</v>
      </c>
      <c r="AA102" s="76">
        <f t="shared" si="29"/>
        <v>0</v>
      </c>
      <c r="AB102" s="76">
        <f t="shared" si="29"/>
        <v>0</v>
      </c>
      <c r="AC102" s="76">
        <f t="shared" si="29"/>
        <v>0</v>
      </c>
      <c r="AD102" s="76">
        <f t="shared" si="29"/>
        <v>0</v>
      </c>
      <c r="AE102" s="76">
        <f t="shared" ref="AE102:AF102" si="30">IF(AE82&lt;0,AE82*-1,0)</f>
        <v>0</v>
      </c>
      <c r="AF102" s="76">
        <f t="shared" si="30"/>
        <v>0</v>
      </c>
      <c r="AG102" s="55"/>
      <c r="AH102" s="47">
        <f t="shared" si="16"/>
        <v>0</v>
      </c>
      <c r="AI102" s="48">
        <f t="shared" si="17"/>
        <v>0</v>
      </c>
    </row>
    <row r="103" spans="1:37" x14ac:dyDescent="0.25">
      <c r="A103" s="84" t="s">
        <v>104</v>
      </c>
      <c r="B103" s="76">
        <f>IF(B85&lt;0,B85*-1,0)</f>
        <v>0</v>
      </c>
      <c r="C103" s="76">
        <f t="shared" ref="C103:AD103" si="31">IF(C85&lt;0,C85*-1,0)</f>
        <v>0</v>
      </c>
      <c r="D103" s="76">
        <f t="shared" si="31"/>
        <v>0</v>
      </c>
      <c r="E103" s="76">
        <f t="shared" si="31"/>
        <v>0</v>
      </c>
      <c r="F103" s="76">
        <f t="shared" si="31"/>
        <v>0</v>
      </c>
      <c r="G103" s="76">
        <f t="shared" si="31"/>
        <v>0</v>
      </c>
      <c r="H103" s="76">
        <f t="shared" si="31"/>
        <v>0</v>
      </c>
      <c r="I103" s="76">
        <f t="shared" si="31"/>
        <v>0</v>
      </c>
      <c r="J103" s="76">
        <f t="shared" si="31"/>
        <v>0</v>
      </c>
      <c r="K103" s="76">
        <f t="shared" si="31"/>
        <v>0</v>
      </c>
      <c r="L103" s="76">
        <f t="shared" si="31"/>
        <v>0</v>
      </c>
      <c r="M103" s="76">
        <f t="shared" si="31"/>
        <v>0</v>
      </c>
      <c r="N103" s="76">
        <f t="shared" si="31"/>
        <v>0</v>
      </c>
      <c r="O103" s="76">
        <f t="shared" si="31"/>
        <v>0</v>
      </c>
      <c r="P103" s="76">
        <f t="shared" si="31"/>
        <v>0</v>
      </c>
      <c r="Q103" s="76">
        <f t="shared" si="31"/>
        <v>0</v>
      </c>
      <c r="R103" s="76">
        <f t="shared" si="31"/>
        <v>0</v>
      </c>
      <c r="S103" s="76">
        <f t="shared" si="31"/>
        <v>0</v>
      </c>
      <c r="T103" s="76">
        <f t="shared" si="31"/>
        <v>0</v>
      </c>
      <c r="U103" s="76">
        <f t="shared" si="31"/>
        <v>0</v>
      </c>
      <c r="V103" s="76">
        <f t="shared" si="31"/>
        <v>0</v>
      </c>
      <c r="W103" s="76">
        <f t="shared" si="31"/>
        <v>0</v>
      </c>
      <c r="X103" s="76">
        <f t="shared" si="31"/>
        <v>0</v>
      </c>
      <c r="Y103" s="76">
        <f t="shared" si="31"/>
        <v>0</v>
      </c>
      <c r="Z103" s="76">
        <f t="shared" si="31"/>
        <v>0</v>
      </c>
      <c r="AA103" s="76">
        <f t="shared" si="31"/>
        <v>0</v>
      </c>
      <c r="AB103" s="76">
        <f t="shared" si="31"/>
        <v>0</v>
      </c>
      <c r="AC103" s="76">
        <f t="shared" si="31"/>
        <v>0</v>
      </c>
      <c r="AD103" s="76">
        <f t="shared" si="31"/>
        <v>0</v>
      </c>
      <c r="AE103" s="76">
        <f t="shared" ref="AE103:AF103" si="32">IF(AE85&lt;0,AE85*-1,0)</f>
        <v>0</v>
      </c>
      <c r="AF103" s="76">
        <f t="shared" si="32"/>
        <v>0</v>
      </c>
      <c r="AG103" s="98"/>
      <c r="AH103" s="47">
        <f t="shared" si="16"/>
        <v>0</v>
      </c>
      <c r="AI103" s="48">
        <f t="shared" si="17"/>
        <v>0</v>
      </c>
    </row>
    <row r="104" spans="1:37" x14ac:dyDescent="0.25">
      <c r="A104" s="84" t="s">
        <v>105</v>
      </c>
      <c r="B104" s="76">
        <f>IF(B83&lt;0,B83*-1,0)</f>
        <v>0</v>
      </c>
      <c r="C104" s="76">
        <f t="shared" ref="C104:AD104" si="33">IF(C83&lt;0,C83*-1,0)</f>
        <v>0</v>
      </c>
      <c r="D104" s="76">
        <f t="shared" si="33"/>
        <v>0</v>
      </c>
      <c r="E104" s="76">
        <f t="shared" si="33"/>
        <v>0</v>
      </c>
      <c r="F104" s="76">
        <f t="shared" si="33"/>
        <v>0</v>
      </c>
      <c r="G104" s="76">
        <f t="shared" si="33"/>
        <v>0</v>
      </c>
      <c r="H104" s="76">
        <f t="shared" si="33"/>
        <v>0</v>
      </c>
      <c r="I104" s="76">
        <f t="shared" si="33"/>
        <v>0</v>
      </c>
      <c r="J104" s="76">
        <f t="shared" si="33"/>
        <v>0</v>
      </c>
      <c r="K104" s="76">
        <f t="shared" si="33"/>
        <v>0</v>
      </c>
      <c r="L104" s="76">
        <f t="shared" si="33"/>
        <v>0</v>
      </c>
      <c r="M104" s="76">
        <f t="shared" si="33"/>
        <v>0</v>
      </c>
      <c r="N104" s="76">
        <f t="shared" si="33"/>
        <v>0</v>
      </c>
      <c r="O104" s="76">
        <f t="shared" si="33"/>
        <v>0</v>
      </c>
      <c r="P104" s="76">
        <f t="shared" si="33"/>
        <v>0</v>
      </c>
      <c r="Q104" s="76">
        <f t="shared" si="33"/>
        <v>0</v>
      </c>
      <c r="R104" s="76">
        <f t="shared" si="33"/>
        <v>0</v>
      </c>
      <c r="S104" s="76">
        <f t="shared" si="33"/>
        <v>0</v>
      </c>
      <c r="T104" s="76">
        <f t="shared" si="33"/>
        <v>0</v>
      </c>
      <c r="U104" s="76">
        <f t="shared" si="33"/>
        <v>0</v>
      </c>
      <c r="V104" s="76">
        <f t="shared" si="33"/>
        <v>0</v>
      </c>
      <c r="W104" s="76">
        <f t="shared" si="33"/>
        <v>0</v>
      </c>
      <c r="X104" s="76">
        <f t="shared" si="33"/>
        <v>0</v>
      </c>
      <c r="Y104" s="76">
        <f t="shared" si="33"/>
        <v>0</v>
      </c>
      <c r="Z104" s="76">
        <f t="shared" si="33"/>
        <v>0</v>
      </c>
      <c r="AA104" s="76">
        <f t="shared" si="33"/>
        <v>0</v>
      </c>
      <c r="AB104" s="76">
        <f t="shared" si="33"/>
        <v>0</v>
      </c>
      <c r="AC104" s="76">
        <f t="shared" si="33"/>
        <v>0</v>
      </c>
      <c r="AD104" s="76">
        <f t="shared" si="33"/>
        <v>0</v>
      </c>
      <c r="AE104" s="76">
        <f t="shared" ref="AE104:AF104" si="34">IF(AE83&lt;0,AE83*-1,0)</f>
        <v>0</v>
      </c>
      <c r="AF104" s="76">
        <f t="shared" si="34"/>
        <v>0</v>
      </c>
      <c r="AG104" s="98"/>
      <c r="AH104" s="47">
        <f t="shared" si="16"/>
        <v>0</v>
      </c>
      <c r="AI104" s="48">
        <f t="shared" si="17"/>
        <v>0</v>
      </c>
    </row>
    <row r="105" spans="1:37" x14ac:dyDescent="0.25">
      <c r="A105" s="84" t="s">
        <v>81</v>
      </c>
      <c r="B105" s="76">
        <f>IF(B81&lt;0,B81*-1,0)</f>
        <v>0</v>
      </c>
      <c r="C105" s="76">
        <f t="shared" ref="C105:AD105" si="35">IF(C81&lt;0,C81*-1,0)</f>
        <v>0</v>
      </c>
      <c r="D105" s="76">
        <f t="shared" si="35"/>
        <v>0</v>
      </c>
      <c r="E105" s="76">
        <f t="shared" si="35"/>
        <v>0</v>
      </c>
      <c r="F105" s="76">
        <f t="shared" si="35"/>
        <v>0</v>
      </c>
      <c r="G105" s="76">
        <f t="shared" si="35"/>
        <v>0</v>
      </c>
      <c r="H105" s="76">
        <f t="shared" si="35"/>
        <v>0</v>
      </c>
      <c r="I105" s="76">
        <f t="shared" si="35"/>
        <v>0</v>
      </c>
      <c r="J105" s="76">
        <f t="shared" si="35"/>
        <v>0</v>
      </c>
      <c r="K105" s="76">
        <f t="shared" si="35"/>
        <v>0</v>
      </c>
      <c r="L105" s="76">
        <f t="shared" si="35"/>
        <v>0</v>
      </c>
      <c r="M105" s="76">
        <f t="shared" si="35"/>
        <v>0</v>
      </c>
      <c r="N105" s="76">
        <f t="shared" si="35"/>
        <v>0</v>
      </c>
      <c r="O105" s="76">
        <f t="shared" si="35"/>
        <v>0</v>
      </c>
      <c r="P105" s="76">
        <f t="shared" si="35"/>
        <v>0</v>
      </c>
      <c r="Q105" s="76">
        <f t="shared" si="35"/>
        <v>0</v>
      </c>
      <c r="R105" s="76">
        <f t="shared" si="35"/>
        <v>0</v>
      </c>
      <c r="S105" s="76">
        <f t="shared" si="35"/>
        <v>0</v>
      </c>
      <c r="T105" s="76">
        <f t="shared" si="35"/>
        <v>0</v>
      </c>
      <c r="U105" s="76">
        <f t="shared" si="35"/>
        <v>0</v>
      </c>
      <c r="V105" s="76">
        <f t="shared" si="35"/>
        <v>0</v>
      </c>
      <c r="W105" s="76">
        <f t="shared" si="35"/>
        <v>0</v>
      </c>
      <c r="X105" s="76">
        <f t="shared" si="35"/>
        <v>0</v>
      </c>
      <c r="Y105" s="76">
        <f t="shared" si="35"/>
        <v>0</v>
      </c>
      <c r="Z105" s="76">
        <f t="shared" si="35"/>
        <v>0</v>
      </c>
      <c r="AA105" s="76">
        <f t="shared" si="35"/>
        <v>0</v>
      </c>
      <c r="AB105" s="76">
        <f t="shared" si="35"/>
        <v>0</v>
      </c>
      <c r="AC105" s="76">
        <f t="shared" si="35"/>
        <v>0</v>
      </c>
      <c r="AD105" s="76">
        <f t="shared" si="35"/>
        <v>0</v>
      </c>
      <c r="AE105" s="76">
        <f t="shared" ref="AE105:AF105" si="36">IF(AE81&lt;0,AE81*-1,0)</f>
        <v>0</v>
      </c>
      <c r="AF105" s="76">
        <f t="shared" si="36"/>
        <v>0</v>
      </c>
      <c r="AG105" s="98"/>
      <c r="AH105" s="47">
        <f t="shared" si="16"/>
        <v>0</v>
      </c>
      <c r="AI105" s="48">
        <f t="shared" si="17"/>
        <v>0</v>
      </c>
    </row>
    <row r="106" spans="1:37" ht="15.75" thickBot="1" x14ac:dyDescent="0.3">
      <c r="A106" s="84" t="s">
        <v>106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0</v>
      </c>
      <c r="AB106" s="94">
        <v>0</v>
      </c>
      <c r="AC106" s="94">
        <v>0</v>
      </c>
      <c r="AD106" s="94">
        <v>0</v>
      </c>
      <c r="AE106" s="94">
        <v>0</v>
      </c>
      <c r="AF106" s="94">
        <v>0</v>
      </c>
      <c r="AG106" s="85"/>
      <c r="AH106" s="47">
        <f t="shared" si="16"/>
        <v>0</v>
      </c>
      <c r="AI106" s="48">
        <f t="shared" si="17"/>
        <v>0</v>
      </c>
    </row>
    <row r="107" spans="1:37" ht="15.75" thickBot="1" x14ac:dyDescent="0.3">
      <c r="A107" s="99" t="s">
        <v>107</v>
      </c>
      <c r="B107" s="60">
        <f>SUM(B101:B106)</f>
        <v>0</v>
      </c>
      <c r="C107" s="60">
        <f t="shared" ref="C107:AD107" si="37">SUM(C101:C106)</f>
        <v>0</v>
      </c>
      <c r="D107" s="60">
        <f t="shared" si="37"/>
        <v>0</v>
      </c>
      <c r="E107" s="60">
        <f t="shared" si="37"/>
        <v>0</v>
      </c>
      <c r="F107" s="60">
        <f t="shared" si="37"/>
        <v>0</v>
      </c>
      <c r="G107" s="60">
        <f t="shared" si="37"/>
        <v>0</v>
      </c>
      <c r="H107" s="60">
        <f t="shared" si="37"/>
        <v>0</v>
      </c>
      <c r="I107" s="60">
        <f t="shared" si="37"/>
        <v>0</v>
      </c>
      <c r="J107" s="60">
        <f t="shared" si="37"/>
        <v>0</v>
      </c>
      <c r="K107" s="60">
        <f t="shared" si="37"/>
        <v>0</v>
      </c>
      <c r="L107" s="60">
        <f t="shared" si="37"/>
        <v>0</v>
      </c>
      <c r="M107" s="60">
        <f t="shared" si="37"/>
        <v>0</v>
      </c>
      <c r="N107" s="60">
        <f t="shared" si="37"/>
        <v>0</v>
      </c>
      <c r="O107" s="60">
        <f t="shared" si="37"/>
        <v>0</v>
      </c>
      <c r="P107" s="60">
        <f t="shared" si="37"/>
        <v>0</v>
      </c>
      <c r="Q107" s="60">
        <f t="shared" si="37"/>
        <v>0</v>
      </c>
      <c r="R107" s="60">
        <f t="shared" si="37"/>
        <v>0</v>
      </c>
      <c r="S107" s="60">
        <f t="shared" si="37"/>
        <v>0</v>
      </c>
      <c r="T107" s="60">
        <f t="shared" si="37"/>
        <v>0</v>
      </c>
      <c r="U107" s="60">
        <f t="shared" si="37"/>
        <v>0</v>
      </c>
      <c r="V107" s="60">
        <f t="shared" si="37"/>
        <v>0</v>
      </c>
      <c r="W107" s="60">
        <f t="shared" si="37"/>
        <v>0</v>
      </c>
      <c r="X107" s="60">
        <f t="shared" si="37"/>
        <v>0</v>
      </c>
      <c r="Y107" s="60">
        <f t="shared" si="37"/>
        <v>0</v>
      </c>
      <c r="Z107" s="60">
        <f t="shared" si="37"/>
        <v>0</v>
      </c>
      <c r="AA107" s="60">
        <f t="shared" si="37"/>
        <v>0</v>
      </c>
      <c r="AB107" s="60">
        <f t="shared" si="37"/>
        <v>0</v>
      </c>
      <c r="AC107" s="60">
        <f t="shared" si="37"/>
        <v>0</v>
      </c>
      <c r="AD107" s="60">
        <f t="shared" si="37"/>
        <v>0</v>
      </c>
      <c r="AE107" s="60">
        <f t="shared" ref="AE107:AF107" si="38">SUM(AE101:AE106)</f>
        <v>0</v>
      </c>
      <c r="AF107" s="60">
        <f t="shared" si="38"/>
        <v>0</v>
      </c>
      <c r="AG107" s="88"/>
      <c r="AH107" s="47">
        <f t="shared" si="16"/>
        <v>0</v>
      </c>
      <c r="AI107" s="48">
        <f t="shared" si="17"/>
        <v>0</v>
      </c>
      <c r="AK107" s="50"/>
    </row>
    <row r="108" spans="1:37" ht="15.75" thickBot="1" x14ac:dyDescent="0.3">
      <c r="A108" s="74" t="s">
        <v>108</v>
      </c>
      <c r="B108" s="60">
        <f t="shared" ref="B108:AD108" si="39">B92-B107</f>
        <v>458</v>
      </c>
      <c r="C108" s="60">
        <f t="shared" si="39"/>
        <v>429</v>
      </c>
      <c r="D108" s="60">
        <f t="shared" si="39"/>
        <v>452</v>
      </c>
      <c r="E108" s="60">
        <f t="shared" si="39"/>
        <v>430.5</v>
      </c>
      <c r="F108" s="60">
        <f t="shared" si="39"/>
        <v>451.3</v>
      </c>
      <c r="G108" s="60">
        <f t="shared" si="39"/>
        <v>434.8</v>
      </c>
      <c r="H108" s="60">
        <f t="shared" si="39"/>
        <v>463.1</v>
      </c>
      <c r="I108" s="60">
        <f t="shared" si="39"/>
        <v>434.4</v>
      </c>
      <c r="J108" s="60">
        <f t="shared" si="39"/>
        <v>443.6</v>
      </c>
      <c r="K108" s="60">
        <f t="shared" si="39"/>
        <v>148.5</v>
      </c>
      <c r="L108" s="60">
        <f t="shared" si="39"/>
        <v>99.1</v>
      </c>
      <c r="M108" s="60">
        <f t="shared" si="39"/>
        <v>93.9</v>
      </c>
      <c r="N108" s="60">
        <f t="shared" si="39"/>
        <v>100.6</v>
      </c>
      <c r="O108" s="60">
        <f t="shared" si="39"/>
        <v>333.6</v>
      </c>
      <c r="P108" s="60">
        <f t="shared" si="39"/>
        <v>386</v>
      </c>
      <c r="Q108" s="60">
        <f t="shared" si="39"/>
        <v>469.1</v>
      </c>
      <c r="R108" s="60">
        <f t="shared" si="39"/>
        <v>499.9</v>
      </c>
      <c r="S108" s="60">
        <f t="shared" si="39"/>
        <v>494.4</v>
      </c>
      <c r="T108" s="60">
        <f t="shared" si="39"/>
        <v>540</v>
      </c>
      <c r="U108" s="60">
        <f t="shared" si="39"/>
        <v>510.2</v>
      </c>
      <c r="V108" s="60">
        <f t="shared" si="39"/>
        <v>257</v>
      </c>
      <c r="W108" s="60">
        <f t="shared" si="39"/>
        <v>185.39999999999998</v>
      </c>
      <c r="X108" s="60">
        <f t="shared" si="39"/>
        <v>195</v>
      </c>
      <c r="Y108" s="60">
        <f t="shared" si="39"/>
        <v>199</v>
      </c>
      <c r="Z108" s="60">
        <f t="shared" si="39"/>
        <v>413</v>
      </c>
      <c r="AA108" s="60">
        <f t="shared" si="39"/>
        <v>438</v>
      </c>
      <c r="AB108" s="60">
        <f t="shared" si="39"/>
        <v>428.5</v>
      </c>
      <c r="AC108" s="60">
        <f t="shared" si="39"/>
        <v>361.40000000000003</v>
      </c>
      <c r="AD108" s="60">
        <f t="shared" si="39"/>
        <v>405.6</v>
      </c>
      <c r="AE108" s="60">
        <f t="shared" ref="AE108:AF108" si="40">AE92-AE107</f>
        <v>443.09999999999997</v>
      </c>
      <c r="AF108" s="60">
        <f t="shared" si="40"/>
        <v>452.7</v>
      </c>
      <c r="AG108" s="88"/>
      <c r="AH108" s="47">
        <f t="shared" si="16"/>
        <v>540</v>
      </c>
      <c r="AI108" s="48">
        <f t="shared" si="17"/>
        <v>93.9</v>
      </c>
    </row>
    <row r="109" spans="1:37" x14ac:dyDescent="0.25">
      <c r="A109" s="100" t="s">
        <v>109</v>
      </c>
      <c r="B109" s="101">
        <v>50.064</v>
      </c>
      <c r="C109" s="101">
        <v>49.942999999999998</v>
      </c>
      <c r="D109" s="101">
        <v>49.957000000000001</v>
      </c>
      <c r="E109" s="101">
        <v>49.968000000000004</v>
      </c>
      <c r="F109" s="101">
        <v>50.005000000000003</v>
      </c>
      <c r="G109" s="101">
        <v>49.973999999999997</v>
      </c>
      <c r="H109" s="101">
        <v>49.981999999999999</v>
      </c>
      <c r="I109" s="101">
        <v>50.048999999999999</v>
      </c>
      <c r="J109" s="101">
        <v>50.024000000000001</v>
      </c>
      <c r="K109" s="101">
        <v>49.965000000000003</v>
      </c>
      <c r="L109" s="101">
        <v>49.957999999999998</v>
      </c>
      <c r="M109" s="101">
        <v>50.05</v>
      </c>
      <c r="N109" s="101">
        <v>50.037999999999997</v>
      </c>
      <c r="O109" s="101">
        <v>50.011000000000003</v>
      </c>
      <c r="P109" s="101">
        <v>50.11</v>
      </c>
      <c r="Q109" s="101">
        <v>50.076000000000001</v>
      </c>
      <c r="R109" s="101">
        <v>50.076000000000001</v>
      </c>
      <c r="S109" s="101">
        <v>50.064</v>
      </c>
      <c r="T109" s="101">
        <v>50.107999999999997</v>
      </c>
      <c r="U109" s="101">
        <v>49.890999999999998</v>
      </c>
      <c r="V109" s="101">
        <v>50.052999999999997</v>
      </c>
      <c r="W109" s="101">
        <v>49.978999999999999</v>
      </c>
      <c r="X109" s="101">
        <v>49.978999999999999</v>
      </c>
      <c r="Y109" s="101">
        <v>49.999000000000002</v>
      </c>
      <c r="Z109" s="101">
        <v>50.05</v>
      </c>
      <c r="AA109" s="101">
        <v>49.982999999999997</v>
      </c>
      <c r="AB109" s="101">
        <v>50.037999999999997</v>
      </c>
      <c r="AC109" s="101">
        <v>50.014000000000003</v>
      </c>
      <c r="AD109" s="101">
        <v>50.036000000000001</v>
      </c>
      <c r="AE109" s="101">
        <v>50.07</v>
      </c>
      <c r="AF109" s="101">
        <v>50.033999999999999</v>
      </c>
      <c r="AG109" s="102"/>
      <c r="AH109" s="47">
        <f t="shared" si="16"/>
        <v>50.11</v>
      </c>
      <c r="AI109" s="48">
        <f t="shared" si="17"/>
        <v>49.890999999999998</v>
      </c>
    </row>
    <row r="110" spans="1:37" x14ac:dyDescent="0.25">
      <c r="A110" s="103" t="s">
        <v>110</v>
      </c>
      <c r="B110" s="65">
        <v>126.9</v>
      </c>
      <c r="C110" s="65">
        <v>128.5</v>
      </c>
      <c r="D110" s="65">
        <v>125.9</v>
      </c>
      <c r="E110" s="65">
        <v>128.6</v>
      </c>
      <c r="F110" s="65">
        <v>127.3</v>
      </c>
      <c r="G110" s="65">
        <v>127</v>
      </c>
      <c r="H110" s="65">
        <v>127.5</v>
      </c>
      <c r="I110" s="65">
        <v>127.6</v>
      </c>
      <c r="J110" s="65">
        <v>127.5</v>
      </c>
      <c r="K110" s="65">
        <v>128.80000000000001</v>
      </c>
      <c r="L110" s="65">
        <v>124.6</v>
      </c>
      <c r="M110" s="65">
        <v>124.9</v>
      </c>
      <c r="N110" s="65">
        <v>124.7</v>
      </c>
      <c r="O110" s="65">
        <v>126.9</v>
      </c>
      <c r="P110" s="65">
        <v>127.4</v>
      </c>
      <c r="Q110" s="65">
        <v>126.5</v>
      </c>
      <c r="R110" s="65">
        <v>126.5</v>
      </c>
      <c r="S110" s="65">
        <v>124.7</v>
      </c>
      <c r="T110" s="65">
        <v>123.2</v>
      </c>
      <c r="U110" s="65">
        <v>122.5</v>
      </c>
      <c r="V110" s="65">
        <v>129.6</v>
      </c>
      <c r="W110" s="65">
        <v>127.8</v>
      </c>
      <c r="X110" s="65">
        <v>127.8</v>
      </c>
      <c r="Y110" s="65">
        <v>126.4</v>
      </c>
      <c r="Z110" s="65">
        <v>128.6</v>
      </c>
      <c r="AA110" s="65">
        <v>128.9</v>
      </c>
      <c r="AB110" s="65">
        <v>129.30000000000001</v>
      </c>
      <c r="AC110" s="65">
        <v>130.19999999999999</v>
      </c>
      <c r="AD110" s="65">
        <v>129.5</v>
      </c>
      <c r="AE110" s="65">
        <v>126.3</v>
      </c>
      <c r="AF110" s="65">
        <v>125.9</v>
      </c>
      <c r="AG110" s="104"/>
      <c r="AH110" s="47">
        <f t="shared" si="16"/>
        <v>130.19999999999999</v>
      </c>
      <c r="AI110" s="48">
        <f t="shared" si="17"/>
        <v>122.5</v>
      </c>
    </row>
    <row r="111" spans="1:37" x14ac:dyDescent="0.25">
      <c r="A111" s="103" t="s">
        <v>111</v>
      </c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104"/>
      <c r="AH111" s="47">
        <f t="shared" si="16"/>
        <v>0</v>
      </c>
      <c r="AI111" s="48">
        <f t="shared" si="17"/>
        <v>0</v>
      </c>
    </row>
    <row r="112" spans="1:37" x14ac:dyDescent="0.25">
      <c r="A112" s="103" t="s">
        <v>112</v>
      </c>
      <c r="B112" s="65">
        <v>129.1</v>
      </c>
      <c r="C112" s="65">
        <v>130.80000000000001</v>
      </c>
      <c r="D112" s="65">
        <v>128</v>
      </c>
      <c r="E112" s="65">
        <v>128.5</v>
      </c>
      <c r="F112" s="65">
        <v>127</v>
      </c>
      <c r="G112" s="65">
        <v>130.69999999999999</v>
      </c>
      <c r="H112" s="65">
        <v>128.80000000000001</v>
      </c>
      <c r="I112" s="65">
        <v>127.3</v>
      </c>
      <c r="J112" s="65">
        <v>126.6</v>
      </c>
      <c r="K112" s="65">
        <v>128.80000000000001</v>
      </c>
      <c r="L112" s="65">
        <v>127.3</v>
      </c>
      <c r="M112" s="65">
        <v>127.3</v>
      </c>
      <c r="N112" s="65">
        <v>127.3</v>
      </c>
      <c r="O112" s="65">
        <v>130.9</v>
      </c>
      <c r="P112" s="65">
        <v>124.9</v>
      </c>
      <c r="Q112" s="65">
        <v>127.8</v>
      </c>
      <c r="R112" s="65">
        <v>127.8</v>
      </c>
      <c r="S112" s="65">
        <v>129.6</v>
      </c>
      <c r="T112" s="65">
        <v>130</v>
      </c>
      <c r="U112" s="65">
        <v>128.69999999999999</v>
      </c>
      <c r="V112" s="65">
        <v>131.6</v>
      </c>
      <c r="W112" s="65">
        <v>127.6</v>
      </c>
      <c r="X112" s="65">
        <v>127.6</v>
      </c>
      <c r="Y112" s="65">
        <v>127.5</v>
      </c>
      <c r="Z112" s="65">
        <v>131.6</v>
      </c>
      <c r="AA112" s="65">
        <v>131.6</v>
      </c>
      <c r="AB112" s="65">
        <v>132.30000000000001</v>
      </c>
      <c r="AC112" s="65">
        <v>130</v>
      </c>
      <c r="AD112" s="65">
        <v>132.5</v>
      </c>
      <c r="AE112" s="65">
        <v>131.5</v>
      </c>
      <c r="AF112" s="65">
        <v>133.69999999999999</v>
      </c>
      <c r="AG112" s="104"/>
      <c r="AH112" s="47">
        <f t="shared" si="16"/>
        <v>133.69999999999999</v>
      </c>
      <c r="AI112" s="48">
        <f t="shared" si="17"/>
        <v>124.9</v>
      </c>
    </row>
    <row r="113" spans="1:35" x14ac:dyDescent="0.25">
      <c r="A113" s="105" t="s">
        <v>113</v>
      </c>
      <c r="B113" s="65">
        <v>130.69999999999999</v>
      </c>
      <c r="C113" s="65">
        <v>131.69999999999999</v>
      </c>
      <c r="D113" s="65">
        <v>129</v>
      </c>
      <c r="E113" s="65">
        <v>130.9</v>
      </c>
      <c r="F113" s="65">
        <v>131.30000000000001</v>
      </c>
      <c r="G113" s="65">
        <v>133.30000000000001</v>
      </c>
      <c r="H113" s="65">
        <v>131.19999999999999</v>
      </c>
      <c r="I113" s="65">
        <v>130.80000000000001</v>
      </c>
      <c r="J113" s="65">
        <v>128.30000000000001</v>
      </c>
      <c r="K113" s="65">
        <v>129.80000000000001</v>
      </c>
      <c r="L113" s="65">
        <v>129.4</v>
      </c>
      <c r="M113" s="65">
        <v>131.19999999999999</v>
      </c>
      <c r="N113" s="65">
        <v>129</v>
      </c>
      <c r="O113" s="65">
        <v>132.9</v>
      </c>
      <c r="P113" s="65">
        <v>128.69999999999999</v>
      </c>
      <c r="Q113" s="65">
        <v>131.80000000000001</v>
      </c>
      <c r="R113" s="65">
        <v>131.80000000000001</v>
      </c>
      <c r="S113" s="65">
        <v>133</v>
      </c>
      <c r="T113" s="65">
        <v>132.6</v>
      </c>
      <c r="U113" s="65">
        <v>131.6</v>
      </c>
      <c r="V113" s="65">
        <v>134</v>
      </c>
      <c r="W113" s="65">
        <v>128.80000000000001</v>
      </c>
      <c r="X113" s="65">
        <v>128.80000000000001</v>
      </c>
      <c r="Y113" s="65">
        <v>130</v>
      </c>
      <c r="Z113" s="65">
        <v>133.4</v>
      </c>
      <c r="AA113" s="65">
        <v>133.6</v>
      </c>
      <c r="AB113" s="65">
        <v>134.5</v>
      </c>
      <c r="AC113" s="65">
        <v>132.4</v>
      </c>
      <c r="AD113" s="65">
        <v>134.80000000000001</v>
      </c>
      <c r="AE113" s="65">
        <v>132.80000000000001</v>
      </c>
      <c r="AF113" s="65">
        <v>135.69999999999999</v>
      </c>
      <c r="AG113" s="104"/>
      <c r="AH113" s="47">
        <f t="shared" si="16"/>
        <v>135.69999999999999</v>
      </c>
      <c r="AI113" s="48">
        <f t="shared" si="17"/>
        <v>128.30000000000001</v>
      </c>
    </row>
    <row r="114" spans="1:35" x14ac:dyDescent="0.25">
      <c r="A114" s="105" t="s">
        <v>114</v>
      </c>
      <c r="B114" s="106">
        <v>131.30000000000001</v>
      </c>
      <c r="C114" s="106">
        <v>131.9</v>
      </c>
      <c r="D114" s="106">
        <v>129.5</v>
      </c>
      <c r="E114" s="106">
        <v>133.80000000000001</v>
      </c>
      <c r="F114" s="106">
        <v>133</v>
      </c>
      <c r="G114" s="106">
        <v>133.5</v>
      </c>
      <c r="H114" s="106">
        <v>132.9</v>
      </c>
      <c r="I114" s="106">
        <v>132.6</v>
      </c>
      <c r="J114" s="106">
        <v>133.4</v>
      </c>
      <c r="K114" s="106">
        <v>133.30000000000001</v>
      </c>
      <c r="L114" s="106">
        <v>130</v>
      </c>
      <c r="M114" s="106">
        <v>136</v>
      </c>
      <c r="N114" s="106">
        <v>134</v>
      </c>
      <c r="O114" s="106">
        <v>135.30000000000001</v>
      </c>
      <c r="P114" s="106">
        <v>132.69999999999999</v>
      </c>
      <c r="Q114" s="106">
        <v>134</v>
      </c>
      <c r="R114" s="106">
        <v>134</v>
      </c>
      <c r="S114" s="106">
        <v>129.80000000000001</v>
      </c>
      <c r="T114" s="106">
        <v>130.69999999999999</v>
      </c>
      <c r="U114" s="106">
        <v>132</v>
      </c>
      <c r="V114" s="106">
        <v>130.9</v>
      </c>
      <c r="W114" s="106">
        <v>137.6</v>
      </c>
      <c r="X114" s="106">
        <v>137.6</v>
      </c>
      <c r="Y114" s="106">
        <v>133</v>
      </c>
      <c r="Z114" s="106">
        <v>133.5</v>
      </c>
      <c r="AA114" s="106">
        <v>134.6</v>
      </c>
      <c r="AB114" s="106">
        <v>134.80000000000001</v>
      </c>
      <c r="AC114" s="106">
        <v>135.4</v>
      </c>
      <c r="AD114" s="106">
        <v>134.19999999999999</v>
      </c>
      <c r="AE114" s="106">
        <v>131.19999999999999</v>
      </c>
      <c r="AF114" s="106">
        <v>128.30000000000001</v>
      </c>
      <c r="AG114" s="107"/>
      <c r="AH114" s="47">
        <f t="shared" si="16"/>
        <v>137.6</v>
      </c>
      <c r="AI114" s="48">
        <f t="shared" si="17"/>
        <v>128.30000000000001</v>
      </c>
    </row>
    <row r="115" spans="1:35" x14ac:dyDescent="0.25">
      <c r="A115" s="103" t="s">
        <v>115</v>
      </c>
      <c r="B115" s="65">
        <v>131.69999999999999</v>
      </c>
      <c r="C115" s="65">
        <v>133.19999999999999</v>
      </c>
      <c r="D115" s="65">
        <v>131.5</v>
      </c>
      <c r="E115" s="65">
        <v>134.6</v>
      </c>
      <c r="F115" s="65">
        <v>133.69999999999999</v>
      </c>
      <c r="G115" s="65">
        <v>134.69999999999999</v>
      </c>
      <c r="H115" s="65">
        <v>128.30000000000001</v>
      </c>
      <c r="I115" s="65">
        <v>132.1</v>
      </c>
      <c r="J115" s="65">
        <v>127.8</v>
      </c>
      <c r="K115" s="65">
        <v>129.9</v>
      </c>
      <c r="L115" s="65">
        <v>130.6</v>
      </c>
      <c r="M115" s="65">
        <v>129.19999999999999</v>
      </c>
      <c r="N115" s="65">
        <v>130.5</v>
      </c>
      <c r="O115" s="65">
        <v>129.30000000000001</v>
      </c>
      <c r="P115" s="65">
        <v>130.80000000000001</v>
      </c>
      <c r="Q115" s="65">
        <v>128.19999999999999</v>
      </c>
      <c r="R115" s="65">
        <v>128.19999999999999</v>
      </c>
      <c r="S115" s="65">
        <v>133</v>
      </c>
      <c r="T115" s="65">
        <v>129.69999999999999</v>
      </c>
      <c r="U115" s="65">
        <v>130.80000000000001</v>
      </c>
      <c r="V115" s="65">
        <v>129.69999999999999</v>
      </c>
      <c r="W115" s="65">
        <v>128.30000000000001</v>
      </c>
      <c r="X115" s="65">
        <v>128.30000000000001</v>
      </c>
      <c r="Y115" s="65">
        <v>129.4</v>
      </c>
      <c r="Z115" s="65">
        <v>134</v>
      </c>
      <c r="AA115" s="65">
        <v>135.5</v>
      </c>
      <c r="AB115" s="65">
        <v>136.30000000000001</v>
      </c>
      <c r="AC115" s="65">
        <v>130.5</v>
      </c>
      <c r="AD115" s="65">
        <v>132.6</v>
      </c>
      <c r="AE115" s="65">
        <v>131.80000000000001</v>
      </c>
      <c r="AF115" s="65">
        <v>133.9</v>
      </c>
      <c r="AG115" s="104"/>
      <c r="AH115" s="47">
        <f t="shared" si="16"/>
        <v>136.30000000000001</v>
      </c>
      <c r="AI115" s="48">
        <f t="shared" si="17"/>
        <v>127.8</v>
      </c>
    </row>
    <row r="116" spans="1:35" ht="15.75" thickBot="1" x14ac:dyDescent="0.3">
      <c r="A116" s="103" t="s">
        <v>116</v>
      </c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108"/>
      <c r="AH116" s="47">
        <f t="shared" si="16"/>
        <v>0</v>
      </c>
      <c r="AI116" s="48">
        <f t="shared" si="17"/>
        <v>0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 t="s">
        <v>117</v>
      </c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16"/>
        <v>0</v>
      </c>
      <c r="AI117" s="48">
        <f t="shared" si="17"/>
        <v>0</v>
      </c>
    </row>
    <row r="118" spans="1:35" ht="15.75" thickBot="1" x14ac:dyDescent="0.3">
      <c r="A118" s="110" t="s">
        <v>118</v>
      </c>
      <c r="B118" s="111">
        <f t="shared" ref="B118:O118" si="41">SUM(B22,B28,B31:B32,B66,B68:B69,B71,B73,B119:B123,B155,B161,B167,B176,B178,B190,B197,B200:B201,B208,B210,B212,B216:B218,B220:B222,B227,B233:B234,B236:B238,B246,B251)</f>
        <v>34.44</v>
      </c>
      <c r="C118" s="111">
        <f t="shared" si="41"/>
        <v>35.740000000000009</v>
      </c>
      <c r="D118" s="111">
        <f t="shared" si="41"/>
        <v>26.640000000000004</v>
      </c>
      <c r="E118" s="111">
        <f t="shared" si="41"/>
        <v>33.14</v>
      </c>
      <c r="F118" s="111">
        <f t="shared" si="41"/>
        <v>36.14</v>
      </c>
      <c r="G118" s="111">
        <f t="shared" si="41"/>
        <v>30.44</v>
      </c>
      <c r="H118" s="111">
        <f t="shared" si="41"/>
        <v>28.640000000000011</v>
      </c>
      <c r="I118" s="111">
        <f t="shared" si="41"/>
        <v>70.44</v>
      </c>
      <c r="J118" s="111">
        <f t="shared" si="41"/>
        <v>93.240000000000009</v>
      </c>
      <c r="K118" s="111">
        <f t="shared" si="41"/>
        <v>114.64000000000001</v>
      </c>
      <c r="L118" s="111">
        <f t="shared" si="41"/>
        <v>133.04000000000002</v>
      </c>
      <c r="M118" s="111">
        <f>SUM(M22,M28,M31:M32,M66,M68:M69,M71,M73,M119:M123,M155,M161,M167,M176,M178,M190,M197,M200:M201,M208,M210,M212,M216:M218,M220:M222,M227,M233:M234,M236:M238,M246,M251)</f>
        <v>330.54</v>
      </c>
      <c r="N118" s="111">
        <f t="shared" si="41"/>
        <v>159.04000000000002</v>
      </c>
      <c r="O118" s="111">
        <f t="shared" si="41"/>
        <v>156.14000000000001</v>
      </c>
      <c r="P118" s="111">
        <v>42</v>
      </c>
      <c r="Q118" s="111">
        <f t="shared" ref="Q118:AC118" si="42">SUM(Q22,Q28,Q31:Q32,Q66,Q68:Q69,Q71,Q73,Q119:Q123,Q155,Q161,Q167,Q176,Q178,Q190,Q197,Q200:Q201,Q208,Q210,Q212,Q216:Q218,Q220:Q222,Q227,Q233:Q234,Q236:Q238,Q246,Q251)</f>
        <v>125.64000000000001</v>
      </c>
      <c r="R118" s="111">
        <f t="shared" si="42"/>
        <v>125.64000000000001</v>
      </c>
      <c r="S118" s="111">
        <f t="shared" si="42"/>
        <v>89.84</v>
      </c>
      <c r="T118" s="111">
        <f t="shared" si="42"/>
        <v>96.64</v>
      </c>
      <c r="U118" s="111">
        <f t="shared" si="42"/>
        <v>85.84</v>
      </c>
      <c r="V118" s="111">
        <f t="shared" si="42"/>
        <v>107.04</v>
      </c>
      <c r="W118" s="111">
        <f t="shared" si="42"/>
        <v>132.24</v>
      </c>
      <c r="X118" s="111">
        <f t="shared" si="42"/>
        <v>132.24</v>
      </c>
      <c r="Y118" s="111">
        <f t="shared" si="42"/>
        <v>168.24</v>
      </c>
      <c r="Z118" s="111">
        <f t="shared" si="42"/>
        <v>173.24</v>
      </c>
      <c r="AA118" s="111">
        <f t="shared" si="42"/>
        <v>163.24</v>
      </c>
      <c r="AB118" s="111">
        <f t="shared" si="42"/>
        <v>157.54</v>
      </c>
      <c r="AC118" s="111">
        <f t="shared" si="42"/>
        <v>153.24</v>
      </c>
      <c r="AD118" s="111"/>
      <c r="AE118" s="111"/>
      <c r="AF118" s="111"/>
      <c r="AG118" s="112"/>
      <c r="AH118" s="47">
        <f t="shared" si="16"/>
        <v>330.54</v>
      </c>
      <c r="AI118" s="48">
        <f t="shared" si="17"/>
        <v>26.640000000000004</v>
      </c>
    </row>
    <row r="119" spans="1:35" x14ac:dyDescent="0.25">
      <c r="A119" s="172" t="s">
        <v>119</v>
      </c>
      <c r="B119" s="113">
        <v>1.1000000000000001</v>
      </c>
      <c r="C119" s="113">
        <v>-3.6</v>
      </c>
      <c r="D119" s="113">
        <v>-5.4</v>
      </c>
      <c r="E119" s="113">
        <v>-3.3</v>
      </c>
      <c r="F119" s="113">
        <v>-2.2999999999999998</v>
      </c>
      <c r="G119" s="113">
        <v>-10.3</v>
      </c>
      <c r="H119" s="113">
        <v>-16.8</v>
      </c>
      <c r="I119" s="113"/>
      <c r="J119" s="113"/>
      <c r="K119" s="113"/>
      <c r="L119" s="113"/>
      <c r="M119" s="113">
        <v>30.2</v>
      </c>
      <c r="N119" s="113">
        <v>39.5</v>
      </c>
      <c r="O119" s="113">
        <v>42.6</v>
      </c>
      <c r="P119" s="113">
        <v>39.6</v>
      </c>
      <c r="Q119" s="113">
        <v>35.1</v>
      </c>
      <c r="R119" s="113">
        <v>35.1</v>
      </c>
      <c r="S119" s="113">
        <v>18.7</v>
      </c>
      <c r="T119" s="113">
        <v>14.9</v>
      </c>
      <c r="U119" s="113">
        <v>25.1</v>
      </c>
      <c r="V119" s="113">
        <v>17.7</v>
      </c>
      <c r="W119" s="113">
        <v>41</v>
      </c>
      <c r="X119" s="113">
        <v>41</v>
      </c>
      <c r="Y119" s="113">
        <v>33</v>
      </c>
      <c r="Z119" s="113">
        <v>48</v>
      </c>
      <c r="AA119" s="113">
        <v>38</v>
      </c>
      <c r="AB119" s="113">
        <v>40</v>
      </c>
      <c r="AC119" s="113">
        <v>42.3</v>
      </c>
      <c r="AD119" s="113">
        <v>25.2</v>
      </c>
      <c r="AE119" s="113">
        <v>24.6</v>
      </c>
      <c r="AF119" s="113">
        <v>8.6</v>
      </c>
      <c r="AG119" s="114">
        <v>75</v>
      </c>
      <c r="AH119" s="47">
        <f t="shared" si="16"/>
        <v>48</v>
      </c>
      <c r="AI119" s="48">
        <f t="shared" si="17"/>
        <v>-16.8</v>
      </c>
    </row>
    <row r="120" spans="1:35" x14ac:dyDescent="0.25">
      <c r="A120" s="173" t="s">
        <v>120</v>
      </c>
      <c r="B120" s="115">
        <v>-6.3</v>
      </c>
      <c r="C120" s="115">
        <v>-0.3</v>
      </c>
      <c r="D120" s="115">
        <v>-0.6</v>
      </c>
      <c r="E120" s="115"/>
      <c r="F120" s="115"/>
      <c r="G120" s="115"/>
      <c r="H120" s="115"/>
      <c r="I120" s="115">
        <v>28.4</v>
      </c>
      <c r="J120" s="115">
        <v>27.7</v>
      </c>
      <c r="K120" s="115">
        <v>37.9</v>
      </c>
      <c r="L120" s="115">
        <v>22.2</v>
      </c>
      <c r="M120" s="115">
        <v>42.2</v>
      </c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115"/>
      <c r="AF120" s="115"/>
      <c r="AG120" s="114">
        <v>240</v>
      </c>
      <c r="AH120" s="47">
        <f t="shared" si="16"/>
        <v>42.2</v>
      </c>
      <c r="AI120" s="48">
        <f t="shared" si="17"/>
        <v>-6.3</v>
      </c>
    </row>
    <row r="121" spans="1:35" x14ac:dyDescent="0.25">
      <c r="A121" s="173" t="s">
        <v>121</v>
      </c>
      <c r="B121" s="115">
        <v>-53</v>
      </c>
      <c r="C121" s="115">
        <v>-53</v>
      </c>
      <c r="D121" s="115">
        <v>-60</v>
      </c>
      <c r="E121" s="115">
        <v>-64</v>
      </c>
      <c r="F121" s="115">
        <v>-62</v>
      </c>
      <c r="G121" s="115">
        <v>-59.7</v>
      </c>
      <c r="H121" s="115">
        <v>-53.1</v>
      </c>
      <c r="I121" s="115">
        <v>-56.5</v>
      </c>
      <c r="J121" s="115">
        <v>-33</v>
      </c>
      <c r="K121" s="115">
        <v>-22</v>
      </c>
      <c r="L121" s="115">
        <v>12.1</v>
      </c>
      <c r="M121" s="115">
        <v>-20.9</v>
      </c>
      <c r="N121" s="115">
        <v>15</v>
      </c>
      <c r="O121" s="115">
        <v>9</v>
      </c>
      <c r="P121" s="115">
        <v>-25</v>
      </c>
      <c r="Q121" s="115">
        <v>-28</v>
      </c>
      <c r="R121" s="115">
        <v>-28</v>
      </c>
      <c r="S121" s="115">
        <v>-13.6</v>
      </c>
      <c r="T121" s="115">
        <v>-3</v>
      </c>
      <c r="U121" s="115">
        <v>-21.9</v>
      </c>
      <c r="V121" s="115">
        <v>2</v>
      </c>
      <c r="W121" s="115">
        <v>6</v>
      </c>
      <c r="X121" s="115">
        <v>6</v>
      </c>
      <c r="Y121" s="115">
        <v>50</v>
      </c>
      <c r="Z121" s="115">
        <v>40</v>
      </c>
      <c r="AA121" s="115">
        <v>40</v>
      </c>
      <c r="AB121" s="115">
        <f>24.8+18.8</f>
        <v>43.6</v>
      </c>
      <c r="AC121" s="115">
        <f>18+10.4</f>
        <v>28.4</v>
      </c>
      <c r="AD121" s="115">
        <f>14+9</f>
        <v>23</v>
      </c>
      <c r="AE121" s="115">
        <f>-14.5-19.6</f>
        <v>-34.1</v>
      </c>
      <c r="AF121" s="115">
        <f>-22.4-24.9</f>
        <v>-47.3</v>
      </c>
      <c r="AG121" s="114">
        <v>240</v>
      </c>
      <c r="AH121" s="47">
        <f t="shared" si="16"/>
        <v>50</v>
      </c>
      <c r="AI121" s="48">
        <f t="shared" si="17"/>
        <v>-64</v>
      </c>
    </row>
    <row r="122" spans="1:35" ht="15.75" thickBot="1" x14ac:dyDescent="0.3">
      <c r="A122" s="173" t="s">
        <v>122</v>
      </c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>
        <v>24</v>
      </c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15"/>
      <c r="AF122" s="115"/>
      <c r="AG122" s="114">
        <v>60</v>
      </c>
      <c r="AH122" s="47">
        <f t="shared" si="16"/>
        <v>24</v>
      </c>
      <c r="AI122" s="48">
        <f t="shared" si="17"/>
        <v>24</v>
      </c>
    </row>
    <row r="123" spans="1:35" x14ac:dyDescent="0.25">
      <c r="A123" s="172" t="s">
        <v>260</v>
      </c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>
        <v>156</v>
      </c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  <c r="AA123" s="117"/>
      <c r="AB123" s="117"/>
      <c r="AC123" s="117"/>
      <c r="AD123" s="117"/>
      <c r="AE123" s="117"/>
      <c r="AF123" s="117"/>
      <c r="AG123" s="118">
        <v>120</v>
      </c>
      <c r="AH123" s="47">
        <f t="shared" si="16"/>
        <v>156</v>
      </c>
      <c r="AI123" s="48">
        <f t="shared" si="17"/>
        <v>156</v>
      </c>
    </row>
    <row r="124" spans="1:35" x14ac:dyDescent="0.25">
      <c r="A124" s="173" t="s">
        <v>259</v>
      </c>
      <c r="B124" s="117">
        <v>79</v>
      </c>
      <c r="C124" s="117">
        <v>79</v>
      </c>
      <c r="D124" s="117">
        <v>78</v>
      </c>
      <c r="E124" s="117">
        <v>76.7</v>
      </c>
      <c r="F124" s="117">
        <v>76.2</v>
      </c>
      <c r="G124" s="117">
        <v>77.900000000000006</v>
      </c>
      <c r="H124" s="117">
        <v>80.7</v>
      </c>
      <c r="I124" s="117">
        <v>71.2</v>
      </c>
      <c r="J124" s="117">
        <v>75.900000000000006</v>
      </c>
      <c r="K124" s="117">
        <v>78.900000000000006</v>
      </c>
      <c r="L124" s="117">
        <v>97.8</v>
      </c>
      <c r="M124" s="117"/>
      <c r="N124" s="117">
        <v>102.1</v>
      </c>
      <c r="O124" s="117">
        <v>80</v>
      </c>
      <c r="P124" s="117">
        <v>81</v>
      </c>
      <c r="Q124" s="117">
        <v>79</v>
      </c>
      <c r="R124" s="117">
        <v>79</v>
      </c>
      <c r="S124" s="117">
        <v>85.3</v>
      </c>
      <c r="T124" s="117">
        <v>94</v>
      </c>
      <c r="U124" s="117">
        <v>91</v>
      </c>
      <c r="V124" s="117">
        <v>78.3</v>
      </c>
      <c r="W124" s="117">
        <v>80</v>
      </c>
      <c r="X124" s="117">
        <v>80</v>
      </c>
      <c r="Y124" s="117">
        <v>101</v>
      </c>
      <c r="Z124" s="117"/>
      <c r="AA124" s="117"/>
      <c r="AB124" s="117">
        <v>86.2</v>
      </c>
      <c r="AC124" s="117">
        <v>75.2</v>
      </c>
      <c r="AD124" s="117">
        <v>88</v>
      </c>
      <c r="AE124" s="117">
        <v>83.7</v>
      </c>
      <c r="AF124" s="117">
        <v>83.2</v>
      </c>
      <c r="AG124" s="118"/>
      <c r="AH124" s="47"/>
      <c r="AI124" s="48"/>
    </row>
    <row r="125" spans="1:35" x14ac:dyDescent="0.25">
      <c r="A125" s="173" t="s">
        <v>256</v>
      </c>
      <c r="B125" s="117">
        <v>64</v>
      </c>
      <c r="C125" s="117">
        <v>69</v>
      </c>
      <c r="D125" s="117">
        <v>74</v>
      </c>
      <c r="E125" s="117">
        <v>72.400000000000006</v>
      </c>
      <c r="F125" s="117">
        <v>71.400000000000006</v>
      </c>
      <c r="G125" s="117">
        <v>63.9</v>
      </c>
      <c r="H125" s="117">
        <v>55.5</v>
      </c>
      <c r="I125" s="117">
        <v>22.7</v>
      </c>
      <c r="J125" s="117">
        <v>11.9</v>
      </c>
      <c r="K125" s="117">
        <v>-6.7</v>
      </c>
      <c r="L125" s="117">
        <v>7</v>
      </c>
      <c r="M125" s="117">
        <v>-5.0999999999999996</v>
      </c>
      <c r="N125" s="117">
        <v>-15</v>
      </c>
      <c r="O125" s="117">
        <v>-21</v>
      </c>
      <c r="P125" s="117">
        <v>-4</v>
      </c>
      <c r="Q125" s="117">
        <v>4.2</v>
      </c>
      <c r="R125" s="117">
        <v>4.2</v>
      </c>
      <c r="S125" s="117">
        <v>25.7</v>
      </c>
      <c r="T125" s="117">
        <v>30</v>
      </c>
      <c r="U125" s="117">
        <v>22</v>
      </c>
      <c r="V125" s="117">
        <v>-4.9000000000000004</v>
      </c>
      <c r="W125" s="117">
        <v>-26</v>
      </c>
      <c r="X125" s="117">
        <v>-26</v>
      </c>
      <c r="Y125" s="117">
        <v>-33</v>
      </c>
      <c r="Z125" s="117">
        <v>-56</v>
      </c>
      <c r="AA125" s="117">
        <v>-36</v>
      </c>
      <c r="AB125" s="117">
        <v>-38.9</v>
      </c>
      <c r="AC125" s="117">
        <v>-46.8</v>
      </c>
      <c r="AD125" s="117">
        <v>-12</v>
      </c>
      <c r="AE125" s="117">
        <v>23.9</v>
      </c>
      <c r="AF125" s="117">
        <v>56.5</v>
      </c>
      <c r="AG125" s="118"/>
      <c r="AH125" s="47"/>
      <c r="AI125" s="48"/>
    </row>
    <row r="126" spans="1:35" ht="15.75" thickBot="1" x14ac:dyDescent="0.3">
      <c r="A126" s="173" t="s">
        <v>255</v>
      </c>
      <c r="B126" s="117">
        <v>101</v>
      </c>
      <c r="C126" s="117">
        <v>102</v>
      </c>
      <c r="D126" s="117">
        <v>101</v>
      </c>
      <c r="E126" s="117">
        <v>100.1</v>
      </c>
      <c r="F126" s="117">
        <v>99.2</v>
      </c>
      <c r="G126" s="117">
        <v>102.8</v>
      </c>
      <c r="H126" s="117">
        <v>99.1</v>
      </c>
      <c r="I126" s="117">
        <v>88.5</v>
      </c>
      <c r="J126" s="117">
        <v>89.8</v>
      </c>
      <c r="K126" s="117">
        <v>68</v>
      </c>
      <c r="L126" s="117">
        <v>87.4</v>
      </c>
      <c r="M126" s="117">
        <v>92.3</v>
      </c>
      <c r="N126" s="117">
        <v>85</v>
      </c>
      <c r="O126" s="117">
        <v>86</v>
      </c>
      <c r="P126" s="117">
        <v>90</v>
      </c>
      <c r="Q126" s="117">
        <v>87</v>
      </c>
      <c r="R126" s="117">
        <v>87</v>
      </c>
      <c r="S126" s="117">
        <v>95.7</v>
      </c>
      <c r="T126" s="117">
        <v>110</v>
      </c>
      <c r="U126" s="117">
        <v>110.5</v>
      </c>
      <c r="V126" s="117">
        <v>70.5</v>
      </c>
      <c r="W126" s="117">
        <v>65</v>
      </c>
      <c r="X126" s="117">
        <v>65</v>
      </c>
      <c r="Y126" s="117">
        <v>79</v>
      </c>
      <c r="Z126" s="117">
        <v>70</v>
      </c>
      <c r="AA126" s="117">
        <v>77</v>
      </c>
      <c r="AB126" s="117">
        <v>77.5</v>
      </c>
      <c r="AC126" s="117">
        <v>60.9</v>
      </c>
      <c r="AD126" s="117">
        <v>83.6</v>
      </c>
      <c r="AE126" s="117">
        <v>98.7</v>
      </c>
      <c r="AF126" s="117">
        <v>104.5</v>
      </c>
      <c r="AG126" s="114"/>
      <c r="AH126" s="47">
        <f t="shared" si="16"/>
        <v>110.5</v>
      </c>
      <c r="AI126" s="48">
        <f t="shared" si="17"/>
        <v>60.9</v>
      </c>
    </row>
    <row r="127" spans="1:35" x14ac:dyDescent="0.25">
      <c r="A127" s="172" t="s">
        <v>257</v>
      </c>
      <c r="B127" s="117">
        <v>28</v>
      </c>
      <c r="C127" s="117">
        <v>26</v>
      </c>
      <c r="D127" s="117">
        <v>27</v>
      </c>
      <c r="E127" s="117">
        <v>25.1</v>
      </c>
      <c r="F127" s="117">
        <v>24.4</v>
      </c>
      <c r="G127" s="117">
        <v>20.9</v>
      </c>
      <c r="H127" s="117">
        <v>25.1</v>
      </c>
      <c r="I127" s="117">
        <v>0</v>
      </c>
      <c r="J127" s="117">
        <v>-6.7</v>
      </c>
      <c r="K127" s="117">
        <v>-16.7</v>
      </c>
      <c r="L127" s="117">
        <v>13.9</v>
      </c>
      <c r="M127" s="117">
        <v>2.1</v>
      </c>
      <c r="N127" s="117">
        <v>-2.6</v>
      </c>
      <c r="O127" s="117">
        <v>-6</v>
      </c>
      <c r="P127" s="117">
        <v>-10</v>
      </c>
      <c r="Q127" s="117">
        <v>-8</v>
      </c>
      <c r="R127" s="117">
        <v>-8</v>
      </c>
      <c r="S127" s="117">
        <v>-5.2</v>
      </c>
      <c r="T127" s="117">
        <v>0</v>
      </c>
      <c r="U127" s="117">
        <v>-3.4</v>
      </c>
      <c r="V127" s="117">
        <v>-4.9000000000000004</v>
      </c>
      <c r="W127" s="117">
        <v>-2.9</v>
      </c>
      <c r="X127" s="117">
        <v>-2.9</v>
      </c>
      <c r="Y127" s="117">
        <v>12</v>
      </c>
      <c r="Z127" s="117">
        <v>-1.5</v>
      </c>
      <c r="AA127" s="117">
        <v>16</v>
      </c>
      <c r="AB127" s="117">
        <v>14.6</v>
      </c>
      <c r="AC127" s="117">
        <v>11.3</v>
      </c>
      <c r="AD127" s="117">
        <v>22.9</v>
      </c>
      <c r="AE127" s="117">
        <v>15.7</v>
      </c>
      <c r="AF127" s="117">
        <v>27.1</v>
      </c>
      <c r="AG127" s="114"/>
      <c r="AH127" s="47">
        <f t="shared" si="16"/>
        <v>28</v>
      </c>
      <c r="AI127" s="48">
        <f t="shared" si="17"/>
        <v>-16.7</v>
      </c>
    </row>
    <row r="128" spans="1:35" x14ac:dyDescent="0.25">
      <c r="A128" s="173" t="s">
        <v>124</v>
      </c>
      <c r="B128" s="106">
        <v>-3</v>
      </c>
      <c r="C128" s="106">
        <v>-2</v>
      </c>
      <c r="D128" s="106">
        <v>-0.4</v>
      </c>
      <c r="E128" s="106">
        <v>-1</v>
      </c>
      <c r="F128" s="106">
        <v>-2.4</v>
      </c>
      <c r="G128" s="106">
        <v>-3</v>
      </c>
      <c r="H128" s="106">
        <v>-6.4</v>
      </c>
      <c r="I128" s="106">
        <v>-12.2</v>
      </c>
      <c r="J128" s="106">
        <v>-18.399999999999999</v>
      </c>
      <c r="K128" s="106">
        <v>-26.2</v>
      </c>
      <c r="L128" s="106">
        <v>-31.8</v>
      </c>
      <c r="M128" s="106">
        <v>-22</v>
      </c>
      <c r="N128" s="106">
        <v>-28</v>
      </c>
      <c r="O128" s="106">
        <v>-17</v>
      </c>
      <c r="P128" s="106">
        <v>15.7</v>
      </c>
      <c r="Q128" s="106">
        <v>-11</v>
      </c>
      <c r="R128" s="106">
        <v>-11</v>
      </c>
      <c r="S128" s="106">
        <v>-6.7</v>
      </c>
      <c r="T128" s="106">
        <v>-12.6</v>
      </c>
      <c r="U128" s="106">
        <v>-7.3</v>
      </c>
      <c r="V128" s="106">
        <v>-14.6</v>
      </c>
      <c r="W128" s="106">
        <v>-36</v>
      </c>
      <c r="X128" s="106">
        <v>-36</v>
      </c>
      <c r="Y128" s="106">
        <v>-41</v>
      </c>
      <c r="Z128" s="106">
        <v>-36</v>
      </c>
      <c r="AA128" s="106">
        <v>-35</v>
      </c>
      <c r="AB128" s="106">
        <v>-34</v>
      </c>
      <c r="AC128" s="106">
        <v>-29.6</v>
      </c>
      <c r="AD128" s="106">
        <v>-21.8</v>
      </c>
      <c r="AE128" s="106">
        <v>-9.8000000000000007</v>
      </c>
      <c r="AF128" s="106">
        <v>-1.9</v>
      </c>
      <c r="AG128" s="114"/>
      <c r="AH128" s="47">
        <f t="shared" si="16"/>
        <v>15.7</v>
      </c>
      <c r="AI128" s="48">
        <f t="shared" si="17"/>
        <v>-41</v>
      </c>
    </row>
    <row r="129" spans="1:37" x14ac:dyDescent="0.25">
      <c r="A129" s="173" t="s">
        <v>261</v>
      </c>
      <c r="B129" s="106">
        <v>-2.5</v>
      </c>
      <c r="C129" s="106">
        <v>0</v>
      </c>
      <c r="D129" s="106">
        <v>7.9</v>
      </c>
      <c r="E129" s="106">
        <v>3.5</v>
      </c>
      <c r="F129" s="106">
        <v>7.4</v>
      </c>
      <c r="G129" s="106">
        <v>8.4</v>
      </c>
      <c r="H129" s="106">
        <v>2.5</v>
      </c>
      <c r="I129" s="106">
        <v>15.1</v>
      </c>
      <c r="J129" s="106">
        <v>7</v>
      </c>
      <c r="K129" s="106">
        <v>2.9</v>
      </c>
      <c r="L129" s="106">
        <v>-23.3</v>
      </c>
      <c r="M129" s="106">
        <v>-25.1</v>
      </c>
      <c r="N129" s="106">
        <v>-21</v>
      </c>
      <c r="O129" s="106">
        <v>-17</v>
      </c>
      <c r="P129" s="106">
        <v>8.1</v>
      </c>
      <c r="Q129" s="106">
        <v>3</v>
      </c>
      <c r="R129" s="106">
        <v>3</v>
      </c>
      <c r="S129" s="106">
        <v>-7.4</v>
      </c>
      <c r="T129" s="106">
        <v>-13</v>
      </c>
      <c r="U129" s="106">
        <v>-7.6</v>
      </c>
      <c r="V129" s="106">
        <v>-7.2</v>
      </c>
      <c r="W129" s="106">
        <v>0</v>
      </c>
      <c r="X129" s="106">
        <v>0</v>
      </c>
      <c r="Y129" s="106">
        <v>-18</v>
      </c>
      <c r="Z129" s="106">
        <v>-7.8</v>
      </c>
      <c r="AA129" s="106">
        <v>-15</v>
      </c>
      <c r="AB129" s="106">
        <v>-15.5</v>
      </c>
      <c r="AC129" s="106">
        <v>-4.3</v>
      </c>
      <c r="AD129" s="106">
        <v>-15.8</v>
      </c>
      <c r="AE129" s="106">
        <v>1.5</v>
      </c>
      <c r="AF129" s="106">
        <v>-3.1</v>
      </c>
      <c r="AG129" s="114"/>
      <c r="AH129" s="47">
        <f t="shared" si="16"/>
        <v>15.1</v>
      </c>
      <c r="AI129" s="48">
        <f t="shared" si="17"/>
        <v>-25.1</v>
      </c>
    </row>
    <row r="130" spans="1:37" ht="15.75" thickBot="1" x14ac:dyDescent="0.3">
      <c r="A130" s="173" t="s">
        <v>258</v>
      </c>
      <c r="B130" s="106">
        <v>87</v>
      </c>
      <c r="C130" s="106">
        <v>83</v>
      </c>
      <c r="D130" s="106">
        <v>82.8</v>
      </c>
      <c r="E130" s="106">
        <v>82.7</v>
      </c>
      <c r="F130" s="106">
        <v>82.4</v>
      </c>
      <c r="G130" s="106">
        <v>85.9</v>
      </c>
      <c r="H130" s="106">
        <v>85</v>
      </c>
      <c r="I130" s="106">
        <v>89.2</v>
      </c>
      <c r="J130" s="106">
        <v>93.6</v>
      </c>
      <c r="K130" s="106">
        <v>88.6</v>
      </c>
      <c r="L130" s="106">
        <v>83.2</v>
      </c>
      <c r="M130" s="106">
        <v>83</v>
      </c>
      <c r="N130" s="106">
        <v>85.3</v>
      </c>
      <c r="O130" s="106">
        <v>80</v>
      </c>
      <c r="P130" s="106">
        <v>88.4</v>
      </c>
      <c r="Q130" s="106">
        <v>91</v>
      </c>
      <c r="R130" s="106">
        <v>91</v>
      </c>
      <c r="S130" s="106">
        <v>73.7</v>
      </c>
      <c r="T130" s="106">
        <v>76</v>
      </c>
      <c r="U130" s="106">
        <v>80.400000000000006</v>
      </c>
      <c r="V130" s="106">
        <v>84.6</v>
      </c>
      <c r="W130" s="106">
        <v>97</v>
      </c>
      <c r="X130" s="106">
        <v>97</v>
      </c>
      <c r="Y130" s="106">
        <v>110</v>
      </c>
      <c r="Z130" s="106">
        <v>103</v>
      </c>
      <c r="AA130" s="106">
        <v>103</v>
      </c>
      <c r="AB130" s="106">
        <v>103.4</v>
      </c>
      <c r="AC130" s="106">
        <v>99.5</v>
      </c>
      <c r="AD130" s="106">
        <v>93.3</v>
      </c>
      <c r="AE130" s="106">
        <v>87.2</v>
      </c>
      <c r="AF130" s="106">
        <v>73.5</v>
      </c>
      <c r="AG130" s="114"/>
      <c r="AH130" s="47">
        <f t="shared" si="16"/>
        <v>110</v>
      </c>
      <c r="AI130" s="48">
        <f t="shared" si="17"/>
        <v>73.5</v>
      </c>
    </row>
    <row r="131" spans="1:37" x14ac:dyDescent="0.25">
      <c r="A131" s="144" t="s">
        <v>238</v>
      </c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5"/>
      <c r="AG131" s="43"/>
      <c r="AH131" s="47"/>
      <c r="AI131" s="48"/>
    </row>
    <row r="132" spans="1:37" x14ac:dyDescent="0.25">
      <c r="A132" s="189" t="s">
        <v>368</v>
      </c>
      <c r="B132" s="147">
        <v>1983.62</v>
      </c>
      <c r="C132" s="147">
        <v>1983.98</v>
      </c>
      <c r="D132" s="147">
        <v>1984.25</v>
      </c>
      <c r="E132" s="147">
        <v>1984.52</v>
      </c>
      <c r="F132" s="147">
        <v>1984.8</v>
      </c>
      <c r="G132" s="191">
        <v>1985.05</v>
      </c>
      <c r="H132" s="191"/>
      <c r="I132" s="191">
        <v>1985.32</v>
      </c>
      <c r="J132" s="191"/>
      <c r="K132" s="191">
        <v>1985.33</v>
      </c>
      <c r="L132" s="191"/>
      <c r="M132" s="191">
        <v>1984.65</v>
      </c>
      <c r="N132" s="191">
        <v>1983.4</v>
      </c>
      <c r="O132" s="191">
        <v>1982.5</v>
      </c>
      <c r="P132" s="191">
        <v>1982.56</v>
      </c>
      <c r="Q132" s="191">
        <v>1982.73</v>
      </c>
      <c r="R132" s="191">
        <v>1983.1</v>
      </c>
      <c r="S132" s="191">
        <v>1983.4</v>
      </c>
      <c r="T132" s="191">
        <v>1983.47</v>
      </c>
      <c r="U132" s="191">
        <v>1983.99</v>
      </c>
      <c r="V132" s="191"/>
      <c r="W132" s="191"/>
      <c r="X132" s="191">
        <v>1983.4</v>
      </c>
      <c r="Y132" s="191"/>
      <c r="Z132" s="191"/>
      <c r="AA132" s="191"/>
      <c r="AB132" s="191">
        <v>1982.68</v>
      </c>
      <c r="AC132" s="191"/>
      <c r="AD132" s="191">
        <v>1982.77</v>
      </c>
      <c r="AE132" s="191">
        <v>1982.9</v>
      </c>
      <c r="AF132" s="191">
        <v>1983.2</v>
      </c>
      <c r="AG132" s="149"/>
      <c r="AH132" s="47"/>
      <c r="AI132" s="48"/>
    </row>
    <row r="133" spans="1:37" x14ac:dyDescent="0.25">
      <c r="A133" s="189" t="s">
        <v>239</v>
      </c>
      <c r="B133" s="150">
        <v>519.96</v>
      </c>
      <c r="C133" s="150">
        <v>520.45000000000005</v>
      </c>
      <c r="D133" s="150">
        <v>520.9</v>
      </c>
      <c r="E133" s="150">
        <v>521.29999999999995</v>
      </c>
      <c r="F133" s="150">
        <v>521.70000000000005</v>
      </c>
      <c r="G133" s="192">
        <v>522.08000000000004</v>
      </c>
      <c r="H133" s="192"/>
      <c r="I133" s="192">
        <v>522.38</v>
      </c>
      <c r="J133" s="192"/>
      <c r="K133" s="192">
        <v>522.24</v>
      </c>
      <c r="L133" s="192"/>
      <c r="M133" s="192">
        <v>521.98</v>
      </c>
      <c r="N133" s="192">
        <v>521.55999999999995</v>
      </c>
      <c r="O133" s="192">
        <v>521.02</v>
      </c>
      <c r="P133" s="192">
        <v>520.46</v>
      </c>
      <c r="Q133" s="192">
        <v>520.22</v>
      </c>
      <c r="R133" s="192">
        <v>520.36</v>
      </c>
      <c r="S133" s="192">
        <v>520.57000000000005</v>
      </c>
      <c r="T133" s="192">
        <v>520.47</v>
      </c>
      <c r="U133" s="192">
        <v>520.29999999999995</v>
      </c>
      <c r="V133" s="192">
        <v>520.1</v>
      </c>
      <c r="W133" s="192"/>
      <c r="X133" s="192">
        <v>519.98</v>
      </c>
      <c r="Y133" s="191"/>
      <c r="Z133" s="192">
        <v>519.88</v>
      </c>
      <c r="AA133" s="192"/>
      <c r="AB133" s="192">
        <v>519.32000000000005</v>
      </c>
      <c r="AC133" s="192"/>
      <c r="AD133" s="192">
        <v>519.26</v>
      </c>
      <c r="AE133" s="192">
        <v>519.48</v>
      </c>
      <c r="AF133" s="192">
        <v>519.76</v>
      </c>
      <c r="AG133" s="149"/>
      <c r="AH133" s="47"/>
      <c r="AI133" s="48"/>
    </row>
    <row r="134" spans="1:37" x14ac:dyDescent="0.25">
      <c r="A134" s="189" t="s">
        <v>240</v>
      </c>
      <c r="B134" s="150"/>
      <c r="C134" s="150"/>
      <c r="D134" s="150">
        <v>623.21</v>
      </c>
      <c r="E134" s="150">
        <v>623.70000000000005</v>
      </c>
      <c r="F134" s="150">
        <v>624.16</v>
      </c>
      <c r="G134" s="192">
        <v>624.48</v>
      </c>
      <c r="H134" s="192"/>
      <c r="I134" s="192">
        <v>624.5</v>
      </c>
      <c r="J134" s="192"/>
      <c r="K134" s="192">
        <v>624.29999999999995</v>
      </c>
      <c r="L134" s="192"/>
      <c r="M134" s="192">
        <v>624.25</v>
      </c>
      <c r="N134" s="192">
        <v>623.57000000000005</v>
      </c>
      <c r="O134" s="192">
        <v>622.98</v>
      </c>
      <c r="P134" s="192">
        <v>622.61</v>
      </c>
      <c r="Q134" s="192">
        <v>621.9</v>
      </c>
      <c r="R134" s="192">
        <v>621.86</v>
      </c>
      <c r="S134" s="192">
        <v>622.71</v>
      </c>
      <c r="T134" s="192">
        <v>622.91</v>
      </c>
      <c r="U134" s="192">
        <v>623.47</v>
      </c>
      <c r="V134" s="192">
        <v>623.51</v>
      </c>
      <c r="W134" s="192"/>
      <c r="X134" s="192">
        <v>623.41</v>
      </c>
      <c r="Y134" s="191"/>
      <c r="Z134" s="192">
        <v>622.94000000000005</v>
      </c>
      <c r="AA134" s="192"/>
      <c r="AB134" s="192">
        <v>622.11</v>
      </c>
      <c r="AC134" s="192"/>
      <c r="AD134" s="192">
        <v>621.44000000000005</v>
      </c>
      <c r="AE134" s="192">
        <v>621.66999999999996</v>
      </c>
      <c r="AF134" s="192">
        <v>621.84</v>
      </c>
      <c r="AG134" s="149"/>
      <c r="AH134" s="47"/>
      <c r="AI134" s="48"/>
    </row>
    <row r="135" spans="1:37" x14ac:dyDescent="0.25">
      <c r="A135" s="189" t="s">
        <v>241</v>
      </c>
      <c r="B135" s="150">
        <v>334.75</v>
      </c>
      <c r="C135" s="150">
        <v>335.12</v>
      </c>
      <c r="D135" s="150">
        <v>335.58</v>
      </c>
      <c r="E135" s="150">
        <v>335.96</v>
      </c>
      <c r="F135" s="150">
        <v>336.23</v>
      </c>
      <c r="G135" s="192">
        <v>336.44</v>
      </c>
      <c r="H135" s="192"/>
      <c r="I135" s="192">
        <v>336.55</v>
      </c>
      <c r="J135" s="192"/>
      <c r="K135" s="192">
        <v>336.52</v>
      </c>
      <c r="L135" s="192"/>
      <c r="M135" s="192">
        <v>336.41</v>
      </c>
      <c r="N135" s="192">
        <v>336.19</v>
      </c>
      <c r="O135" s="192">
        <v>335.91</v>
      </c>
      <c r="P135" s="192">
        <v>335.46</v>
      </c>
      <c r="Q135" s="192"/>
      <c r="R135" s="192">
        <v>334.69</v>
      </c>
      <c r="S135" s="192">
        <v>335.18</v>
      </c>
      <c r="T135" s="192">
        <v>335.4</v>
      </c>
      <c r="U135" s="192">
        <v>335.68</v>
      </c>
      <c r="V135" s="192">
        <v>336.06</v>
      </c>
      <c r="W135" s="192"/>
      <c r="X135" s="192">
        <v>336.2</v>
      </c>
      <c r="Y135" s="191"/>
      <c r="Z135" s="192">
        <v>335.97</v>
      </c>
      <c r="AA135" s="192"/>
      <c r="AB135" s="192">
        <v>335.47</v>
      </c>
      <c r="AC135" s="192"/>
      <c r="AD135" s="192">
        <v>334.35</v>
      </c>
      <c r="AE135" s="192">
        <v>334.22</v>
      </c>
      <c r="AF135" s="192">
        <v>333.81</v>
      </c>
      <c r="AG135" s="149"/>
      <c r="AH135" s="47"/>
      <c r="AI135" s="48"/>
    </row>
    <row r="136" spans="1:37" x14ac:dyDescent="0.25">
      <c r="A136" s="189" t="s">
        <v>407</v>
      </c>
      <c r="B136" s="150">
        <v>883.6</v>
      </c>
      <c r="C136" s="150">
        <v>884.4</v>
      </c>
      <c r="D136" s="150">
        <v>885.2</v>
      </c>
      <c r="E136" s="150">
        <v>885.8</v>
      </c>
      <c r="F136" s="150">
        <v>886.4</v>
      </c>
      <c r="G136" s="192">
        <v>887</v>
      </c>
      <c r="H136" s="192"/>
      <c r="I136" s="192">
        <v>886.9</v>
      </c>
      <c r="J136" s="192"/>
      <c r="K136" s="192">
        <v>886.2</v>
      </c>
      <c r="L136" s="192"/>
      <c r="M136" s="192">
        <v>884.5</v>
      </c>
      <c r="N136" s="192">
        <v>883.5</v>
      </c>
      <c r="O136" s="192">
        <v>882.5</v>
      </c>
      <c r="P136" s="192">
        <v>882.4</v>
      </c>
      <c r="Q136" s="192"/>
      <c r="R136" s="192">
        <v>882.3</v>
      </c>
      <c r="S136" s="192">
        <v>882.2</v>
      </c>
      <c r="T136" s="192">
        <v>883</v>
      </c>
      <c r="U136" s="192">
        <v>884.2</v>
      </c>
      <c r="V136" s="192">
        <v>884.9</v>
      </c>
      <c r="W136" s="192"/>
      <c r="X136" s="192">
        <v>885</v>
      </c>
      <c r="Y136" s="191"/>
      <c r="Z136" s="192">
        <v>883.6</v>
      </c>
      <c r="AA136" s="192"/>
      <c r="AB136" s="192">
        <v>883.1</v>
      </c>
      <c r="AC136" s="192"/>
      <c r="AD136" s="192">
        <v>882.1</v>
      </c>
      <c r="AE136" s="192">
        <v>883.1</v>
      </c>
      <c r="AF136" s="192">
        <v>884</v>
      </c>
      <c r="AG136" s="149"/>
      <c r="AH136" s="47"/>
      <c r="AI136" s="48"/>
    </row>
    <row r="137" spans="1:37" ht="15.75" thickBot="1" x14ac:dyDescent="0.3">
      <c r="A137" s="189" t="s">
        <v>242</v>
      </c>
      <c r="B137" s="152">
        <v>1521.29</v>
      </c>
      <c r="C137" s="152"/>
      <c r="D137" s="152"/>
      <c r="E137" s="152"/>
      <c r="F137" s="152"/>
      <c r="G137" s="193"/>
      <c r="H137" s="193"/>
      <c r="I137" s="193"/>
      <c r="J137" s="193"/>
      <c r="K137" s="193"/>
      <c r="L137" s="193"/>
      <c r="M137" s="193">
        <v>1521.3</v>
      </c>
      <c r="N137" s="193"/>
      <c r="O137" s="193"/>
      <c r="P137" s="193"/>
      <c r="Q137" s="193"/>
      <c r="R137" s="193"/>
      <c r="S137" s="193"/>
      <c r="T137" s="193"/>
      <c r="U137" s="193"/>
      <c r="V137" s="193"/>
      <c r="W137" s="193"/>
      <c r="X137" s="193"/>
      <c r="Y137" s="193"/>
      <c r="Z137" s="193"/>
      <c r="AA137" s="193"/>
      <c r="AB137" s="193"/>
      <c r="AC137" s="193"/>
      <c r="AD137" s="193"/>
      <c r="AE137" s="193"/>
      <c r="AF137" s="193"/>
      <c r="AG137" s="149"/>
      <c r="AH137" s="47"/>
      <c r="AI137" s="48"/>
    </row>
    <row r="138" spans="1:37" ht="15.75" thickBot="1" x14ac:dyDescent="0.3">
      <c r="A138" s="120" t="s">
        <v>125</v>
      </c>
      <c r="B138" s="121"/>
      <c r="C138" s="121"/>
      <c r="D138" s="121"/>
      <c r="E138" s="121"/>
      <c r="F138" s="170" t="s">
        <v>254</v>
      </c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74"/>
      <c r="AH138" s="47"/>
      <c r="AI138" s="48"/>
      <c r="AK138" s="50"/>
    </row>
    <row r="139" spans="1:37" x14ac:dyDescent="0.25">
      <c r="A139" s="122" t="s">
        <v>126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5">
        <v>9.94</v>
      </c>
      <c r="AH139" s="47"/>
      <c r="AI139" s="48"/>
      <c r="AK139" s="50"/>
    </row>
    <row r="140" spans="1:37" x14ac:dyDescent="0.25">
      <c r="A140" s="103" t="s">
        <v>127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5"/>
      <c r="AH140" s="47"/>
      <c r="AI140" s="48"/>
      <c r="AK140" s="50"/>
    </row>
    <row r="141" spans="1:37" x14ac:dyDescent="0.25">
      <c r="A141" s="103" t="s">
        <v>128</v>
      </c>
      <c r="B141" s="123"/>
      <c r="C141" s="124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5"/>
      <c r="AH141" s="47"/>
      <c r="AI141" s="48"/>
      <c r="AK141" s="50"/>
    </row>
    <row r="142" spans="1:37" x14ac:dyDescent="0.25">
      <c r="A142" s="103" t="s">
        <v>129</v>
      </c>
      <c r="B142" s="123"/>
      <c r="C142" s="124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5"/>
      <c r="AH142" s="47"/>
      <c r="AI142" s="48"/>
      <c r="AK142" s="50"/>
    </row>
    <row r="143" spans="1:37" x14ac:dyDescent="0.25">
      <c r="A143" s="103" t="s">
        <v>130</v>
      </c>
      <c r="B143" s="123"/>
      <c r="C143" s="124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5"/>
      <c r="AH143" s="47"/>
      <c r="AI143" s="48"/>
      <c r="AK143" s="50"/>
    </row>
    <row r="144" spans="1:37" x14ac:dyDescent="0.25">
      <c r="A144" s="103" t="s">
        <v>131</v>
      </c>
      <c r="B144" s="123"/>
      <c r="C144" s="124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5"/>
      <c r="AH144" s="47"/>
      <c r="AI144" s="48"/>
      <c r="AK144" s="50"/>
    </row>
    <row r="145" spans="1:37" x14ac:dyDescent="0.25">
      <c r="A145" s="103" t="s">
        <v>132</v>
      </c>
      <c r="B145" s="123"/>
      <c r="C145" s="124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5"/>
      <c r="AH145" s="47"/>
      <c r="AI145" s="48"/>
      <c r="AK145" s="50"/>
    </row>
    <row r="146" spans="1:37" x14ac:dyDescent="0.25">
      <c r="A146" s="103" t="s">
        <v>133</v>
      </c>
      <c r="B146" s="123"/>
      <c r="C146" s="124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5"/>
      <c r="AH146" s="47"/>
      <c r="AI146" s="48"/>
      <c r="AK146" s="50"/>
    </row>
    <row r="147" spans="1:37" x14ac:dyDescent="0.25">
      <c r="A147" s="103" t="s">
        <v>134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5"/>
      <c r="AH147" s="47"/>
      <c r="AI147" s="48"/>
      <c r="AK147" s="50"/>
    </row>
    <row r="148" spans="1:37" x14ac:dyDescent="0.25">
      <c r="A148" s="103" t="s">
        <v>135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5"/>
      <c r="AH148" s="47"/>
      <c r="AI148" s="48"/>
      <c r="AK148" s="50"/>
    </row>
    <row r="149" spans="1:37" x14ac:dyDescent="0.25">
      <c r="A149" s="103" t="s">
        <v>136</v>
      </c>
      <c r="B149" s="123"/>
      <c r="C149" s="124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5"/>
      <c r="AH149" s="47"/>
      <c r="AI149" s="48"/>
      <c r="AK149" s="50"/>
    </row>
    <row r="150" spans="1:37" x14ac:dyDescent="0.25">
      <c r="A150" s="103" t="s">
        <v>137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5"/>
      <c r="AH150" s="47"/>
      <c r="AI150" s="48"/>
      <c r="AK150" s="50"/>
    </row>
    <row r="151" spans="1:37" x14ac:dyDescent="0.25">
      <c r="A151" s="103" t="s">
        <v>138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5"/>
      <c r="AH151" s="47"/>
      <c r="AI151" s="48"/>
      <c r="AK151" s="50"/>
    </row>
    <row r="152" spans="1:37" x14ac:dyDescent="0.25">
      <c r="A152" s="103" t="s">
        <v>139</v>
      </c>
      <c r="B152" s="123"/>
      <c r="C152" s="124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5"/>
      <c r="AH152" s="47"/>
      <c r="AI152" s="48"/>
      <c r="AK152" s="50"/>
    </row>
    <row r="153" spans="1:37" x14ac:dyDescent="0.25">
      <c r="A153" s="103" t="s">
        <v>140</v>
      </c>
      <c r="B153" s="123"/>
      <c r="C153" s="124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5"/>
      <c r="AH153" s="47"/>
      <c r="AI153" s="48"/>
      <c r="AK153" s="50"/>
    </row>
    <row r="154" spans="1:37" x14ac:dyDescent="0.25">
      <c r="A154" s="103" t="s">
        <v>141</v>
      </c>
      <c r="B154" s="123"/>
      <c r="C154" s="124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5"/>
      <c r="AH154" s="47"/>
      <c r="AI154" s="48"/>
      <c r="AK154" s="50"/>
    </row>
    <row r="155" spans="1:37" x14ac:dyDescent="0.25">
      <c r="A155" s="103" t="s">
        <v>142</v>
      </c>
      <c r="B155" s="126"/>
      <c r="C155" s="127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8">
        <v>9.9</v>
      </c>
      <c r="AH155" s="47"/>
      <c r="AI155" s="48"/>
      <c r="AK155" s="50"/>
    </row>
    <row r="156" spans="1:37" x14ac:dyDescent="0.25">
      <c r="A156" s="116" t="s">
        <v>143</v>
      </c>
      <c r="B156" s="126"/>
      <c r="C156" s="127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9">
        <v>9.6579999999999995</v>
      </c>
      <c r="AH156" s="47"/>
      <c r="AI156" s="48"/>
      <c r="AK156" s="50"/>
    </row>
    <row r="157" spans="1:37" x14ac:dyDescent="0.25">
      <c r="A157" s="116" t="s">
        <v>144</v>
      </c>
      <c r="B157" s="126"/>
      <c r="C157" s="127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9">
        <v>9.6</v>
      </c>
      <c r="AH157" s="47"/>
      <c r="AI157" s="48"/>
      <c r="AK157" s="50"/>
    </row>
    <row r="158" spans="1:37" x14ac:dyDescent="0.25">
      <c r="A158" s="116" t="s">
        <v>145</v>
      </c>
      <c r="B158" s="126"/>
      <c r="C158" s="127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9">
        <v>9.51</v>
      </c>
      <c r="AH158" s="47"/>
      <c r="AI158" s="48"/>
      <c r="AK158" s="50"/>
    </row>
    <row r="159" spans="1:37" x14ac:dyDescent="0.25">
      <c r="A159" s="116" t="s">
        <v>146</v>
      </c>
      <c r="B159" s="126"/>
      <c r="C159" s="127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9">
        <v>9.4</v>
      </c>
      <c r="AH159" s="47"/>
      <c r="AI159" s="48"/>
      <c r="AK159" s="50"/>
    </row>
    <row r="160" spans="1:37" x14ac:dyDescent="0.25">
      <c r="A160" s="116" t="s">
        <v>147</v>
      </c>
      <c r="B160" s="126"/>
      <c r="C160" s="127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9">
        <v>8.8000000000000007</v>
      </c>
      <c r="AH160" s="47"/>
      <c r="AI160" s="48"/>
      <c r="AK160" s="50"/>
    </row>
    <row r="161" spans="1:37" x14ac:dyDescent="0.25">
      <c r="A161" s="116" t="s">
        <v>148</v>
      </c>
      <c r="B161" s="126"/>
      <c r="C161" s="127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9">
        <v>8.5</v>
      </c>
      <c r="AH161" s="47"/>
      <c r="AI161" s="48"/>
      <c r="AK161" s="50"/>
    </row>
    <row r="162" spans="1:37" x14ac:dyDescent="0.25">
      <c r="A162" s="116" t="s">
        <v>149</v>
      </c>
      <c r="B162" s="126"/>
      <c r="C162" s="127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9">
        <v>8.5</v>
      </c>
      <c r="AH162" s="47"/>
      <c r="AI162" s="48"/>
      <c r="AK162" s="50"/>
    </row>
    <row r="163" spans="1:37" x14ac:dyDescent="0.25">
      <c r="A163" s="116" t="s">
        <v>150</v>
      </c>
      <c r="B163" s="126"/>
      <c r="C163" s="127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9">
        <v>8.4</v>
      </c>
      <c r="AH163" s="47"/>
      <c r="AI163" s="48"/>
      <c r="AK163" s="50"/>
    </row>
    <row r="164" spans="1:37" ht="13.5" customHeight="1" x14ac:dyDescent="0.25">
      <c r="A164" s="116" t="s">
        <v>151</v>
      </c>
      <c r="B164" s="126"/>
      <c r="C164" s="127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9">
        <v>8</v>
      </c>
      <c r="AH164" s="47"/>
      <c r="AI164" s="48"/>
      <c r="AK164" s="50"/>
    </row>
    <row r="165" spans="1:37" x14ac:dyDescent="0.25">
      <c r="A165" s="116" t="s">
        <v>152</v>
      </c>
      <c r="B165" s="126"/>
      <c r="C165" s="127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9">
        <v>8</v>
      </c>
      <c r="AH165" s="47"/>
      <c r="AI165" s="48"/>
      <c r="AK165" s="50"/>
    </row>
    <row r="166" spans="1:37" x14ac:dyDescent="0.25">
      <c r="A166" s="116" t="s">
        <v>153</v>
      </c>
      <c r="B166" s="126"/>
      <c r="C166" s="127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9">
        <v>8</v>
      </c>
      <c r="AH166" s="47"/>
      <c r="AI166" s="48"/>
      <c r="AK166" s="50"/>
    </row>
    <row r="167" spans="1:37" x14ac:dyDescent="0.25">
      <c r="A167" s="116" t="s">
        <v>154</v>
      </c>
      <c r="B167" s="126"/>
      <c r="C167" s="127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9">
        <v>7.8</v>
      </c>
      <c r="AH167" s="47"/>
      <c r="AI167" s="48"/>
      <c r="AK167" s="50"/>
    </row>
    <row r="168" spans="1:37" x14ac:dyDescent="0.25">
      <c r="A168" s="116" t="s">
        <v>155</v>
      </c>
      <c r="B168" s="126"/>
      <c r="C168" s="127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9">
        <v>7.6</v>
      </c>
      <c r="AH168" s="47"/>
      <c r="AI168" s="48"/>
      <c r="AK168" s="50"/>
    </row>
    <row r="169" spans="1:37" x14ac:dyDescent="0.25">
      <c r="A169" s="116" t="s">
        <v>156</v>
      </c>
      <c r="B169" s="126"/>
      <c r="C169" s="127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9">
        <v>7.5</v>
      </c>
      <c r="AH169" s="47"/>
      <c r="AI169" s="48"/>
      <c r="AK169" s="50"/>
    </row>
    <row r="170" spans="1:37" x14ac:dyDescent="0.25">
      <c r="A170" s="116" t="s">
        <v>157</v>
      </c>
      <c r="B170" s="126"/>
      <c r="C170" s="127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9">
        <v>7.5</v>
      </c>
      <c r="AH170" s="47"/>
      <c r="AI170" s="48"/>
      <c r="AK170" s="50"/>
    </row>
    <row r="171" spans="1:37" x14ac:dyDescent="0.25">
      <c r="A171" s="116" t="s">
        <v>158</v>
      </c>
      <c r="B171" s="126"/>
      <c r="C171" s="127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9">
        <v>7</v>
      </c>
      <c r="AH171" s="47"/>
      <c r="AI171" s="48"/>
      <c r="AK171" s="50"/>
    </row>
    <row r="172" spans="1:37" x14ac:dyDescent="0.25">
      <c r="A172" s="116" t="s">
        <v>159</v>
      </c>
      <c r="B172" s="126"/>
      <c r="C172" s="127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9">
        <v>7</v>
      </c>
      <c r="AH172" s="47"/>
      <c r="AI172" s="48"/>
      <c r="AK172" s="50"/>
    </row>
    <row r="173" spans="1:37" x14ac:dyDescent="0.25">
      <c r="A173" s="116" t="s">
        <v>160</v>
      </c>
      <c r="B173" s="126"/>
      <c r="C173" s="127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9">
        <v>7</v>
      </c>
      <c r="AH173" s="47"/>
      <c r="AI173" s="48"/>
      <c r="AK173" s="50"/>
    </row>
    <row r="174" spans="1:37" x14ac:dyDescent="0.25">
      <c r="A174" s="116" t="s">
        <v>161</v>
      </c>
      <c r="B174" s="126"/>
      <c r="C174" s="127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9">
        <v>7</v>
      </c>
      <c r="AH174" s="47"/>
      <c r="AI174" s="48"/>
      <c r="AK174" s="50"/>
    </row>
    <row r="175" spans="1:37" x14ac:dyDescent="0.25">
      <c r="A175" s="116" t="s">
        <v>162</v>
      </c>
      <c r="B175" s="126"/>
      <c r="C175" s="127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9">
        <v>6.6</v>
      </c>
      <c r="AH175" s="47"/>
      <c r="AI175" s="48"/>
      <c r="AK175" s="50"/>
    </row>
    <row r="176" spans="1:37" x14ac:dyDescent="0.25">
      <c r="A176" s="116" t="s">
        <v>163</v>
      </c>
      <c r="B176" s="126"/>
      <c r="C176" s="127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9">
        <v>6.6</v>
      </c>
      <c r="AH176" s="47"/>
      <c r="AI176" s="48"/>
      <c r="AK176" s="50"/>
    </row>
    <row r="177" spans="1:37" x14ac:dyDescent="0.25">
      <c r="A177" s="116" t="s">
        <v>164</v>
      </c>
      <c r="B177" s="126"/>
      <c r="C177" s="127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9">
        <v>6.4</v>
      </c>
      <c r="AH177" s="47"/>
      <c r="AI177" s="48"/>
      <c r="AK177" s="50"/>
    </row>
    <row r="178" spans="1:37" x14ac:dyDescent="0.25">
      <c r="A178" s="116" t="s">
        <v>165</v>
      </c>
      <c r="B178" s="126"/>
      <c r="C178" s="127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9">
        <v>6</v>
      </c>
      <c r="AH178" s="47"/>
      <c r="AI178" s="48"/>
      <c r="AK178" s="50"/>
    </row>
    <row r="179" spans="1:37" x14ac:dyDescent="0.25">
      <c r="A179" s="116" t="s">
        <v>166</v>
      </c>
      <c r="B179" s="126"/>
      <c r="C179" s="127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9">
        <v>5.0999999999999996</v>
      </c>
      <c r="AH179" s="47"/>
      <c r="AI179" s="48"/>
      <c r="AK179" s="50"/>
    </row>
    <row r="180" spans="1:37" x14ac:dyDescent="0.25">
      <c r="A180" s="116" t="s">
        <v>167</v>
      </c>
      <c r="B180" s="126"/>
      <c r="C180" s="127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9">
        <v>5</v>
      </c>
      <c r="AH180" s="47"/>
      <c r="AI180" s="48"/>
      <c r="AK180" s="50"/>
    </row>
    <row r="181" spans="1:37" x14ac:dyDescent="0.25">
      <c r="A181" s="103" t="s">
        <v>168</v>
      </c>
      <c r="B181" s="126"/>
      <c r="C181" s="127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8">
        <v>5</v>
      </c>
      <c r="AH181" s="47"/>
      <c r="AI181" s="48"/>
      <c r="AK181" s="50"/>
    </row>
    <row r="182" spans="1:37" x14ac:dyDescent="0.25">
      <c r="A182" s="116" t="s">
        <v>169</v>
      </c>
      <c r="B182" s="126"/>
      <c r="C182" s="127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9">
        <v>5</v>
      </c>
      <c r="AH182" s="47"/>
      <c r="AI182" s="48"/>
      <c r="AK182" s="50"/>
    </row>
    <row r="183" spans="1:37" x14ac:dyDescent="0.25">
      <c r="A183" s="116" t="s">
        <v>170</v>
      </c>
      <c r="B183" s="126"/>
      <c r="C183" s="127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9">
        <v>5</v>
      </c>
      <c r="AH183" s="47"/>
      <c r="AI183" s="48"/>
      <c r="AK183" s="50"/>
    </row>
    <row r="184" spans="1:37" x14ac:dyDescent="0.25">
      <c r="A184" s="116" t="s">
        <v>171</v>
      </c>
      <c r="B184" s="126"/>
      <c r="C184" s="127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9">
        <v>5</v>
      </c>
      <c r="AH184" s="47"/>
      <c r="AI184" s="48"/>
      <c r="AK184" s="50"/>
    </row>
    <row r="185" spans="1:37" x14ac:dyDescent="0.25">
      <c r="A185" s="116" t="s">
        <v>172</v>
      </c>
      <c r="B185" s="126"/>
      <c r="C185" s="127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9">
        <v>5</v>
      </c>
      <c r="AH185" s="47"/>
      <c r="AI185" s="48"/>
      <c r="AK185" s="50"/>
    </row>
    <row r="186" spans="1:37" x14ac:dyDescent="0.25">
      <c r="A186" s="116" t="s">
        <v>173</v>
      </c>
      <c r="B186" s="126"/>
      <c r="C186" s="127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9">
        <v>5</v>
      </c>
      <c r="AH186" s="47"/>
      <c r="AI186" s="48"/>
      <c r="AK186" s="50"/>
    </row>
    <row r="187" spans="1:37" x14ac:dyDescent="0.25">
      <c r="A187" s="116" t="s">
        <v>174</v>
      </c>
      <c r="B187" s="126"/>
      <c r="C187" s="127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9">
        <v>4.9930000000000003</v>
      </c>
      <c r="AH187" s="47"/>
      <c r="AI187" s="48"/>
      <c r="AK187" s="50"/>
    </row>
    <row r="188" spans="1:37" x14ac:dyDescent="0.25">
      <c r="A188" s="116" t="s">
        <v>175</v>
      </c>
      <c r="B188" s="126"/>
      <c r="C188" s="127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9">
        <v>4.9800000000000004</v>
      </c>
      <c r="AH188" s="47"/>
      <c r="AI188" s="48"/>
      <c r="AK188" s="50"/>
    </row>
    <row r="189" spans="1:37" x14ac:dyDescent="0.25">
      <c r="A189" s="116" t="s">
        <v>176</v>
      </c>
      <c r="B189" s="126"/>
      <c r="C189" s="127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9">
        <v>4.95</v>
      </c>
      <c r="AH189" s="47"/>
      <c r="AI189" s="48"/>
      <c r="AK189" s="50"/>
    </row>
    <row r="190" spans="1:37" x14ac:dyDescent="0.25">
      <c r="A190" s="116" t="s">
        <v>177</v>
      </c>
      <c r="B190" s="126"/>
      <c r="C190" s="127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9">
        <v>4.95</v>
      </c>
      <c r="AH190" s="47"/>
      <c r="AI190" s="48"/>
      <c r="AK190" s="50"/>
    </row>
    <row r="191" spans="1:37" x14ac:dyDescent="0.25">
      <c r="A191" s="116" t="s">
        <v>178</v>
      </c>
      <c r="B191" s="126"/>
      <c r="C191" s="127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9">
        <v>4.8</v>
      </c>
      <c r="AH191" s="47"/>
      <c r="AI191" s="48"/>
      <c r="AK191" s="50"/>
    </row>
    <row r="192" spans="1:37" x14ac:dyDescent="0.25">
      <c r="A192" s="116" t="s">
        <v>179</v>
      </c>
      <c r="B192" s="126"/>
      <c r="C192" s="127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9">
        <v>4.8</v>
      </c>
      <c r="AH192" s="47"/>
      <c r="AI192" s="48"/>
      <c r="AK192" s="50"/>
    </row>
    <row r="193" spans="1:37" x14ac:dyDescent="0.25">
      <c r="A193" s="116" t="s">
        <v>180</v>
      </c>
      <c r="B193" s="126"/>
      <c r="C193" s="127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9">
        <v>4.8</v>
      </c>
      <c r="AH193" s="47"/>
      <c r="AI193" s="48"/>
      <c r="AK193" s="50"/>
    </row>
    <row r="194" spans="1:37" x14ac:dyDescent="0.25">
      <c r="A194" s="116" t="s">
        <v>181</v>
      </c>
      <c r="B194" s="126"/>
      <c r="C194" s="127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9">
        <v>4.5</v>
      </c>
      <c r="AH194" s="47"/>
      <c r="AI194" s="48"/>
      <c r="AK194" s="50"/>
    </row>
    <row r="195" spans="1:37" x14ac:dyDescent="0.25">
      <c r="A195" s="116" t="s">
        <v>182</v>
      </c>
      <c r="B195" s="126"/>
      <c r="C195" s="127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9">
        <v>4.5</v>
      </c>
      <c r="AH195" s="47"/>
      <c r="AI195" s="48"/>
      <c r="AK195" s="50"/>
    </row>
    <row r="196" spans="1:37" x14ac:dyDescent="0.25">
      <c r="A196" s="116" t="s">
        <v>183</v>
      </c>
      <c r="B196" s="126"/>
      <c r="C196" s="127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9">
        <v>4.4550000000000001</v>
      </c>
      <c r="AH196" s="47"/>
      <c r="AI196" s="48"/>
      <c r="AK196" s="50"/>
    </row>
    <row r="197" spans="1:37" x14ac:dyDescent="0.25">
      <c r="A197" s="116" t="s">
        <v>184</v>
      </c>
      <c r="B197" s="126"/>
      <c r="C197" s="127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9">
        <v>4.41</v>
      </c>
      <c r="AH197" s="47"/>
      <c r="AI197" s="48"/>
      <c r="AK197" s="50"/>
    </row>
    <row r="198" spans="1:37" x14ac:dyDescent="0.25">
      <c r="A198" s="116" t="s">
        <v>185</v>
      </c>
      <c r="B198" s="126"/>
      <c r="C198" s="127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9">
        <v>4.4000000000000004</v>
      </c>
      <c r="AH198" s="47"/>
      <c r="AI198" s="48"/>
      <c r="AK198" s="50"/>
    </row>
    <row r="199" spans="1:37" x14ac:dyDescent="0.25">
      <c r="A199" s="116" t="s">
        <v>186</v>
      </c>
      <c r="B199" s="126"/>
      <c r="C199" s="127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9">
        <v>4.3600000000000003</v>
      </c>
      <c r="AH199" s="47"/>
      <c r="AI199" s="48"/>
      <c r="AK199" s="50"/>
    </row>
    <row r="200" spans="1:37" x14ac:dyDescent="0.25">
      <c r="A200" s="116" t="s">
        <v>187</v>
      </c>
      <c r="B200" s="126"/>
      <c r="C200" s="127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9">
        <v>4.2</v>
      </c>
      <c r="AH200" s="47"/>
      <c r="AI200" s="48"/>
      <c r="AK200" s="50"/>
    </row>
    <row r="201" spans="1:37" x14ac:dyDescent="0.25">
      <c r="A201" s="116" t="s">
        <v>188</v>
      </c>
      <c r="B201" s="126"/>
      <c r="C201" s="127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9">
        <v>4</v>
      </c>
      <c r="AH201" s="47"/>
      <c r="AI201" s="48"/>
      <c r="AK201" s="50"/>
    </row>
    <row r="202" spans="1:37" x14ac:dyDescent="0.25">
      <c r="A202" s="116" t="s">
        <v>189</v>
      </c>
      <c r="B202" s="126"/>
      <c r="C202" s="127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9">
        <v>4</v>
      </c>
      <c r="AH202" s="47"/>
      <c r="AI202" s="48"/>
      <c r="AK202" s="50"/>
    </row>
    <row r="203" spans="1:37" x14ac:dyDescent="0.25">
      <c r="A203" s="116" t="s">
        <v>190</v>
      </c>
      <c r="B203" s="126"/>
      <c r="C203" s="127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9">
        <v>4</v>
      </c>
      <c r="AH203" s="47"/>
      <c r="AI203" s="48"/>
      <c r="AK203" s="50"/>
    </row>
    <row r="204" spans="1:37" x14ac:dyDescent="0.25">
      <c r="A204" s="116" t="s">
        <v>191</v>
      </c>
      <c r="B204" s="126"/>
      <c r="C204" s="127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9">
        <v>4</v>
      </c>
      <c r="AH204" s="47"/>
      <c r="AI204" s="48"/>
      <c r="AK204" s="50"/>
    </row>
    <row r="205" spans="1:37" x14ac:dyDescent="0.25">
      <c r="A205" s="116" t="s">
        <v>192</v>
      </c>
      <c r="B205" s="126"/>
      <c r="C205" s="127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9">
        <v>4</v>
      </c>
      <c r="AH205" s="47"/>
      <c r="AI205" s="48"/>
      <c r="AK205" s="50"/>
    </row>
    <row r="206" spans="1:37" x14ac:dyDescent="0.25">
      <c r="A206" s="116" t="s">
        <v>193</v>
      </c>
      <c r="B206" s="126"/>
      <c r="C206" s="127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9">
        <v>4</v>
      </c>
      <c r="AH206" s="47"/>
      <c r="AI206" s="48"/>
      <c r="AK206" s="50"/>
    </row>
    <row r="207" spans="1:37" x14ac:dyDescent="0.25">
      <c r="A207" s="116" t="s">
        <v>194</v>
      </c>
      <c r="B207" s="126"/>
      <c r="C207" s="127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9">
        <v>4</v>
      </c>
      <c r="AH207" s="47"/>
      <c r="AI207" s="48"/>
      <c r="AK207" s="50"/>
    </row>
    <row r="208" spans="1:37" x14ac:dyDescent="0.25">
      <c r="A208" s="116" t="s">
        <v>195</v>
      </c>
      <c r="B208" s="126"/>
      <c r="C208" s="127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9">
        <v>4</v>
      </c>
      <c r="AH208" s="47"/>
      <c r="AI208" s="48"/>
      <c r="AK208" s="50"/>
    </row>
    <row r="209" spans="1:37" x14ac:dyDescent="0.25">
      <c r="A209" s="116" t="s">
        <v>196</v>
      </c>
      <c r="B209" s="126"/>
      <c r="C209" s="127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9">
        <v>3.75</v>
      </c>
      <c r="AH209" s="47"/>
      <c r="AI209" s="48"/>
      <c r="AK209" s="50"/>
    </row>
    <row r="210" spans="1:37" x14ac:dyDescent="0.25">
      <c r="A210" s="116" t="s">
        <v>197</v>
      </c>
      <c r="B210" s="126"/>
      <c r="C210" s="127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9">
        <v>3.52</v>
      </c>
      <c r="AH210" s="47"/>
      <c r="AI210" s="48"/>
      <c r="AK210" s="50"/>
    </row>
    <row r="211" spans="1:37" x14ac:dyDescent="0.25">
      <c r="A211" s="116" t="s">
        <v>198</v>
      </c>
      <c r="B211" s="126"/>
      <c r="C211" s="127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9">
        <v>3.33</v>
      </c>
      <c r="AH211" s="47"/>
      <c r="AI211" s="48"/>
      <c r="AK211" s="50"/>
    </row>
    <row r="212" spans="1:37" x14ac:dyDescent="0.25">
      <c r="A212" s="116" t="s">
        <v>199</v>
      </c>
      <c r="B212" s="126"/>
      <c r="C212" s="127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9">
        <v>3.2</v>
      </c>
      <c r="AH212" s="47"/>
      <c r="AI212" s="48"/>
      <c r="AK212" s="50"/>
    </row>
    <row r="213" spans="1:37" x14ac:dyDescent="0.25">
      <c r="A213" s="116" t="s">
        <v>200</v>
      </c>
      <c r="B213" s="126"/>
      <c r="C213" s="127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9">
        <v>3</v>
      </c>
      <c r="AH213" s="47"/>
      <c r="AI213" s="48"/>
      <c r="AK213" s="50"/>
    </row>
    <row r="214" spans="1:37" x14ac:dyDescent="0.25">
      <c r="A214" s="116" t="s">
        <v>201</v>
      </c>
      <c r="B214" s="126"/>
      <c r="C214" s="127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9">
        <v>3</v>
      </c>
      <c r="AH214" s="47"/>
      <c r="AI214" s="48"/>
      <c r="AK214" s="50"/>
    </row>
    <row r="215" spans="1:37" x14ac:dyDescent="0.25">
      <c r="A215" s="116" t="s">
        <v>202</v>
      </c>
      <c r="B215" s="126"/>
      <c r="C215" s="127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9">
        <v>3</v>
      </c>
      <c r="AH215" s="47"/>
      <c r="AI215" s="48"/>
      <c r="AK215" s="50"/>
    </row>
    <row r="216" spans="1:37" x14ac:dyDescent="0.25">
      <c r="A216" s="116" t="s">
        <v>203</v>
      </c>
      <c r="B216" s="126"/>
      <c r="C216" s="127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9">
        <v>3</v>
      </c>
      <c r="AH216" s="47"/>
      <c r="AI216" s="48"/>
      <c r="AK216" s="50"/>
    </row>
    <row r="217" spans="1:37" x14ac:dyDescent="0.25">
      <c r="A217" s="116" t="s">
        <v>204</v>
      </c>
      <c r="B217" s="126"/>
      <c r="C217" s="127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9">
        <v>3</v>
      </c>
      <c r="AH217" s="47"/>
      <c r="AI217" s="48"/>
      <c r="AK217" s="50"/>
    </row>
    <row r="218" spans="1:37" x14ac:dyDescent="0.25">
      <c r="A218" s="116" t="s">
        <v>205</v>
      </c>
      <c r="B218" s="126"/>
      <c r="C218" s="127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9">
        <v>3</v>
      </c>
      <c r="AH218" s="47"/>
      <c r="AI218" s="48"/>
      <c r="AK218" s="50"/>
    </row>
    <row r="219" spans="1:37" x14ac:dyDescent="0.25">
      <c r="A219" s="116" t="s">
        <v>206</v>
      </c>
      <c r="B219" s="126"/>
      <c r="C219" s="127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9">
        <v>3</v>
      </c>
      <c r="AH219" s="47"/>
      <c r="AI219" s="48"/>
      <c r="AK219" s="50"/>
    </row>
    <row r="220" spans="1:37" x14ac:dyDescent="0.25">
      <c r="A220" s="116" t="s">
        <v>207</v>
      </c>
      <c r="B220" s="126"/>
      <c r="C220" s="127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9">
        <v>3</v>
      </c>
      <c r="AH220" s="47"/>
      <c r="AI220" s="48"/>
      <c r="AK220" s="50"/>
    </row>
    <row r="221" spans="1:37" x14ac:dyDescent="0.25">
      <c r="A221" s="116" t="s">
        <v>208</v>
      </c>
      <c r="B221" s="126"/>
      <c r="C221" s="127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9">
        <v>2.83</v>
      </c>
      <c r="AH221" s="47"/>
      <c r="AI221" s="48"/>
      <c r="AK221" s="50"/>
    </row>
    <row r="222" spans="1:37" x14ac:dyDescent="0.25">
      <c r="A222" s="116" t="s">
        <v>209</v>
      </c>
      <c r="B222" s="126"/>
      <c r="C222" s="127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9">
        <v>2.5</v>
      </c>
      <c r="AH222" s="47"/>
      <c r="AI222" s="48"/>
      <c r="AK222" s="50"/>
    </row>
    <row r="223" spans="1:37" x14ac:dyDescent="0.25">
      <c r="A223" s="116" t="s">
        <v>210</v>
      </c>
      <c r="B223" s="126"/>
      <c r="C223" s="127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9">
        <v>2.5</v>
      </c>
      <c r="AH223" s="47"/>
      <c r="AI223" s="48"/>
      <c r="AK223" s="50"/>
    </row>
    <row r="224" spans="1:37" x14ac:dyDescent="0.25">
      <c r="A224" s="116" t="s">
        <v>211</v>
      </c>
      <c r="B224" s="126"/>
      <c r="C224" s="127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9">
        <v>2.4</v>
      </c>
      <c r="AH224" s="47"/>
      <c r="AI224" s="48"/>
      <c r="AK224" s="50"/>
    </row>
    <row r="225" spans="1:37" x14ac:dyDescent="0.25">
      <c r="A225" s="116" t="s">
        <v>212</v>
      </c>
      <c r="B225" s="126"/>
      <c r="C225" s="127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9">
        <v>2.4</v>
      </c>
      <c r="AH225" s="47"/>
      <c r="AI225" s="48"/>
      <c r="AK225" s="50"/>
    </row>
    <row r="226" spans="1:37" x14ac:dyDescent="0.25">
      <c r="A226" s="116" t="s">
        <v>213</v>
      </c>
      <c r="B226" s="126"/>
      <c r="C226" s="127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9">
        <v>2.2000000000000002</v>
      </c>
      <c r="AH226" s="47"/>
      <c r="AI226" s="48"/>
      <c r="AK226" s="50"/>
    </row>
    <row r="227" spans="1:37" x14ac:dyDescent="0.25">
      <c r="A227" s="116" t="s">
        <v>214</v>
      </c>
      <c r="B227" s="126"/>
      <c r="C227" s="127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9">
        <v>2</v>
      </c>
      <c r="AH227" s="47"/>
      <c r="AI227" s="48"/>
      <c r="AK227" s="50"/>
    </row>
    <row r="228" spans="1:37" x14ac:dyDescent="0.25">
      <c r="A228" s="116" t="s">
        <v>215</v>
      </c>
      <c r="B228" s="126"/>
      <c r="C228" s="127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9">
        <v>2</v>
      </c>
      <c r="AH228" s="47"/>
      <c r="AI228" s="48"/>
      <c r="AK228" s="50"/>
    </row>
    <row r="229" spans="1:37" x14ac:dyDescent="0.25">
      <c r="A229" s="116" t="s">
        <v>216</v>
      </c>
      <c r="B229" s="126"/>
      <c r="C229" s="127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9">
        <v>2</v>
      </c>
      <c r="AH229" s="47"/>
      <c r="AI229" s="48"/>
      <c r="AK229" s="50"/>
    </row>
    <row r="230" spans="1:37" x14ac:dyDescent="0.25">
      <c r="A230" s="116" t="s">
        <v>217</v>
      </c>
      <c r="B230" s="126"/>
      <c r="C230" s="127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9">
        <v>1.8</v>
      </c>
      <c r="AH230" s="47"/>
      <c r="AI230" s="48"/>
      <c r="AK230" s="50"/>
    </row>
    <row r="231" spans="1:37" x14ac:dyDescent="0.25">
      <c r="A231" s="116" t="s">
        <v>218</v>
      </c>
      <c r="B231" s="126"/>
      <c r="C231" s="127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9">
        <v>1.8</v>
      </c>
      <c r="AH231" s="47"/>
      <c r="AI231" s="48"/>
      <c r="AK231" s="50"/>
    </row>
    <row r="232" spans="1:37" x14ac:dyDescent="0.25">
      <c r="A232" s="116" t="s">
        <v>219</v>
      </c>
      <c r="B232" s="126"/>
      <c r="C232" s="127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9">
        <v>1.65</v>
      </c>
      <c r="AH232" s="47"/>
      <c r="AI232" s="48"/>
      <c r="AK232" s="50"/>
    </row>
    <row r="233" spans="1:37" x14ac:dyDescent="0.25">
      <c r="A233" s="116" t="s">
        <v>220</v>
      </c>
      <c r="B233" s="126"/>
      <c r="C233" s="127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9">
        <v>1.5</v>
      </c>
      <c r="AH233" s="47"/>
      <c r="AI233" s="48"/>
      <c r="AK233" s="50"/>
    </row>
    <row r="234" spans="1:37" x14ac:dyDescent="0.25">
      <c r="A234" s="116" t="s">
        <v>221</v>
      </c>
      <c r="B234" s="126"/>
      <c r="C234" s="127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9">
        <v>0.998</v>
      </c>
      <c r="AH234" s="47"/>
      <c r="AI234" s="48"/>
      <c r="AK234" s="50"/>
    </row>
    <row r="235" spans="1:37" x14ac:dyDescent="0.25">
      <c r="A235" s="116" t="s">
        <v>222</v>
      </c>
      <c r="B235" s="126"/>
      <c r="C235" s="127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9">
        <v>0.997</v>
      </c>
      <c r="AH235" s="47"/>
      <c r="AI235" s="48"/>
      <c r="AK235" s="50"/>
    </row>
    <row r="236" spans="1:37" x14ac:dyDescent="0.25">
      <c r="A236" s="116" t="s">
        <v>223</v>
      </c>
      <c r="B236" s="126"/>
      <c r="C236" s="127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9">
        <v>0.997</v>
      </c>
      <c r="AH236" s="47"/>
      <c r="AI236" s="48"/>
      <c r="AK236" s="50"/>
    </row>
    <row r="237" spans="1:37" x14ac:dyDescent="0.25">
      <c r="A237" s="116" t="s">
        <v>224</v>
      </c>
      <c r="B237" s="126"/>
      <c r="C237" s="127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9">
        <v>0.996</v>
      </c>
      <c r="AH237" s="47"/>
      <c r="AI237" s="48"/>
      <c r="AK237" s="50"/>
    </row>
    <row r="238" spans="1:37" x14ac:dyDescent="0.25">
      <c r="A238" s="116" t="s">
        <v>225</v>
      </c>
      <c r="B238" s="126"/>
      <c r="C238" s="127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9">
        <v>0.996</v>
      </c>
      <c r="AH238" s="47"/>
      <c r="AI238" s="48"/>
      <c r="AK238" s="50"/>
    </row>
    <row r="239" spans="1:37" x14ac:dyDescent="0.25">
      <c r="A239" s="116" t="s">
        <v>226</v>
      </c>
      <c r="B239" s="126"/>
      <c r="C239" s="127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9">
        <v>0.996</v>
      </c>
      <c r="AH239" s="47"/>
      <c r="AI239" s="48"/>
      <c r="AK239" s="50"/>
    </row>
    <row r="240" spans="1:37" x14ac:dyDescent="0.25">
      <c r="A240" s="116" t="s">
        <v>227</v>
      </c>
      <c r="B240" s="126"/>
      <c r="C240" s="127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9">
        <v>0.995</v>
      </c>
      <c r="AH240" s="47"/>
      <c r="AI240" s="48"/>
      <c r="AK240" s="50"/>
    </row>
    <row r="241" spans="1:37" x14ac:dyDescent="0.25">
      <c r="A241" s="116" t="s">
        <v>228</v>
      </c>
      <c r="B241" s="126"/>
      <c r="C241" s="127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9">
        <v>0.99299999999999999</v>
      </c>
      <c r="AH241" s="47"/>
      <c r="AI241" s="48"/>
      <c r="AK241" s="50"/>
    </row>
    <row r="242" spans="1:37" x14ac:dyDescent="0.25">
      <c r="A242" s="116" t="s">
        <v>229</v>
      </c>
      <c r="B242" s="126"/>
      <c r="C242" s="124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9">
        <v>0.99</v>
      </c>
      <c r="AH242" s="47"/>
      <c r="AI242" s="48"/>
      <c r="AK242" s="50"/>
    </row>
    <row r="243" spans="1:37" ht="15.75" thickBot="1" x14ac:dyDescent="0.3">
      <c r="A243" s="116" t="s">
        <v>230</v>
      </c>
      <c r="B243" s="130"/>
      <c r="C243" s="131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29">
        <v>0.97899999999999998</v>
      </c>
      <c r="AH243" s="47"/>
      <c r="AI243" s="48"/>
      <c r="AK243" s="50"/>
    </row>
    <row r="244" spans="1:37" ht="15.75" thickBot="1" x14ac:dyDescent="0.3">
      <c r="A244" s="132" t="s">
        <v>231</v>
      </c>
      <c r="B244" s="133">
        <f t="shared" ref="B244:AG244" si="43">SUM(B139:B243)</f>
        <v>0</v>
      </c>
      <c r="C244" s="134">
        <f t="shared" si="43"/>
        <v>0</v>
      </c>
      <c r="D244" s="134">
        <f t="shared" si="43"/>
        <v>0</v>
      </c>
      <c r="E244" s="134">
        <f t="shared" si="43"/>
        <v>0</v>
      </c>
      <c r="F244" s="134">
        <f t="shared" si="43"/>
        <v>0</v>
      </c>
      <c r="G244" s="134">
        <f t="shared" si="43"/>
        <v>0</v>
      </c>
      <c r="H244" s="134">
        <f t="shared" si="43"/>
        <v>0</v>
      </c>
      <c r="I244" s="134">
        <f t="shared" si="43"/>
        <v>0</v>
      </c>
      <c r="J244" s="134">
        <f t="shared" si="43"/>
        <v>0</v>
      </c>
      <c r="K244" s="134">
        <f t="shared" si="43"/>
        <v>0</v>
      </c>
      <c r="L244" s="134">
        <f t="shared" si="43"/>
        <v>0</v>
      </c>
      <c r="M244" s="134">
        <f t="shared" si="43"/>
        <v>0</v>
      </c>
      <c r="N244" s="134">
        <f t="shared" si="43"/>
        <v>0</v>
      </c>
      <c r="O244" s="134">
        <f t="shared" si="43"/>
        <v>0</v>
      </c>
      <c r="P244" s="134">
        <f t="shared" si="43"/>
        <v>0</v>
      </c>
      <c r="Q244" s="134">
        <f t="shared" si="43"/>
        <v>0</v>
      </c>
      <c r="R244" s="134">
        <f t="shared" si="43"/>
        <v>0</v>
      </c>
      <c r="S244" s="134">
        <f t="shared" si="43"/>
        <v>0</v>
      </c>
      <c r="T244" s="134">
        <f t="shared" si="43"/>
        <v>0</v>
      </c>
      <c r="U244" s="134">
        <f t="shared" si="43"/>
        <v>0</v>
      </c>
      <c r="V244" s="134">
        <f t="shared" si="43"/>
        <v>0</v>
      </c>
      <c r="W244" s="134">
        <f t="shared" si="43"/>
        <v>0</v>
      </c>
      <c r="X244" s="134">
        <f t="shared" si="43"/>
        <v>0</v>
      </c>
      <c r="Y244" s="134">
        <f t="shared" si="43"/>
        <v>0</v>
      </c>
      <c r="Z244" s="134">
        <f t="shared" si="43"/>
        <v>0</v>
      </c>
      <c r="AA244" s="134">
        <f t="shared" si="43"/>
        <v>0</v>
      </c>
      <c r="AB244" s="134">
        <f t="shared" si="43"/>
        <v>0</v>
      </c>
      <c r="AC244" s="134">
        <f t="shared" si="43"/>
        <v>0</v>
      </c>
      <c r="AD244" s="134">
        <f t="shared" si="43"/>
        <v>0</v>
      </c>
      <c r="AE244" s="134">
        <f t="shared" si="43"/>
        <v>0</v>
      </c>
      <c r="AF244" s="135">
        <f t="shared" si="43"/>
        <v>0</v>
      </c>
      <c r="AG244" s="136">
        <f t="shared" si="43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19"/>
      <c r="AH245" s="47"/>
      <c r="AI245" s="48"/>
      <c r="AK245" s="50"/>
    </row>
    <row r="246" spans="1:37" x14ac:dyDescent="0.25">
      <c r="A246" s="100" t="s">
        <v>232</v>
      </c>
      <c r="B246" s="138">
        <f t="shared" ref="B246:B251" si="44">AF246</f>
        <v>0.3</v>
      </c>
      <c r="C246" s="138">
        <v>0.3</v>
      </c>
      <c r="D246" s="138">
        <f t="shared" ref="D246:S251" si="45">C246</f>
        <v>0.3</v>
      </c>
      <c r="E246" s="138">
        <f t="shared" si="45"/>
        <v>0.3</v>
      </c>
      <c r="F246" s="138">
        <f t="shared" si="45"/>
        <v>0.3</v>
      </c>
      <c r="G246" s="138">
        <f t="shared" si="45"/>
        <v>0.3</v>
      </c>
      <c r="H246" s="138">
        <f t="shared" si="45"/>
        <v>0.3</v>
      </c>
      <c r="I246" s="138">
        <f t="shared" si="45"/>
        <v>0.3</v>
      </c>
      <c r="J246" s="138">
        <f t="shared" si="45"/>
        <v>0.3</v>
      </c>
      <c r="K246" s="138">
        <f t="shared" si="45"/>
        <v>0.3</v>
      </c>
      <c r="L246" s="138">
        <f t="shared" si="45"/>
        <v>0.3</v>
      </c>
      <c r="M246" s="138">
        <f t="shared" si="45"/>
        <v>0.3</v>
      </c>
      <c r="N246" s="138">
        <f t="shared" si="45"/>
        <v>0.3</v>
      </c>
      <c r="O246" s="138">
        <f t="shared" si="45"/>
        <v>0.3</v>
      </c>
      <c r="P246" s="138">
        <f t="shared" si="45"/>
        <v>0.3</v>
      </c>
      <c r="Q246" s="138">
        <f t="shared" si="45"/>
        <v>0.3</v>
      </c>
      <c r="R246" s="138">
        <f t="shared" si="45"/>
        <v>0.3</v>
      </c>
      <c r="S246" s="138">
        <f t="shared" si="45"/>
        <v>0.3</v>
      </c>
      <c r="T246" s="138">
        <f t="shared" ref="T246:AF251" si="46">S246</f>
        <v>0.3</v>
      </c>
      <c r="U246" s="138">
        <f t="shared" si="46"/>
        <v>0.3</v>
      </c>
      <c r="V246" s="138">
        <f t="shared" si="46"/>
        <v>0.3</v>
      </c>
      <c r="W246" s="138">
        <f t="shared" si="46"/>
        <v>0.3</v>
      </c>
      <c r="X246" s="138">
        <f t="shared" si="46"/>
        <v>0.3</v>
      </c>
      <c r="Y246" s="138">
        <f t="shared" si="46"/>
        <v>0.3</v>
      </c>
      <c r="Z246" s="138">
        <f t="shared" si="46"/>
        <v>0.3</v>
      </c>
      <c r="AA246" s="138">
        <f t="shared" si="46"/>
        <v>0.3</v>
      </c>
      <c r="AB246" s="138">
        <f t="shared" si="46"/>
        <v>0.3</v>
      </c>
      <c r="AC246" s="138">
        <f t="shared" si="46"/>
        <v>0.3</v>
      </c>
      <c r="AD246" s="138">
        <f t="shared" si="46"/>
        <v>0.3</v>
      </c>
      <c r="AE246" s="138">
        <f t="shared" si="46"/>
        <v>0.3</v>
      </c>
      <c r="AF246" s="138">
        <f t="shared" si="46"/>
        <v>0.3</v>
      </c>
      <c r="AG246" s="139">
        <v>2.4</v>
      </c>
      <c r="AH246" s="47"/>
      <c r="AI246" s="48"/>
      <c r="AK246" s="50"/>
    </row>
    <row r="247" spans="1:37" x14ac:dyDescent="0.25">
      <c r="A247" s="103" t="s">
        <v>233</v>
      </c>
      <c r="B247" s="126">
        <f t="shared" si="44"/>
        <v>0.4</v>
      </c>
      <c r="C247" s="126">
        <v>0.4</v>
      </c>
      <c r="D247" s="126">
        <f t="shared" si="45"/>
        <v>0.4</v>
      </c>
      <c r="E247" s="126">
        <f t="shared" si="45"/>
        <v>0.4</v>
      </c>
      <c r="F247" s="126">
        <f t="shared" si="45"/>
        <v>0.4</v>
      </c>
      <c r="G247" s="126">
        <f t="shared" si="45"/>
        <v>0.4</v>
      </c>
      <c r="H247" s="126">
        <f t="shared" si="45"/>
        <v>0.4</v>
      </c>
      <c r="I247" s="126">
        <f t="shared" si="45"/>
        <v>0.4</v>
      </c>
      <c r="J247" s="126">
        <f t="shared" si="45"/>
        <v>0.4</v>
      </c>
      <c r="K247" s="126">
        <f t="shared" si="45"/>
        <v>0.4</v>
      </c>
      <c r="L247" s="126">
        <f t="shared" si="45"/>
        <v>0.4</v>
      </c>
      <c r="M247" s="126">
        <f t="shared" si="45"/>
        <v>0.4</v>
      </c>
      <c r="N247" s="126">
        <f t="shared" si="45"/>
        <v>0.4</v>
      </c>
      <c r="O247" s="126">
        <f t="shared" si="45"/>
        <v>0.4</v>
      </c>
      <c r="P247" s="126">
        <f t="shared" si="45"/>
        <v>0.4</v>
      </c>
      <c r="Q247" s="126">
        <f t="shared" si="45"/>
        <v>0.4</v>
      </c>
      <c r="R247" s="126">
        <f t="shared" si="45"/>
        <v>0.4</v>
      </c>
      <c r="S247" s="126">
        <f t="shared" si="45"/>
        <v>0.4</v>
      </c>
      <c r="T247" s="126">
        <f t="shared" si="46"/>
        <v>0.4</v>
      </c>
      <c r="U247" s="126">
        <f t="shared" si="46"/>
        <v>0.4</v>
      </c>
      <c r="V247" s="126">
        <f t="shared" si="46"/>
        <v>0.4</v>
      </c>
      <c r="W247" s="126">
        <f t="shared" si="46"/>
        <v>0.4</v>
      </c>
      <c r="X247" s="126">
        <f t="shared" si="46"/>
        <v>0.4</v>
      </c>
      <c r="Y247" s="126">
        <f t="shared" si="46"/>
        <v>0.4</v>
      </c>
      <c r="Z247" s="126">
        <f t="shared" si="46"/>
        <v>0.4</v>
      </c>
      <c r="AA247" s="126">
        <f t="shared" si="46"/>
        <v>0.4</v>
      </c>
      <c r="AB247" s="126">
        <f t="shared" si="46"/>
        <v>0.4</v>
      </c>
      <c r="AC247" s="126">
        <f t="shared" si="46"/>
        <v>0.4</v>
      </c>
      <c r="AD247" s="126">
        <f t="shared" si="46"/>
        <v>0.4</v>
      </c>
      <c r="AE247" s="126">
        <f t="shared" si="46"/>
        <v>0.4</v>
      </c>
      <c r="AF247" s="126">
        <f t="shared" si="46"/>
        <v>0.4</v>
      </c>
      <c r="AG247" s="140">
        <v>2</v>
      </c>
      <c r="AH247" s="47"/>
      <c r="AI247" s="48"/>
      <c r="AK247" s="50"/>
    </row>
    <row r="248" spans="1:37" x14ac:dyDescent="0.25">
      <c r="A248" s="103" t="s">
        <v>234</v>
      </c>
      <c r="B248" s="126">
        <f t="shared" si="44"/>
        <v>1.5</v>
      </c>
      <c r="C248" s="126">
        <v>1.5</v>
      </c>
      <c r="D248" s="126">
        <f t="shared" si="45"/>
        <v>1.5</v>
      </c>
      <c r="E248" s="126">
        <f t="shared" si="45"/>
        <v>1.5</v>
      </c>
      <c r="F248" s="126">
        <f t="shared" si="45"/>
        <v>1.5</v>
      </c>
      <c r="G248" s="126">
        <f t="shared" si="45"/>
        <v>1.5</v>
      </c>
      <c r="H248" s="126">
        <f t="shared" si="45"/>
        <v>1.5</v>
      </c>
      <c r="I248" s="126">
        <f t="shared" si="45"/>
        <v>1.5</v>
      </c>
      <c r="J248" s="126">
        <f t="shared" si="45"/>
        <v>1.5</v>
      </c>
      <c r="K248" s="126">
        <f t="shared" si="45"/>
        <v>1.5</v>
      </c>
      <c r="L248" s="126">
        <f t="shared" si="45"/>
        <v>1.5</v>
      </c>
      <c r="M248" s="126">
        <f t="shared" si="45"/>
        <v>1.5</v>
      </c>
      <c r="N248" s="126">
        <f t="shared" si="45"/>
        <v>1.5</v>
      </c>
      <c r="O248" s="126">
        <f t="shared" si="45"/>
        <v>1.5</v>
      </c>
      <c r="P248" s="126">
        <f t="shared" si="45"/>
        <v>1.5</v>
      </c>
      <c r="Q248" s="126">
        <f t="shared" si="45"/>
        <v>1.5</v>
      </c>
      <c r="R248" s="126">
        <f t="shared" si="45"/>
        <v>1.5</v>
      </c>
      <c r="S248" s="126">
        <f t="shared" si="45"/>
        <v>1.5</v>
      </c>
      <c r="T248" s="126">
        <f t="shared" si="46"/>
        <v>1.5</v>
      </c>
      <c r="U248" s="126">
        <f t="shared" si="46"/>
        <v>1.5</v>
      </c>
      <c r="V248" s="126">
        <f t="shared" si="46"/>
        <v>1.5</v>
      </c>
      <c r="W248" s="126">
        <f t="shared" si="46"/>
        <v>1.5</v>
      </c>
      <c r="X248" s="126">
        <f t="shared" si="46"/>
        <v>1.5</v>
      </c>
      <c r="Y248" s="126">
        <f t="shared" si="46"/>
        <v>1.5</v>
      </c>
      <c r="Z248" s="126">
        <f t="shared" si="46"/>
        <v>1.5</v>
      </c>
      <c r="AA248" s="126">
        <f t="shared" si="46"/>
        <v>1.5</v>
      </c>
      <c r="AB248" s="126">
        <f t="shared" si="46"/>
        <v>1.5</v>
      </c>
      <c r="AC248" s="126">
        <f t="shared" si="46"/>
        <v>1.5</v>
      </c>
      <c r="AD248" s="126">
        <f t="shared" si="46"/>
        <v>1.5</v>
      </c>
      <c r="AE248" s="126">
        <f t="shared" si="46"/>
        <v>1.5</v>
      </c>
      <c r="AF248" s="126">
        <f t="shared" si="46"/>
        <v>1.5</v>
      </c>
      <c r="AG248" s="140">
        <v>1.5</v>
      </c>
      <c r="AH248" s="47"/>
      <c r="AI248" s="48"/>
      <c r="AK248" s="50"/>
    </row>
    <row r="249" spans="1:37" x14ac:dyDescent="0.25">
      <c r="A249" s="103" t="s">
        <v>235</v>
      </c>
      <c r="B249" s="126">
        <f t="shared" si="44"/>
        <v>0.3</v>
      </c>
      <c r="C249" s="126">
        <v>0.3</v>
      </c>
      <c r="D249" s="126">
        <f t="shared" si="45"/>
        <v>0.3</v>
      </c>
      <c r="E249" s="126">
        <f t="shared" si="45"/>
        <v>0.3</v>
      </c>
      <c r="F249" s="126">
        <f t="shared" si="45"/>
        <v>0.3</v>
      </c>
      <c r="G249" s="126">
        <f t="shared" si="45"/>
        <v>0.3</v>
      </c>
      <c r="H249" s="126">
        <f t="shared" si="45"/>
        <v>0.3</v>
      </c>
      <c r="I249" s="126">
        <f t="shared" si="45"/>
        <v>0.3</v>
      </c>
      <c r="J249" s="126">
        <f t="shared" si="45"/>
        <v>0.3</v>
      </c>
      <c r="K249" s="126">
        <f t="shared" si="45"/>
        <v>0.3</v>
      </c>
      <c r="L249" s="126">
        <f t="shared" si="45"/>
        <v>0.3</v>
      </c>
      <c r="M249" s="126">
        <f t="shared" si="45"/>
        <v>0.3</v>
      </c>
      <c r="N249" s="126">
        <f t="shared" si="45"/>
        <v>0.3</v>
      </c>
      <c r="O249" s="126">
        <f t="shared" si="45"/>
        <v>0.3</v>
      </c>
      <c r="P249" s="126">
        <f t="shared" si="45"/>
        <v>0.3</v>
      </c>
      <c r="Q249" s="126">
        <f t="shared" si="45"/>
        <v>0.3</v>
      </c>
      <c r="R249" s="126">
        <f t="shared" si="45"/>
        <v>0.3</v>
      </c>
      <c r="S249" s="126">
        <f t="shared" si="45"/>
        <v>0.3</v>
      </c>
      <c r="T249" s="126">
        <f t="shared" si="46"/>
        <v>0.3</v>
      </c>
      <c r="U249" s="126">
        <f t="shared" si="46"/>
        <v>0.3</v>
      </c>
      <c r="V249" s="126">
        <f t="shared" si="46"/>
        <v>0.3</v>
      </c>
      <c r="W249" s="126">
        <f t="shared" si="46"/>
        <v>0.3</v>
      </c>
      <c r="X249" s="126">
        <f t="shared" si="46"/>
        <v>0.3</v>
      </c>
      <c r="Y249" s="126">
        <f t="shared" si="46"/>
        <v>0.3</v>
      </c>
      <c r="Z249" s="126">
        <f t="shared" si="46"/>
        <v>0.3</v>
      </c>
      <c r="AA249" s="126">
        <f t="shared" si="46"/>
        <v>0.3</v>
      </c>
      <c r="AB249" s="126">
        <f t="shared" si="46"/>
        <v>0.3</v>
      </c>
      <c r="AC249" s="126">
        <f t="shared" si="46"/>
        <v>0.3</v>
      </c>
      <c r="AD249" s="126">
        <f t="shared" si="46"/>
        <v>0.3</v>
      </c>
      <c r="AE249" s="126">
        <f t="shared" si="46"/>
        <v>0.3</v>
      </c>
      <c r="AF249" s="126">
        <f t="shared" si="46"/>
        <v>0.3</v>
      </c>
      <c r="AG249" s="140">
        <v>1</v>
      </c>
      <c r="AH249" s="47"/>
      <c r="AI249" s="48"/>
      <c r="AK249" s="50"/>
    </row>
    <row r="250" spans="1:37" x14ac:dyDescent="0.25">
      <c r="A250" s="103" t="s">
        <v>236</v>
      </c>
      <c r="B250" s="126">
        <f t="shared" si="44"/>
        <v>0.4</v>
      </c>
      <c r="C250" s="126">
        <v>0.4</v>
      </c>
      <c r="D250" s="126">
        <f t="shared" si="45"/>
        <v>0.4</v>
      </c>
      <c r="E250" s="126">
        <f t="shared" si="45"/>
        <v>0.4</v>
      </c>
      <c r="F250" s="126">
        <f t="shared" si="45"/>
        <v>0.4</v>
      </c>
      <c r="G250" s="126">
        <f t="shared" si="45"/>
        <v>0.4</v>
      </c>
      <c r="H250" s="126">
        <f t="shared" si="45"/>
        <v>0.4</v>
      </c>
      <c r="I250" s="126">
        <f t="shared" si="45"/>
        <v>0.4</v>
      </c>
      <c r="J250" s="126">
        <f t="shared" si="45"/>
        <v>0.4</v>
      </c>
      <c r="K250" s="126">
        <f t="shared" si="45"/>
        <v>0.4</v>
      </c>
      <c r="L250" s="126">
        <f t="shared" si="45"/>
        <v>0.4</v>
      </c>
      <c r="M250" s="126">
        <f t="shared" si="45"/>
        <v>0.4</v>
      </c>
      <c r="N250" s="126">
        <f t="shared" si="45"/>
        <v>0.4</v>
      </c>
      <c r="O250" s="126">
        <f t="shared" si="45"/>
        <v>0.4</v>
      </c>
      <c r="P250" s="126">
        <f t="shared" si="45"/>
        <v>0.4</v>
      </c>
      <c r="Q250" s="126">
        <f t="shared" si="45"/>
        <v>0.4</v>
      </c>
      <c r="R250" s="126">
        <f t="shared" si="45"/>
        <v>0.4</v>
      </c>
      <c r="S250" s="126">
        <f t="shared" si="45"/>
        <v>0.4</v>
      </c>
      <c r="T250" s="126">
        <f t="shared" si="46"/>
        <v>0.4</v>
      </c>
      <c r="U250" s="126">
        <f t="shared" si="46"/>
        <v>0.4</v>
      </c>
      <c r="V250" s="126">
        <f t="shared" si="46"/>
        <v>0.4</v>
      </c>
      <c r="W250" s="126">
        <f t="shared" si="46"/>
        <v>0.4</v>
      </c>
      <c r="X250" s="126">
        <f t="shared" si="46"/>
        <v>0.4</v>
      </c>
      <c r="Y250" s="126">
        <f t="shared" si="46"/>
        <v>0.4</v>
      </c>
      <c r="Z250" s="126">
        <f t="shared" si="46"/>
        <v>0.4</v>
      </c>
      <c r="AA250" s="126">
        <f t="shared" si="46"/>
        <v>0.4</v>
      </c>
      <c r="AB250" s="126">
        <f t="shared" si="46"/>
        <v>0.4</v>
      </c>
      <c r="AC250" s="126">
        <f t="shared" si="46"/>
        <v>0.4</v>
      </c>
      <c r="AD250" s="126">
        <f t="shared" si="46"/>
        <v>0.4</v>
      </c>
      <c r="AE250" s="126">
        <f t="shared" si="46"/>
        <v>0.4</v>
      </c>
      <c r="AF250" s="126">
        <f t="shared" si="46"/>
        <v>0.4</v>
      </c>
      <c r="AG250" s="140">
        <v>1</v>
      </c>
      <c r="AH250" s="47"/>
      <c r="AI250" s="48"/>
      <c r="AK250" s="50"/>
    </row>
    <row r="251" spans="1:37" ht="15.75" thickBot="1" x14ac:dyDescent="0.3">
      <c r="A251" s="116" t="s">
        <v>237</v>
      </c>
      <c r="B251" s="130">
        <f t="shared" si="44"/>
        <v>0.64</v>
      </c>
      <c r="C251" s="130">
        <v>0.64</v>
      </c>
      <c r="D251" s="130">
        <f t="shared" si="45"/>
        <v>0.64</v>
      </c>
      <c r="E251" s="130">
        <f t="shared" si="45"/>
        <v>0.64</v>
      </c>
      <c r="F251" s="130">
        <f t="shared" si="45"/>
        <v>0.64</v>
      </c>
      <c r="G251" s="130">
        <f t="shared" si="45"/>
        <v>0.64</v>
      </c>
      <c r="H251" s="130">
        <f t="shared" si="45"/>
        <v>0.64</v>
      </c>
      <c r="I251" s="130">
        <f t="shared" si="45"/>
        <v>0.64</v>
      </c>
      <c r="J251" s="130">
        <f t="shared" si="45"/>
        <v>0.64</v>
      </c>
      <c r="K251" s="130">
        <f t="shared" si="45"/>
        <v>0.64</v>
      </c>
      <c r="L251" s="130">
        <f t="shared" si="45"/>
        <v>0.64</v>
      </c>
      <c r="M251" s="130">
        <f t="shared" si="45"/>
        <v>0.64</v>
      </c>
      <c r="N251" s="130">
        <f t="shared" si="45"/>
        <v>0.64</v>
      </c>
      <c r="O251" s="130">
        <f t="shared" si="45"/>
        <v>0.64</v>
      </c>
      <c r="P251" s="130">
        <f t="shared" si="45"/>
        <v>0.64</v>
      </c>
      <c r="Q251" s="130">
        <f t="shared" si="45"/>
        <v>0.64</v>
      </c>
      <c r="R251" s="130">
        <f t="shared" si="45"/>
        <v>0.64</v>
      </c>
      <c r="S251" s="130">
        <f t="shared" si="45"/>
        <v>0.64</v>
      </c>
      <c r="T251" s="130">
        <f t="shared" si="46"/>
        <v>0.64</v>
      </c>
      <c r="U251" s="130">
        <f t="shared" si="46"/>
        <v>0.64</v>
      </c>
      <c r="V251" s="130">
        <f t="shared" si="46"/>
        <v>0.64</v>
      </c>
      <c r="W251" s="130">
        <f t="shared" si="46"/>
        <v>0.64</v>
      </c>
      <c r="X251" s="130">
        <f t="shared" si="46"/>
        <v>0.64</v>
      </c>
      <c r="Y251" s="130">
        <f t="shared" si="46"/>
        <v>0.64</v>
      </c>
      <c r="Z251" s="130">
        <f t="shared" si="46"/>
        <v>0.64</v>
      </c>
      <c r="AA251" s="130">
        <f t="shared" si="46"/>
        <v>0.64</v>
      </c>
      <c r="AB251" s="130">
        <f t="shared" si="46"/>
        <v>0.64</v>
      </c>
      <c r="AC251" s="130">
        <f t="shared" si="46"/>
        <v>0.64</v>
      </c>
      <c r="AD251" s="130">
        <f t="shared" si="46"/>
        <v>0.64</v>
      </c>
      <c r="AE251" s="130">
        <f t="shared" si="46"/>
        <v>0.64</v>
      </c>
      <c r="AF251" s="130">
        <f t="shared" si="46"/>
        <v>0.64</v>
      </c>
      <c r="AG251" s="141">
        <v>0.66</v>
      </c>
      <c r="AH251" s="47"/>
      <c r="AI251" s="48"/>
    </row>
    <row r="252" spans="1:37" ht="15.75" thickBot="1" x14ac:dyDescent="0.3">
      <c r="A252" s="142" t="s">
        <v>75</v>
      </c>
      <c r="B252" s="134">
        <f t="shared" ref="B252:AG252" si="47">SUM(B246:B251)</f>
        <v>3.54</v>
      </c>
      <c r="C252" s="134">
        <f t="shared" si="47"/>
        <v>3.54</v>
      </c>
      <c r="D252" s="134">
        <f t="shared" si="47"/>
        <v>3.54</v>
      </c>
      <c r="E252" s="134">
        <f t="shared" si="47"/>
        <v>3.54</v>
      </c>
      <c r="F252" s="134">
        <f t="shared" si="47"/>
        <v>3.54</v>
      </c>
      <c r="G252" s="134">
        <f t="shared" si="47"/>
        <v>3.54</v>
      </c>
      <c r="H252" s="134">
        <f t="shared" si="47"/>
        <v>3.54</v>
      </c>
      <c r="I252" s="134">
        <f t="shared" si="47"/>
        <v>3.54</v>
      </c>
      <c r="J252" s="134">
        <f t="shared" si="47"/>
        <v>3.54</v>
      </c>
      <c r="K252" s="134">
        <f t="shared" si="47"/>
        <v>3.54</v>
      </c>
      <c r="L252" s="134">
        <f t="shared" si="47"/>
        <v>3.54</v>
      </c>
      <c r="M252" s="134">
        <f t="shared" si="47"/>
        <v>3.54</v>
      </c>
      <c r="N252" s="134">
        <f t="shared" si="47"/>
        <v>3.54</v>
      </c>
      <c r="O252" s="134">
        <f t="shared" si="47"/>
        <v>3.54</v>
      </c>
      <c r="P252" s="134">
        <f t="shared" si="47"/>
        <v>3.54</v>
      </c>
      <c r="Q252" s="134">
        <f t="shared" si="47"/>
        <v>3.54</v>
      </c>
      <c r="R252" s="134">
        <f t="shared" si="47"/>
        <v>3.54</v>
      </c>
      <c r="S252" s="134">
        <f t="shared" si="47"/>
        <v>3.54</v>
      </c>
      <c r="T252" s="134">
        <f t="shared" si="47"/>
        <v>3.54</v>
      </c>
      <c r="U252" s="134">
        <f t="shared" si="47"/>
        <v>3.54</v>
      </c>
      <c r="V252" s="134">
        <f t="shared" si="47"/>
        <v>3.54</v>
      </c>
      <c r="W252" s="134">
        <f t="shared" si="47"/>
        <v>3.54</v>
      </c>
      <c r="X252" s="134">
        <f t="shared" si="47"/>
        <v>3.54</v>
      </c>
      <c r="Y252" s="134">
        <f t="shared" si="47"/>
        <v>3.54</v>
      </c>
      <c r="Z252" s="134">
        <f t="shared" si="47"/>
        <v>3.54</v>
      </c>
      <c r="AA252" s="134">
        <f t="shared" si="47"/>
        <v>3.54</v>
      </c>
      <c r="AB252" s="134">
        <f t="shared" si="47"/>
        <v>3.54</v>
      </c>
      <c r="AC252" s="134">
        <f t="shared" si="47"/>
        <v>3.54</v>
      </c>
      <c r="AD252" s="134">
        <f t="shared" si="47"/>
        <v>3.54</v>
      </c>
      <c r="AE252" s="134">
        <f t="shared" si="47"/>
        <v>3.54</v>
      </c>
      <c r="AF252" s="134">
        <f t="shared" si="47"/>
        <v>3.54</v>
      </c>
      <c r="AG252" s="143">
        <f t="shared" si="47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37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54" t="s">
        <v>243</v>
      </c>
      <c r="B256" s="155">
        <f>MAX(G99:N99)</f>
        <v>1653.04</v>
      </c>
      <c r="C256" s="156">
        <f>INDEX(G9:N9,1,MATCH(MAX(G99:N99),G99:N99,0))</f>
        <v>0.375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50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157" t="str">
        <f ca="1">MID(CELL("filename",C7),FIND("]",CELL("filename",C7))+1,600)</f>
        <v>6</v>
      </c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50" x14ac:dyDescent="0.25">
      <c r="A258" s="257" t="s">
        <v>244</v>
      </c>
      <c r="B258" s="257"/>
      <c r="C258" s="43"/>
      <c r="D258" s="157" t="str">
        <f ca="1">"Pie Chart of Daily Peak Demand(Inclusive of Export) of Nepal ("&amp;A4&amp;" "&amp;B4&amp;")"</f>
        <v>Pie Chart of Daily Peak Demand(Inclusive of Export) of Nepal (Nepali Date: 2080/09/6)</v>
      </c>
      <c r="E258" s="43"/>
      <c r="F258" s="43"/>
      <c r="G258" s="157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157" t="str">
        <f ca="1">"Daily Load Curve(Excluding of Export) of Nepal ("&amp;A4&amp;" "&amp;B4&amp;")"</f>
        <v>Daily Load Curve(Excluding of Export) of Nepal (Nepali Date: 2080/09/6)</v>
      </c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50" ht="12.75" customHeight="1" thickBot="1" x14ac:dyDescent="0.3">
      <c r="A259" s="158" t="s">
        <v>7</v>
      </c>
      <c r="B259" s="159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50" ht="15.75" thickTop="1" x14ac:dyDescent="0.25">
      <c r="A260" s="158" t="s">
        <v>245</v>
      </c>
      <c r="B260" s="15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160" t="s">
        <v>246</v>
      </c>
      <c r="T260" s="161">
        <v>0</v>
      </c>
      <c r="U260" s="162">
        <v>4.1666666666666664E-2</v>
      </c>
      <c r="V260" s="163">
        <v>8.3333333333333301E-2</v>
      </c>
      <c r="W260" s="163">
        <v>0.125</v>
      </c>
      <c r="X260" s="163">
        <v>0.16666666666666699</v>
      </c>
      <c r="Y260" s="163">
        <v>0.20833333333333301</v>
      </c>
      <c r="Z260" s="163">
        <v>0.22916666666666666</v>
      </c>
      <c r="AA260" s="163">
        <v>0.25</v>
      </c>
      <c r="AB260" s="163">
        <v>0.27083333333333331</v>
      </c>
      <c r="AC260" s="163">
        <v>0.29166666666666669</v>
      </c>
      <c r="AD260" s="163">
        <v>0.3125</v>
      </c>
      <c r="AE260" s="164">
        <v>0.33333333333333331</v>
      </c>
      <c r="AF260" s="164">
        <v>0.375</v>
      </c>
      <c r="AG260" s="164">
        <v>0.41666666666666702</v>
      </c>
      <c r="AH260" s="164">
        <v>0.45833333333333298</v>
      </c>
      <c r="AI260" s="164">
        <v>0.5</v>
      </c>
      <c r="AJ260" s="164">
        <v>0.54166666666666696</v>
      </c>
      <c r="AK260" s="164">
        <v>0.58333333333333304</v>
      </c>
      <c r="AL260" s="164">
        <v>0.625</v>
      </c>
      <c r="AM260" s="164">
        <v>0.66666666666666696</v>
      </c>
      <c r="AN260" s="164">
        <v>0.70833333333333304</v>
      </c>
      <c r="AO260" s="164">
        <v>0.72916666666666663</v>
      </c>
      <c r="AP260" s="164">
        <v>0.75</v>
      </c>
      <c r="AQ260" s="164">
        <v>0.77083333333333337</v>
      </c>
      <c r="AR260" s="164">
        <v>0.79166666666666663</v>
      </c>
      <c r="AS260" s="164">
        <v>0.8125</v>
      </c>
      <c r="AT260" s="163">
        <v>0.83333333333333337</v>
      </c>
      <c r="AU260" s="163">
        <v>0.85416666666666663</v>
      </c>
      <c r="AV260" s="163">
        <v>0.875</v>
      </c>
      <c r="AW260" s="163">
        <v>0.91666666666666696</v>
      </c>
      <c r="AX260" s="163">
        <v>0.95833333333333304</v>
      </c>
    </row>
    <row r="261" spans="1:50" x14ac:dyDescent="0.25">
      <c r="A261" s="158" t="s">
        <v>247</v>
      </c>
      <c r="B261" s="15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 t="s">
        <v>248</v>
      </c>
      <c r="T261" s="165">
        <f t="shared" ref="T261:AX261" si="48">B99</f>
        <v>1144.8400000000001</v>
      </c>
      <c r="U261" s="165">
        <f t="shared" si="48"/>
        <v>1100.24</v>
      </c>
      <c r="V261" s="165">
        <f t="shared" si="48"/>
        <v>1124.24</v>
      </c>
      <c r="W261" s="165">
        <f t="shared" si="48"/>
        <v>1106.1400000000001</v>
      </c>
      <c r="X261" s="165">
        <f t="shared" si="48"/>
        <v>1127.0400000000002</v>
      </c>
      <c r="Y261" s="165">
        <f t="shared" si="48"/>
        <v>1127.74</v>
      </c>
      <c r="Z261" s="165">
        <f t="shared" si="48"/>
        <v>1189.1400000000001</v>
      </c>
      <c r="AA261" s="165">
        <f t="shared" si="48"/>
        <v>1267.94</v>
      </c>
      <c r="AB261" s="165">
        <f t="shared" si="48"/>
        <v>1327.94</v>
      </c>
      <c r="AC261" s="165">
        <f t="shared" si="48"/>
        <v>1497.2400000000002</v>
      </c>
      <c r="AD261" s="165">
        <f t="shared" si="48"/>
        <v>1550.14</v>
      </c>
      <c r="AE261" s="165">
        <f t="shared" si="48"/>
        <v>1613.7400000000002</v>
      </c>
      <c r="AF261" s="165">
        <f t="shared" si="48"/>
        <v>1653.04</v>
      </c>
      <c r="AG261" s="165">
        <f t="shared" si="48"/>
        <v>1567.44</v>
      </c>
      <c r="AH261" s="165">
        <f t="shared" si="48"/>
        <v>1427.8400000000001</v>
      </c>
      <c r="AI261" s="165">
        <f t="shared" si="48"/>
        <v>1262.54</v>
      </c>
      <c r="AJ261" s="165">
        <f t="shared" si="48"/>
        <v>1293.3400000000001</v>
      </c>
      <c r="AK261" s="165">
        <f t="shared" si="48"/>
        <v>1287.3400000000001</v>
      </c>
      <c r="AL261" s="165">
        <f t="shared" si="48"/>
        <v>1324.74</v>
      </c>
      <c r="AM261" s="165">
        <f t="shared" si="48"/>
        <v>1313.64</v>
      </c>
      <c r="AN261" s="165">
        <f t="shared" si="48"/>
        <v>1184.74</v>
      </c>
      <c r="AO261" s="165">
        <f t="shared" si="48"/>
        <v>1465.3400000000001</v>
      </c>
      <c r="AP261" s="165">
        <f t="shared" si="48"/>
        <v>1822.84</v>
      </c>
      <c r="AQ261" s="165">
        <f t="shared" si="48"/>
        <v>1823.8</v>
      </c>
      <c r="AR261" s="165">
        <f t="shared" si="48"/>
        <v>1786.64</v>
      </c>
      <c r="AS261" s="165">
        <f t="shared" si="48"/>
        <v>1757.64</v>
      </c>
      <c r="AT261" s="165">
        <f t="shared" si="48"/>
        <v>1696.54</v>
      </c>
      <c r="AU261" s="165">
        <f t="shared" si="48"/>
        <v>1623.3400000000001</v>
      </c>
      <c r="AV261" s="165">
        <f t="shared" si="48"/>
        <v>1566.2400000000002</v>
      </c>
      <c r="AW261" s="165">
        <f t="shared" si="48"/>
        <v>1328.64</v>
      </c>
      <c r="AX261" s="165">
        <f t="shared" si="48"/>
        <v>1206.3399999999999</v>
      </c>
    </row>
    <row r="262" spans="1:50" x14ac:dyDescent="0.25">
      <c r="A262" s="158" t="s">
        <v>249</v>
      </c>
      <c r="B262" s="15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50" x14ac:dyDescent="0.25">
      <c r="A263" s="158" t="s">
        <v>250</v>
      </c>
      <c r="B263" s="15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50" x14ac:dyDescent="0.25">
      <c r="A264" s="158" t="s">
        <v>251</v>
      </c>
      <c r="B264" s="15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50" x14ac:dyDescent="0.25">
      <c r="A265" s="158" t="s">
        <v>252</v>
      </c>
      <c r="B265" s="166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50" x14ac:dyDescent="0.25">
      <c r="A266" s="158" t="s">
        <v>253</v>
      </c>
      <c r="B266" s="15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50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50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50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50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50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50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1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1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1:34" x14ac:dyDescent="0.25">
      <c r="A282" s="167" t="s">
        <v>238</v>
      </c>
      <c r="B282" s="168">
        <f t="shared" ref="B282:AE282" si="49">C251</f>
        <v>0.64</v>
      </c>
      <c r="C282" s="168">
        <f t="shared" si="49"/>
        <v>0.64</v>
      </c>
      <c r="D282" s="168">
        <f t="shared" si="49"/>
        <v>0.64</v>
      </c>
      <c r="E282" s="168">
        <f t="shared" si="49"/>
        <v>0.64</v>
      </c>
      <c r="F282" s="168">
        <f t="shared" si="49"/>
        <v>0.64</v>
      </c>
      <c r="G282" s="168">
        <f t="shared" si="49"/>
        <v>0.64</v>
      </c>
      <c r="H282" s="168">
        <f t="shared" si="49"/>
        <v>0.64</v>
      </c>
      <c r="I282" s="168">
        <f t="shared" si="49"/>
        <v>0.64</v>
      </c>
      <c r="J282" s="168">
        <f t="shared" si="49"/>
        <v>0.64</v>
      </c>
      <c r="K282" s="168">
        <f t="shared" si="49"/>
        <v>0.64</v>
      </c>
      <c r="L282" s="168">
        <f t="shared" si="49"/>
        <v>0.64</v>
      </c>
      <c r="M282" s="168">
        <f t="shared" si="49"/>
        <v>0.64</v>
      </c>
      <c r="N282" s="168">
        <f t="shared" si="49"/>
        <v>0.64</v>
      </c>
      <c r="O282" s="168">
        <f t="shared" si="49"/>
        <v>0.64</v>
      </c>
      <c r="P282" s="168">
        <f t="shared" si="49"/>
        <v>0.64</v>
      </c>
      <c r="Q282" s="168">
        <f t="shared" si="49"/>
        <v>0.64</v>
      </c>
      <c r="R282" s="168">
        <f t="shared" si="49"/>
        <v>0.64</v>
      </c>
      <c r="S282" s="168">
        <f t="shared" si="49"/>
        <v>0.64</v>
      </c>
      <c r="T282" s="168">
        <f t="shared" si="49"/>
        <v>0.64</v>
      </c>
      <c r="U282" s="168">
        <f t="shared" si="49"/>
        <v>0.64</v>
      </c>
      <c r="V282" s="168">
        <f t="shared" si="49"/>
        <v>0.64</v>
      </c>
      <c r="W282" s="168">
        <f t="shared" si="49"/>
        <v>0.64</v>
      </c>
      <c r="X282" s="168">
        <f t="shared" si="49"/>
        <v>0.64</v>
      </c>
      <c r="Y282" s="168">
        <f t="shared" si="49"/>
        <v>0.64</v>
      </c>
      <c r="Z282" s="168">
        <f t="shared" si="49"/>
        <v>0.64</v>
      </c>
      <c r="AA282" s="168">
        <f t="shared" si="49"/>
        <v>0.64</v>
      </c>
      <c r="AB282" s="168">
        <f t="shared" si="49"/>
        <v>0.64</v>
      </c>
      <c r="AC282" s="168">
        <f t="shared" si="49"/>
        <v>0.64</v>
      </c>
      <c r="AD282" s="168">
        <f t="shared" si="49"/>
        <v>0.64</v>
      </c>
      <c r="AE282" s="168">
        <f t="shared" si="49"/>
        <v>0.64</v>
      </c>
      <c r="AF282" s="168">
        <f>B251</f>
        <v>0.64</v>
      </c>
      <c r="AG282" s="43"/>
      <c r="AH282" s="43"/>
    </row>
    <row r="283" spans="1:34" x14ac:dyDescent="0.25">
      <c r="A283" s="169" t="e">
        <f>#REF!</f>
        <v>#REF!</v>
      </c>
      <c r="B283" s="169" t="e">
        <f>IF(#REF!&lt;100,"",#REF!-520)</f>
        <v>#REF!</v>
      </c>
      <c r="C283" s="169" t="e">
        <f>IF(#REF!&lt;100,"",#REF!-520)</f>
        <v>#REF!</v>
      </c>
      <c r="D283" s="169" t="e">
        <f>IF(#REF!&lt;100,"",#REF!-520)</f>
        <v>#REF!</v>
      </c>
      <c r="E283" s="169" t="e">
        <f>IF(#REF!&lt;100,"",#REF!-520)</f>
        <v>#REF!</v>
      </c>
      <c r="F283" s="169" t="e">
        <f>IF(#REF!&lt;100,"",#REF!-520)</f>
        <v>#REF!</v>
      </c>
      <c r="G283" s="169" t="e">
        <f>IF(#REF!&lt;100,"",#REF!-520)</f>
        <v>#REF!</v>
      </c>
      <c r="H283" s="169" t="e">
        <f>IF(#REF!&lt;100,"",#REF!-520)</f>
        <v>#REF!</v>
      </c>
      <c r="I283" s="169" t="e">
        <f>IF(#REF!&lt;100,"",#REF!-520)</f>
        <v>#REF!</v>
      </c>
      <c r="J283" s="169" t="e">
        <f>IF(#REF!&lt;100,"",#REF!-520)</f>
        <v>#REF!</v>
      </c>
      <c r="K283" s="169" t="e">
        <f>IF(#REF!&lt;100,"",#REF!-520)</f>
        <v>#REF!</v>
      </c>
      <c r="L283" s="169" t="e">
        <f>IF(#REF!&lt;100,"",#REF!-520)</f>
        <v>#REF!</v>
      </c>
      <c r="M283" s="169" t="e">
        <f>IF(#REF!&lt;100,"",#REF!-520)</f>
        <v>#REF!</v>
      </c>
      <c r="N283" s="169" t="e">
        <f>IF(#REF!&lt;100,"",#REF!-520)</f>
        <v>#REF!</v>
      </c>
      <c r="O283" s="169" t="e">
        <f>IF(#REF!&lt;100,"",#REF!-520)</f>
        <v>#REF!</v>
      </c>
      <c r="P283" s="169" t="e">
        <f>IF(#REF!&lt;100,"",#REF!-520)</f>
        <v>#REF!</v>
      </c>
      <c r="Q283" s="169" t="e">
        <f>IF(#REF!&lt;100,"",#REF!-520)</f>
        <v>#REF!</v>
      </c>
      <c r="R283" s="169" t="e">
        <f>IF(#REF!&lt;100,"",#REF!-520)</f>
        <v>#REF!</v>
      </c>
      <c r="S283" s="169" t="e">
        <f>IF(#REF!&lt;100,"",#REF!-520)</f>
        <v>#REF!</v>
      </c>
      <c r="T283" s="169" t="e">
        <f>IF(#REF!&lt;100,"",#REF!-520)</f>
        <v>#REF!</v>
      </c>
      <c r="U283" s="169" t="e">
        <f>IF(#REF!&lt;100,"",#REF!-520)</f>
        <v>#REF!</v>
      </c>
      <c r="V283" s="169" t="e">
        <f>IF(#REF!&lt;100,"",#REF!-520)</f>
        <v>#REF!</v>
      </c>
      <c r="W283" s="169" t="e">
        <f>IF(#REF!&lt;100,"",#REF!-520)</f>
        <v>#REF!</v>
      </c>
      <c r="X283" s="169" t="e">
        <f>IF(#REF!&lt;100,"",#REF!-520)</f>
        <v>#REF!</v>
      </c>
      <c r="Y283" s="169" t="e">
        <f>IF(#REF!&lt;100,"",#REF!-520)</f>
        <v>#REF!</v>
      </c>
      <c r="Z283" s="169" t="e">
        <f>IF(#REF!&lt;100,"",#REF!-520)</f>
        <v>#REF!</v>
      </c>
      <c r="AA283" s="169" t="e">
        <f>IF(#REF!&lt;100,"",#REF!-520)</f>
        <v>#REF!</v>
      </c>
      <c r="AB283" s="169" t="e">
        <f>IF(#REF!&lt;100,"",#REF!-520)</f>
        <v>#REF!</v>
      </c>
      <c r="AC283" s="169" t="e">
        <f>IF(#REF!&lt;100,"",#REF!-520)</f>
        <v>#REF!</v>
      </c>
      <c r="AD283" s="169" t="e">
        <f>IF(#REF!&lt;100,"",#REF!-520)</f>
        <v>#REF!</v>
      </c>
      <c r="AE283" s="169" t="e">
        <f>IF(#REF!&lt;100,"",#REF!-520)</f>
        <v>#REF!</v>
      </c>
      <c r="AF283" s="169" t="e">
        <f>IF(#REF!&lt;100,"",#REF!-520)</f>
        <v>#REF!</v>
      </c>
      <c r="AG283" s="43"/>
      <c r="AH283" s="43"/>
    </row>
    <row r="284" spans="1:34" x14ac:dyDescent="0.25">
      <c r="A284" s="169" t="e">
        <f>#REF!</f>
        <v>#REF!</v>
      </c>
      <c r="B284" s="169" t="e">
        <f>IF(#REF!&lt;100,"",#REF!-620)</f>
        <v>#REF!</v>
      </c>
      <c r="C284" s="169" t="e">
        <f>IF(#REF!&lt;100,"",#REF!-620)</f>
        <v>#REF!</v>
      </c>
      <c r="D284" s="169" t="e">
        <f>IF(#REF!&lt;100,"",#REF!-620)</f>
        <v>#REF!</v>
      </c>
      <c r="E284" s="169" t="e">
        <f>IF(#REF!&lt;100,"",#REF!-620)</f>
        <v>#REF!</v>
      </c>
      <c r="F284" s="169" t="e">
        <f>IF(#REF!&lt;100,"",#REF!-620)</f>
        <v>#REF!</v>
      </c>
      <c r="G284" s="169" t="e">
        <f>IF(#REF!&lt;100,"",#REF!-620)</f>
        <v>#REF!</v>
      </c>
      <c r="H284" s="169" t="e">
        <f>IF(#REF!&lt;100,"",#REF!-620)</f>
        <v>#REF!</v>
      </c>
      <c r="I284" s="169" t="e">
        <f>IF(#REF!&lt;100,"",#REF!-620)</f>
        <v>#REF!</v>
      </c>
      <c r="J284" s="169" t="e">
        <f>IF(#REF!&lt;100,"",#REF!-620)</f>
        <v>#REF!</v>
      </c>
      <c r="K284" s="169" t="e">
        <f>IF(#REF!&lt;100,"",#REF!-620)</f>
        <v>#REF!</v>
      </c>
      <c r="L284" s="169" t="e">
        <f>IF(#REF!&lt;100,"",#REF!-620)</f>
        <v>#REF!</v>
      </c>
      <c r="M284" s="169" t="e">
        <f>IF(#REF!&lt;100,"",#REF!-620)</f>
        <v>#REF!</v>
      </c>
      <c r="N284" s="169" t="e">
        <f>IF(#REF!&lt;100,"",#REF!-620)</f>
        <v>#REF!</v>
      </c>
      <c r="O284" s="169" t="e">
        <f>IF(#REF!&lt;100,"",#REF!-620)</f>
        <v>#REF!</v>
      </c>
      <c r="P284" s="169" t="e">
        <f>IF(#REF!&lt;100,"",#REF!-620)</f>
        <v>#REF!</v>
      </c>
      <c r="Q284" s="169" t="e">
        <f>IF(#REF!&lt;100,"",#REF!-620)</f>
        <v>#REF!</v>
      </c>
      <c r="R284" s="169" t="e">
        <f>IF(#REF!&lt;100,"",#REF!-620)</f>
        <v>#REF!</v>
      </c>
      <c r="S284" s="169" t="e">
        <f>IF(#REF!&lt;100,"",#REF!-620)</f>
        <v>#REF!</v>
      </c>
      <c r="T284" s="169" t="e">
        <f>IF(#REF!&lt;100,"",#REF!-620)</f>
        <v>#REF!</v>
      </c>
      <c r="U284" s="169" t="e">
        <f>IF(#REF!&lt;100,"",#REF!-620)</f>
        <v>#REF!</v>
      </c>
      <c r="V284" s="169" t="e">
        <f>IF(#REF!&lt;100,"",#REF!-620)</f>
        <v>#REF!</v>
      </c>
      <c r="W284" s="169" t="e">
        <f>IF(#REF!&lt;100,"",#REF!-620)</f>
        <v>#REF!</v>
      </c>
      <c r="X284" s="169" t="e">
        <f>IF(#REF!&lt;100,"",#REF!-620)</f>
        <v>#REF!</v>
      </c>
      <c r="Y284" s="169" t="e">
        <f>IF(#REF!&lt;100,"",#REF!-620)</f>
        <v>#REF!</v>
      </c>
      <c r="Z284" s="169" t="e">
        <f>IF(#REF!&lt;100,"",#REF!-620)</f>
        <v>#REF!</v>
      </c>
      <c r="AA284" s="169" t="e">
        <f>IF(#REF!&lt;100,"",#REF!-620)</f>
        <v>#REF!</v>
      </c>
      <c r="AB284" s="169" t="e">
        <f>IF(#REF!&lt;100,"",#REF!-620)</f>
        <v>#REF!</v>
      </c>
      <c r="AC284" s="169" t="e">
        <f>IF(#REF!&lt;100,"",#REF!-620)</f>
        <v>#REF!</v>
      </c>
      <c r="AD284" s="169" t="e">
        <f>IF(#REF!&lt;100,"",#REF!-620)</f>
        <v>#REF!</v>
      </c>
      <c r="AE284" s="169" t="e">
        <f>IF(#REF!&lt;100,"",#REF!-620)</f>
        <v>#REF!</v>
      </c>
      <c r="AF284" s="169" t="e">
        <f>IF(#REF!&lt;100,"",#REF!-620)</f>
        <v>#REF!</v>
      </c>
      <c r="AG284" s="43"/>
      <c r="AH284" s="43"/>
    </row>
    <row r="285" spans="1:34" x14ac:dyDescent="0.25">
      <c r="A285" s="169" t="e">
        <f>#REF!</f>
        <v>#REF!</v>
      </c>
      <c r="B285" s="169" t="e">
        <f>IF(#REF!&lt;100,"",#REF!-330)</f>
        <v>#REF!</v>
      </c>
      <c r="C285" s="169" t="e">
        <f>IF(#REF!&lt;100,"",#REF!-330)</f>
        <v>#REF!</v>
      </c>
      <c r="D285" s="169" t="e">
        <f>IF(#REF!&lt;100,"",#REF!-330)</f>
        <v>#REF!</v>
      </c>
      <c r="E285" s="169" t="e">
        <f>IF(#REF!&lt;100,"",#REF!-330)</f>
        <v>#REF!</v>
      </c>
      <c r="F285" s="169" t="e">
        <f>IF(#REF!&lt;100,"",#REF!-330)</f>
        <v>#REF!</v>
      </c>
      <c r="G285" s="169" t="e">
        <f>IF(#REF!&lt;100,"",#REF!-330)</f>
        <v>#REF!</v>
      </c>
      <c r="H285" s="169" t="e">
        <f>IF(#REF!&lt;100,"",#REF!-330)</f>
        <v>#REF!</v>
      </c>
      <c r="I285" s="169" t="e">
        <f>IF(#REF!&lt;100,"",#REF!-330)</f>
        <v>#REF!</v>
      </c>
      <c r="J285" s="169" t="e">
        <f>IF(#REF!&lt;100,"",#REF!-330)</f>
        <v>#REF!</v>
      </c>
      <c r="K285" s="169" t="e">
        <f>IF(#REF!&lt;100,"",#REF!-330)</f>
        <v>#REF!</v>
      </c>
      <c r="L285" s="169" t="e">
        <f>IF(#REF!&lt;100,"",#REF!-330)</f>
        <v>#REF!</v>
      </c>
      <c r="M285" s="169" t="e">
        <f>IF(#REF!&lt;100,"",#REF!-330)</f>
        <v>#REF!</v>
      </c>
      <c r="N285" s="169" t="e">
        <f>IF(#REF!&lt;100,"",#REF!-330)</f>
        <v>#REF!</v>
      </c>
      <c r="O285" s="169" t="e">
        <f>IF(#REF!&lt;100,"",#REF!-330)</f>
        <v>#REF!</v>
      </c>
      <c r="P285" s="169" t="e">
        <f>IF(#REF!&lt;100,"",#REF!-330)</f>
        <v>#REF!</v>
      </c>
      <c r="Q285" s="169" t="e">
        <f>IF(#REF!&lt;100,"",#REF!-330)</f>
        <v>#REF!</v>
      </c>
      <c r="R285" s="169" t="e">
        <f>IF(#REF!&lt;100,"",#REF!-330)</f>
        <v>#REF!</v>
      </c>
      <c r="S285" s="169" t="e">
        <f>IF(#REF!&lt;100,"",#REF!-330)</f>
        <v>#REF!</v>
      </c>
      <c r="T285" s="169" t="e">
        <f>IF(#REF!&lt;100,"",#REF!-330)</f>
        <v>#REF!</v>
      </c>
      <c r="U285" s="169" t="e">
        <f>IF(#REF!&lt;100,"",#REF!-330)</f>
        <v>#REF!</v>
      </c>
      <c r="V285" s="169" t="e">
        <f>IF(#REF!&lt;100,"",#REF!-330)</f>
        <v>#REF!</v>
      </c>
      <c r="W285" s="169" t="e">
        <f>IF(#REF!&lt;100,"",#REF!-330)</f>
        <v>#REF!</v>
      </c>
      <c r="X285" s="169" t="e">
        <f>IF(#REF!&lt;100,"",#REF!-330)</f>
        <v>#REF!</v>
      </c>
      <c r="Y285" s="169" t="e">
        <f>IF(#REF!&lt;100,"",#REF!-330)</f>
        <v>#REF!</v>
      </c>
      <c r="Z285" s="169" t="e">
        <f>IF(#REF!&lt;100,"",#REF!-330)</f>
        <v>#REF!</v>
      </c>
      <c r="AA285" s="169" t="e">
        <f>IF(#REF!&lt;100,"",#REF!-330)</f>
        <v>#REF!</v>
      </c>
      <c r="AB285" s="169" t="e">
        <f>IF(#REF!&lt;100,"",#REF!-330)</f>
        <v>#REF!</v>
      </c>
      <c r="AC285" s="169" t="e">
        <f>IF(#REF!&lt;100,"",#REF!-330)</f>
        <v>#REF!</v>
      </c>
      <c r="AD285" s="169" t="e">
        <f>IF(#REF!&lt;100,"",#REF!-330)</f>
        <v>#REF!</v>
      </c>
      <c r="AE285" s="169" t="e">
        <f>IF(#REF!&lt;100,"",#REF!-330)</f>
        <v>#REF!</v>
      </c>
      <c r="AF285" s="169" t="e">
        <f>IF(#REF!&lt;100,"",#REF!-330)</f>
        <v>#REF!</v>
      </c>
      <c r="AG285" s="43"/>
      <c r="AH285" s="43"/>
    </row>
    <row r="286" spans="1:34" x14ac:dyDescent="0.25">
      <c r="A286" s="169" t="e">
        <f>#REF!</f>
        <v>#REF!</v>
      </c>
      <c r="B286" s="169" t="e">
        <f>IF(#REF!&lt;100,"",#REF!-1500)</f>
        <v>#REF!</v>
      </c>
      <c r="C286" s="169" t="e">
        <f>IF(#REF!&lt;100,"",#REF!-1500)</f>
        <v>#REF!</v>
      </c>
      <c r="D286" s="169" t="e">
        <f>IF(#REF!&lt;100,"",#REF!-1500)</f>
        <v>#REF!</v>
      </c>
      <c r="E286" s="169" t="e">
        <f>IF(#REF!&lt;100,"",#REF!-1500)</f>
        <v>#REF!</v>
      </c>
      <c r="F286" s="169" t="e">
        <f>IF(#REF!&lt;100,"",#REF!-1500)</f>
        <v>#REF!</v>
      </c>
      <c r="G286" s="169" t="e">
        <f>IF(#REF!&lt;100,"",#REF!-1500)</f>
        <v>#REF!</v>
      </c>
      <c r="H286" s="169" t="e">
        <f>IF(#REF!&lt;100,"",#REF!-1500)</f>
        <v>#REF!</v>
      </c>
      <c r="I286" s="169" t="e">
        <f>IF(#REF!&lt;100,"",#REF!-1500)</f>
        <v>#REF!</v>
      </c>
      <c r="J286" s="169" t="e">
        <f>IF(#REF!&lt;100,"",#REF!-1500)</f>
        <v>#REF!</v>
      </c>
      <c r="K286" s="169" t="e">
        <f>IF(#REF!&lt;100,"",#REF!-1500)</f>
        <v>#REF!</v>
      </c>
      <c r="L286" s="169" t="e">
        <f>IF(#REF!&lt;100,"",#REF!-1500)</f>
        <v>#REF!</v>
      </c>
      <c r="M286" s="169" t="e">
        <f>IF(#REF!&lt;100,"",#REF!-1500)</f>
        <v>#REF!</v>
      </c>
      <c r="N286" s="169" t="e">
        <f>IF(#REF!&lt;100,"",#REF!-1500)</f>
        <v>#REF!</v>
      </c>
      <c r="O286" s="169" t="e">
        <f>IF(#REF!&lt;100,"",#REF!-1500)</f>
        <v>#REF!</v>
      </c>
      <c r="P286" s="169" t="e">
        <f>IF(#REF!&lt;100,"",#REF!-1500)</f>
        <v>#REF!</v>
      </c>
      <c r="Q286" s="169" t="e">
        <f>IF(#REF!&lt;100,"",#REF!-1500)</f>
        <v>#REF!</v>
      </c>
      <c r="R286" s="169" t="e">
        <f>IF(#REF!&lt;100,"",#REF!-1500)</f>
        <v>#REF!</v>
      </c>
      <c r="S286" s="169" t="e">
        <f>IF(#REF!&lt;100,"",#REF!-1500)</f>
        <v>#REF!</v>
      </c>
      <c r="T286" s="169" t="e">
        <f>IF(#REF!&lt;100,"",#REF!-1500)</f>
        <v>#REF!</v>
      </c>
      <c r="U286" s="169" t="e">
        <f>IF(#REF!&lt;100,"",#REF!-1500)</f>
        <v>#REF!</v>
      </c>
      <c r="V286" s="169" t="e">
        <f>IF(#REF!&lt;100,"",#REF!-1500)</f>
        <v>#REF!</v>
      </c>
      <c r="W286" s="169" t="e">
        <f>IF(#REF!&lt;100,"",#REF!-1500)</f>
        <v>#REF!</v>
      </c>
      <c r="X286" s="169" t="e">
        <f>IF(#REF!&lt;100,"",#REF!-1500)</f>
        <v>#REF!</v>
      </c>
      <c r="Y286" s="169" t="e">
        <f>IF(#REF!&lt;100,"",#REF!-1500)</f>
        <v>#REF!</v>
      </c>
      <c r="Z286" s="169" t="e">
        <f>IF(#REF!&lt;100,"",#REF!-1500)</f>
        <v>#REF!</v>
      </c>
      <c r="AA286" s="169" t="e">
        <f>IF(#REF!&lt;100,"",#REF!-1500)</f>
        <v>#REF!</v>
      </c>
      <c r="AB286" s="169" t="e">
        <f>IF(#REF!&lt;100,"",#REF!-1500)</f>
        <v>#REF!</v>
      </c>
      <c r="AC286" s="169" t="e">
        <f>IF(#REF!&lt;100,"",#REF!-1500)</f>
        <v>#REF!</v>
      </c>
      <c r="AD286" s="169" t="e">
        <f>IF(#REF!&lt;100,"",#REF!-1500)</f>
        <v>#REF!</v>
      </c>
      <c r="AE286" s="169" t="e">
        <f>IF(#REF!&lt;100,"",#REF!-1500)</f>
        <v>#REF!</v>
      </c>
      <c r="AF286" s="169" t="e">
        <f>IF(#REF!&lt;100,"",#REF!-1500)</f>
        <v>#REF!</v>
      </c>
      <c r="AG286" s="43"/>
      <c r="AH286" s="43"/>
    </row>
    <row r="287" spans="1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1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2:34" x14ac:dyDescent="0.25"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2:34" x14ac:dyDescent="0.25"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2:34" x14ac:dyDescent="0.25"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2:34" x14ac:dyDescent="0.25"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2:34" x14ac:dyDescent="0.25"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2388" priority="58">
      <formula>$AH11=0</formula>
    </cfRule>
  </conditionalFormatting>
  <conditionalFormatting sqref="A132:A253">
    <cfRule type="expression" dxfId="2387" priority="9">
      <formula>$AH132=0</formula>
    </cfRule>
  </conditionalFormatting>
  <conditionalFormatting sqref="B8 M8 S8 AB8">
    <cfRule type="expression" dxfId="2386" priority="119">
      <formula>AND(C$9&gt;=8/24,C$9&lt;14/24)</formula>
    </cfRule>
    <cfRule type="expression" dxfId="2385" priority="118">
      <formula>AND(C$9&gt;=14/24,C$9&lt;20/24)</formula>
    </cfRule>
    <cfRule type="expression" dxfId="2384" priority="120">
      <formula>C$9&lt;8/24</formula>
    </cfRule>
  </conditionalFormatting>
  <conditionalFormatting sqref="B63:I74 J64:J74 K69:T74 U70 U72:X74 B119:AF132 AA133:AF135 B133:Y136 Z136:AF136 B137:AF137">
    <cfRule type="expression" dxfId="2383" priority="26">
      <formula>AND(B$9&gt;=8/24,B$9&lt;14/24)</formula>
    </cfRule>
    <cfRule type="expression" dxfId="2382" priority="25">
      <formula>AND(B$9&gt;=14/24,B$9&lt;20/24)</formula>
    </cfRule>
    <cfRule type="expression" dxfId="2381" priority="24">
      <formula>B$9&gt;=20/24</formula>
    </cfRule>
    <cfRule type="expression" dxfId="2380" priority="27">
      <formula>B$9&lt;8/24</formula>
    </cfRule>
  </conditionalFormatting>
  <conditionalFormatting sqref="B11:X54">
    <cfRule type="expression" dxfId="2379" priority="18">
      <formula>B11&gt;$AG11</formula>
    </cfRule>
  </conditionalFormatting>
  <conditionalFormatting sqref="B53:X54">
    <cfRule type="expression" dxfId="2378" priority="17">
      <formula>B$9&lt;8/24</formula>
    </cfRule>
  </conditionalFormatting>
  <conditionalFormatting sqref="B55:X55">
    <cfRule type="expression" dxfId="2377" priority="38">
      <formula>B55&gt;$AG55</formula>
    </cfRule>
  </conditionalFormatting>
  <conditionalFormatting sqref="B9:AF52">
    <cfRule type="expression" dxfId="2376" priority="30">
      <formula>AND(B$9&gt;=14/24,B$9&lt;20/24)</formula>
    </cfRule>
    <cfRule type="expression" dxfId="2375" priority="29">
      <formula>B$9&gt;=20/24</formula>
    </cfRule>
    <cfRule type="expression" dxfId="2374" priority="31">
      <formula>AND(B$9&gt;=8/24,B$9&lt;14/24)</formula>
    </cfRule>
    <cfRule type="expression" dxfId="2373" priority="32">
      <formula>B$9&lt;8/24</formula>
    </cfRule>
  </conditionalFormatting>
  <conditionalFormatting sqref="B53:AF54">
    <cfRule type="expression" dxfId="2372" priority="14">
      <formula>B$9&gt;=20/24</formula>
    </cfRule>
    <cfRule type="expression" dxfId="2371" priority="15">
      <formula>AND(B$9&gt;=14/24,B$9&lt;20/24)</formula>
    </cfRule>
    <cfRule type="expression" dxfId="2370" priority="16">
      <formula>AND(B$9&gt;=8/24,B$9&lt;14/24)</formula>
    </cfRule>
  </conditionalFormatting>
  <conditionalFormatting sqref="B55:AF57">
    <cfRule type="expression" dxfId="2369" priority="35">
      <formula>AND(B$9&gt;=14/24,B$9&lt;20/24)</formula>
    </cfRule>
    <cfRule type="expression" dxfId="2368" priority="36">
      <formula>AND(B$9&gt;=8/24,B$9&lt;14/24)</formula>
    </cfRule>
    <cfRule type="expression" dxfId="2367" priority="34">
      <formula>B$9&gt;=20/24</formula>
    </cfRule>
  </conditionalFormatting>
  <conditionalFormatting sqref="B56:AF61">
    <cfRule type="expression" dxfId="2366" priority="33">
      <formula>B56&gt;$AG56</formula>
    </cfRule>
  </conditionalFormatting>
  <conditionalFormatting sqref="B59:AF61">
    <cfRule type="expression" dxfId="2365" priority="47">
      <formula>B$9&lt;8/24</formula>
    </cfRule>
    <cfRule type="expression" dxfId="2364" priority="44">
      <formula>B$9&gt;=20/24</formula>
    </cfRule>
    <cfRule type="expression" dxfId="2363" priority="46">
      <formula>AND(B$9&gt;=8/24,B$9&lt;14/24)</formula>
    </cfRule>
    <cfRule type="expression" dxfId="2362" priority="45">
      <formula>AND(B$9&gt;=14/24,B$9&lt;20/24)</formula>
    </cfRule>
  </conditionalFormatting>
  <conditionalFormatting sqref="B63:AF74">
    <cfRule type="expression" dxfId="2361" priority="23">
      <formula>B63&gt;$AG63</formula>
    </cfRule>
  </conditionalFormatting>
  <conditionalFormatting sqref="B77:AF79">
    <cfRule type="expression" dxfId="2360" priority="48">
      <formula>B77&gt;$AG77</formula>
    </cfRule>
    <cfRule type="expression" dxfId="2359" priority="49">
      <formula>B$9&gt;=20/24</formula>
    </cfRule>
    <cfRule type="expression" dxfId="2358" priority="50">
      <formula>AND(B$9&gt;=14/24,B$9&lt;20/24)</formula>
    </cfRule>
    <cfRule type="expression" dxfId="2357" priority="51">
      <formula>AND(B$9&gt;=8/24,B$9&lt;14/24)</formula>
    </cfRule>
    <cfRule type="expression" dxfId="2356" priority="52">
      <formula>B$9&lt;8/24</formula>
    </cfRule>
  </conditionalFormatting>
  <conditionalFormatting sqref="B81:AF99">
    <cfRule type="expression" dxfId="2355" priority="22">
      <formula>B$9&lt;8/24</formula>
    </cfRule>
    <cfRule type="expression" dxfId="2354" priority="20">
      <formula>AND(B$9&gt;=14/24,B$9&lt;20/24)</formula>
    </cfRule>
    <cfRule type="expression" dxfId="2353" priority="19">
      <formula>B$9&gt;=20/24</formula>
    </cfRule>
    <cfRule type="expression" dxfId="2352" priority="21">
      <formula>AND(B$9&gt;=8/24,B$9&lt;14/24)</formula>
    </cfRule>
  </conditionalFormatting>
  <conditionalFormatting sqref="B101:AF117">
    <cfRule type="expression" dxfId="2351" priority="13">
      <formula>B$9&lt;8/24</formula>
    </cfRule>
    <cfRule type="expression" dxfId="2350" priority="10">
      <formula>B$9&gt;=20/24</formula>
    </cfRule>
    <cfRule type="expression" dxfId="2349" priority="11">
      <formula>AND(B$9&gt;=14/24,B$9&lt;20/24)</formula>
    </cfRule>
    <cfRule type="expression" dxfId="2348" priority="12">
      <formula>AND(B$9&gt;=8/24,B$9&lt;14/24)</formula>
    </cfRule>
  </conditionalFormatting>
  <conditionalFormatting sqref="B244:AF244 B246:B252 D246:AF252 U260:AF260">
    <cfRule type="expression" dxfId="2347" priority="114">
      <formula>B$9&lt;8/24</formula>
    </cfRule>
    <cfRule type="expression" dxfId="2346" priority="112">
      <formula>AND(B$9&gt;=14/24,B$9&lt;20/24)</formula>
    </cfRule>
    <cfRule type="expression" dxfId="2345" priority="113">
      <formula>AND(B$9&gt;=8/24,B$9&lt;14/24)</formula>
    </cfRule>
    <cfRule type="expression" dxfId="2344" priority="111">
      <formula>B$9&gt;=20/24</formula>
    </cfRule>
  </conditionalFormatting>
  <conditionalFormatting sqref="B62:AG62">
    <cfRule type="expression" dxfId="2343" priority="53">
      <formula>B62&gt;$AG62</formula>
    </cfRule>
    <cfRule type="expression" dxfId="2342" priority="54">
      <formula>B$9&gt;=20/24</formula>
    </cfRule>
    <cfRule type="expression" dxfId="2341" priority="56">
      <formula>AND(B$9&gt;=8/24,B$9&lt;14/24)</formula>
    </cfRule>
    <cfRule type="expression" dxfId="2340" priority="57">
      <formula>B$9&lt;8/24</formula>
    </cfRule>
    <cfRule type="expression" dxfId="2339" priority="55">
      <formula>AND(B$9&gt;=14/24,B$9&lt;20/24)</formula>
    </cfRule>
  </conditionalFormatting>
  <conditionalFormatting sqref="B75:AG76 B80:AG80">
    <cfRule type="expression" dxfId="2338" priority="39">
      <formula>B75&gt;$AG75</formula>
    </cfRule>
  </conditionalFormatting>
  <conditionalFormatting sqref="B80:AG80">
    <cfRule type="expression" dxfId="2337" priority="40">
      <formula>B$9&gt;=20/24</formula>
    </cfRule>
    <cfRule type="expression" dxfId="2336" priority="41">
      <formula>AND(B$9&gt;=14/24,B$9&lt;20/24)</formula>
    </cfRule>
    <cfRule type="expression" dxfId="2335" priority="42">
      <formula>AND(B$9&gt;=8/24,B$9&lt;14/24)</formula>
    </cfRule>
    <cfRule type="expression" dxfId="2334" priority="43">
      <formula>B$9&lt;8/24</formula>
    </cfRule>
  </conditionalFormatting>
  <conditionalFormatting sqref="F63:R65">
    <cfRule type="expression" dxfId="2333" priority="95">
      <formula>F$9&lt;8/24</formula>
    </cfRule>
    <cfRule type="expression" dxfId="2332" priority="94">
      <formula>AND(F$9&gt;=8/24,F$9&lt;14/24)</formula>
    </cfRule>
    <cfRule type="expression" dxfId="2331" priority="93">
      <formula>AND(F$9&gt;=14/24,F$9&lt;20/24)</formula>
    </cfRule>
    <cfRule type="expression" dxfId="2330" priority="92">
      <formula>F$9&gt;=20/24</formula>
    </cfRule>
  </conditionalFormatting>
  <conditionalFormatting sqref="F68:R68">
    <cfRule type="expression" dxfId="2329" priority="71">
      <formula>AND(F$9&gt;=8/24,F$9&lt;14/24)</formula>
    </cfRule>
    <cfRule type="expression" dxfId="2328" priority="72">
      <formula>F$9&lt;8/24</formula>
    </cfRule>
    <cfRule type="expression" dxfId="2327" priority="69">
      <formula>F$9&gt;=20/24</formula>
    </cfRule>
    <cfRule type="expression" dxfId="2326" priority="70">
      <formula>AND(F$9&gt;=14/24,F$9&lt;20/24)</formula>
    </cfRule>
  </conditionalFormatting>
  <conditionalFormatting sqref="F69:AF74">
    <cfRule type="expression" dxfId="2325" priority="59">
      <formula>F$9&gt;=20/24</formula>
    </cfRule>
    <cfRule type="expression" dxfId="2324" priority="60">
      <formula>AND(F$9&gt;=14/24,F$9&lt;20/24)</formula>
    </cfRule>
    <cfRule type="expression" dxfId="2323" priority="61">
      <formula>AND(F$9&gt;=8/24,F$9&lt;14/24)</formula>
    </cfRule>
    <cfRule type="expression" dxfId="2322" priority="62">
      <formula>F$9&lt;8/24</formula>
    </cfRule>
  </conditionalFormatting>
  <conditionalFormatting sqref="K55:X56 B55:J57">
    <cfRule type="expression" dxfId="2321" priority="37">
      <formula>B$9&lt;8/24</formula>
    </cfRule>
  </conditionalFormatting>
  <conditionalFormatting sqref="M66:R67">
    <cfRule type="expression" dxfId="2320" priority="2">
      <formula>AND(M$9&gt;=14/24,M$9&lt;20/24)</formula>
    </cfRule>
    <cfRule type="expression" dxfId="2319" priority="3">
      <formula>AND(M$9&gt;=8/24,M$9&lt;14/24)</formula>
    </cfRule>
    <cfRule type="expression" dxfId="2318" priority="4">
      <formula>M$9&lt;8/24</formula>
    </cfRule>
    <cfRule type="expression" dxfId="2317" priority="1">
      <formula>M$9&gt;=20/24</formula>
    </cfRule>
  </conditionalFormatting>
  <conditionalFormatting sqref="N63:R67">
    <cfRule type="expression" dxfId="2316" priority="96">
      <formula>N$9&gt;=20/24</formula>
    </cfRule>
    <cfRule type="expression" dxfId="2315" priority="97">
      <formula>AND(N$9&gt;=14/24,N$9&lt;20/24)</formula>
    </cfRule>
    <cfRule type="expression" dxfId="2314" priority="98">
      <formula>AND(N$9&gt;=8/24,N$9&lt;14/24)</formula>
    </cfRule>
    <cfRule type="expression" dxfId="2313" priority="99">
      <formula>N$9&lt;8/24</formula>
    </cfRule>
  </conditionalFormatting>
  <conditionalFormatting sqref="O3:P3">
    <cfRule type="iconSet" priority="115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2312" priority="117">
      <formula>C$9&gt;=20/24</formula>
    </cfRule>
  </conditionalFormatting>
  <conditionalFormatting sqref="S8">
    <cfRule type="expression" dxfId="2311" priority="105">
      <formula>AND(U$9&gt;=14/24,U$9&lt;20/24)</formula>
    </cfRule>
    <cfRule type="expression" dxfId="2310" priority="107">
      <formula>U$9&lt;8/24</formula>
    </cfRule>
    <cfRule type="expression" dxfId="2309" priority="106">
      <formula>AND(U$9&gt;=8/24,U$9&lt;14/24)</formula>
    </cfRule>
    <cfRule type="expression" dxfId="2308" priority="104">
      <formula>U$9&gt;=20/24</formula>
    </cfRule>
  </conditionalFormatting>
  <conditionalFormatting sqref="S63:AF68">
    <cfRule type="expression" dxfId="2307" priority="63">
      <formula>S$9&gt;=20/24</formula>
    </cfRule>
    <cfRule type="expression" dxfId="2306" priority="64">
      <formula>AND(S$9&gt;=14/24,S$9&lt;20/24)</formula>
    </cfRule>
    <cfRule type="expression" dxfId="2305" priority="65">
      <formula>AND(S$9&gt;=8/24,S$9&lt;14/24)</formula>
    </cfRule>
    <cfRule type="expression" dxfId="2304" priority="66">
      <formula>S$9&lt;8/24</formula>
    </cfRule>
  </conditionalFormatting>
  <conditionalFormatting sqref="T260">
    <cfRule type="expression" dxfId="2303" priority="132">
      <formula>AX$9&lt;8/24</formula>
    </cfRule>
    <cfRule type="expression" dxfId="2302" priority="129">
      <formula>AX$9&gt;=20/24</formula>
    </cfRule>
    <cfRule type="expression" dxfId="2301" priority="130">
      <formula>AND(AX$9&gt;=14/24,AX$9&lt;20/24)</formula>
    </cfRule>
    <cfRule type="expression" dxfId="2300" priority="131">
      <formula>AND(AX$9&gt;=8/24,AX$9&lt;14/24)</formula>
    </cfRule>
  </conditionalFormatting>
  <conditionalFormatting sqref="V3 AB3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Y11:AF52">
    <cfRule type="expression" dxfId="2299" priority="28">
      <formula>Y11&gt;$AG11</formula>
    </cfRule>
  </conditionalFormatting>
  <conditionalFormatting sqref="Y53:AF55">
    <cfRule type="expression" dxfId="2298" priority="68">
      <formula>Y53&gt;$AG53</formula>
    </cfRule>
  </conditionalFormatting>
  <conditionalFormatting sqref="Y53:AF56 B56:L56 P56:X56 M56:O57 K57:L57 P57:AF57">
    <cfRule type="expression" dxfId="2297" priority="67">
      <formula>B$9&lt;8/24</formula>
    </cfRule>
  </conditionalFormatting>
  <conditionalFormatting sqref="Z133:Z135 AH260:AX260">
    <cfRule type="expression" dxfId="2296" priority="125">
      <formula>Y$9&gt;=20/24</formula>
    </cfRule>
    <cfRule type="expression" dxfId="2295" priority="126">
      <formula>AND(Y$9&gt;=14/24,Y$9&lt;20/24)</formula>
    </cfRule>
    <cfRule type="expression" dxfId="2294" priority="127">
      <formula>AND(Y$9&gt;=8/24,Y$9&lt;14/24)</formula>
    </cfRule>
    <cfRule type="expression" dxfId="2293" priority="128">
      <formula>Y$9&lt;8/24</formula>
    </cfRule>
  </conditionalFormatting>
  <conditionalFormatting sqref="AB8">
    <cfRule type="expression" dxfId="2292" priority="100">
      <formula>AD$9&gt;=20/24</formula>
    </cfRule>
    <cfRule type="expression" dxfId="2291" priority="101">
      <formula>AND(AD$9&gt;=14/24,AD$9&lt;20/24)</formula>
    </cfRule>
    <cfRule type="expression" dxfId="2290" priority="102">
      <formula>AND(AD$9&gt;=8/24,AD$9&lt;14/24)</formula>
    </cfRule>
    <cfRule type="expression" dxfId="2289" priority="103">
      <formula>AD$9&lt;8/24</formula>
    </cfRule>
  </conditionalFormatting>
  <conditionalFormatting sqref="AG58">
    <cfRule type="expression" dxfId="2288" priority="87">
      <formula>AG58&gt;$AG58</formula>
    </cfRule>
  </conditionalFormatting>
  <conditionalFormatting sqref="AG97">
    <cfRule type="expression" dxfId="2287" priority="88">
      <formula>AG$9&gt;=20/24</formula>
    </cfRule>
    <cfRule type="expression" dxfId="2286" priority="91">
      <formula>AG$9&lt;8/24</formula>
    </cfRule>
    <cfRule type="expression" dxfId="2285" priority="90">
      <formula>AND(AG$9&gt;=8/24,AG$9&lt;14/24)</formula>
    </cfRule>
    <cfRule type="expression" dxfId="2284" priority="89">
      <formula>AND(AG$9&gt;=14/24,AG$9&lt;20/24)</formula>
    </cfRule>
  </conditionalFormatting>
  <conditionalFormatting sqref="AG260">
    <cfRule type="expression" dxfId="2283" priority="124">
      <formula>B$9&lt;8/24</formula>
    </cfRule>
    <cfRule type="expression" dxfId="2282" priority="121">
      <formula>B$9&gt;=20/24</formula>
    </cfRule>
    <cfRule type="expression" dxfId="2281" priority="122">
      <formula>AND(B$9&gt;=14/24,B$9&lt;20/24)</formula>
    </cfRule>
    <cfRule type="expression" dxfId="2280" priority="123">
      <formula>AND(B$9&gt;=8/24,B$9&lt;14/24)</formula>
    </cfRule>
  </conditionalFormatting>
  <conditionalFormatting sqref="AL4:AL6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19:AL20">
    <cfRule type="iconSet" priority="75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85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74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84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86">
      <iconSet iconSet="3TrafficLights2" reverse="1">
        <cfvo type="percent" val="0"/>
        <cfvo type="num" val="1"/>
        <cfvo type="num" val="1"/>
      </iconSet>
    </cfRule>
  </conditionalFormatting>
  <conditionalFormatting sqref="AL48 AL45:AL46 AL21:AL24 AL7:AL18 AL26:AL37 AL39:AL43 AL54:AL55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09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08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73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2279" priority="134">
      <formula>AJ$9&gt;=20/24</formula>
    </cfRule>
    <cfRule type="expression" dxfId="2278" priority="135">
      <formula>AND(AJ$9&gt;=14/24,AJ$9&lt;20/24)</formula>
    </cfRule>
    <cfRule type="expression" dxfId="2277" priority="136">
      <formula>AND(AJ$9&gt;=8/24,AJ$9&lt;14/24)</formula>
    </cfRule>
    <cfRule type="expression" dxfId="2276" priority="137">
      <formula>AJ$9&lt;8/24</formula>
    </cfRule>
  </conditionalFormatting>
  <conditionalFormatting sqref="AL88:AN88 AL94:AN94">
    <cfRule type="expression" dxfId="2275" priority="81">
      <formula>AND(AL$9&gt;=14/24,AL$9&lt;20/24)</formula>
    </cfRule>
    <cfRule type="expression" dxfId="2274" priority="83">
      <formula>AL$9&lt;8/24</formula>
    </cfRule>
    <cfRule type="expression" dxfId="2273" priority="82">
      <formula>AND(AL$9&gt;=8/24,AL$9&lt;14/24)</formula>
    </cfRule>
    <cfRule type="expression" dxfId="2272" priority="80">
      <formula>AL$9&gt;=20/24</formula>
    </cfRule>
  </conditionalFormatting>
  <conditionalFormatting sqref="AN89:AN92">
    <cfRule type="expression" dxfId="2271" priority="79">
      <formula>AN$9&lt;8/24</formula>
    </cfRule>
    <cfRule type="expression" dxfId="2270" priority="78">
      <formula>AND(AN$9&gt;=8/24,AN$9&lt;14/24)</formula>
    </cfRule>
    <cfRule type="expression" dxfId="2269" priority="77">
      <formula>AND(AN$9&gt;=14/24,AN$9&lt;20/24)</formula>
    </cfRule>
    <cfRule type="expression" dxfId="2268" priority="76">
      <formula>AN$9&gt;=20/24</formula>
    </cfRule>
  </conditionalFormatting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3D315-2E9F-450E-820D-6C15D3140B74}">
  <sheetPr codeName="Sheet8"/>
  <dimension ref="A1:CJ293"/>
  <sheetViews>
    <sheetView zoomScale="106" workbookViewId="0">
      <pane xSplit="1" ySplit="10" topLeftCell="B112" activePane="bottomRight" state="frozen"/>
      <selection activeCell="P118" sqref="P118"/>
      <selection pane="topRight" activeCell="P118" sqref="P118"/>
      <selection pane="bottomLeft" activeCell="P118" sqref="P118"/>
      <selection pane="bottomRight" activeCell="K85" sqref="K85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hidden="1" customHeight="1" thickBot="1" x14ac:dyDescent="0.3">
      <c r="A1" s="275" t="s">
        <v>0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  <c r="AD1" s="275"/>
      <c r="AE1" s="275"/>
      <c r="AF1" s="275"/>
      <c r="AG1" s="276" t="s">
        <v>1</v>
      </c>
      <c r="AH1" s="276"/>
      <c r="AI1" s="276"/>
      <c r="AL1" s="2"/>
    </row>
    <row r="2" spans="1:88" ht="20.25" hidden="1" x14ac:dyDescent="0.25">
      <c r="A2" s="3"/>
      <c r="B2" s="277" t="s">
        <v>2</v>
      </c>
      <c r="C2" s="4"/>
      <c r="D2" s="279" t="s">
        <v>3</v>
      </c>
      <c r="E2" s="4"/>
      <c r="F2" s="279" t="s">
        <v>4</v>
      </c>
      <c r="G2" s="4"/>
      <c r="H2" s="279" t="s">
        <v>5</v>
      </c>
      <c r="I2" s="5"/>
      <c r="J2" s="281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78"/>
      <c r="C3" s="16"/>
      <c r="D3" s="280"/>
      <c r="E3" s="16"/>
      <c r="F3" s="280"/>
      <c r="G3" s="16"/>
      <c r="H3" s="280"/>
      <c r="I3" s="17"/>
      <c r="J3" s="281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hidden="1" x14ac:dyDescent="0.25">
      <c r="A4" s="25" t="s">
        <v>11</v>
      </c>
      <c r="B4" s="270" t="str">
        <f ca="1">"2080/"&amp;"09/"&amp;INT(MID(CELL("filename",D6),FIND("]",CELL("filename",D6))+1,200))</f>
        <v>2080/09/7</v>
      </c>
      <c r="C4" s="270"/>
      <c r="D4" s="270"/>
      <c r="E4" s="271" t="str">
        <f ca="1">"2080/"&amp;"09/"&amp;INT(MID(CELL("filename",G6),FIND("]",CELL("filename",G6))+1,200))</f>
        <v>2080/09/7</v>
      </c>
      <c r="F4" s="271"/>
      <c r="G4" s="271"/>
      <c r="H4" s="271" t="str">
        <f ca="1">TEXT(E4,"dddd")</f>
        <v>Saturday</v>
      </c>
      <c r="I4" s="271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C92</f>
        <v>404.5</v>
      </c>
      <c r="C5" s="30">
        <f t="shared" si="0"/>
        <v>406.5</v>
      </c>
      <c r="D5" s="30">
        <f t="shared" si="0"/>
        <v>385.5</v>
      </c>
      <c r="E5" s="30">
        <f t="shared" si="0"/>
        <v>412.9</v>
      </c>
      <c r="F5" s="30">
        <f t="shared" si="0"/>
        <v>410.1</v>
      </c>
      <c r="G5" s="30">
        <f t="shared" si="0"/>
        <v>458</v>
      </c>
      <c r="H5" s="30">
        <f t="shared" si="0"/>
        <v>484</v>
      </c>
      <c r="I5" s="30">
        <f t="shared" si="0"/>
        <v>400</v>
      </c>
      <c r="J5" s="30">
        <f t="shared" si="0"/>
        <v>250</v>
      </c>
      <c r="K5" s="30">
        <f t="shared" si="0"/>
        <v>137.4</v>
      </c>
      <c r="L5" s="30">
        <f t="shared" si="0"/>
        <v>155.6</v>
      </c>
      <c r="M5" s="30">
        <f t="shared" si="0"/>
        <v>116</v>
      </c>
      <c r="N5" s="30">
        <f t="shared" si="0"/>
        <v>363</v>
      </c>
      <c r="O5" s="30">
        <f t="shared" si="0"/>
        <v>489</v>
      </c>
      <c r="P5" s="30">
        <f t="shared" si="0"/>
        <v>592.6</v>
      </c>
      <c r="Q5" s="30">
        <f t="shared" si="0"/>
        <v>561.5</v>
      </c>
      <c r="R5" s="30">
        <f t="shared" si="0"/>
        <v>680.8</v>
      </c>
      <c r="S5" s="30">
        <f t="shared" si="0"/>
        <v>687.8</v>
      </c>
      <c r="T5" s="30">
        <f t="shared" si="0"/>
        <v>660.2</v>
      </c>
      <c r="U5" s="30">
        <f t="shared" si="0"/>
        <v>591.5</v>
      </c>
      <c r="V5" s="30">
        <f t="shared" si="0"/>
        <v>538.1</v>
      </c>
      <c r="W5" s="30">
        <f t="shared" si="0"/>
        <v>338.1</v>
      </c>
      <c r="X5" s="30">
        <f t="shared" si="0"/>
        <v>384.6</v>
      </c>
      <c r="Y5" s="30">
        <f t="shared" si="0"/>
        <v>384.90000000000003</v>
      </c>
      <c r="Z5" s="30">
        <f t="shared" si="0"/>
        <v>374.5</v>
      </c>
      <c r="AA5" s="30">
        <f t="shared" si="0"/>
        <v>374.9</v>
      </c>
      <c r="AB5" s="30">
        <f t="shared" si="0"/>
        <v>523</v>
      </c>
      <c r="AC5" s="30">
        <f t="shared" si="0"/>
        <v>477.9</v>
      </c>
      <c r="AD5" s="30">
        <f t="shared" si="0"/>
        <v>535.79999999999995</v>
      </c>
      <c r="AE5" s="30">
        <f t="shared" si="0"/>
        <v>512.09999999999991</v>
      </c>
      <c r="AF5" s="30">
        <f>B92</f>
        <v>410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hidden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1749MW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Load=1072</v>
      </c>
      <c r="B7" s="35">
        <f>B100</f>
        <v>1116.8400000000001</v>
      </c>
      <c r="C7" s="35">
        <f t="shared" ref="C7:AF7" si="1">C100</f>
        <v>1092.3400000000001</v>
      </c>
      <c r="D7" s="35">
        <f t="shared" si="1"/>
        <v>1095.3400000000001</v>
      </c>
      <c r="E7" s="35">
        <f t="shared" si="1"/>
        <v>1072.1400000000001</v>
      </c>
      <c r="F7" s="35">
        <f t="shared" si="1"/>
        <v>1099.3400000000001</v>
      </c>
      <c r="G7" s="35">
        <f t="shared" si="1"/>
        <v>1096.7400000000002</v>
      </c>
      <c r="H7" s="35">
        <f t="shared" si="1"/>
        <v>1256.6400000000001</v>
      </c>
      <c r="I7" s="35">
        <f t="shared" si="1"/>
        <v>1348.3400000000001</v>
      </c>
      <c r="J7" s="35">
        <f t="shared" si="1"/>
        <v>1375.2400000000002</v>
      </c>
      <c r="K7" s="35">
        <f t="shared" si="1"/>
        <v>1592.3400000000001</v>
      </c>
      <c r="L7" s="35">
        <f t="shared" si="1"/>
        <v>1733.7400000000002</v>
      </c>
      <c r="M7" s="35">
        <f t="shared" si="1"/>
        <v>1749.26</v>
      </c>
      <c r="N7" s="35">
        <f t="shared" si="1"/>
        <v>1702.66</v>
      </c>
      <c r="O7" s="35">
        <f t="shared" si="1"/>
        <v>1664.3400000000001</v>
      </c>
      <c r="P7" s="35">
        <f t="shared" si="1"/>
        <v>1550.3400000000001</v>
      </c>
      <c r="Q7" s="35">
        <f t="shared" si="1"/>
        <v>1605.14</v>
      </c>
      <c r="R7" s="35">
        <f t="shared" si="1"/>
        <v>1582.64</v>
      </c>
      <c r="S7" s="35">
        <f t="shared" si="1"/>
        <v>1612.94</v>
      </c>
      <c r="T7" s="35">
        <f t="shared" si="1"/>
        <v>1642.2399999999998</v>
      </c>
      <c r="U7" s="35">
        <f t="shared" si="1"/>
        <v>1638.04</v>
      </c>
      <c r="V7" s="35">
        <f t="shared" si="1"/>
        <v>1599.54</v>
      </c>
      <c r="W7" s="35">
        <f t="shared" si="1"/>
        <v>1659.3400000000001</v>
      </c>
      <c r="X7" s="35">
        <f t="shared" si="1"/>
        <v>1864.6399999999999</v>
      </c>
      <c r="Y7" s="35">
        <f t="shared" si="1"/>
        <v>1958.94</v>
      </c>
      <c r="Z7" s="35">
        <f t="shared" si="1"/>
        <v>1896.14</v>
      </c>
      <c r="AA7" s="35">
        <f t="shared" si="1"/>
        <v>1846.54</v>
      </c>
      <c r="AB7" s="35">
        <f t="shared" si="1"/>
        <v>1768.04</v>
      </c>
      <c r="AC7" s="35">
        <f t="shared" si="1"/>
        <v>1723.6399999999999</v>
      </c>
      <c r="AD7" s="35">
        <f t="shared" si="1"/>
        <v>1655.3400000000001</v>
      </c>
      <c r="AE7" s="35">
        <f t="shared" si="1"/>
        <v>1466.04</v>
      </c>
      <c r="AF7" s="35">
        <f t="shared" si="1"/>
        <v>1248.8399999999999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72" t="s">
        <v>14</v>
      </c>
      <c r="C8" s="273"/>
      <c r="D8" s="273"/>
      <c r="E8" s="273"/>
      <c r="F8" s="273"/>
      <c r="G8" s="273"/>
      <c r="H8" s="273"/>
      <c r="I8" s="273"/>
      <c r="J8" s="273"/>
      <c r="K8" s="273"/>
      <c r="L8" s="274"/>
      <c r="M8" s="265" t="s">
        <v>15</v>
      </c>
      <c r="N8" s="266"/>
      <c r="O8" s="266"/>
      <c r="P8" s="266"/>
      <c r="Q8" s="266"/>
      <c r="R8" s="267"/>
      <c r="S8" s="265" t="s">
        <v>16</v>
      </c>
      <c r="T8" s="266"/>
      <c r="U8" s="266"/>
      <c r="V8" s="266"/>
      <c r="W8" s="266"/>
      <c r="X8" s="266"/>
      <c r="Y8" s="266"/>
      <c r="Z8" s="266"/>
      <c r="AA8" s="267"/>
      <c r="AB8" s="265" t="s">
        <v>17</v>
      </c>
      <c r="AC8" s="266"/>
      <c r="AD8" s="266"/>
      <c r="AE8" s="266"/>
      <c r="AF8" s="267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68" t="s">
        <v>18</v>
      </c>
      <c r="B9" s="264">
        <v>0</v>
      </c>
      <c r="C9" s="264">
        <v>4.1666666666666664E-2</v>
      </c>
      <c r="D9" s="264">
        <v>8.3333333333333301E-2</v>
      </c>
      <c r="E9" s="264">
        <v>0.125</v>
      </c>
      <c r="F9" s="264">
        <v>0.16666666666666699</v>
      </c>
      <c r="G9" s="264">
        <v>0.20833333333333301</v>
      </c>
      <c r="H9" s="264">
        <v>0.22916666666666666</v>
      </c>
      <c r="I9" s="264">
        <v>0.25</v>
      </c>
      <c r="J9" s="264">
        <v>0.27083333333333331</v>
      </c>
      <c r="K9" s="264">
        <v>0.29166666666666669</v>
      </c>
      <c r="L9" s="264">
        <v>0.3125</v>
      </c>
      <c r="M9" s="262">
        <v>0.33333333333333331</v>
      </c>
      <c r="N9" s="262">
        <v>0.375</v>
      </c>
      <c r="O9" s="262">
        <v>0.41666666666666702</v>
      </c>
      <c r="P9" s="262">
        <v>0.45833333333333298</v>
      </c>
      <c r="Q9" s="262">
        <v>0.5</v>
      </c>
      <c r="R9" s="262">
        <v>0.54166666666666696</v>
      </c>
      <c r="S9" s="258">
        <v>0.58333333333333304</v>
      </c>
      <c r="T9" s="258">
        <v>0.625</v>
      </c>
      <c r="U9" s="258">
        <v>0.66666666666666696</v>
      </c>
      <c r="V9" s="258">
        <v>0.70833333333333304</v>
      </c>
      <c r="W9" s="258">
        <v>0.72916666666666663</v>
      </c>
      <c r="X9" s="258">
        <v>0.75</v>
      </c>
      <c r="Y9" s="258">
        <v>0.77083333333333337</v>
      </c>
      <c r="Z9" s="258">
        <v>0.79166666666666663</v>
      </c>
      <c r="AA9" s="258">
        <v>0.8125</v>
      </c>
      <c r="AB9" s="258">
        <v>0.83333333333333337</v>
      </c>
      <c r="AC9" s="258">
        <v>0.85416666666666663</v>
      </c>
      <c r="AD9" s="258">
        <v>0.875</v>
      </c>
      <c r="AE9" s="258">
        <v>0.91666666666666696</v>
      </c>
      <c r="AF9" s="258">
        <v>0.95833333333333304</v>
      </c>
      <c r="AG9" s="260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69"/>
      <c r="B10" s="259"/>
      <c r="C10" s="259"/>
      <c r="D10" s="259"/>
      <c r="E10" s="259"/>
      <c r="F10" s="259"/>
      <c r="G10" s="259"/>
      <c r="H10" s="259"/>
      <c r="I10" s="259"/>
      <c r="J10" s="259"/>
      <c r="K10" s="259"/>
      <c r="L10" s="259"/>
      <c r="M10" s="263"/>
      <c r="N10" s="263"/>
      <c r="O10" s="263"/>
      <c r="P10" s="263"/>
      <c r="Q10" s="263"/>
      <c r="R10" s="263"/>
      <c r="S10" s="259"/>
      <c r="T10" s="259"/>
      <c r="U10" s="259"/>
      <c r="V10" s="259"/>
      <c r="W10" s="259"/>
      <c r="X10" s="259"/>
      <c r="Y10" s="259"/>
      <c r="Z10" s="259"/>
      <c r="AA10" s="259"/>
      <c r="AB10" s="259"/>
      <c r="AC10" s="259"/>
      <c r="AD10" s="259"/>
      <c r="AE10" s="259"/>
      <c r="AF10" s="259"/>
      <c r="AG10" s="261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33.299999999999997</v>
      </c>
      <c r="C11" s="45">
        <v>33.5</v>
      </c>
      <c r="D11" s="45">
        <v>33.299999999999997</v>
      </c>
      <c r="E11" s="45">
        <v>33.5</v>
      </c>
      <c r="F11" s="45">
        <v>33.299999999999997</v>
      </c>
      <c r="G11" s="45">
        <v>33.299999999999997</v>
      </c>
      <c r="H11" s="45">
        <v>33.299999999999997</v>
      </c>
      <c r="I11" s="45">
        <v>33.299999999999997</v>
      </c>
      <c r="J11" s="45">
        <v>33.299999999999997</v>
      </c>
      <c r="K11" s="45">
        <v>33.299999999999997</v>
      </c>
      <c r="L11" s="45">
        <v>32.6</v>
      </c>
      <c r="M11" s="45">
        <v>32.6</v>
      </c>
      <c r="N11" s="45">
        <v>32.6</v>
      </c>
      <c r="O11" s="45">
        <v>32.6</v>
      </c>
      <c r="P11" s="45">
        <v>32.6</v>
      </c>
      <c r="Q11" s="45">
        <v>32.6</v>
      </c>
      <c r="R11" s="45">
        <v>32.6</v>
      </c>
      <c r="S11" s="45">
        <v>31.4</v>
      </c>
      <c r="T11" s="45">
        <v>31.4</v>
      </c>
      <c r="U11" s="45">
        <v>30</v>
      </c>
      <c r="V11" s="45">
        <v>30</v>
      </c>
      <c r="W11" s="45">
        <v>30</v>
      </c>
      <c r="X11" s="45">
        <v>30</v>
      </c>
      <c r="Y11" s="45">
        <v>30</v>
      </c>
      <c r="Z11" s="45">
        <v>30</v>
      </c>
      <c r="AA11" s="45">
        <v>30</v>
      </c>
      <c r="AB11" s="45">
        <v>30</v>
      </c>
      <c r="AC11" s="45">
        <v>30</v>
      </c>
      <c r="AD11" s="45">
        <v>30</v>
      </c>
      <c r="AE11" s="45">
        <v>31.8</v>
      </c>
      <c r="AF11" s="45">
        <v>34.299999999999997</v>
      </c>
      <c r="AG11" s="46">
        <v>86</v>
      </c>
      <c r="AH11" s="47">
        <f t="shared" ref="AH11:AH84" si="2">MAX(B11:AF11)</f>
        <v>34.299999999999997</v>
      </c>
      <c r="AI11" s="48">
        <f t="shared" ref="AI11:AI84" si="3">MIN(B11:AF11)</f>
        <v>30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262</v>
      </c>
      <c r="B12" s="45">
        <v>11.2</v>
      </c>
      <c r="C12" s="45">
        <v>11.2</v>
      </c>
      <c r="D12" s="45">
        <v>11.2</v>
      </c>
      <c r="E12" s="45">
        <v>11.2</v>
      </c>
      <c r="F12" s="45">
        <v>11.2</v>
      </c>
      <c r="G12" s="45">
        <v>11.2</v>
      </c>
      <c r="H12" s="45">
        <v>11.2</v>
      </c>
      <c r="I12" s="45">
        <v>11.2</v>
      </c>
      <c r="J12" s="45">
        <v>11.2</v>
      </c>
      <c r="K12" s="45">
        <v>11.2</v>
      </c>
      <c r="L12" s="45">
        <v>11.2</v>
      </c>
      <c r="M12" s="45">
        <v>11.2</v>
      </c>
      <c r="N12" s="45">
        <v>11.2</v>
      </c>
      <c r="O12" s="45">
        <v>11.2</v>
      </c>
      <c r="P12" s="45">
        <v>11.2</v>
      </c>
      <c r="Q12" s="45">
        <v>11.2</v>
      </c>
      <c r="R12" s="45">
        <v>11.2</v>
      </c>
      <c r="S12" s="45">
        <v>11.2</v>
      </c>
      <c r="T12" s="45">
        <v>11.2</v>
      </c>
      <c r="U12" s="45">
        <v>11.2</v>
      </c>
      <c r="V12" s="45">
        <v>11.2</v>
      </c>
      <c r="W12" s="45">
        <v>11.2</v>
      </c>
      <c r="X12" s="45">
        <v>11.2</v>
      </c>
      <c r="Y12" s="45">
        <v>11.2</v>
      </c>
      <c r="Z12" s="45">
        <v>11.2</v>
      </c>
      <c r="AA12" s="45">
        <v>11.2</v>
      </c>
      <c r="AB12" s="45">
        <v>11.2</v>
      </c>
      <c r="AC12" s="45">
        <v>11.2</v>
      </c>
      <c r="AD12" s="45">
        <v>11.2</v>
      </c>
      <c r="AE12" s="45">
        <v>11.2</v>
      </c>
      <c r="AF12" s="45">
        <v>11.2</v>
      </c>
      <c r="AG12" s="49">
        <v>54</v>
      </c>
      <c r="AH12" s="47">
        <f t="shared" si="2"/>
        <v>11.2</v>
      </c>
      <c r="AI12" s="48">
        <f t="shared" si="3"/>
        <v>11.2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15.5</v>
      </c>
      <c r="C13" s="45">
        <v>15.5</v>
      </c>
      <c r="D13" s="45">
        <v>15.5</v>
      </c>
      <c r="E13" s="45">
        <v>15.5</v>
      </c>
      <c r="F13" s="45">
        <v>15.5</v>
      </c>
      <c r="G13" s="45">
        <v>15.5</v>
      </c>
      <c r="H13" s="45">
        <v>15.5</v>
      </c>
      <c r="I13" s="45">
        <v>15.5</v>
      </c>
      <c r="J13" s="45">
        <v>15.5</v>
      </c>
      <c r="K13" s="45">
        <v>15.5</v>
      </c>
      <c r="L13" s="45">
        <v>15.5</v>
      </c>
      <c r="M13" s="45">
        <v>15.5</v>
      </c>
      <c r="N13" s="45">
        <v>15.5</v>
      </c>
      <c r="O13" s="45">
        <v>15.5</v>
      </c>
      <c r="P13" s="45">
        <v>15.5</v>
      </c>
      <c r="Q13" s="45">
        <v>15.5</v>
      </c>
      <c r="R13" s="45">
        <v>15.5</v>
      </c>
      <c r="S13" s="45">
        <v>15.5</v>
      </c>
      <c r="T13" s="45">
        <v>15.5</v>
      </c>
      <c r="U13" s="45">
        <v>15.5</v>
      </c>
      <c r="V13" s="45">
        <v>15.5</v>
      </c>
      <c r="W13" s="45">
        <v>15.5</v>
      </c>
      <c r="X13" s="45">
        <v>15.5</v>
      </c>
      <c r="Y13" s="45">
        <v>15.5</v>
      </c>
      <c r="Z13" s="45">
        <v>15.5</v>
      </c>
      <c r="AA13" s="45">
        <v>15.5</v>
      </c>
      <c r="AB13" s="45">
        <v>15.5</v>
      </c>
      <c r="AC13" s="45">
        <v>15.5</v>
      </c>
      <c r="AD13" s="45">
        <v>15.5</v>
      </c>
      <c r="AE13" s="45">
        <v>15.5</v>
      </c>
      <c r="AF13" s="45">
        <v>15.5</v>
      </c>
      <c r="AG13" s="49">
        <v>54</v>
      </c>
      <c r="AH13" s="47">
        <f t="shared" si="2"/>
        <v>15.5</v>
      </c>
      <c r="AI13" s="48">
        <f t="shared" si="3"/>
        <v>15.5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16.8</v>
      </c>
      <c r="C14" s="45">
        <v>16.399999999999999</v>
      </c>
      <c r="D14" s="45">
        <v>16.8</v>
      </c>
      <c r="E14" s="45">
        <v>16.8</v>
      </c>
      <c r="F14" s="45">
        <v>16.8</v>
      </c>
      <c r="G14" s="45">
        <v>16.8</v>
      </c>
      <c r="H14" s="45">
        <v>16.8</v>
      </c>
      <c r="I14" s="45">
        <v>16.8</v>
      </c>
      <c r="J14" s="45">
        <v>16.8</v>
      </c>
      <c r="K14" s="45">
        <v>16.8</v>
      </c>
      <c r="L14" s="45">
        <v>16.8</v>
      </c>
      <c r="M14" s="45">
        <v>16.8</v>
      </c>
      <c r="N14" s="45">
        <v>16.8</v>
      </c>
      <c r="O14" s="45">
        <v>16.8</v>
      </c>
      <c r="P14" s="45">
        <v>16.8</v>
      </c>
      <c r="Q14" s="45">
        <v>16.8</v>
      </c>
      <c r="R14" s="45">
        <v>16.8</v>
      </c>
      <c r="S14" s="45">
        <v>16.8</v>
      </c>
      <c r="T14" s="45">
        <v>16.8</v>
      </c>
      <c r="U14" s="45">
        <v>16.8</v>
      </c>
      <c r="V14" s="45">
        <v>16.8</v>
      </c>
      <c r="W14" s="45">
        <v>16.8</v>
      </c>
      <c r="X14" s="45">
        <v>16.8</v>
      </c>
      <c r="Y14" s="45">
        <v>16.8</v>
      </c>
      <c r="Z14" s="45">
        <v>16.8</v>
      </c>
      <c r="AA14" s="45">
        <v>16.8</v>
      </c>
      <c r="AB14" s="45">
        <v>16.8</v>
      </c>
      <c r="AC14" s="45">
        <v>16.8</v>
      </c>
      <c r="AD14" s="45">
        <v>16.8</v>
      </c>
      <c r="AE14" s="45">
        <v>17.2</v>
      </c>
      <c r="AF14" s="45">
        <v>15.8</v>
      </c>
      <c r="AG14" s="46">
        <v>52.4</v>
      </c>
      <c r="AH14" s="47">
        <f t="shared" si="2"/>
        <v>17.2</v>
      </c>
      <c r="AI14" s="48">
        <f t="shared" si="3"/>
        <v>15.8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51">
        <v>34.200000000000003</v>
      </c>
      <c r="C15" s="51">
        <v>34.299999999999997</v>
      </c>
      <c r="D15" s="51">
        <v>34.200000000000003</v>
      </c>
      <c r="E15" s="51">
        <v>34.200000000000003</v>
      </c>
      <c r="F15" s="51">
        <v>34.200000000000003</v>
      </c>
      <c r="G15" s="51">
        <v>34.200000000000003</v>
      </c>
      <c r="H15" s="51">
        <v>34.200000000000003</v>
      </c>
      <c r="I15" s="51">
        <v>34.200000000000003</v>
      </c>
      <c r="J15" s="51">
        <v>34.200000000000003</v>
      </c>
      <c r="K15" s="51">
        <v>34.200000000000003</v>
      </c>
      <c r="L15" s="51">
        <v>34.200000000000003</v>
      </c>
      <c r="M15" s="51">
        <v>34.200000000000003</v>
      </c>
      <c r="N15" s="51">
        <v>34.200000000000003</v>
      </c>
      <c r="O15" s="51">
        <v>34.200000000000003</v>
      </c>
      <c r="P15" s="51">
        <v>34.200000000000003</v>
      </c>
      <c r="Q15" s="51">
        <v>34.200000000000003</v>
      </c>
      <c r="R15" s="51">
        <v>34.200000000000003</v>
      </c>
      <c r="S15" s="51">
        <v>34.200000000000003</v>
      </c>
      <c r="T15" s="51">
        <v>34.200000000000003</v>
      </c>
      <c r="U15" s="51">
        <v>34.200000000000003</v>
      </c>
      <c r="V15" s="51">
        <v>34.200000000000003</v>
      </c>
      <c r="W15" s="51">
        <v>34.200000000000003</v>
      </c>
      <c r="X15" s="51">
        <v>34.200000000000003</v>
      </c>
      <c r="Y15" s="51">
        <v>34.200000000000003</v>
      </c>
      <c r="Z15" s="51">
        <v>34.200000000000003</v>
      </c>
      <c r="AA15" s="51">
        <v>34.200000000000003</v>
      </c>
      <c r="AB15" s="51">
        <v>34.200000000000003</v>
      </c>
      <c r="AC15" s="51">
        <v>34.200000000000003</v>
      </c>
      <c r="AD15" s="51">
        <v>34.200000000000003</v>
      </c>
      <c r="AE15" s="51">
        <v>34.299999999999997</v>
      </c>
      <c r="AF15" s="51">
        <v>34.1</v>
      </c>
      <c r="AG15" s="49">
        <v>50</v>
      </c>
      <c r="AH15" s="47">
        <f t="shared" si="2"/>
        <v>34.299999999999997</v>
      </c>
      <c r="AI15" s="48">
        <f t="shared" si="3"/>
        <v>34.1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17.100000000000001</v>
      </c>
      <c r="C16" s="45">
        <v>17.100000000000001</v>
      </c>
      <c r="D16" s="45">
        <v>17.100000000000001</v>
      </c>
      <c r="E16" s="45">
        <v>17.100000000000001</v>
      </c>
      <c r="F16" s="45">
        <v>17.100000000000001</v>
      </c>
      <c r="G16" s="45">
        <v>17.100000000000001</v>
      </c>
      <c r="H16" s="45">
        <v>17.100000000000001</v>
      </c>
      <c r="I16" s="45">
        <v>17.100000000000001</v>
      </c>
      <c r="J16" s="45">
        <v>17.100000000000001</v>
      </c>
      <c r="K16" s="45">
        <v>17.100000000000001</v>
      </c>
      <c r="L16" s="45">
        <v>17.100000000000001</v>
      </c>
      <c r="M16" s="45">
        <v>17.100000000000001</v>
      </c>
      <c r="N16" s="45">
        <v>17.100000000000001</v>
      </c>
      <c r="O16" s="45">
        <v>17.100000000000001</v>
      </c>
      <c r="P16" s="45">
        <v>17.100000000000001</v>
      </c>
      <c r="Q16" s="45">
        <v>17.100000000000001</v>
      </c>
      <c r="R16" s="45">
        <v>17.100000000000001</v>
      </c>
      <c r="S16" s="45">
        <v>17.100000000000001</v>
      </c>
      <c r="T16" s="45">
        <v>17.100000000000001</v>
      </c>
      <c r="U16" s="45">
        <v>17.100000000000001</v>
      </c>
      <c r="V16" s="45">
        <v>17.100000000000001</v>
      </c>
      <c r="W16" s="45">
        <v>17.100000000000001</v>
      </c>
      <c r="X16" s="45">
        <v>17.100000000000001</v>
      </c>
      <c r="Y16" s="45">
        <v>17.100000000000001</v>
      </c>
      <c r="Z16" s="45">
        <v>17.100000000000001</v>
      </c>
      <c r="AA16" s="45">
        <v>17.100000000000001</v>
      </c>
      <c r="AB16" s="45">
        <v>17.100000000000001</v>
      </c>
      <c r="AC16" s="45">
        <v>17.100000000000001</v>
      </c>
      <c r="AD16" s="45">
        <v>17.100000000000001</v>
      </c>
      <c r="AE16" s="45">
        <v>20.6</v>
      </c>
      <c r="AF16" s="45">
        <v>19.5</v>
      </c>
      <c r="AG16" s="49">
        <v>45</v>
      </c>
      <c r="AH16" s="47">
        <f t="shared" si="2"/>
        <v>20.6</v>
      </c>
      <c r="AI16" s="48">
        <f t="shared" si="3"/>
        <v>17.100000000000001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16.5</v>
      </c>
      <c r="C17" s="45">
        <v>16.5</v>
      </c>
      <c r="D17" s="45">
        <v>16.5</v>
      </c>
      <c r="E17" s="45">
        <v>16.5</v>
      </c>
      <c r="F17" s="45">
        <v>16.5</v>
      </c>
      <c r="G17" s="45">
        <v>16.5</v>
      </c>
      <c r="H17" s="45">
        <v>16.5</v>
      </c>
      <c r="I17" s="45">
        <v>16.5</v>
      </c>
      <c r="J17" s="45">
        <v>16.5</v>
      </c>
      <c r="K17" s="45">
        <v>16.5</v>
      </c>
      <c r="L17" s="45">
        <v>16.5</v>
      </c>
      <c r="M17" s="45">
        <v>16.5</v>
      </c>
      <c r="N17" s="45">
        <v>16.5</v>
      </c>
      <c r="O17" s="45">
        <v>16.5</v>
      </c>
      <c r="P17" s="45">
        <v>16.5</v>
      </c>
      <c r="Q17" s="45">
        <v>16.5</v>
      </c>
      <c r="R17" s="45">
        <v>16.5</v>
      </c>
      <c r="S17" s="45">
        <v>16.5</v>
      </c>
      <c r="T17" s="45">
        <v>16.5</v>
      </c>
      <c r="U17" s="45">
        <v>16.5</v>
      </c>
      <c r="V17" s="45">
        <v>16.5</v>
      </c>
      <c r="W17" s="45">
        <v>16.5</v>
      </c>
      <c r="X17" s="45">
        <v>16.5</v>
      </c>
      <c r="Y17" s="45">
        <v>16.5</v>
      </c>
      <c r="Z17" s="45">
        <v>16.5</v>
      </c>
      <c r="AA17" s="45">
        <v>16.5</v>
      </c>
      <c r="AB17" s="45">
        <v>16.5</v>
      </c>
      <c r="AC17" s="45">
        <v>16.5</v>
      </c>
      <c r="AD17" s="45">
        <v>16.5</v>
      </c>
      <c r="AE17" s="45">
        <v>16.5</v>
      </c>
      <c r="AF17" s="45">
        <v>16.5</v>
      </c>
      <c r="AG17" s="49">
        <v>44</v>
      </c>
      <c r="AH17" s="47">
        <f>MAX(B17:AG17)</f>
        <v>44</v>
      </c>
      <c r="AI17" s="48">
        <f>MIN(B17:AG17)</f>
        <v>16.5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9.5</v>
      </c>
      <c r="C18" s="45">
        <v>9.5</v>
      </c>
      <c r="D18" s="45">
        <v>9.5</v>
      </c>
      <c r="E18" s="45">
        <v>9.5</v>
      </c>
      <c r="F18" s="45">
        <v>9.5</v>
      </c>
      <c r="G18" s="45">
        <v>9.5</v>
      </c>
      <c r="H18" s="45">
        <v>9.5</v>
      </c>
      <c r="I18" s="45">
        <v>9.5</v>
      </c>
      <c r="J18" s="45">
        <v>9.5</v>
      </c>
      <c r="K18" s="45">
        <v>9.5</v>
      </c>
      <c r="L18" s="45">
        <v>9.5</v>
      </c>
      <c r="M18" s="45">
        <v>9.5</v>
      </c>
      <c r="N18" s="45">
        <v>9.5</v>
      </c>
      <c r="O18" s="45">
        <v>9.5</v>
      </c>
      <c r="P18" s="45">
        <v>9.5</v>
      </c>
      <c r="Q18" s="45">
        <v>9.5</v>
      </c>
      <c r="R18" s="45">
        <v>9.5</v>
      </c>
      <c r="S18" s="45">
        <v>9.5</v>
      </c>
      <c r="T18" s="45">
        <v>9.5</v>
      </c>
      <c r="U18" s="45">
        <v>9.5</v>
      </c>
      <c r="V18" s="45">
        <v>9.5</v>
      </c>
      <c r="W18" s="45">
        <v>9.5</v>
      </c>
      <c r="X18" s="45">
        <v>9.5</v>
      </c>
      <c r="Y18" s="45">
        <v>9.5</v>
      </c>
      <c r="Z18" s="45">
        <v>9.5</v>
      </c>
      <c r="AA18" s="45">
        <v>9.5</v>
      </c>
      <c r="AB18" s="45">
        <v>9.5</v>
      </c>
      <c r="AC18" s="45">
        <v>9.5</v>
      </c>
      <c r="AD18" s="45">
        <v>9.5</v>
      </c>
      <c r="AE18" s="45">
        <v>9.5</v>
      </c>
      <c r="AF18" s="45">
        <v>9.5</v>
      </c>
      <c r="AG18" s="49">
        <v>42</v>
      </c>
      <c r="AH18" s="47">
        <f t="shared" si="2"/>
        <v>9.5</v>
      </c>
      <c r="AI18" s="48">
        <f t="shared" si="3"/>
        <v>9.5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263</v>
      </c>
      <c r="B19" s="45">
        <v>15.4</v>
      </c>
      <c r="C19" s="45">
        <v>15.4</v>
      </c>
      <c r="D19" s="45">
        <v>15.4</v>
      </c>
      <c r="E19" s="45">
        <v>15.4</v>
      </c>
      <c r="F19" s="45">
        <v>15.4</v>
      </c>
      <c r="G19" s="45">
        <v>15.4</v>
      </c>
      <c r="H19" s="45">
        <v>15.4</v>
      </c>
      <c r="I19" s="45">
        <v>15.4</v>
      </c>
      <c r="J19" s="45">
        <v>15.4</v>
      </c>
      <c r="K19" s="45">
        <v>15.4</v>
      </c>
      <c r="L19" s="45">
        <v>15.4</v>
      </c>
      <c r="M19" s="45">
        <v>15.4</v>
      </c>
      <c r="N19" s="45">
        <v>15.4</v>
      </c>
      <c r="O19" s="45">
        <v>15.4</v>
      </c>
      <c r="P19" s="45">
        <v>15.4</v>
      </c>
      <c r="Q19" s="45">
        <v>15.4</v>
      </c>
      <c r="R19" s="45">
        <v>15.4</v>
      </c>
      <c r="S19" s="45">
        <v>15.4</v>
      </c>
      <c r="T19" s="45">
        <v>15.4</v>
      </c>
      <c r="U19" s="45">
        <v>15.4</v>
      </c>
      <c r="V19" s="45">
        <v>15.4</v>
      </c>
      <c r="W19" s="45">
        <v>15.4</v>
      </c>
      <c r="X19" s="45">
        <v>15.4</v>
      </c>
      <c r="Y19" s="45">
        <v>15.4</v>
      </c>
      <c r="Z19" s="45">
        <v>15.4</v>
      </c>
      <c r="AA19" s="45">
        <v>15.4</v>
      </c>
      <c r="AB19" s="45">
        <v>15.4</v>
      </c>
      <c r="AC19" s="45">
        <v>15.4</v>
      </c>
      <c r="AD19" s="45">
        <v>15.4</v>
      </c>
      <c r="AE19" s="45">
        <v>15.4</v>
      </c>
      <c r="AF19" s="45">
        <v>15.4</v>
      </c>
      <c r="AG19" s="49">
        <v>38.46</v>
      </c>
      <c r="AH19" s="47">
        <f t="shared" si="2"/>
        <v>15.4</v>
      </c>
      <c r="AI19" s="48">
        <f t="shared" si="3"/>
        <v>15.4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10.199999999999999</v>
      </c>
      <c r="C20" s="45">
        <v>10.199999999999999</v>
      </c>
      <c r="D20" s="45">
        <v>10.199999999999999</v>
      </c>
      <c r="E20" s="45">
        <v>10.199999999999999</v>
      </c>
      <c r="F20" s="45">
        <v>10.199999999999999</v>
      </c>
      <c r="G20" s="45">
        <v>10.199999999999999</v>
      </c>
      <c r="H20" s="45">
        <v>10.199999999999999</v>
      </c>
      <c r="I20" s="45">
        <v>10.199999999999999</v>
      </c>
      <c r="J20" s="45">
        <v>10.199999999999999</v>
      </c>
      <c r="K20" s="45">
        <v>10.199999999999999</v>
      </c>
      <c r="L20" s="45">
        <v>10.199999999999999</v>
      </c>
      <c r="M20" s="45">
        <v>10.199999999999999</v>
      </c>
      <c r="N20" s="45">
        <v>10.199999999999999</v>
      </c>
      <c r="O20" s="45">
        <v>10.199999999999999</v>
      </c>
      <c r="P20" s="45">
        <v>10.199999999999999</v>
      </c>
      <c r="Q20" s="45">
        <v>10.199999999999999</v>
      </c>
      <c r="R20" s="45">
        <v>10.199999999999999</v>
      </c>
      <c r="S20" s="45">
        <v>10.199999999999999</v>
      </c>
      <c r="T20" s="45">
        <v>10.199999999999999</v>
      </c>
      <c r="U20" s="45">
        <v>10.199999999999999</v>
      </c>
      <c r="V20" s="45">
        <v>10.199999999999999</v>
      </c>
      <c r="W20" s="45">
        <v>10.199999999999999</v>
      </c>
      <c r="X20" s="45">
        <v>10.199999999999999</v>
      </c>
      <c r="Y20" s="45">
        <v>10.199999999999999</v>
      </c>
      <c r="Z20" s="45">
        <v>10.199999999999999</v>
      </c>
      <c r="AA20" s="45">
        <v>10.199999999999999</v>
      </c>
      <c r="AB20" s="45">
        <v>10.199999999999999</v>
      </c>
      <c r="AC20" s="45">
        <v>10.199999999999999</v>
      </c>
      <c r="AD20" s="45">
        <v>10.199999999999999</v>
      </c>
      <c r="AE20" s="45">
        <v>10.199999999999999</v>
      </c>
      <c r="AF20" s="45">
        <v>10.199999999999999</v>
      </c>
      <c r="AG20" s="49">
        <v>38.46</v>
      </c>
      <c r="AH20" s="47">
        <f t="shared" si="2"/>
        <v>10.199999999999999</v>
      </c>
      <c r="AI20" s="48">
        <f t="shared" si="3"/>
        <v>10.199999999999999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13.6</v>
      </c>
      <c r="C21" s="45">
        <v>13.6</v>
      </c>
      <c r="D21" s="45">
        <v>13.6</v>
      </c>
      <c r="E21" s="45">
        <v>13.6</v>
      </c>
      <c r="F21" s="45">
        <v>13.6</v>
      </c>
      <c r="G21" s="45">
        <v>13.6</v>
      </c>
      <c r="H21" s="45">
        <v>13.6</v>
      </c>
      <c r="I21" s="45">
        <v>13.6</v>
      </c>
      <c r="J21" s="45">
        <v>13.6</v>
      </c>
      <c r="K21" s="45">
        <v>13.6</v>
      </c>
      <c r="L21" s="45">
        <v>13.6</v>
      </c>
      <c r="M21" s="45">
        <v>13.6</v>
      </c>
      <c r="N21" s="45">
        <v>13.6</v>
      </c>
      <c r="O21" s="45">
        <v>13.6</v>
      </c>
      <c r="P21" s="45">
        <v>13.6</v>
      </c>
      <c r="Q21" s="45">
        <v>13.6</v>
      </c>
      <c r="R21" s="45">
        <v>13.6</v>
      </c>
      <c r="S21" s="45">
        <v>13.6</v>
      </c>
      <c r="T21" s="45">
        <v>13.6</v>
      </c>
      <c r="U21" s="45">
        <v>13.6</v>
      </c>
      <c r="V21" s="45">
        <v>13.6</v>
      </c>
      <c r="W21" s="45">
        <v>13.6</v>
      </c>
      <c r="X21" s="45">
        <v>13.6</v>
      </c>
      <c r="Y21" s="45">
        <v>13.6</v>
      </c>
      <c r="Z21" s="45">
        <v>13.6</v>
      </c>
      <c r="AA21" s="45">
        <v>13.6</v>
      </c>
      <c r="AB21" s="45">
        <v>13.6</v>
      </c>
      <c r="AC21" s="45">
        <v>13.6</v>
      </c>
      <c r="AD21" s="45">
        <v>13.6</v>
      </c>
      <c r="AE21" s="45">
        <v>13.6</v>
      </c>
      <c r="AF21" s="45">
        <v>13.6</v>
      </c>
      <c r="AG21" s="49">
        <v>36</v>
      </c>
      <c r="AH21" s="47">
        <f t="shared" si="2"/>
        <v>13.6</v>
      </c>
      <c r="AI21" s="48">
        <f t="shared" si="3"/>
        <v>13.6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9.6</v>
      </c>
      <c r="C22" s="45">
        <v>9.6</v>
      </c>
      <c r="D22" s="45">
        <v>9.6</v>
      </c>
      <c r="E22" s="45">
        <v>9.6</v>
      </c>
      <c r="F22" s="45">
        <v>9.6</v>
      </c>
      <c r="G22" s="45">
        <v>9.6</v>
      </c>
      <c r="H22" s="45">
        <v>9.6</v>
      </c>
      <c r="I22" s="45">
        <v>9.6</v>
      </c>
      <c r="J22" s="45">
        <v>9.6</v>
      </c>
      <c r="K22" s="45">
        <v>9.6</v>
      </c>
      <c r="L22" s="45">
        <v>9.6</v>
      </c>
      <c r="M22" s="45">
        <v>9.6</v>
      </c>
      <c r="N22" s="45">
        <v>9.6</v>
      </c>
      <c r="O22" s="45">
        <v>9.6</v>
      </c>
      <c r="P22" s="45">
        <v>9.6</v>
      </c>
      <c r="Q22" s="45">
        <v>9.6</v>
      </c>
      <c r="R22" s="45">
        <v>9.6</v>
      </c>
      <c r="S22" s="45">
        <v>9.6</v>
      </c>
      <c r="T22" s="45">
        <v>9.6</v>
      </c>
      <c r="U22" s="45">
        <v>9.6</v>
      </c>
      <c r="V22" s="45">
        <v>9.6</v>
      </c>
      <c r="W22" s="45">
        <v>9.6</v>
      </c>
      <c r="X22" s="45">
        <v>9.6</v>
      </c>
      <c r="Y22" s="45">
        <v>9.6</v>
      </c>
      <c r="Z22" s="45">
        <v>9.6</v>
      </c>
      <c r="AA22" s="45">
        <v>9.6</v>
      </c>
      <c r="AB22" s="45">
        <v>9.6</v>
      </c>
      <c r="AC22" s="45">
        <v>9.6</v>
      </c>
      <c r="AD22" s="45">
        <v>9.6</v>
      </c>
      <c r="AE22" s="45">
        <v>9.1</v>
      </c>
      <c r="AF22" s="45">
        <v>9.1</v>
      </c>
      <c r="AG22" s="52">
        <v>30</v>
      </c>
      <c r="AH22" s="47">
        <f t="shared" si="2"/>
        <v>9.6</v>
      </c>
      <c r="AI22" s="48">
        <f t="shared" si="3"/>
        <v>9.1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9</v>
      </c>
      <c r="C23" s="45">
        <v>9</v>
      </c>
      <c r="D23" s="45">
        <v>9</v>
      </c>
      <c r="E23" s="45">
        <v>9</v>
      </c>
      <c r="F23" s="45">
        <v>9</v>
      </c>
      <c r="G23" s="45">
        <v>9</v>
      </c>
      <c r="H23" s="45">
        <v>9</v>
      </c>
      <c r="I23" s="45">
        <v>9</v>
      </c>
      <c r="J23" s="45">
        <v>9</v>
      </c>
      <c r="K23" s="45">
        <v>9</v>
      </c>
      <c r="L23" s="45">
        <v>9</v>
      </c>
      <c r="M23" s="45">
        <v>9</v>
      </c>
      <c r="N23" s="45">
        <v>9</v>
      </c>
      <c r="O23" s="45">
        <v>9</v>
      </c>
      <c r="P23" s="45">
        <v>9</v>
      </c>
      <c r="Q23" s="45">
        <v>9</v>
      </c>
      <c r="R23" s="45">
        <v>9</v>
      </c>
      <c r="S23" s="45">
        <v>9</v>
      </c>
      <c r="T23" s="45">
        <v>9</v>
      </c>
      <c r="U23" s="45">
        <v>9</v>
      </c>
      <c r="V23" s="45">
        <v>9</v>
      </c>
      <c r="W23" s="45">
        <v>9</v>
      </c>
      <c r="X23" s="45">
        <v>9</v>
      </c>
      <c r="Y23" s="45">
        <v>9</v>
      </c>
      <c r="Z23" s="45">
        <v>9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9</v>
      </c>
      <c r="AG23" s="49">
        <v>24.2</v>
      </c>
      <c r="AH23" s="47">
        <f t="shared" si="2"/>
        <v>9</v>
      </c>
      <c r="AI23" s="48">
        <f t="shared" si="3"/>
        <v>9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10.1</v>
      </c>
      <c r="C24" s="45">
        <v>10</v>
      </c>
      <c r="D24" s="45">
        <v>10.1</v>
      </c>
      <c r="E24" s="45">
        <v>10.1</v>
      </c>
      <c r="F24" s="45">
        <v>10.1</v>
      </c>
      <c r="G24" s="45">
        <v>10.1</v>
      </c>
      <c r="H24" s="45">
        <v>10.1</v>
      </c>
      <c r="I24" s="45">
        <v>10.1</v>
      </c>
      <c r="J24" s="45">
        <v>10.1</v>
      </c>
      <c r="K24" s="45">
        <v>10.1</v>
      </c>
      <c r="L24" s="45">
        <v>10.1</v>
      </c>
      <c r="M24" s="45">
        <v>10.1</v>
      </c>
      <c r="N24" s="45">
        <v>10.1</v>
      </c>
      <c r="O24" s="45">
        <v>10.1</v>
      </c>
      <c r="P24" s="45">
        <v>10.1</v>
      </c>
      <c r="Q24" s="45">
        <v>10.1</v>
      </c>
      <c r="R24" s="45">
        <v>10.1</v>
      </c>
      <c r="S24" s="45">
        <v>10.1</v>
      </c>
      <c r="T24" s="45">
        <v>10.1</v>
      </c>
      <c r="U24" s="45">
        <v>10.1</v>
      </c>
      <c r="V24" s="45">
        <v>10.1</v>
      </c>
      <c r="W24" s="45">
        <v>10.1</v>
      </c>
      <c r="X24" s="45">
        <v>10.1</v>
      </c>
      <c r="Y24" s="45">
        <v>10.1</v>
      </c>
      <c r="Z24" s="45">
        <v>10.1</v>
      </c>
      <c r="AA24" s="45">
        <v>10.1</v>
      </c>
      <c r="AB24" s="45">
        <v>10.1</v>
      </c>
      <c r="AC24" s="45">
        <v>10.1</v>
      </c>
      <c r="AD24" s="45">
        <v>10.1</v>
      </c>
      <c r="AE24" s="45">
        <v>10.7</v>
      </c>
      <c r="AF24" s="45">
        <v>10.7</v>
      </c>
      <c r="AG24" s="49">
        <v>28</v>
      </c>
      <c r="AH24" s="47">
        <f t="shared" si="2"/>
        <v>10.7</v>
      </c>
      <c r="AI24" s="48">
        <f t="shared" si="3"/>
        <v>10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8.3000000000000007</v>
      </c>
      <c r="C25" s="45">
        <v>8.3000000000000007</v>
      </c>
      <c r="D25" s="45">
        <v>8.3000000000000007</v>
      </c>
      <c r="E25" s="45">
        <v>8.3000000000000007</v>
      </c>
      <c r="F25" s="45">
        <v>8.3000000000000007</v>
      </c>
      <c r="G25" s="45">
        <v>8.3000000000000007</v>
      </c>
      <c r="H25" s="45">
        <v>8.3000000000000007</v>
      </c>
      <c r="I25" s="45">
        <v>8.3000000000000007</v>
      </c>
      <c r="J25" s="45">
        <v>8.3000000000000007</v>
      </c>
      <c r="K25" s="45">
        <v>8.3000000000000007</v>
      </c>
      <c r="L25" s="45">
        <v>8.3000000000000007</v>
      </c>
      <c r="M25" s="45">
        <v>8.3000000000000007</v>
      </c>
      <c r="N25" s="45">
        <v>8.3000000000000007</v>
      </c>
      <c r="O25" s="45">
        <v>8.3000000000000007</v>
      </c>
      <c r="P25" s="45">
        <v>8.3000000000000007</v>
      </c>
      <c r="Q25" s="45">
        <v>8.3000000000000007</v>
      </c>
      <c r="R25" s="45">
        <v>8.3000000000000007</v>
      </c>
      <c r="S25" s="45">
        <v>8.3000000000000007</v>
      </c>
      <c r="T25" s="45">
        <v>8.3000000000000007</v>
      </c>
      <c r="U25" s="45">
        <v>8.3000000000000007</v>
      </c>
      <c r="V25" s="45">
        <v>8.3000000000000007</v>
      </c>
      <c r="W25" s="45">
        <v>8.3000000000000007</v>
      </c>
      <c r="X25" s="45">
        <v>8.3000000000000007</v>
      </c>
      <c r="Y25" s="45">
        <v>8.3000000000000007</v>
      </c>
      <c r="Z25" s="45">
        <v>8.3000000000000007</v>
      </c>
      <c r="AA25" s="45">
        <v>8.3000000000000007</v>
      </c>
      <c r="AB25" s="45">
        <v>8.3000000000000007</v>
      </c>
      <c r="AC25" s="45">
        <v>8.3000000000000007</v>
      </c>
      <c r="AD25" s="45">
        <v>8.3000000000000007</v>
      </c>
      <c r="AE25" s="45">
        <v>8.1999999999999993</v>
      </c>
      <c r="AF25" s="45">
        <v>8.1999999999999993</v>
      </c>
      <c r="AG25" s="52">
        <v>30</v>
      </c>
      <c r="AH25" s="47">
        <f t="shared" si="2"/>
        <v>8.3000000000000007</v>
      </c>
      <c r="AI25" s="48">
        <f t="shared" si="3"/>
        <v>8.1999999999999993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11.1</v>
      </c>
      <c r="C26" s="45">
        <v>11.1</v>
      </c>
      <c r="D26" s="45">
        <v>11.1</v>
      </c>
      <c r="E26" s="45">
        <v>11.1</v>
      </c>
      <c r="F26" s="45">
        <v>11.1</v>
      </c>
      <c r="G26" s="45">
        <v>11.1</v>
      </c>
      <c r="H26" s="45">
        <v>11.1</v>
      </c>
      <c r="I26" s="45">
        <v>11.1</v>
      </c>
      <c r="J26" s="45">
        <v>11.1</v>
      </c>
      <c r="K26" s="45">
        <v>11.1</v>
      </c>
      <c r="L26" s="45">
        <v>11.1</v>
      </c>
      <c r="M26" s="45">
        <v>11.1</v>
      </c>
      <c r="N26" s="45">
        <v>11.1</v>
      </c>
      <c r="O26" s="45">
        <v>11.1</v>
      </c>
      <c r="P26" s="45">
        <v>11.1</v>
      </c>
      <c r="Q26" s="45">
        <v>11.1</v>
      </c>
      <c r="R26" s="45">
        <v>11.1</v>
      </c>
      <c r="S26" s="45">
        <v>11.1</v>
      </c>
      <c r="T26" s="45">
        <v>11.1</v>
      </c>
      <c r="U26" s="45">
        <v>11.1</v>
      </c>
      <c r="V26" s="45">
        <v>11.1</v>
      </c>
      <c r="W26" s="45">
        <v>11.1</v>
      </c>
      <c r="X26" s="45">
        <v>11.1</v>
      </c>
      <c r="Y26" s="45">
        <v>11.1</v>
      </c>
      <c r="Z26" s="45">
        <v>11.1</v>
      </c>
      <c r="AA26" s="45">
        <v>11.1</v>
      </c>
      <c r="AB26" s="45">
        <v>11.1</v>
      </c>
      <c r="AC26" s="45">
        <v>11.1</v>
      </c>
      <c r="AD26" s="45">
        <v>11.1</v>
      </c>
      <c r="AE26" s="45">
        <v>11.1</v>
      </c>
      <c r="AF26" s="45">
        <v>9.6</v>
      </c>
      <c r="AG26" s="49">
        <v>25</v>
      </c>
      <c r="AH26" s="47">
        <f t="shared" si="2"/>
        <v>11.1</v>
      </c>
      <c r="AI26" s="48">
        <f t="shared" si="3"/>
        <v>9.6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0</v>
      </c>
      <c r="C27" s="45">
        <v>0</v>
      </c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9">
        <v>25</v>
      </c>
      <c r="AH27" s="47">
        <f t="shared" si="2"/>
        <v>0</v>
      </c>
      <c r="AI27" s="48">
        <f t="shared" si="3"/>
        <v>0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7.5</v>
      </c>
      <c r="C28" s="45">
        <v>7.5</v>
      </c>
      <c r="D28" s="45">
        <v>7.5</v>
      </c>
      <c r="E28" s="45">
        <v>7.5</v>
      </c>
      <c r="F28" s="45">
        <v>7.5</v>
      </c>
      <c r="G28" s="45">
        <v>7.5</v>
      </c>
      <c r="H28" s="45">
        <v>7.5</v>
      </c>
      <c r="I28" s="45">
        <v>7.5</v>
      </c>
      <c r="J28" s="45">
        <v>7.5</v>
      </c>
      <c r="K28" s="45">
        <v>7.5</v>
      </c>
      <c r="L28" s="45">
        <v>7.5</v>
      </c>
      <c r="M28" s="45">
        <v>7.5</v>
      </c>
      <c r="N28" s="45">
        <v>7.5</v>
      </c>
      <c r="O28" s="45">
        <v>7.5</v>
      </c>
      <c r="P28" s="45">
        <v>7.5</v>
      </c>
      <c r="Q28" s="45">
        <v>7.5</v>
      </c>
      <c r="R28" s="45">
        <v>7.5</v>
      </c>
      <c r="S28" s="45">
        <v>7.5</v>
      </c>
      <c r="T28" s="45">
        <v>7.5</v>
      </c>
      <c r="U28" s="45">
        <v>7.5</v>
      </c>
      <c r="V28" s="45">
        <v>7.5</v>
      </c>
      <c r="W28" s="45">
        <v>7.5</v>
      </c>
      <c r="X28" s="45">
        <v>7.5</v>
      </c>
      <c r="Y28" s="45">
        <v>7.5</v>
      </c>
      <c r="Z28" s="45">
        <v>7.5</v>
      </c>
      <c r="AA28" s="45">
        <v>7.5</v>
      </c>
      <c r="AB28" s="45">
        <v>7.5</v>
      </c>
      <c r="AC28" s="45">
        <v>7.5</v>
      </c>
      <c r="AD28" s="45">
        <v>7.5</v>
      </c>
      <c r="AE28" s="45">
        <v>7.5</v>
      </c>
      <c r="AF28" s="45">
        <v>7.5</v>
      </c>
      <c r="AG28" s="49">
        <v>25</v>
      </c>
      <c r="AH28" s="47">
        <f t="shared" si="2"/>
        <v>7.5</v>
      </c>
      <c r="AI28" s="48">
        <f t="shared" si="3"/>
        <v>7.5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9.1999999999999993</v>
      </c>
      <c r="C29" s="45">
        <v>9.1999999999999993</v>
      </c>
      <c r="D29" s="45">
        <v>9.1999999999999993</v>
      </c>
      <c r="E29" s="45">
        <v>9.1999999999999993</v>
      </c>
      <c r="F29" s="45">
        <v>9.1999999999999993</v>
      </c>
      <c r="G29" s="45">
        <v>9.1999999999999993</v>
      </c>
      <c r="H29" s="45">
        <v>9.1999999999999993</v>
      </c>
      <c r="I29" s="45">
        <v>9.1999999999999993</v>
      </c>
      <c r="J29" s="45">
        <v>9.1999999999999993</v>
      </c>
      <c r="K29" s="45">
        <v>9.1999999999999993</v>
      </c>
      <c r="L29" s="45">
        <v>9.1999999999999993</v>
      </c>
      <c r="M29" s="45">
        <v>9.1999999999999993</v>
      </c>
      <c r="N29" s="45">
        <v>9.1999999999999993</v>
      </c>
      <c r="O29" s="45">
        <v>9.1999999999999993</v>
      </c>
      <c r="P29" s="45">
        <v>9.1999999999999993</v>
      </c>
      <c r="Q29" s="45">
        <v>9.1999999999999993</v>
      </c>
      <c r="R29" s="45">
        <v>9.1999999999999993</v>
      </c>
      <c r="S29" s="45">
        <v>9.1999999999999993</v>
      </c>
      <c r="T29" s="45">
        <v>9.1999999999999993</v>
      </c>
      <c r="U29" s="45">
        <v>9.1999999999999993</v>
      </c>
      <c r="V29" s="45">
        <v>9.1999999999999993</v>
      </c>
      <c r="W29" s="45">
        <v>9.1999999999999993</v>
      </c>
      <c r="X29" s="45">
        <v>9.1999999999999993</v>
      </c>
      <c r="Y29" s="45">
        <v>9.1999999999999993</v>
      </c>
      <c r="Z29" s="45">
        <v>9.1999999999999993</v>
      </c>
      <c r="AA29" s="45">
        <v>9.1999999999999993</v>
      </c>
      <c r="AB29" s="45">
        <v>9.1999999999999993</v>
      </c>
      <c r="AC29" s="45">
        <v>9.1999999999999993</v>
      </c>
      <c r="AD29" s="45">
        <v>9.1999999999999993</v>
      </c>
      <c r="AE29" s="45">
        <v>9.1999999999999993</v>
      </c>
      <c r="AF29" s="45">
        <v>9</v>
      </c>
      <c r="AG29" s="49">
        <v>25</v>
      </c>
      <c r="AH29" s="47">
        <f t="shared" si="2"/>
        <v>9.1999999999999993</v>
      </c>
      <c r="AI29" s="48">
        <f t="shared" si="3"/>
        <v>9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9.3000000000000007</v>
      </c>
      <c r="C30" s="45">
        <v>9.3000000000000007</v>
      </c>
      <c r="D30" s="45">
        <v>9.3000000000000007</v>
      </c>
      <c r="E30" s="45">
        <v>9.3000000000000007</v>
      </c>
      <c r="F30" s="45">
        <v>9.3000000000000007</v>
      </c>
      <c r="G30" s="45">
        <v>9.3000000000000007</v>
      </c>
      <c r="H30" s="45">
        <v>9.3000000000000007</v>
      </c>
      <c r="I30" s="45">
        <v>9.3000000000000007</v>
      </c>
      <c r="J30" s="45">
        <v>9.3000000000000007</v>
      </c>
      <c r="K30" s="45">
        <v>9.3000000000000007</v>
      </c>
      <c r="L30" s="45">
        <v>9.3000000000000007</v>
      </c>
      <c r="M30" s="45">
        <v>9.3000000000000007</v>
      </c>
      <c r="N30" s="45">
        <v>9.3000000000000007</v>
      </c>
      <c r="O30" s="45">
        <v>9.3000000000000007</v>
      </c>
      <c r="P30" s="45">
        <v>9.3000000000000007</v>
      </c>
      <c r="Q30" s="45">
        <v>9.3000000000000007</v>
      </c>
      <c r="R30" s="45">
        <v>9.3000000000000007</v>
      </c>
      <c r="S30" s="45">
        <v>9.3000000000000007</v>
      </c>
      <c r="T30" s="45">
        <v>9.3000000000000007</v>
      </c>
      <c r="U30" s="45">
        <v>9.3000000000000007</v>
      </c>
      <c r="V30" s="45">
        <v>9.3000000000000007</v>
      </c>
      <c r="W30" s="45">
        <v>9.3000000000000007</v>
      </c>
      <c r="X30" s="45">
        <v>9.3000000000000007</v>
      </c>
      <c r="Y30" s="45">
        <v>9.3000000000000007</v>
      </c>
      <c r="Z30" s="45">
        <v>9.3000000000000007</v>
      </c>
      <c r="AA30" s="45">
        <v>9.3000000000000007</v>
      </c>
      <c r="AB30" s="45">
        <v>9.3000000000000007</v>
      </c>
      <c r="AC30" s="45">
        <v>9.3000000000000007</v>
      </c>
      <c r="AD30" s="45">
        <v>9.3000000000000007</v>
      </c>
      <c r="AE30" s="45">
        <v>9.3000000000000007</v>
      </c>
      <c r="AF30" s="45">
        <v>9.3000000000000007</v>
      </c>
      <c r="AG30" s="49">
        <v>23.5</v>
      </c>
      <c r="AH30" s="47">
        <f t="shared" si="2"/>
        <v>9.3000000000000007</v>
      </c>
      <c r="AI30" s="48">
        <f t="shared" si="3"/>
        <v>9.3000000000000007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4.5</v>
      </c>
      <c r="C31" s="45">
        <v>4.5</v>
      </c>
      <c r="D31" s="45">
        <v>4.5</v>
      </c>
      <c r="E31" s="45">
        <v>4.5</v>
      </c>
      <c r="F31" s="45">
        <v>4.5</v>
      </c>
      <c r="G31" s="45">
        <v>4.5</v>
      </c>
      <c r="H31" s="45">
        <v>4.5</v>
      </c>
      <c r="I31" s="45">
        <v>4.5</v>
      </c>
      <c r="J31" s="45">
        <v>4.5</v>
      </c>
      <c r="K31" s="45">
        <v>4.5</v>
      </c>
      <c r="L31" s="45">
        <v>4.5</v>
      </c>
      <c r="M31" s="45">
        <v>4.5</v>
      </c>
      <c r="N31" s="45">
        <v>4.5</v>
      </c>
      <c r="O31" s="45">
        <v>4.5</v>
      </c>
      <c r="P31" s="45">
        <v>4.5</v>
      </c>
      <c r="Q31" s="45">
        <v>4.5</v>
      </c>
      <c r="R31" s="45">
        <v>4.5</v>
      </c>
      <c r="S31" s="45">
        <v>4.5</v>
      </c>
      <c r="T31" s="45">
        <v>4.5</v>
      </c>
      <c r="U31" s="45">
        <v>4.5</v>
      </c>
      <c r="V31" s="45">
        <v>4.5</v>
      </c>
      <c r="W31" s="45">
        <v>4.5</v>
      </c>
      <c r="X31" s="45">
        <v>4.5</v>
      </c>
      <c r="Y31" s="45">
        <v>4.5</v>
      </c>
      <c r="Z31" s="45">
        <v>4.5</v>
      </c>
      <c r="AA31" s="45">
        <v>4.5</v>
      </c>
      <c r="AB31" s="45">
        <v>4.5</v>
      </c>
      <c r="AC31" s="45">
        <v>4.5</v>
      </c>
      <c r="AD31" s="45">
        <v>4.5</v>
      </c>
      <c r="AE31" s="45">
        <v>4.5</v>
      </c>
      <c r="AF31" s="45">
        <v>4.5</v>
      </c>
      <c r="AG31" s="49">
        <v>22.2</v>
      </c>
      <c r="AH31" s="47">
        <f t="shared" si="2"/>
        <v>4.5</v>
      </c>
      <c r="AI31" s="48">
        <f t="shared" si="3"/>
        <v>4.5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>
        <v>5.5</v>
      </c>
      <c r="N32" s="45">
        <v>5.5</v>
      </c>
      <c r="O32" s="45">
        <v>5.5</v>
      </c>
      <c r="P32" s="45">
        <v>5.5</v>
      </c>
      <c r="Q32" s="45">
        <v>5.5</v>
      </c>
      <c r="R32" s="45">
        <v>5.5</v>
      </c>
      <c r="S32" s="45">
        <v>5.5</v>
      </c>
      <c r="T32" s="45">
        <v>5.5</v>
      </c>
      <c r="U32" s="45">
        <v>5.5</v>
      </c>
      <c r="V32" s="45">
        <v>5.5</v>
      </c>
      <c r="W32" s="45">
        <v>5.5</v>
      </c>
      <c r="X32" s="45">
        <v>5.5</v>
      </c>
      <c r="Y32" s="45">
        <v>5.5</v>
      </c>
      <c r="Z32" s="45">
        <v>5.5</v>
      </c>
      <c r="AA32" s="45">
        <v>5.5</v>
      </c>
      <c r="AB32" s="45">
        <v>5.5</v>
      </c>
      <c r="AC32" s="45">
        <v>5.5</v>
      </c>
      <c r="AD32" s="45">
        <v>5.5</v>
      </c>
      <c r="AE32" s="45">
        <v>5.5</v>
      </c>
      <c r="AF32" s="45">
        <v>5.5</v>
      </c>
      <c r="AG32" s="49">
        <v>22.1</v>
      </c>
      <c r="AH32" s="47">
        <f t="shared" si="2"/>
        <v>5.5</v>
      </c>
      <c r="AI32" s="48">
        <f t="shared" si="3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22</v>
      </c>
      <c r="AH33" s="47">
        <f t="shared" si="2"/>
        <v>6</v>
      </c>
      <c r="AI33" s="48">
        <f t="shared" si="3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11.2</v>
      </c>
      <c r="C34" s="45">
        <v>11.2</v>
      </c>
      <c r="D34" s="45">
        <v>11.2</v>
      </c>
      <c r="E34" s="45">
        <v>11.2</v>
      </c>
      <c r="F34" s="45">
        <v>11.2</v>
      </c>
      <c r="G34" s="45">
        <v>11.2</v>
      </c>
      <c r="H34" s="45">
        <v>11.2</v>
      </c>
      <c r="I34" s="45">
        <v>11.2</v>
      </c>
      <c r="J34" s="45">
        <v>11.2</v>
      </c>
      <c r="K34" s="45">
        <v>11.2</v>
      </c>
      <c r="L34" s="45">
        <v>11.2</v>
      </c>
      <c r="M34" s="45">
        <v>11.2</v>
      </c>
      <c r="N34" s="45">
        <v>11.2</v>
      </c>
      <c r="O34" s="45">
        <v>11.2</v>
      </c>
      <c r="P34" s="45">
        <v>11.2</v>
      </c>
      <c r="Q34" s="45">
        <v>11.2</v>
      </c>
      <c r="R34" s="45">
        <v>11.2</v>
      </c>
      <c r="S34" s="45">
        <v>11.2</v>
      </c>
      <c r="T34" s="45">
        <v>11.2</v>
      </c>
      <c r="U34" s="45">
        <v>11.2</v>
      </c>
      <c r="V34" s="45">
        <v>11.2</v>
      </c>
      <c r="W34" s="45">
        <v>11.2</v>
      </c>
      <c r="X34" s="45">
        <v>11.2</v>
      </c>
      <c r="Y34" s="45">
        <v>11.2</v>
      </c>
      <c r="Z34" s="45">
        <v>11.2</v>
      </c>
      <c r="AA34" s="45">
        <v>11.2</v>
      </c>
      <c r="AB34" s="45">
        <v>11.2</v>
      </c>
      <c r="AC34" s="45">
        <v>11.2</v>
      </c>
      <c r="AD34" s="45">
        <v>11.2</v>
      </c>
      <c r="AE34" s="45">
        <v>12</v>
      </c>
      <c r="AF34" s="45">
        <v>11.5</v>
      </c>
      <c r="AG34" s="49">
        <v>22</v>
      </c>
      <c r="AH34" s="47">
        <f t="shared" si="2"/>
        <v>12</v>
      </c>
      <c r="AI34" s="48">
        <f t="shared" si="3"/>
        <v>11.2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6.5</v>
      </c>
      <c r="C35" s="45">
        <v>6.5</v>
      </c>
      <c r="D35" s="45">
        <v>6.5</v>
      </c>
      <c r="E35" s="45">
        <v>6.5</v>
      </c>
      <c r="F35" s="45">
        <v>6.5</v>
      </c>
      <c r="G35" s="45">
        <v>6.5</v>
      </c>
      <c r="H35" s="45">
        <v>6.5</v>
      </c>
      <c r="I35" s="45">
        <v>6.5</v>
      </c>
      <c r="J35" s="45">
        <v>6.5</v>
      </c>
      <c r="K35" s="45">
        <v>6.5</v>
      </c>
      <c r="L35" s="45">
        <v>6.5</v>
      </c>
      <c r="M35" s="45">
        <v>6.5</v>
      </c>
      <c r="N35" s="45">
        <v>6.5</v>
      </c>
      <c r="O35" s="45">
        <v>6.5</v>
      </c>
      <c r="P35" s="45">
        <v>6.5</v>
      </c>
      <c r="Q35" s="45">
        <v>6.5</v>
      </c>
      <c r="R35" s="45">
        <v>6.5</v>
      </c>
      <c r="S35" s="45">
        <v>6.5</v>
      </c>
      <c r="T35" s="45">
        <v>6.5</v>
      </c>
      <c r="U35" s="45">
        <v>6.5</v>
      </c>
      <c r="V35" s="45">
        <v>6.5</v>
      </c>
      <c r="W35" s="45">
        <v>6.5</v>
      </c>
      <c r="X35" s="45">
        <v>6.5</v>
      </c>
      <c r="Y35" s="45">
        <v>6.5</v>
      </c>
      <c r="Z35" s="45">
        <v>6.5</v>
      </c>
      <c r="AA35" s="45">
        <v>6.5</v>
      </c>
      <c r="AB35" s="45">
        <v>6.5</v>
      </c>
      <c r="AC35" s="45">
        <v>6.5</v>
      </c>
      <c r="AD35" s="45">
        <v>6.5</v>
      </c>
      <c r="AE35" s="45">
        <v>6.5</v>
      </c>
      <c r="AF35" s="45">
        <v>6.5</v>
      </c>
      <c r="AG35" s="49">
        <v>20</v>
      </c>
      <c r="AH35" s="47">
        <f t="shared" si="2"/>
        <v>6.5</v>
      </c>
      <c r="AI35" s="48">
        <f t="shared" si="3"/>
        <v>6.5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264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2"/>
        <v>4</v>
      </c>
      <c r="AI36" s="48">
        <f t="shared" si="3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5.5</v>
      </c>
      <c r="C37" s="45">
        <v>5.5</v>
      </c>
      <c r="D37" s="45">
        <v>5.5</v>
      </c>
      <c r="E37" s="45">
        <v>5.5</v>
      </c>
      <c r="F37" s="45">
        <v>5.5</v>
      </c>
      <c r="G37" s="45">
        <v>5.5</v>
      </c>
      <c r="H37" s="45">
        <v>5.5</v>
      </c>
      <c r="I37" s="45">
        <v>5.5</v>
      </c>
      <c r="J37" s="45">
        <v>5.5</v>
      </c>
      <c r="K37" s="45">
        <v>5.5</v>
      </c>
      <c r="L37" s="45">
        <v>5.5</v>
      </c>
      <c r="M37" s="45">
        <v>5.5</v>
      </c>
      <c r="N37" s="45">
        <v>5.5</v>
      </c>
      <c r="O37" s="45">
        <v>5.5</v>
      </c>
      <c r="P37" s="45">
        <v>5.5</v>
      </c>
      <c r="Q37" s="45">
        <v>5.5</v>
      </c>
      <c r="R37" s="45">
        <v>5.5</v>
      </c>
      <c r="S37" s="45">
        <v>5.5</v>
      </c>
      <c r="T37" s="45">
        <v>5.5</v>
      </c>
      <c r="U37" s="45">
        <v>5.5</v>
      </c>
      <c r="V37" s="45">
        <v>5.5</v>
      </c>
      <c r="W37" s="45">
        <v>5.5</v>
      </c>
      <c r="X37" s="45">
        <v>5.5</v>
      </c>
      <c r="Y37" s="45">
        <v>5.5</v>
      </c>
      <c r="Z37" s="45">
        <v>5.5</v>
      </c>
      <c r="AA37" s="45">
        <v>5.5</v>
      </c>
      <c r="AB37" s="45">
        <v>5.5</v>
      </c>
      <c r="AC37" s="45">
        <v>5.5</v>
      </c>
      <c r="AD37" s="45">
        <v>5.5</v>
      </c>
      <c r="AE37" s="45">
        <v>5.5</v>
      </c>
      <c r="AF37" s="45">
        <v>5.5</v>
      </c>
      <c r="AG37" s="49">
        <v>18</v>
      </c>
      <c r="AH37" s="47">
        <f t="shared" si="2"/>
        <v>5.5</v>
      </c>
      <c r="AI37" s="48">
        <f t="shared" si="3"/>
        <v>5.5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>
        <v>7.2</v>
      </c>
      <c r="N38" s="45">
        <v>7.2</v>
      </c>
      <c r="O38" s="45">
        <v>7.2</v>
      </c>
      <c r="P38" s="45">
        <v>7.2</v>
      </c>
      <c r="Q38" s="45">
        <v>7.2</v>
      </c>
      <c r="R38" s="45">
        <v>7.2</v>
      </c>
      <c r="S38" s="45">
        <v>7.2</v>
      </c>
      <c r="T38" s="45">
        <v>7.2</v>
      </c>
      <c r="U38" s="45">
        <v>7.2</v>
      </c>
      <c r="V38" s="45">
        <v>7.2</v>
      </c>
      <c r="W38" s="45">
        <v>7.2</v>
      </c>
      <c r="X38" s="45">
        <v>7.2</v>
      </c>
      <c r="Y38" s="45">
        <v>7.2</v>
      </c>
      <c r="Z38" s="45">
        <v>7.2</v>
      </c>
      <c r="AA38" s="45">
        <v>7.2</v>
      </c>
      <c r="AB38" s="45">
        <v>7.2</v>
      </c>
      <c r="AC38" s="45">
        <v>7.2</v>
      </c>
      <c r="AD38" s="45">
        <v>7.2</v>
      </c>
      <c r="AE38" s="45">
        <v>7.2</v>
      </c>
      <c r="AF38" s="45">
        <v>7.2</v>
      </c>
      <c r="AG38" s="49">
        <v>14.9</v>
      </c>
      <c r="AH38" s="47">
        <f t="shared" si="2"/>
        <v>7.2</v>
      </c>
      <c r="AI38" s="48">
        <f t="shared" si="3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265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2"/>
        <v>5</v>
      </c>
      <c r="AI40" s="48">
        <f t="shared" si="3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266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>
        <v>4</v>
      </c>
      <c r="N41" s="45">
        <v>4</v>
      </c>
      <c r="O41" s="45">
        <v>4</v>
      </c>
      <c r="P41" s="45">
        <v>4</v>
      </c>
      <c r="Q41" s="45">
        <v>4</v>
      </c>
      <c r="R41" s="45">
        <v>4</v>
      </c>
      <c r="S41" s="45">
        <v>4</v>
      </c>
      <c r="T41" s="45">
        <v>4</v>
      </c>
      <c r="U41" s="45">
        <v>4</v>
      </c>
      <c r="V41" s="45">
        <v>4</v>
      </c>
      <c r="W41" s="45">
        <v>4</v>
      </c>
      <c r="X41" s="45">
        <v>4</v>
      </c>
      <c r="Y41" s="45">
        <v>4</v>
      </c>
      <c r="Z41" s="45">
        <v>4</v>
      </c>
      <c r="AA41" s="45">
        <v>4</v>
      </c>
      <c r="AB41" s="45">
        <v>4</v>
      </c>
      <c r="AC41" s="45">
        <v>4</v>
      </c>
      <c r="AD41" s="45">
        <v>4</v>
      </c>
      <c r="AE41" s="45">
        <v>4</v>
      </c>
      <c r="AF41" s="45">
        <v>4</v>
      </c>
      <c r="AG41" s="49">
        <v>14.9</v>
      </c>
      <c r="AH41" s="47">
        <f t="shared" si="2"/>
        <v>4</v>
      </c>
      <c r="AI41" s="48">
        <f t="shared" si="3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2"/>
        <v>1.8</v>
      </c>
      <c r="AI42" s="48">
        <f t="shared" si="3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2"/>
        <v>3.8</v>
      </c>
      <c r="AI43" s="48">
        <f t="shared" si="3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4</v>
      </c>
      <c r="C44" s="45">
        <v>4</v>
      </c>
      <c r="D44" s="45">
        <v>4</v>
      </c>
      <c r="E44" s="45">
        <v>4</v>
      </c>
      <c r="F44" s="45">
        <v>4</v>
      </c>
      <c r="G44" s="45">
        <v>4</v>
      </c>
      <c r="H44" s="45">
        <v>4</v>
      </c>
      <c r="I44" s="45">
        <v>4</v>
      </c>
      <c r="J44" s="45">
        <v>4</v>
      </c>
      <c r="K44" s="45">
        <v>4</v>
      </c>
      <c r="L44" s="45">
        <v>4</v>
      </c>
      <c r="M44" s="45">
        <v>4</v>
      </c>
      <c r="N44" s="45">
        <v>4</v>
      </c>
      <c r="O44" s="45">
        <v>4</v>
      </c>
      <c r="P44" s="45">
        <v>4</v>
      </c>
      <c r="Q44" s="45">
        <v>4</v>
      </c>
      <c r="R44" s="45">
        <v>4</v>
      </c>
      <c r="S44" s="45">
        <v>4</v>
      </c>
      <c r="T44" s="45">
        <v>4</v>
      </c>
      <c r="U44" s="45">
        <v>4</v>
      </c>
      <c r="V44" s="45">
        <v>4</v>
      </c>
      <c r="W44" s="45">
        <v>4</v>
      </c>
      <c r="X44" s="45">
        <v>4</v>
      </c>
      <c r="Y44" s="45">
        <v>4</v>
      </c>
      <c r="Z44" s="45">
        <v>4</v>
      </c>
      <c r="AA44" s="45">
        <v>4</v>
      </c>
      <c r="AB44" s="45">
        <v>4</v>
      </c>
      <c r="AC44" s="45">
        <v>4</v>
      </c>
      <c r="AD44" s="45">
        <v>4</v>
      </c>
      <c r="AE44" s="45">
        <v>4</v>
      </c>
      <c r="AF44" s="45">
        <v>4</v>
      </c>
      <c r="AG44" s="49">
        <v>12</v>
      </c>
      <c r="AH44" s="47">
        <f t="shared" si="2"/>
        <v>4</v>
      </c>
      <c r="AI44" s="48">
        <f t="shared" si="3"/>
        <v>4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49">
        <v>12</v>
      </c>
      <c r="AH45" s="47">
        <f t="shared" si="2"/>
        <v>9</v>
      </c>
      <c r="AI45" s="48">
        <f t="shared" si="3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2"/>
        <v>3</v>
      </c>
      <c r="AI46" s="48">
        <f t="shared" si="3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2"/>
        <v>3.5</v>
      </c>
      <c r="AI47" s="48">
        <f t="shared" si="3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>
        <v>5</v>
      </c>
      <c r="N48" s="45">
        <v>5</v>
      </c>
      <c r="O48" s="45">
        <v>5</v>
      </c>
      <c r="P48" s="45">
        <v>5</v>
      </c>
      <c r="Q48" s="45">
        <v>5</v>
      </c>
      <c r="R48" s="45">
        <v>5</v>
      </c>
      <c r="S48" s="45">
        <v>5</v>
      </c>
      <c r="T48" s="45">
        <v>5</v>
      </c>
      <c r="U48" s="45">
        <v>5</v>
      </c>
      <c r="V48" s="45">
        <v>5</v>
      </c>
      <c r="W48" s="45">
        <v>5</v>
      </c>
      <c r="X48" s="45">
        <v>5</v>
      </c>
      <c r="Y48" s="45">
        <v>5</v>
      </c>
      <c r="Z48" s="45">
        <v>5</v>
      </c>
      <c r="AA48" s="45">
        <v>5</v>
      </c>
      <c r="AB48" s="45">
        <v>5</v>
      </c>
      <c r="AC48" s="45">
        <v>5</v>
      </c>
      <c r="AD48" s="45">
        <v>5</v>
      </c>
      <c r="AE48" s="45">
        <v>5</v>
      </c>
      <c r="AF48" s="45">
        <v>5</v>
      </c>
      <c r="AG48" s="52">
        <v>11.88</v>
      </c>
      <c r="AH48" s="47">
        <f t="shared" si="2"/>
        <v>5</v>
      </c>
      <c r="AI48" s="48">
        <f t="shared" si="3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>
        <v>3</v>
      </c>
      <c r="N49" s="45">
        <v>3</v>
      </c>
      <c r="O49" s="45">
        <v>3</v>
      </c>
      <c r="P49" s="45">
        <v>3</v>
      </c>
      <c r="Q49" s="45">
        <v>3</v>
      </c>
      <c r="R49" s="45">
        <v>3</v>
      </c>
      <c r="S49" s="45">
        <v>3</v>
      </c>
      <c r="T49" s="45">
        <v>3</v>
      </c>
      <c r="U49" s="45">
        <v>3</v>
      </c>
      <c r="V49" s="45">
        <v>3</v>
      </c>
      <c r="W49" s="45">
        <v>3</v>
      </c>
      <c r="X49" s="45">
        <v>3</v>
      </c>
      <c r="Y49" s="45">
        <v>3</v>
      </c>
      <c r="Z49" s="45">
        <v>3</v>
      </c>
      <c r="AA49" s="45">
        <v>3</v>
      </c>
      <c r="AB49" s="45">
        <v>3</v>
      </c>
      <c r="AC49" s="45">
        <v>3</v>
      </c>
      <c r="AD49" s="45">
        <v>3</v>
      </c>
      <c r="AE49" s="45">
        <v>3</v>
      </c>
      <c r="AF49" s="45">
        <v>3</v>
      </c>
      <c r="AG49" s="55">
        <v>11</v>
      </c>
      <c r="AH49" s="47">
        <f t="shared" si="2"/>
        <v>3</v>
      </c>
      <c r="AI49" s="48">
        <f t="shared" si="3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267</v>
      </c>
      <c r="B50" s="45">
        <v>3.3</v>
      </c>
      <c r="C50" s="45">
        <v>3.3</v>
      </c>
      <c r="D50" s="45">
        <v>3.3</v>
      </c>
      <c r="E50" s="45">
        <v>3.3</v>
      </c>
      <c r="F50" s="45">
        <v>3.3</v>
      </c>
      <c r="G50" s="45">
        <v>3.3</v>
      </c>
      <c r="H50" s="45">
        <v>3.3</v>
      </c>
      <c r="I50" s="45">
        <v>3.3</v>
      </c>
      <c r="J50" s="45">
        <v>3.3</v>
      </c>
      <c r="K50" s="45">
        <v>3.3</v>
      </c>
      <c r="L50" s="45">
        <v>3.3</v>
      </c>
      <c r="M50" s="45">
        <v>3.3</v>
      </c>
      <c r="N50" s="45">
        <v>3.3</v>
      </c>
      <c r="O50" s="45">
        <v>3.3</v>
      </c>
      <c r="P50" s="45">
        <v>3.3</v>
      </c>
      <c r="Q50" s="45">
        <v>3.3</v>
      </c>
      <c r="R50" s="45">
        <v>3.3</v>
      </c>
      <c r="S50" s="45">
        <v>3.3</v>
      </c>
      <c r="T50" s="45">
        <v>3.3</v>
      </c>
      <c r="U50" s="45">
        <v>3.3</v>
      </c>
      <c r="V50" s="45">
        <v>3.3</v>
      </c>
      <c r="W50" s="45">
        <v>3.3</v>
      </c>
      <c r="X50" s="45">
        <v>3.3</v>
      </c>
      <c r="Y50" s="45">
        <v>3.3</v>
      </c>
      <c r="Z50" s="45">
        <v>3.3</v>
      </c>
      <c r="AA50" s="45">
        <v>3.3</v>
      </c>
      <c r="AB50" s="45">
        <v>3.3</v>
      </c>
      <c r="AC50" s="45">
        <v>3.3</v>
      </c>
      <c r="AD50" s="45">
        <v>3.3</v>
      </c>
      <c r="AE50" s="45">
        <v>3.3</v>
      </c>
      <c r="AF50" s="45">
        <v>3.3</v>
      </c>
      <c r="AG50" s="55">
        <v>11</v>
      </c>
      <c r="AH50" s="47">
        <f t="shared" si="2"/>
        <v>3.3</v>
      </c>
      <c r="AI50" s="48">
        <f t="shared" si="3"/>
        <v>3.3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268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"/>
        <v>3</v>
      </c>
      <c r="AI51" s="48">
        <f t="shared" si="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2"/>
        <v>4</v>
      </c>
      <c r="AI52" s="48">
        <f t="shared" si="3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"/>
        <v>4.5</v>
      </c>
      <c r="AI53" s="48">
        <f t="shared" si="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269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"/>
        <v>0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175</v>
      </c>
      <c r="C56" s="57">
        <v>175</v>
      </c>
      <c r="D56" s="57">
        <v>175</v>
      </c>
      <c r="E56" s="57">
        <v>175</v>
      </c>
      <c r="F56" s="57">
        <v>175</v>
      </c>
      <c r="G56" s="57">
        <v>175</v>
      </c>
      <c r="H56" s="57">
        <v>175</v>
      </c>
      <c r="I56" s="57">
        <v>175</v>
      </c>
      <c r="J56" s="57">
        <v>175</v>
      </c>
      <c r="K56" s="57">
        <v>175</v>
      </c>
      <c r="L56" s="57">
        <v>175</v>
      </c>
      <c r="M56" s="57">
        <v>175</v>
      </c>
      <c r="N56" s="57">
        <v>175</v>
      </c>
      <c r="O56" s="57">
        <v>175</v>
      </c>
      <c r="P56" s="57">
        <v>175</v>
      </c>
      <c r="Q56" s="57">
        <v>175</v>
      </c>
      <c r="R56" s="57">
        <v>175</v>
      </c>
      <c r="S56" s="57">
        <v>175</v>
      </c>
      <c r="T56" s="57">
        <v>175</v>
      </c>
      <c r="U56" s="57">
        <v>175</v>
      </c>
      <c r="V56" s="57">
        <v>175</v>
      </c>
      <c r="W56" s="57">
        <v>175</v>
      </c>
      <c r="X56" s="57">
        <v>175</v>
      </c>
      <c r="Y56" s="57">
        <v>175</v>
      </c>
      <c r="Z56" s="57">
        <v>175</v>
      </c>
      <c r="AA56" s="57">
        <v>175</v>
      </c>
      <c r="AB56" s="57">
        <v>175</v>
      </c>
      <c r="AC56" s="57">
        <v>175</v>
      </c>
      <c r="AD56" s="57">
        <v>175</v>
      </c>
      <c r="AE56" s="57">
        <v>175</v>
      </c>
      <c r="AF56" s="57">
        <v>175</v>
      </c>
      <c r="AG56" s="55">
        <v>85</v>
      </c>
      <c r="AH56" s="47">
        <f t="shared" si="2"/>
        <v>175</v>
      </c>
      <c r="AI56" s="48">
        <f t="shared" si="3"/>
        <v>175</v>
      </c>
      <c r="AK56" s="50"/>
    </row>
    <row r="57" spans="1:88" ht="15.75" thickBot="1" x14ac:dyDescent="0.3">
      <c r="A57" s="58" t="s">
        <v>57</v>
      </c>
      <c r="B57" s="57"/>
      <c r="C57" s="57"/>
      <c r="D57" s="57"/>
      <c r="E57" s="57"/>
      <c r="F57" s="57"/>
      <c r="G57" s="57"/>
      <c r="H57" s="57"/>
      <c r="I57" s="57"/>
      <c r="J57" s="57"/>
      <c r="K57" s="51"/>
      <c r="L57" s="51"/>
      <c r="M57" s="51"/>
      <c r="N57" s="51"/>
      <c r="O57" s="51"/>
      <c r="P57" s="51"/>
      <c r="Q57" s="51"/>
      <c r="R57" s="51"/>
      <c r="S57" s="57">
        <f t="shared" ref="S57:Y57" si="4">4.5+14.4</f>
        <v>18.899999999999999</v>
      </c>
      <c r="T57" s="57">
        <f t="shared" si="4"/>
        <v>18.899999999999999</v>
      </c>
      <c r="U57" s="57">
        <f t="shared" si="4"/>
        <v>18.899999999999999</v>
      </c>
      <c r="V57" s="57">
        <f t="shared" si="4"/>
        <v>18.899999999999999</v>
      </c>
      <c r="W57" s="57">
        <f t="shared" si="4"/>
        <v>18.899999999999999</v>
      </c>
      <c r="X57" s="57">
        <f t="shared" si="4"/>
        <v>18.899999999999999</v>
      </c>
      <c r="Y57" s="57">
        <f t="shared" si="4"/>
        <v>18.899999999999999</v>
      </c>
      <c r="Z57" s="57">
        <f>4.5+14.4</f>
        <v>18.899999999999999</v>
      </c>
      <c r="AA57" s="57">
        <f>4.5+14.4</f>
        <v>18.899999999999999</v>
      </c>
      <c r="AB57" s="57">
        <f>4.5+14.4</f>
        <v>18.899999999999999</v>
      </c>
      <c r="AC57" s="57">
        <v>23</v>
      </c>
      <c r="AD57" s="57">
        <v>23</v>
      </c>
      <c r="AE57" s="57">
        <f>7.7+19.9</f>
        <v>27.599999999999998</v>
      </c>
      <c r="AF57" s="57">
        <f>7.3+19.8</f>
        <v>27.1</v>
      </c>
      <c r="AG57" s="55">
        <v>240</v>
      </c>
      <c r="AH57" s="47">
        <f t="shared" si="2"/>
        <v>27.599999999999998</v>
      </c>
      <c r="AI57" s="48">
        <f t="shared" si="3"/>
        <v>18.899999999999999</v>
      </c>
      <c r="AK57" s="50"/>
    </row>
    <row r="58" spans="1:88" ht="15.75" thickBot="1" x14ac:dyDescent="0.3">
      <c r="A58" s="59" t="s">
        <v>58</v>
      </c>
      <c r="B58" s="60">
        <f t="shared" ref="B58:D58" si="5">SUM(B11:B56)</f>
        <v>549.70000000000005</v>
      </c>
      <c r="C58" s="60">
        <f t="shared" si="5"/>
        <v>549.5</v>
      </c>
      <c r="D58" s="60">
        <f t="shared" si="5"/>
        <v>549.70000000000005</v>
      </c>
      <c r="E58" s="60">
        <f t="shared" ref="E58:AD58" si="6">SUM(E11:E56)</f>
        <v>549.90000000000009</v>
      </c>
      <c r="F58" s="60">
        <f t="shared" si="6"/>
        <v>549.70000000000005</v>
      </c>
      <c r="G58" s="60">
        <f t="shared" si="6"/>
        <v>549.70000000000005</v>
      </c>
      <c r="H58" s="60">
        <f t="shared" si="6"/>
        <v>549.70000000000005</v>
      </c>
      <c r="I58" s="60">
        <f t="shared" si="6"/>
        <v>549.70000000000005</v>
      </c>
      <c r="J58" s="60">
        <f t="shared" si="6"/>
        <v>549.70000000000005</v>
      </c>
      <c r="K58" s="60">
        <f t="shared" si="6"/>
        <v>549.70000000000005</v>
      </c>
      <c r="L58" s="60">
        <f t="shared" si="6"/>
        <v>549</v>
      </c>
      <c r="M58" s="60">
        <f t="shared" si="6"/>
        <v>549</v>
      </c>
      <c r="N58" s="60">
        <f t="shared" si="6"/>
        <v>549</v>
      </c>
      <c r="O58" s="60">
        <f t="shared" si="6"/>
        <v>549</v>
      </c>
      <c r="P58" s="60">
        <f t="shared" si="6"/>
        <v>549</v>
      </c>
      <c r="Q58" s="60">
        <f t="shared" si="6"/>
        <v>549</v>
      </c>
      <c r="R58" s="60">
        <f t="shared" si="6"/>
        <v>549</v>
      </c>
      <c r="S58" s="60">
        <f t="shared" si="6"/>
        <v>547.79999999999995</v>
      </c>
      <c r="T58" s="60">
        <f t="shared" si="6"/>
        <v>547.79999999999995</v>
      </c>
      <c r="U58" s="60">
        <f t="shared" si="6"/>
        <v>546.4</v>
      </c>
      <c r="V58" s="60">
        <f t="shared" si="6"/>
        <v>546.4</v>
      </c>
      <c r="W58" s="60">
        <f t="shared" si="6"/>
        <v>546.4</v>
      </c>
      <c r="X58" s="60">
        <f t="shared" si="6"/>
        <v>546.4</v>
      </c>
      <c r="Y58" s="60">
        <f t="shared" si="6"/>
        <v>546.4</v>
      </c>
      <c r="Z58" s="60">
        <f t="shared" si="6"/>
        <v>546.4</v>
      </c>
      <c r="AA58" s="60">
        <f t="shared" si="6"/>
        <v>546.4</v>
      </c>
      <c r="AB58" s="60">
        <f t="shared" si="6"/>
        <v>546.4</v>
      </c>
      <c r="AC58" s="60">
        <f t="shared" si="6"/>
        <v>546.4</v>
      </c>
      <c r="AD58" s="60">
        <f t="shared" si="6"/>
        <v>546.4</v>
      </c>
      <c r="AE58" s="60">
        <f t="shared" ref="AE58:AF58" si="7">SUM(AE11:AE56)</f>
        <v>553</v>
      </c>
      <c r="AF58" s="60">
        <f t="shared" si="7"/>
        <v>550.59999999999991</v>
      </c>
      <c r="AG58" s="61">
        <f>SUM(AG14:AG56)</f>
        <v>1042.4000000000001</v>
      </c>
      <c r="AH58" s="47">
        <f t="shared" si="2"/>
        <v>553</v>
      </c>
      <c r="AI58" s="48">
        <f t="shared" si="3"/>
        <v>546.4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15</v>
      </c>
      <c r="K59" s="45">
        <v>230</v>
      </c>
      <c r="L59" s="45">
        <v>400</v>
      </c>
      <c r="M59" s="45">
        <v>395</v>
      </c>
      <c r="N59" s="63">
        <v>395</v>
      </c>
      <c r="O59" s="63">
        <v>100</v>
      </c>
      <c r="P59" s="63">
        <v>60</v>
      </c>
      <c r="Q59" s="63">
        <v>60</v>
      </c>
      <c r="R59" s="63">
        <v>60</v>
      </c>
      <c r="S59" s="45">
        <v>0</v>
      </c>
      <c r="T59" s="45">
        <v>0</v>
      </c>
      <c r="U59" s="45">
        <v>0</v>
      </c>
      <c r="V59" s="45">
        <v>0</v>
      </c>
      <c r="W59" s="45">
        <v>15</v>
      </c>
      <c r="X59" s="45">
        <v>280</v>
      </c>
      <c r="Y59" s="45">
        <v>300</v>
      </c>
      <c r="Z59" s="45">
        <v>300</v>
      </c>
      <c r="AA59" s="45">
        <v>300</v>
      </c>
      <c r="AB59" s="45">
        <v>270</v>
      </c>
      <c r="AC59" s="45">
        <v>90</v>
      </c>
      <c r="AD59" s="45">
        <v>90</v>
      </c>
      <c r="AE59" s="45">
        <v>70</v>
      </c>
      <c r="AF59" s="45">
        <v>0</v>
      </c>
      <c r="AG59" s="52">
        <v>456</v>
      </c>
      <c r="AH59" s="47">
        <f t="shared" si="2"/>
        <v>400</v>
      </c>
      <c r="AI59" s="48">
        <f t="shared" si="3"/>
        <v>0</v>
      </c>
      <c r="AK59" s="50"/>
    </row>
    <row r="60" spans="1:88" x14ac:dyDescent="0.25">
      <c r="A60" s="64" t="s">
        <v>60</v>
      </c>
      <c r="B60" s="65">
        <v>36</v>
      </c>
      <c r="C60" s="65">
        <v>36</v>
      </c>
      <c r="D60" s="65">
        <v>36</v>
      </c>
      <c r="E60" s="65">
        <v>36</v>
      </c>
      <c r="F60" s="65">
        <v>36</v>
      </c>
      <c r="G60" s="65">
        <v>36</v>
      </c>
      <c r="H60" s="65">
        <v>36</v>
      </c>
      <c r="I60" s="65">
        <v>36.5</v>
      </c>
      <c r="J60" s="65">
        <v>36.5</v>
      </c>
      <c r="K60" s="65">
        <v>36.5</v>
      </c>
      <c r="L60" s="65">
        <v>36.5</v>
      </c>
      <c r="M60" s="65">
        <v>36.5</v>
      </c>
      <c r="N60" s="65">
        <v>36.5</v>
      </c>
      <c r="O60" s="65">
        <v>36.5</v>
      </c>
      <c r="P60" s="65">
        <v>36.5</v>
      </c>
      <c r="Q60" s="65">
        <v>36.5</v>
      </c>
      <c r="R60" s="65">
        <v>36.5</v>
      </c>
      <c r="S60" s="65">
        <v>36.5</v>
      </c>
      <c r="T60" s="65">
        <v>36.5</v>
      </c>
      <c r="U60" s="65">
        <v>36.5</v>
      </c>
      <c r="V60" s="65">
        <v>36.5</v>
      </c>
      <c r="W60" s="65">
        <v>36.5</v>
      </c>
      <c r="X60" s="65">
        <v>36.5</v>
      </c>
      <c r="Y60" s="65">
        <v>36.5</v>
      </c>
      <c r="Z60" s="65">
        <v>36.5</v>
      </c>
      <c r="AA60" s="65">
        <v>36.5</v>
      </c>
      <c r="AB60" s="65">
        <v>36.5</v>
      </c>
      <c r="AC60" s="65">
        <v>36.5</v>
      </c>
      <c r="AD60" s="65">
        <v>36.5</v>
      </c>
      <c r="AE60" s="65">
        <v>36.5</v>
      </c>
      <c r="AF60" s="65">
        <v>36.5</v>
      </c>
      <c r="AG60" s="55">
        <v>60</v>
      </c>
      <c r="AH60" s="47">
        <f t="shared" si="2"/>
        <v>36.5</v>
      </c>
      <c r="AI60" s="48">
        <f t="shared" si="3"/>
        <v>36</v>
      </c>
      <c r="AK60" s="50"/>
    </row>
    <row r="61" spans="1:88" ht="15.75" thickBot="1" x14ac:dyDescent="0.3">
      <c r="A61" s="66" t="s">
        <v>61</v>
      </c>
      <c r="B61" s="67">
        <v>11.6</v>
      </c>
      <c r="C61" s="67">
        <v>11.7</v>
      </c>
      <c r="D61" s="67">
        <v>11.6</v>
      </c>
      <c r="E61" s="67">
        <v>11.7</v>
      </c>
      <c r="F61" s="67">
        <v>11.7</v>
      </c>
      <c r="G61" s="67">
        <v>11.7</v>
      </c>
      <c r="H61" s="67">
        <v>11.7</v>
      </c>
      <c r="I61" s="67">
        <v>11.7</v>
      </c>
      <c r="J61" s="67">
        <v>11.7</v>
      </c>
      <c r="K61" s="67">
        <v>11.7</v>
      </c>
      <c r="L61" s="67">
        <v>11.7</v>
      </c>
      <c r="M61" s="67">
        <v>11.7</v>
      </c>
      <c r="N61" s="67">
        <v>11.7</v>
      </c>
      <c r="O61" s="67">
        <v>11.7</v>
      </c>
      <c r="P61" s="67">
        <v>11.7</v>
      </c>
      <c r="Q61" s="67">
        <v>11.7</v>
      </c>
      <c r="R61" s="67">
        <v>11.7</v>
      </c>
      <c r="S61" s="67">
        <v>10.199999999999999</v>
      </c>
      <c r="T61" s="67">
        <v>10.199999999999999</v>
      </c>
      <c r="U61" s="67">
        <v>10.3</v>
      </c>
      <c r="V61" s="67">
        <v>10.3</v>
      </c>
      <c r="W61" s="67">
        <v>10.3</v>
      </c>
      <c r="X61" s="67">
        <v>10.199999999999999</v>
      </c>
      <c r="Y61" s="67">
        <v>18.100000000000001</v>
      </c>
      <c r="Z61" s="67">
        <v>18.100000000000001</v>
      </c>
      <c r="AA61" s="67">
        <v>18.100000000000001</v>
      </c>
      <c r="AB61" s="67">
        <v>18.100000000000001</v>
      </c>
      <c r="AC61" s="67">
        <v>18.100000000000001</v>
      </c>
      <c r="AD61" s="67">
        <v>18.100000000000001</v>
      </c>
      <c r="AE61" s="67">
        <v>11.3</v>
      </c>
      <c r="AF61" s="67">
        <v>11.2</v>
      </c>
      <c r="AG61" s="68">
        <v>22.1</v>
      </c>
      <c r="AH61" s="47">
        <f t="shared" si="2"/>
        <v>18.100000000000001</v>
      </c>
      <c r="AI61" s="48">
        <f t="shared" si="3"/>
        <v>10.199999999999999</v>
      </c>
      <c r="AK61" s="50"/>
    </row>
    <row r="62" spans="1:88" ht="15.75" thickBot="1" x14ac:dyDescent="0.3">
      <c r="A62" s="69" t="s">
        <v>62</v>
      </c>
      <c r="B62" s="60">
        <f t="shared" ref="B62:D62" si="8">SUM(B59:B61)</f>
        <v>47.6</v>
      </c>
      <c r="C62" s="60">
        <f t="shared" si="8"/>
        <v>47.7</v>
      </c>
      <c r="D62" s="60">
        <f t="shared" si="8"/>
        <v>47.6</v>
      </c>
      <c r="E62" s="60">
        <f t="shared" ref="E62:AG62" si="9">SUM(E59:E61)</f>
        <v>47.7</v>
      </c>
      <c r="F62" s="60">
        <f t="shared" si="9"/>
        <v>47.7</v>
      </c>
      <c r="G62" s="60">
        <f t="shared" si="9"/>
        <v>47.7</v>
      </c>
      <c r="H62" s="60">
        <f t="shared" si="9"/>
        <v>47.7</v>
      </c>
      <c r="I62" s="60">
        <f t="shared" si="9"/>
        <v>48.2</v>
      </c>
      <c r="J62" s="60">
        <f t="shared" si="9"/>
        <v>63.2</v>
      </c>
      <c r="K62" s="60">
        <f t="shared" si="9"/>
        <v>278.2</v>
      </c>
      <c r="L62" s="60">
        <f t="shared" si="9"/>
        <v>448.2</v>
      </c>
      <c r="M62" s="60">
        <f t="shared" si="9"/>
        <v>443.2</v>
      </c>
      <c r="N62" s="60">
        <f t="shared" si="9"/>
        <v>443.2</v>
      </c>
      <c r="O62" s="60">
        <f t="shared" si="9"/>
        <v>148.19999999999999</v>
      </c>
      <c r="P62" s="60">
        <f t="shared" si="9"/>
        <v>108.2</v>
      </c>
      <c r="Q62" s="60">
        <f t="shared" si="9"/>
        <v>108.2</v>
      </c>
      <c r="R62" s="60">
        <f t="shared" si="9"/>
        <v>108.2</v>
      </c>
      <c r="S62" s="60">
        <f t="shared" si="9"/>
        <v>46.7</v>
      </c>
      <c r="T62" s="60">
        <f t="shared" si="9"/>
        <v>46.7</v>
      </c>
      <c r="U62" s="60">
        <f t="shared" si="9"/>
        <v>46.8</v>
      </c>
      <c r="V62" s="60">
        <f t="shared" si="9"/>
        <v>46.8</v>
      </c>
      <c r="W62" s="60">
        <f t="shared" si="9"/>
        <v>61.8</v>
      </c>
      <c r="X62" s="60">
        <f t="shared" si="9"/>
        <v>326.7</v>
      </c>
      <c r="Y62" s="60">
        <f t="shared" si="9"/>
        <v>354.6</v>
      </c>
      <c r="Z62" s="60">
        <f t="shared" si="9"/>
        <v>354.6</v>
      </c>
      <c r="AA62" s="60">
        <f t="shared" si="9"/>
        <v>354.6</v>
      </c>
      <c r="AB62" s="60">
        <f t="shared" si="9"/>
        <v>324.60000000000002</v>
      </c>
      <c r="AC62" s="60">
        <f t="shared" si="9"/>
        <v>144.6</v>
      </c>
      <c r="AD62" s="60">
        <f t="shared" si="9"/>
        <v>144.6</v>
      </c>
      <c r="AE62" s="60">
        <f t="shared" ref="AE62:AF62" si="10">SUM(AE59:AE61)</f>
        <v>117.8</v>
      </c>
      <c r="AF62" s="60">
        <f t="shared" si="10"/>
        <v>47.7</v>
      </c>
      <c r="AG62" s="61">
        <f t="shared" si="9"/>
        <v>538.1</v>
      </c>
      <c r="AH62" s="47">
        <f t="shared" si="2"/>
        <v>448.2</v>
      </c>
      <c r="AI62" s="48">
        <f t="shared" si="3"/>
        <v>46.7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30</v>
      </c>
      <c r="I63" s="45">
        <v>70</v>
      </c>
      <c r="J63" s="45">
        <v>140</v>
      </c>
      <c r="K63" s="45">
        <v>135</v>
      </c>
      <c r="L63" s="45">
        <v>144.80000000000001</v>
      </c>
      <c r="M63" s="45">
        <v>144</v>
      </c>
      <c r="N63" s="45">
        <v>137</v>
      </c>
      <c r="O63" s="45">
        <v>121</v>
      </c>
      <c r="P63" s="45">
        <v>121</v>
      </c>
      <c r="Q63" s="45">
        <v>91</v>
      </c>
      <c r="R63" s="45">
        <v>91</v>
      </c>
      <c r="S63" s="45">
        <v>48.9</v>
      </c>
      <c r="T63" s="45">
        <v>48.9</v>
      </c>
      <c r="U63" s="45">
        <v>30.3</v>
      </c>
      <c r="V63" s="45">
        <v>48.2</v>
      </c>
      <c r="W63" s="45">
        <v>48.2</v>
      </c>
      <c r="X63" s="45">
        <v>121.3</v>
      </c>
      <c r="Y63" s="45">
        <v>121.7</v>
      </c>
      <c r="Z63" s="45">
        <v>112.1</v>
      </c>
      <c r="AA63" s="45">
        <v>112.2</v>
      </c>
      <c r="AB63" s="45">
        <v>104</v>
      </c>
      <c r="AC63" s="45">
        <v>82</v>
      </c>
      <c r="AD63" s="45">
        <v>52.6</v>
      </c>
      <c r="AE63" s="45">
        <v>0</v>
      </c>
      <c r="AF63" s="45">
        <v>0</v>
      </c>
      <c r="AG63" s="52">
        <v>144</v>
      </c>
      <c r="AH63" s="47">
        <f t="shared" si="2"/>
        <v>144.80000000000001</v>
      </c>
      <c r="AI63" s="48">
        <f t="shared" si="3"/>
        <v>0</v>
      </c>
      <c r="AK63" s="50"/>
    </row>
    <row r="64" spans="1:88" x14ac:dyDescent="0.25">
      <c r="A64" s="54" t="s">
        <v>64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35</v>
      </c>
      <c r="I64" s="65">
        <v>50</v>
      </c>
      <c r="J64" s="65">
        <v>59.1</v>
      </c>
      <c r="K64" s="65">
        <v>58.5</v>
      </c>
      <c r="L64" s="65">
        <v>69.900000000000006</v>
      </c>
      <c r="M64" s="65">
        <v>70</v>
      </c>
      <c r="N64" s="65">
        <v>70</v>
      </c>
      <c r="O64" s="65">
        <v>60</v>
      </c>
      <c r="P64" s="65">
        <v>60</v>
      </c>
      <c r="Q64" s="65">
        <v>25</v>
      </c>
      <c r="R64" s="65">
        <v>23.8</v>
      </c>
      <c r="S64" s="45">
        <v>34.700000000000003</v>
      </c>
      <c r="T64" s="45">
        <v>22.3</v>
      </c>
      <c r="U64" s="45">
        <v>0</v>
      </c>
      <c r="V64" s="45">
        <v>0</v>
      </c>
      <c r="W64" s="45">
        <v>35</v>
      </c>
      <c r="X64" s="45">
        <v>68.3</v>
      </c>
      <c r="Y64" s="45">
        <v>70.3</v>
      </c>
      <c r="Z64" s="45">
        <v>49.8</v>
      </c>
      <c r="AA64" s="45">
        <v>29.8</v>
      </c>
      <c r="AB64" s="45">
        <v>23.5</v>
      </c>
      <c r="AC64" s="45">
        <v>26</v>
      </c>
      <c r="AD64" s="45">
        <v>32.200000000000003</v>
      </c>
      <c r="AE64" s="45">
        <v>24.2</v>
      </c>
      <c r="AF64" s="45">
        <v>25.9</v>
      </c>
      <c r="AG64" s="55">
        <v>70</v>
      </c>
      <c r="AH64" s="47">
        <f t="shared" si="2"/>
        <v>70.3</v>
      </c>
      <c r="AI64" s="48">
        <f t="shared" si="3"/>
        <v>0</v>
      </c>
      <c r="AK64" s="50"/>
    </row>
    <row r="65" spans="1:41" x14ac:dyDescent="0.25">
      <c r="A65" s="54" t="s">
        <v>65</v>
      </c>
      <c r="B65" s="65">
        <v>16</v>
      </c>
      <c r="C65" s="65">
        <v>0</v>
      </c>
      <c r="D65" s="65">
        <v>0</v>
      </c>
      <c r="E65" s="65">
        <v>0</v>
      </c>
      <c r="F65" s="65">
        <v>0</v>
      </c>
      <c r="G65" s="65">
        <v>0</v>
      </c>
      <c r="H65" s="65">
        <v>35</v>
      </c>
      <c r="I65" s="65">
        <v>45</v>
      </c>
      <c r="J65" s="65">
        <v>56.8</v>
      </c>
      <c r="K65" s="65">
        <v>56.7</v>
      </c>
      <c r="L65" s="65">
        <v>64.900000000000006</v>
      </c>
      <c r="M65" s="65">
        <v>67.319999999999993</v>
      </c>
      <c r="N65" s="65">
        <v>67.319999999999993</v>
      </c>
      <c r="O65" s="65">
        <v>54</v>
      </c>
      <c r="P65" s="65">
        <v>54</v>
      </c>
      <c r="Q65" s="65">
        <v>44</v>
      </c>
      <c r="R65" s="65">
        <v>43.8</v>
      </c>
      <c r="S65" s="45">
        <v>45.2</v>
      </c>
      <c r="T65" s="45">
        <v>36.6</v>
      </c>
      <c r="U65" s="45">
        <v>16.7</v>
      </c>
      <c r="V65" s="45">
        <v>22</v>
      </c>
      <c r="W65" s="45">
        <v>55.6</v>
      </c>
      <c r="X65" s="45">
        <v>57.5</v>
      </c>
      <c r="Y65" s="45">
        <v>66.900000000000006</v>
      </c>
      <c r="Z65" s="45">
        <v>66.7</v>
      </c>
      <c r="AA65" s="45">
        <v>66.400000000000006</v>
      </c>
      <c r="AB65" s="45">
        <v>37</v>
      </c>
      <c r="AC65" s="45">
        <v>44</v>
      </c>
      <c r="AD65" s="45">
        <v>44</v>
      </c>
      <c r="AE65" s="45">
        <v>34.200000000000003</v>
      </c>
      <c r="AF65" s="45">
        <v>16.399999999999999</v>
      </c>
      <c r="AG65" s="55">
        <v>69</v>
      </c>
      <c r="AH65" s="47">
        <f t="shared" si="2"/>
        <v>67.319999999999993</v>
      </c>
      <c r="AI65" s="48">
        <f t="shared" si="3"/>
        <v>0</v>
      </c>
      <c r="AK65" s="50"/>
    </row>
    <row r="66" spans="1:41" x14ac:dyDescent="0.25">
      <c r="A66" s="54" t="s">
        <v>66</v>
      </c>
      <c r="B66" s="65">
        <v>50.4</v>
      </c>
      <c r="C66" s="65">
        <v>48.1</v>
      </c>
      <c r="D66" s="65">
        <v>50.4</v>
      </c>
      <c r="E66" s="65">
        <v>45.9</v>
      </c>
      <c r="F66" s="65">
        <v>45.9</v>
      </c>
      <c r="G66" s="65">
        <v>46.1</v>
      </c>
      <c r="H66" s="65">
        <v>48.1</v>
      </c>
      <c r="I66" s="65">
        <v>48.3</v>
      </c>
      <c r="J66" s="65">
        <v>48.3</v>
      </c>
      <c r="K66" s="57">
        <v>48.1</v>
      </c>
      <c r="L66" s="57">
        <v>48.1</v>
      </c>
      <c r="M66" s="65">
        <v>48.3</v>
      </c>
      <c r="N66" s="65">
        <v>48.3</v>
      </c>
      <c r="O66" s="65">
        <v>48.3</v>
      </c>
      <c r="P66" s="65">
        <v>48.3</v>
      </c>
      <c r="Q66" s="65">
        <v>46</v>
      </c>
      <c r="R66" s="65">
        <v>46</v>
      </c>
      <c r="S66" s="45">
        <v>43.1</v>
      </c>
      <c r="T66" s="45">
        <v>43.1</v>
      </c>
      <c r="U66" s="45">
        <v>43.1</v>
      </c>
      <c r="V66" s="45">
        <v>43.1</v>
      </c>
      <c r="W66" s="45">
        <v>43.1</v>
      </c>
      <c r="X66" s="45">
        <v>43.1</v>
      </c>
      <c r="Y66" s="45">
        <v>45.3</v>
      </c>
      <c r="Z66" s="45">
        <v>45.1</v>
      </c>
      <c r="AA66" s="45">
        <v>46.1</v>
      </c>
      <c r="AB66" s="45">
        <v>46.1</v>
      </c>
      <c r="AC66" s="45">
        <v>46.1</v>
      </c>
      <c r="AD66" s="45">
        <v>46.1</v>
      </c>
      <c r="AE66" s="45">
        <v>50.4</v>
      </c>
      <c r="AF66" s="45">
        <v>51.1</v>
      </c>
      <c r="AG66" s="55">
        <v>60</v>
      </c>
      <c r="AH66" s="47">
        <f t="shared" si="2"/>
        <v>51.1</v>
      </c>
      <c r="AI66" s="48">
        <f t="shared" si="3"/>
        <v>43.1</v>
      </c>
      <c r="AK66" s="50"/>
    </row>
    <row r="67" spans="1:41" x14ac:dyDescent="0.25">
      <c r="A67" s="54" t="s">
        <v>67</v>
      </c>
      <c r="B67" s="65">
        <v>0</v>
      </c>
      <c r="C67" s="65">
        <v>0</v>
      </c>
      <c r="D67" s="65">
        <v>0</v>
      </c>
      <c r="E67" s="65">
        <v>0</v>
      </c>
      <c r="F67" s="65">
        <v>0</v>
      </c>
      <c r="G67" s="65">
        <v>0</v>
      </c>
      <c r="H67" s="65">
        <v>10</v>
      </c>
      <c r="I67" s="65">
        <v>10</v>
      </c>
      <c r="J67" s="65">
        <v>15</v>
      </c>
      <c r="K67" s="57">
        <v>23</v>
      </c>
      <c r="L67" s="57">
        <v>28</v>
      </c>
      <c r="M67" s="65">
        <v>28</v>
      </c>
      <c r="N67" s="65">
        <v>28</v>
      </c>
      <c r="O67" s="65">
        <v>28</v>
      </c>
      <c r="P67" s="65">
        <v>28</v>
      </c>
      <c r="Q67" s="65">
        <v>28</v>
      </c>
      <c r="R67" s="65">
        <v>28</v>
      </c>
      <c r="S67" s="45">
        <v>14</v>
      </c>
      <c r="T67" s="45">
        <v>0</v>
      </c>
      <c r="U67" s="45">
        <v>0</v>
      </c>
      <c r="V67" s="45">
        <v>0</v>
      </c>
      <c r="W67" s="45">
        <v>10</v>
      </c>
      <c r="X67" s="45">
        <v>22</v>
      </c>
      <c r="Y67" s="45">
        <v>28</v>
      </c>
      <c r="Z67" s="45">
        <v>15</v>
      </c>
      <c r="AA67" s="45">
        <v>15</v>
      </c>
      <c r="AB67" s="45">
        <v>10</v>
      </c>
      <c r="AC67" s="45">
        <v>10</v>
      </c>
      <c r="AD67" s="45">
        <v>10</v>
      </c>
      <c r="AE67" s="45">
        <v>10</v>
      </c>
      <c r="AF67" s="45">
        <v>0</v>
      </c>
      <c r="AG67" s="55">
        <v>30</v>
      </c>
      <c r="AH67" s="47">
        <f t="shared" si="2"/>
        <v>28</v>
      </c>
      <c r="AI67" s="48">
        <f t="shared" si="3"/>
        <v>0</v>
      </c>
      <c r="AK67" s="50"/>
    </row>
    <row r="68" spans="1:41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65">
        <v>0.3</v>
      </c>
      <c r="M68" s="65">
        <v>0.7</v>
      </c>
      <c r="N68" s="65">
        <v>0.7</v>
      </c>
      <c r="O68" s="65">
        <v>0.7</v>
      </c>
      <c r="P68" s="65">
        <v>0.7</v>
      </c>
      <c r="Q68" s="65">
        <v>0.7</v>
      </c>
      <c r="R68" s="65">
        <v>0.7</v>
      </c>
      <c r="S68" s="45">
        <v>12.4</v>
      </c>
      <c r="T68" s="45">
        <v>8.6</v>
      </c>
      <c r="U68" s="45">
        <v>4</v>
      </c>
      <c r="V68" s="45">
        <v>1</v>
      </c>
      <c r="W68" s="45">
        <v>0</v>
      </c>
      <c r="X68" s="45">
        <v>0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55">
        <v>25</v>
      </c>
      <c r="AH68" s="47">
        <f t="shared" si="2"/>
        <v>12.4</v>
      </c>
      <c r="AI68" s="48">
        <f t="shared" si="3"/>
        <v>0</v>
      </c>
      <c r="AK68" s="50"/>
    </row>
    <row r="69" spans="1:41" x14ac:dyDescent="0.25">
      <c r="A69" s="54" t="s">
        <v>69</v>
      </c>
      <c r="B69" s="65">
        <v>15</v>
      </c>
      <c r="C69" s="65">
        <v>15</v>
      </c>
      <c r="D69" s="65">
        <v>15</v>
      </c>
      <c r="E69" s="65">
        <v>15</v>
      </c>
      <c r="F69" s="65">
        <v>15</v>
      </c>
      <c r="G69" s="65">
        <v>15</v>
      </c>
      <c r="H69" s="65">
        <v>15</v>
      </c>
      <c r="I69" s="65">
        <v>15</v>
      </c>
      <c r="J69" s="65">
        <v>15</v>
      </c>
      <c r="K69" s="65">
        <v>15</v>
      </c>
      <c r="L69" s="65">
        <v>15</v>
      </c>
      <c r="M69" s="65">
        <v>15</v>
      </c>
      <c r="N69" s="65">
        <v>15</v>
      </c>
      <c r="O69" s="65">
        <v>15</v>
      </c>
      <c r="P69" s="65">
        <v>15</v>
      </c>
      <c r="Q69" s="65">
        <v>15</v>
      </c>
      <c r="R69" s="65">
        <v>15</v>
      </c>
      <c r="S69" s="65">
        <v>15</v>
      </c>
      <c r="T69" s="65">
        <v>15</v>
      </c>
      <c r="U69" s="65">
        <v>15</v>
      </c>
      <c r="V69" s="65">
        <v>15</v>
      </c>
      <c r="W69" s="65">
        <v>15</v>
      </c>
      <c r="X69" s="65">
        <v>15</v>
      </c>
      <c r="Y69" s="65">
        <v>15</v>
      </c>
      <c r="Z69" s="65">
        <v>15</v>
      </c>
      <c r="AA69" s="65">
        <v>15</v>
      </c>
      <c r="AB69" s="65">
        <v>15</v>
      </c>
      <c r="AC69" s="65">
        <v>15</v>
      </c>
      <c r="AD69" s="65">
        <v>15</v>
      </c>
      <c r="AE69" s="65">
        <v>15</v>
      </c>
      <c r="AF69" s="65">
        <v>15</v>
      </c>
      <c r="AG69" s="55">
        <v>24</v>
      </c>
      <c r="AH69" s="47">
        <f t="shared" si="2"/>
        <v>15</v>
      </c>
      <c r="AI69" s="48">
        <f t="shared" si="3"/>
        <v>15</v>
      </c>
      <c r="AK69" s="50"/>
    </row>
    <row r="70" spans="1:41" x14ac:dyDescent="0.25">
      <c r="A70" s="54" t="s">
        <v>70</v>
      </c>
      <c r="B70" s="65">
        <v>4.5</v>
      </c>
      <c r="C70" s="65">
        <v>4.5</v>
      </c>
      <c r="D70" s="65">
        <v>4.5</v>
      </c>
      <c r="E70" s="65">
        <v>4.5</v>
      </c>
      <c r="F70" s="65">
        <v>4.5</v>
      </c>
      <c r="G70" s="65">
        <v>4.5</v>
      </c>
      <c r="H70" s="65">
        <v>4.5</v>
      </c>
      <c r="I70" s="65">
        <v>4.5</v>
      </c>
      <c r="J70" s="65">
        <v>4.5</v>
      </c>
      <c r="K70" s="65">
        <v>4.5</v>
      </c>
      <c r="L70" s="65">
        <v>4.5</v>
      </c>
      <c r="M70" s="65">
        <v>4.5</v>
      </c>
      <c r="N70" s="65">
        <v>4.5</v>
      </c>
      <c r="O70" s="65">
        <v>4.5</v>
      </c>
      <c r="P70" s="65">
        <v>4.5</v>
      </c>
      <c r="Q70" s="65">
        <v>4.5</v>
      </c>
      <c r="R70" s="65">
        <v>4.5</v>
      </c>
      <c r="S70" s="65">
        <v>4.5</v>
      </c>
      <c r="T70" s="65">
        <v>4.5</v>
      </c>
      <c r="U70" s="65">
        <v>4.5</v>
      </c>
      <c r="V70" s="65">
        <v>4.5</v>
      </c>
      <c r="W70" s="65">
        <v>4.5</v>
      </c>
      <c r="X70" s="65">
        <v>4.5</v>
      </c>
      <c r="Y70" s="65">
        <v>4.5</v>
      </c>
      <c r="Z70" s="65">
        <v>4.5</v>
      </c>
      <c r="AA70" s="65">
        <v>4.5</v>
      </c>
      <c r="AB70" s="65">
        <v>4.5</v>
      </c>
      <c r="AC70" s="65">
        <v>4.5</v>
      </c>
      <c r="AD70" s="65">
        <v>4.5</v>
      </c>
      <c r="AE70" s="65">
        <v>4.5</v>
      </c>
      <c r="AF70" s="65">
        <v>4.5</v>
      </c>
      <c r="AG70" s="55">
        <v>15</v>
      </c>
      <c r="AH70" s="47">
        <f t="shared" si="2"/>
        <v>4.5</v>
      </c>
      <c r="AI70" s="48">
        <f t="shared" si="3"/>
        <v>4.5</v>
      </c>
      <c r="AK70" s="50"/>
      <c r="AL70" s="70"/>
      <c r="AO70" s="70"/>
    </row>
    <row r="71" spans="1:41" s="70" customFormat="1" x14ac:dyDescent="0.25">
      <c r="A71" s="54" t="s">
        <v>71</v>
      </c>
      <c r="B71" s="65">
        <v>9.6</v>
      </c>
      <c r="C71" s="65">
        <v>9.8000000000000007</v>
      </c>
      <c r="D71" s="65">
        <v>9.6</v>
      </c>
      <c r="E71" s="65">
        <v>9.6</v>
      </c>
      <c r="F71" s="65">
        <v>9.6</v>
      </c>
      <c r="G71" s="65">
        <v>9.6</v>
      </c>
      <c r="H71" s="65">
        <v>9.6</v>
      </c>
      <c r="I71" s="65">
        <v>9.6</v>
      </c>
      <c r="J71" s="65">
        <v>9.6</v>
      </c>
      <c r="K71" s="65">
        <v>9.6</v>
      </c>
      <c r="L71" s="65">
        <v>9.6</v>
      </c>
      <c r="M71" s="65">
        <v>9.6</v>
      </c>
      <c r="N71" s="65">
        <v>9.6</v>
      </c>
      <c r="O71" s="65">
        <v>9.6</v>
      </c>
      <c r="P71" s="65">
        <v>9.6</v>
      </c>
      <c r="Q71" s="65">
        <v>9.6</v>
      </c>
      <c r="R71" s="65">
        <v>9.6</v>
      </c>
      <c r="S71" s="65">
        <v>9.8000000000000007</v>
      </c>
      <c r="T71" s="65">
        <v>9.8000000000000007</v>
      </c>
      <c r="U71" s="65">
        <v>9.8000000000000007</v>
      </c>
      <c r="V71" s="65">
        <v>9.8000000000000007</v>
      </c>
      <c r="W71" s="65">
        <v>9.8000000000000007</v>
      </c>
      <c r="X71" s="65">
        <v>9.8000000000000007</v>
      </c>
      <c r="Y71" s="65">
        <v>9.8000000000000007</v>
      </c>
      <c r="Z71" s="65">
        <v>9.8000000000000007</v>
      </c>
      <c r="AA71" s="65">
        <v>9.8000000000000007</v>
      </c>
      <c r="AB71" s="65">
        <v>9.8000000000000007</v>
      </c>
      <c r="AC71" s="65">
        <v>9.8000000000000007</v>
      </c>
      <c r="AD71" s="65">
        <v>9.8000000000000007</v>
      </c>
      <c r="AE71" s="65">
        <v>9.8000000000000007</v>
      </c>
      <c r="AF71" s="65">
        <v>9.8000000000000007</v>
      </c>
      <c r="AG71" s="55">
        <v>14.1</v>
      </c>
      <c r="AH71" s="47">
        <f t="shared" si="2"/>
        <v>9.8000000000000007</v>
      </c>
      <c r="AI71" s="48">
        <f t="shared" si="3"/>
        <v>9.6</v>
      </c>
      <c r="AJ71" s="1"/>
      <c r="AK71" s="50"/>
      <c r="AL71" s="1"/>
      <c r="AM71" s="1"/>
      <c r="AN71" s="1"/>
      <c r="AO71" s="1"/>
    </row>
    <row r="72" spans="1:41" x14ac:dyDescent="0.25">
      <c r="A72" s="71" t="s">
        <v>72</v>
      </c>
      <c r="B72" s="65">
        <v>3.4</v>
      </c>
      <c r="C72" s="65">
        <v>3.6</v>
      </c>
      <c r="D72" s="65">
        <v>3.4</v>
      </c>
      <c r="E72" s="65">
        <v>3.4</v>
      </c>
      <c r="F72" s="65">
        <v>3.4</v>
      </c>
      <c r="G72" s="65">
        <v>3.4</v>
      </c>
      <c r="H72" s="65">
        <v>3.4</v>
      </c>
      <c r="I72" s="65">
        <v>3.4</v>
      </c>
      <c r="J72" s="65">
        <v>3.4</v>
      </c>
      <c r="K72" s="65">
        <v>3.4</v>
      </c>
      <c r="L72" s="65">
        <v>3.4</v>
      </c>
      <c r="M72" s="65">
        <v>3.4</v>
      </c>
      <c r="N72" s="65">
        <v>3.4</v>
      </c>
      <c r="O72" s="65">
        <v>3.4</v>
      </c>
      <c r="P72" s="65">
        <v>3.4</v>
      </c>
      <c r="Q72" s="65">
        <v>3.4</v>
      </c>
      <c r="R72" s="65">
        <v>3.4</v>
      </c>
      <c r="S72" s="65">
        <v>4.7</v>
      </c>
      <c r="T72" s="65">
        <v>4.7</v>
      </c>
      <c r="U72" s="65">
        <v>4.7</v>
      </c>
      <c r="V72" s="65">
        <v>4.7</v>
      </c>
      <c r="W72" s="65">
        <v>4.7</v>
      </c>
      <c r="X72" s="65">
        <v>4.7</v>
      </c>
      <c r="Y72" s="65">
        <v>4.7</v>
      </c>
      <c r="Z72" s="65">
        <v>4.7</v>
      </c>
      <c r="AA72" s="65">
        <v>4.7</v>
      </c>
      <c r="AB72" s="65">
        <v>4.7</v>
      </c>
      <c r="AC72" s="65">
        <v>4.7</v>
      </c>
      <c r="AD72" s="65">
        <v>4.7</v>
      </c>
      <c r="AE72" s="65">
        <v>4.9000000000000004</v>
      </c>
      <c r="AF72" s="65">
        <v>4.7</v>
      </c>
      <c r="AG72" s="55">
        <v>14</v>
      </c>
      <c r="AH72" s="47">
        <f t="shared" si="2"/>
        <v>4.9000000000000004</v>
      </c>
      <c r="AI72" s="48">
        <f t="shared" si="3"/>
        <v>3.4</v>
      </c>
      <c r="AK72" s="50"/>
    </row>
    <row r="73" spans="1:41" x14ac:dyDescent="0.25">
      <c r="A73" s="54" t="s">
        <v>73</v>
      </c>
      <c r="B73" s="65">
        <v>4.0999999999999996</v>
      </c>
      <c r="C73" s="65">
        <v>4.0999999999999996</v>
      </c>
      <c r="D73" s="65">
        <v>4.0999999999999996</v>
      </c>
      <c r="E73" s="65">
        <v>4.0999999999999996</v>
      </c>
      <c r="F73" s="65">
        <v>4.0999999999999996</v>
      </c>
      <c r="G73" s="65">
        <v>4.0999999999999996</v>
      </c>
      <c r="H73" s="65">
        <v>4.0999999999999996</v>
      </c>
      <c r="I73" s="65">
        <v>4.0999999999999996</v>
      </c>
      <c r="J73" s="65">
        <v>4.0999999999999996</v>
      </c>
      <c r="K73" s="65">
        <v>4.0999999999999996</v>
      </c>
      <c r="L73" s="65">
        <v>4.0999999999999996</v>
      </c>
      <c r="M73" s="65">
        <v>4.0999999999999996</v>
      </c>
      <c r="N73" s="65">
        <v>4.0999999999999996</v>
      </c>
      <c r="O73" s="65">
        <v>4.0999999999999996</v>
      </c>
      <c r="P73" s="65">
        <v>4.0999999999999996</v>
      </c>
      <c r="Q73" s="65">
        <v>4.0999999999999996</v>
      </c>
      <c r="R73" s="65">
        <v>4.0999999999999996</v>
      </c>
      <c r="S73" s="65">
        <v>4.5</v>
      </c>
      <c r="T73" s="65">
        <v>4.5</v>
      </c>
      <c r="U73" s="65">
        <v>4.5</v>
      </c>
      <c r="V73" s="65">
        <v>4.5</v>
      </c>
      <c r="W73" s="65">
        <v>4.5</v>
      </c>
      <c r="X73" s="65">
        <v>4.5</v>
      </c>
      <c r="Y73" s="65">
        <v>4.5</v>
      </c>
      <c r="Z73" s="65">
        <v>4.5</v>
      </c>
      <c r="AA73" s="65">
        <v>4.5</v>
      </c>
      <c r="AB73" s="65">
        <v>4.5</v>
      </c>
      <c r="AC73" s="65">
        <v>4.5</v>
      </c>
      <c r="AD73" s="65">
        <v>4.5</v>
      </c>
      <c r="AE73" s="65">
        <v>4.5</v>
      </c>
      <c r="AF73" s="65">
        <v>4.5</v>
      </c>
      <c r="AG73" s="55">
        <v>10.050000000000001</v>
      </c>
      <c r="AH73" s="47">
        <f t="shared" si="2"/>
        <v>4.5</v>
      </c>
      <c r="AI73" s="48">
        <f t="shared" si="3"/>
        <v>4.0999999999999996</v>
      </c>
      <c r="AK73" s="50"/>
    </row>
    <row r="74" spans="1:41" x14ac:dyDescent="0.25">
      <c r="A74" s="54" t="s">
        <v>74</v>
      </c>
      <c r="B74" s="65">
        <v>3</v>
      </c>
      <c r="C74" s="65">
        <v>3</v>
      </c>
      <c r="D74" s="65">
        <v>3</v>
      </c>
      <c r="E74" s="65">
        <v>3</v>
      </c>
      <c r="F74" s="65">
        <v>3</v>
      </c>
      <c r="G74" s="65">
        <v>3</v>
      </c>
      <c r="H74" s="65">
        <v>3</v>
      </c>
      <c r="I74" s="65">
        <v>3</v>
      </c>
      <c r="J74" s="65">
        <v>3</v>
      </c>
      <c r="K74" s="65">
        <v>3</v>
      </c>
      <c r="L74" s="65">
        <v>3</v>
      </c>
      <c r="M74" s="65">
        <v>3</v>
      </c>
      <c r="N74" s="65">
        <v>3</v>
      </c>
      <c r="O74" s="65">
        <v>3</v>
      </c>
      <c r="P74" s="65">
        <v>3</v>
      </c>
      <c r="Q74" s="65">
        <v>3</v>
      </c>
      <c r="R74" s="65">
        <v>3</v>
      </c>
      <c r="S74" s="65">
        <v>3</v>
      </c>
      <c r="T74" s="65">
        <v>3</v>
      </c>
      <c r="U74" s="65">
        <v>3</v>
      </c>
      <c r="V74" s="65">
        <v>3</v>
      </c>
      <c r="W74" s="65">
        <v>3</v>
      </c>
      <c r="X74" s="65">
        <v>3</v>
      </c>
      <c r="Y74" s="65">
        <v>3</v>
      </c>
      <c r="Z74" s="65">
        <v>3</v>
      </c>
      <c r="AA74" s="65">
        <v>3</v>
      </c>
      <c r="AB74" s="65">
        <v>3</v>
      </c>
      <c r="AC74" s="65">
        <v>3</v>
      </c>
      <c r="AD74" s="65">
        <v>3</v>
      </c>
      <c r="AE74" s="65">
        <v>3</v>
      </c>
      <c r="AF74" s="65">
        <v>3</v>
      </c>
      <c r="AG74" s="55">
        <v>6.2</v>
      </c>
      <c r="AH74" s="47">
        <f t="shared" si="2"/>
        <v>3</v>
      </c>
      <c r="AI74" s="48">
        <f t="shared" si="3"/>
        <v>3</v>
      </c>
      <c r="AK74" s="50"/>
    </row>
    <row r="75" spans="1:41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3.54</v>
      </c>
      <c r="Z75" s="72">
        <v>3.54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2"/>
        <v>3.54</v>
      </c>
      <c r="AI75" s="48">
        <f t="shared" si="3"/>
        <v>3.54</v>
      </c>
      <c r="AK75" s="50"/>
    </row>
    <row r="76" spans="1:41" ht="15.75" thickBot="1" x14ac:dyDescent="0.3">
      <c r="A76" s="74" t="s">
        <v>76</v>
      </c>
      <c r="B76" s="60">
        <f t="shared" ref="B76:D76" si="11">SUM(B63:B75)</f>
        <v>109.54</v>
      </c>
      <c r="C76" s="60">
        <f t="shared" si="11"/>
        <v>91.639999999999986</v>
      </c>
      <c r="D76" s="60">
        <f t="shared" si="11"/>
        <v>93.54</v>
      </c>
      <c r="E76" s="60">
        <f t="shared" ref="E76:AG76" si="12">SUM(E63:E75)</f>
        <v>89.04</v>
      </c>
      <c r="F76" s="60">
        <f t="shared" si="12"/>
        <v>89.04</v>
      </c>
      <c r="G76" s="60">
        <f t="shared" si="12"/>
        <v>89.24</v>
      </c>
      <c r="H76" s="60">
        <f t="shared" si="12"/>
        <v>201.23999999999998</v>
      </c>
      <c r="I76" s="60">
        <f t="shared" si="12"/>
        <v>266.44000000000005</v>
      </c>
      <c r="J76" s="60">
        <f t="shared" si="12"/>
        <v>362.34000000000003</v>
      </c>
      <c r="K76" s="60">
        <f t="shared" si="12"/>
        <v>364.44000000000005</v>
      </c>
      <c r="L76" s="60">
        <f t="shared" si="12"/>
        <v>399.1400000000001</v>
      </c>
      <c r="M76" s="60">
        <f t="shared" si="12"/>
        <v>401.46000000000004</v>
      </c>
      <c r="N76" s="60">
        <f t="shared" si="12"/>
        <v>394.46000000000004</v>
      </c>
      <c r="O76" s="60">
        <f t="shared" si="12"/>
        <v>355.14000000000004</v>
      </c>
      <c r="P76" s="60">
        <f t="shared" si="12"/>
        <v>355.14000000000004</v>
      </c>
      <c r="Q76" s="60">
        <f t="shared" si="12"/>
        <v>277.84000000000003</v>
      </c>
      <c r="R76" s="60">
        <f t="shared" si="12"/>
        <v>276.44</v>
      </c>
      <c r="S76" s="60">
        <f t="shared" si="12"/>
        <v>243.34</v>
      </c>
      <c r="T76" s="60">
        <f t="shared" si="12"/>
        <v>204.54</v>
      </c>
      <c r="U76" s="60">
        <f t="shared" si="12"/>
        <v>139.13999999999999</v>
      </c>
      <c r="V76" s="60">
        <f t="shared" si="12"/>
        <v>159.34</v>
      </c>
      <c r="W76" s="60">
        <f t="shared" si="12"/>
        <v>236.94</v>
      </c>
      <c r="X76" s="60">
        <f t="shared" si="12"/>
        <v>357.24</v>
      </c>
      <c r="Y76" s="60">
        <f t="shared" si="12"/>
        <v>377.24</v>
      </c>
      <c r="Z76" s="60">
        <f t="shared" si="12"/>
        <v>333.74</v>
      </c>
      <c r="AA76" s="60">
        <f t="shared" si="12"/>
        <v>314.54000000000002</v>
      </c>
      <c r="AB76" s="60">
        <f t="shared" si="12"/>
        <v>265.64000000000004</v>
      </c>
      <c r="AC76" s="60">
        <f t="shared" si="12"/>
        <v>253.14</v>
      </c>
      <c r="AD76" s="60">
        <f t="shared" si="12"/>
        <v>229.94</v>
      </c>
      <c r="AE76" s="60">
        <f t="shared" ref="AE76:AF76" si="13">SUM(AE63:AE75)</f>
        <v>164.04000000000002</v>
      </c>
      <c r="AF76" s="60">
        <f t="shared" si="13"/>
        <v>138.44</v>
      </c>
      <c r="AG76" s="61">
        <f t="shared" si="12"/>
        <v>489.91</v>
      </c>
      <c r="AH76" s="47">
        <f t="shared" si="2"/>
        <v>401.46000000000004</v>
      </c>
      <c r="AI76" s="48">
        <f t="shared" si="3"/>
        <v>89.04</v>
      </c>
      <c r="AK76" s="50"/>
    </row>
    <row r="77" spans="1:41" x14ac:dyDescent="0.25">
      <c r="A77" s="44" t="s">
        <v>77</v>
      </c>
      <c r="B77" s="45">
        <v>0</v>
      </c>
      <c r="C77" s="45">
        <v>0</v>
      </c>
      <c r="D77" s="45">
        <v>0</v>
      </c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>
        <v>30</v>
      </c>
      <c r="P77" s="45">
        <v>30</v>
      </c>
      <c r="Q77" s="45">
        <v>50</v>
      </c>
      <c r="R77" s="45">
        <v>60</v>
      </c>
      <c r="S77" s="45">
        <v>58.1</v>
      </c>
      <c r="T77" s="45">
        <v>58.4</v>
      </c>
      <c r="U77" s="45">
        <v>58.5</v>
      </c>
      <c r="V77" s="45">
        <v>58.5</v>
      </c>
      <c r="W77" s="45">
        <v>59.1</v>
      </c>
      <c r="X77" s="45">
        <v>59.1</v>
      </c>
      <c r="Y77" s="45">
        <v>59</v>
      </c>
      <c r="Z77" s="45">
        <v>59.4</v>
      </c>
      <c r="AA77" s="45">
        <v>59.4</v>
      </c>
      <c r="AB77" s="45">
        <v>59.4</v>
      </c>
      <c r="AC77" s="45">
        <v>59.4</v>
      </c>
      <c r="AD77" s="45">
        <v>59.4</v>
      </c>
      <c r="AE77" s="45">
        <v>59.4</v>
      </c>
      <c r="AF77" s="45">
        <v>0</v>
      </c>
      <c r="AG77" s="52">
        <v>60</v>
      </c>
      <c r="AH77" s="47">
        <f t="shared" si="2"/>
        <v>60</v>
      </c>
      <c r="AI77" s="48">
        <f t="shared" si="3"/>
        <v>0</v>
      </c>
      <c r="AK77" s="50"/>
    </row>
    <row r="78" spans="1:41" x14ac:dyDescent="0.25">
      <c r="A78" s="54" t="s">
        <v>78</v>
      </c>
      <c r="B78" s="65">
        <v>0</v>
      </c>
      <c r="C78" s="65">
        <v>0</v>
      </c>
      <c r="D78" s="65">
        <v>0</v>
      </c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>
        <v>14</v>
      </c>
      <c r="P78" s="65">
        <v>14</v>
      </c>
      <c r="Q78" s="65">
        <v>20</v>
      </c>
      <c r="R78" s="65">
        <v>20</v>
      </c>
      <c r="S78" s="65">
        <v>26.5</v>
      </c>
      <c r="T78" s="65">
        <v>27.1</v>
      </c>
      <c r="U78" s="65">
        <v>27.1</v>
      </c>
      <c r="V78" s="65">
        <v>27.1</v>
      </c>
      <c r="W78" s="65">
        <v>27.1</v>
      </c>
      <c r="X78" s="65">
        <v>27.2</v>
      </c>
      <c r="Y78" s="65">
        <v>27.2</v>
      </c>
      <c r="Z78" s="65">
        <v>27.2</v>
      </c>
      <c r="AA78" s="65">
        <v>27.2</v>
      </c>
      <c r="AB78" s="65">
        <v>27.2</v>
      </c>
      <c r="AC78" s="65">
        <v>27.2</v>
      </c>
      <c r="AD78" s="65">
        <v>27.2</v>
      </c>
      <c r="AE78" s="65">
        <v>26.4</v>
      </c>
      <c r="AF78" s="65">
        <v>0</v>
      </c>
      <c r="AG78" s="55">
        <v>32</v>
      </c>
      <c r="AH78" s="47">
        <f t="shared" si="2"/>
        <v>27.2</v>
      </c>
      <c r="AI78" s="48">
        <f t="shared" si="3"/>
        <v>0</v>
      </c>
      <c r="AK78" s="50"/>
    </row>
    <row r="79" spans="1:41" ht="15.75" thickBot="1" x14ac:dyDescent="0.3">
      <c r="A79" s="71" t="s">
        <v>79</v>
      </c>
      <c r="B79" s="67">
        <v>0</v>
      </c>
      <c r="C79" s="67">
        <v>0</v>
      </c>
      <c r="D79" s="67">
        <v>0</v>
      </c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>
        <v>5</v>
      </c>
      <c r="P79" s="67">
        <v>5</v>
      </c>
      <c r="Q79" s="67">
        <v>7.5</v>
      </c>
      <c r="R79" s="67">
        <v>7.5</v>
      </c>
      <c r="S79" s="67">
        <v>9.6999999999999993</v>
      </c>
      <c r="T79" s="67">
        <v>9.9</v>
      </c>
      <c r="U79" s="67">
        <v>9.9</v>
      </c>
      <c r="V79" s="67">
        <v>9.9</v>
      </c>
      <c r="W79" s="67">
        <v>9.9</v>
      </c>
      <c r="X79" s="67">
        <v>9.9</v>
      </c>
      <c r="Y79" s="67">
        <v>9.9</v>
      </c>
      <c r="Z79" s="67">
        <v>9.9</v>
      </c>
      <c r="AA79" s="67">
        <v>9.9</v>
      </c>
      <c r="AB79" s="67">
        <v>9.9</v>
      </c>
      <c r="AC79" s="67">
        <v>9.9</v>
      </c>
      <c r="AD79" s="67">
        <v>9.9</v>
      </c>
      <c r="AE79" s="67">
        <v>9.6</v>
      </c>
      <c r="AF79" s="67">
        <v>0</v>
      </c>
      <c r="AG79" s="68">
        <v>14</v>
      </c>
      <c r="AH79" s="47">
        <f t="shared" si="2"/>
        <v>9.9</v>
      </c>
      <c r="AI79" s="48">
        <f t="shared" si="3"/>
        <v>0</v>
      </c>
      <c r="AK79" s="50"/>
    </row>
    <row r="80" spans="1:41" ht="15.75" thickBot="1" x14ac:dyDescent="0.3">
      <c r="A80" s="74" t="s">
        <v>80</v>
      </c>
      <c r="B80" s="60">
        <f t="shared" ref="B80:D80" si="14">B77+B78+B79</f>
        <v>0</v>
      </c>
      <c r="C80" s="60">
        <f t="shared" si="14"/>
        <v>0</v>
      </c>
      <c r="D80" s="60">
        <f t="shared" si="14"/>
        <v>0</v>
      </c>
      <c r="E80" s="60">
        <f t="shared" ref="E80:AD80" si="15">E77+E78+E79</f>
        <v>0</v>
      </c>
      <c r="F80" s="60">
        <f t="shared" si="15"/>
        <v>0</v>
      </c>
      <c r="G80" s="60">
        <f t="shared" si="15"/>
        <v>0</v>
      </c>
      <c r="H80" s="60">
        <f t="shared" si="15"/>
        <v>0</v>
      </c>
      <c r="I80" s="60">
        <f t="shared" si="15"/>
        <v>0</v>
      </c>
      <c r="J80" s="60">
        <f t="shared" si="15"/>
        <v>0</v>
      </c>
      <c r="K80" s="60">
        <f t="shared" si="15"/>
        <v>0</v>
      </c>
      <c r="L80" s="60">
        <f t="shared" si="15"/>
        <v>0</v>
      </c>
      <c r="M80" s="60">
        <f t="shared" si="15"/>
        <v>0</v>
      </c>
      <c r="N80" s="60">
        <f t="shared" si="15"/>
        <v>0</v>
      </c>
      <c r="O80" s="60">
        <f t="shared" si="15"/>
        <v>49</v>
      </c>
      <c r="P80" s="60">
        <f t="shared" si="15"/>
        <v>49</v>
      </c>
      <c r="Q80" s="60">
        <f t="shared" si="15"/>
        <v>77.5</v>
      </c>
      <c r="R80" s="60">
        <f t="shared" si="15"/>
        <v>87.5</v>
      </c>
      <c r="S80" s="60">
        <f t="shared" si="15"/>
        <v>94.3</v>
      </c>
      <c r="T80" s="60">
        <f t="shared" si="15"/>
        <v>95.4</v>
      </c>
      <c r="U80" s="60">
        <f t="shared" si="15"/>
        <v>95.5</v>
      </c>
      <c r="V80" s="60">
        <f t="shared" si="15"/>
        <v>95.5</v>
      </c>
      <c r="W80" s="60">
        <f t="shared" si="15"/>
        <v>96.100000000000009</v>
      </c>
      <c r="X80" s="60">
        <f t="shared" si="15"/>
        <v>96.2</v>
      </c>
      <c r="Y80" s="60">
        <f t="shared" si="15"/>
        <v>96.100000000000009</v>
      </c>
      <c r="Z80" s="60">
        <f t="shared" si="15"/>
        <v>96.5</v>
      </c>
      <c r="AA80" s="60">
        <f t="shared" si="15"/>
        <v>96.5</v>
      </c>
      <c r="AB80" s="60">
        <f t="shared" si="15"/>
        <v>96.5</v>
      </c>
      <c r="AC80" s="60">
        <f t="shared" si="15"/>
        <v>96.5</v>
      </c>
      <c r="AD80" s="60">
        <f t="shared" si="15"/>
        <v>96.5</v>
      </c>
      <c r="AE80" s="60">
        <f t="shared" ref="AE80:AF80" si="16">AE77+AE78+AE79</f>
        <v>95.399999999999991</v>
      </c>
      <c r="AF80" s="60">
        <f t="shared" si="16"/>
        <v>0</v>
      </c>
      <c r="AG80" s="61">
        <f>SUM(AG77:AG79)</f>
        <v>106</v>
      </c>
      <c r="AH80" s="47">
        <f t="shared" si="2"/>
        <v>96.5</v>
      </c>
      <c r="AI80" s="48">
        <f t="shared" si="3"/>
        <v>0</v>
      </c>
      <c r="AK80" s="50"/>
    </row>
    <row r="81" spans="1:40" x14ac:dyDescent="0.25">
      <c r="A81" s="44" t="s">
        <v>81</v>
      </c>
      <c r="B81" s="45">
        <v>62.3</v>
      </c>
      <c r="C81" s="45">
        <v>60.4</v>
      </c>
      <c r="D81" s="45">
        <v>66.5</v>
      </c>
      <c r="E81" s="45">
        <v>61.5</v>
      </c>
      <c r="F81" s="45">
        <v>67.7</v>
      </c>
      <c r="G81" s="45">
        <v>70</v>
      </c>
      <c r="H81" s="45">
        <v>60</v>
      </c>
      <c r="I81" s="45">
        <v>60</v>
      </c>
      <c r="J81" s="45">
        <v>60</v>
      </c>
      <c r="K81" s="45">
        <v>60</v>
      </c>
      <c r="L81" s="45">
        <v>57.5</v>
      </c>
      <c r="M81" s="45">
        <v>61.3</v>
      </c>
      <c r="N81" s="45">
        <v>56</v>
      </c>
      <c r="O81" s="45">
        <v>54</v>
      </c>
      <c r="P81" s="45">
        <v>61</v>
      </c>
      <c r="Q81" s="45">
        <v>67.599999999999994</v>
      </c>
      <c r="R81" s="45">
        <v>64.5</v>
      </c>
      <c r="S81" s="45">
        <v>62</v>
      </c>
      <c r="T81" s="45">
        <v>69.900000000000006</v>
      </c>
      <c r="U81" s="45">
        <v>68.2</v>
      </c>
      <c r="V81" s="45">
        <v>68.5</v>
      </c>
      <c r="W81" s="45">
        <v>63.1</v>
      </c>
      <c r="X81" s="45">
        <v>63.1</v>
      </c>
      <c r="Y81" s="45">
        <v>62.8</v>
      </c>
      <c r="Z81" s="45">
        <v>65.3</v>
      </c>
      <c r="AA81" s="45">
        <v>75.599999999999994</v>
      </c>
      <c r="AB81" s="45">
        <v>73</v>
      </c>
      <c r="AC81" s="45">
        <v>70</v>
      </c>
      <c r="AD81" s="45">
        <v>63.9</v>
      </c>
      <c r="AE81" s="45">
        <v>64.8</v>
      </c>
      <c r="AF81" s="45">
        <v>63.9</v>
      </c>
      <c r="AG81" s="52"/>
      <c r="AH81" s="47">
        <f t="shared" si="2"/>
        <v>75.599999999999994</v>
      </c>
      <c r="AI81" s="48">
        <f t="shared" si="3"/>
        <v>54</v>
      </c>
      <c r="AK81" s="50"/>
    </row>
    <row r="82" spans="1:40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>
        <v>0</v>
      </c>
      <c r="T82" s="65">
        <v>0</v>
      </c>
      <c r="U82" s="65">
        <v>0</v>
      </c>
      <c r="V82" s="65">
        <v>0</v>
      </c>
      <c r="W82" s="65">
        <v>0</v>
      </c>
      <c r="X82" s="65">
        <v>0</v>
      </c>
      <c r="Y82" s="65">
        <v>0</v>
      </c>
      <c r="Z82" s="65">
        <v>0</v>
      </c>
      <c r="AA82" s="65">
        <v>0</v>
      </c>
      <c r="AB82" s="65">
        <v>0</v>
      </c>
      <c r="AC82" s="65">
        <v>0</v>
      </c>
      <c r="AD82" s="65">
        <v>0</v>
      </c>
      <c r="AE82" s="65">
        <v>0</v>
      </c>
      <c r="AF82" s="65">
        <v>0</v>
      </c>
      <c r="AG82" s="55"/>
      <c r="AH82" s="47">
        <f t="shared" si="2"/>
        <v>0</v>
      </c>
      <c r="AI82" s="48">
        <f t="shared" si="3"/>
        <v>0</v>
      </c>
      <c r="AK82" s="50"/>
    </row>
    <row r="83" spans="1:40" x14ac:dyDescent="0.25">
      <c r="A83" s="54" t="s">
        <v>83</v>
      </c>
      <c r="B83" s="65">
        <v>330.5</v>
      </c>
      <c r="C83" s="65">
        <v>344.1</v>
      </c>
      <c r="D83" s="65">
        <v>340</v>
      </c>
      <c r="E83" s="65">
        <v>324</v>
      </c>
      <c r="F83" s="65">
        <v>345.2</v>
      </c>
      <c r="G83" s="65">
        <v>340.1</v>
      </c>
      <c r="H83" s="65">
        <v>398</v>
      </c>
      <c r="I83" s="65">
        <v>424</v>
      </c>
      <c r="J83" s="65">
        <v>340</v>
      </c>
      <c r="K83" s="65">
        <v>190</v>
      </c>
      <c r="L83" s="65">
        <v>79.900000000000006</v>
      </c>
      <c r="M83" s="65">
        <v>94.3</v>
      </c>
      <c r="N83" s="65">
        <v>60</v>
      </c>
      <c r="O83" s="65">
        <v>309</v>
      </c>
      <c r="P83" s="65">
        <v>428</v>
      </c>
      <c r="Q83" s="65">
        <v>525</v>
      </c>
      <c r="R83" s="65">
        <v>497</v>
      </c>
      <c r="S83" s="65">
        <v>513.79999999999995</v>
      </c>
      <c r="T83" s="65">
        <v>512.9</v>
      </c>
      <c r="U83" s="65">
        <v>478</v>
      </c>
      <c r="V83" s="65">
        <v>458</v>
      </c>
      <c r="W83" s="65">
        <v>440</v>
      </c>
      <c r="X83" s="65">
        <v>250</v>
      </c>
      <c r="Y83" s="65">
        <v>251</v>
      </c>
      <c r="Z83" s="65">
        <v>247.8</v>
      </c>
      <c r="AA83" s="65">
        <v>232</v>
      </c>
      <c r="AB83" s="65">
        <v>235</v>
      </c>
      <c r="AC83" s="65">
        <v>389</v>
      </c>
      <c r="AD83" s="65">
        <v>350</v>
      </c>
      <c r="AE83" s="65">
        <v>396.1</v>
      </c>
      <c r="AF83" s="65">
        <v>373.2</v>
      </c>
      <c r="AG83" s="75"/>
      <c r="AH83" s="47">
        <f t="shared" si="2"/>
        <v>525</v>
      </c>
      <c r="AI83" s="48">
        <f t="shared" si="3"/>
        <v>60</v>
      </c>
      <c r="AK83" s="50"/>
    </row>
    <row r="84" spans="1:40" x14ac:dyDescent="0.25">
      <c r="A84" s="54" t="s">
        <v>84</v>
      </c>
      <c r="B84" s="65"/>
      <c r="C84" s="65"/>
      <c r="D84" s="65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>
        <v>65</v>
      </c>
      <c r="T84" s="76">
        <v>65</v>
      </c>
      <c r="U84" s="76">
        <v>72</v>
      </c>
      <c r="V84" s="76">
        <v>30</v>
      </c>
      <c r="W84" s="76">
        <v>0</v>
      </c>
      <c r="X84" s="76">
        <v>0</v>
      </c>
      <c r="Y84" s="76">
        <v>0</v>
      </c>
      <c r="Z84" s="76">
        <v>0</v>
      </c>
      <c r="AA84" s="76">
        <v>0</v>
      </c>
      <c r="AB84" s="76">
        <v>0</v>
      </c>
      <c r="AC84" s="76">
        <v>0</v>
      </c>
      <c r="AD84" s="76">
        <v>0</v>
      </c>
      <c r="AE84" s="76">
        <v>0</v>
      </c>
      <c r="AF84" s="76">
        <v>0</v>
      </c>
      <c r="AG84" s="75"/>
      <c r="AH84" s="47">
        <f t="shared" si="2"/>
        <v>72</v>
      </c>
      <c r="AI84" s="48">
        <f t="shared" si="3"/>
        <v>0</v>
      </c>
      <c r="AK84" s="50"/>
    </row>
    <row r="85" spans="1:40" x14ac:dyDescent="0.25">
      <c r="A85" s="54" t="s">
        <v>85</v>
      </c>
      <c r="B85" s="45">
        <v>17.2</v>
      </c>
      <c r="C85" s="45">
        <v>0</v>
      </c>
      <c r="D85" s="45">
        <v>0</v>
      </c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>
        <v>40</v>
      </c>
      <c r="T85" s="45">
        <v>40</v>
      </c>
      <c r="U85" s="45">
        <v>42</v>
      </c>
      <c r="V85" s="45">
        <v>35</v>
      </c>
      <c r="W85" s="45">
        <v>35</v>
      </c>
      <c r="X85" s="45">
        <v>25</v>
      </c>
      <c r="Y85" s="45">
        <v>25</v>
      </c>
      <c r="Z85" s="45">
        <v>25</v>
      </c>
      <c r="AA85" s="45">
        <v>22</v>
      </c>
      <c r="AB85" s="45">
        <v>22</v>
      </c>
      <c r="AC85" s="45">
        <v>22</v>
      </c>
      <c r="AD85" s="45">
        <v>22</v>
      </c>
      <c r="AE85" s="45">
        <v>22.4</v>
      </c>
      <c r="AF85" s="45">
        <v>22</v>
      </c>
      <c r="AG85" s="75"/>
      <c r="AH85" s="47">
        <f t="shared" ref="AH85:AH130" si="17">MAX(B85:AF85)</f>
        <v>42</v>
      </c>
      <c r="AI85" s="48">
        <f t="shared" ref="AI85:AI130" si="18">MIN(B85:AF85)</f>
        <v>0</v>
      </c>
      <c r="AK85" s="50"/>
    </row>
    <row r="86" spans="1:40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/>
      <c r="AH86" s="47">
        <f t="shared" si="17"/>
        <v>0</v>
      </c>
      <c r="AI86" s="48">
        <f t="shared" si="18"/>
        <v>0</v>
      </c>
      <c r="AK86" s="50"/>
    </row>
    <row r="87" spans="1:40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>
        <v>0</v>
      </c>
      <c r="T87" s="77">
        <v>0</v>
      </c>
      <c r="U87" s="77">
        <v>0</v>
      </c>
      <c r="V87" s="77">
        <v>0</v>
      </c>
      <c r="W87" s="77">
        <v>0</v>
      </c>
      <c r="X87" s="77">
        <v>0</v>
      </c>
      <c r="Y87" s="77">
        <v>0</v>
      </c>
      <c r="Z87" s="77">
        <v>0</v>
      </c>
      <c r="AA87" s="77">
        <v>0</v>
      </c>
      <c r="AB87" s="77">
        <v>0</v>
      </c>
      <c r="AC87" s="77">
        <v>0</v>
      </c>
      <c r="AD87" s="77">
        <v>0</v>
      </c>
      <c r="AE87" s="77">
        <v>0</v>
      </c>
      <c r="AF87" s="77">
        <v>0</v>
      </c>
      <c r="AG87" s="75"/>
      <c r="AH87" s="47">
        <f t="shared" si="17"/>
        <v>0</v>
      </c>
      <c r="AI87" s="48">
        <f t="shared" si="18"/>
        <v>0</v>
      </c>
      <c r="AK87" s="50"/>
      <c r="AL87" s="78" t="s">
        <v>88</v>
      </c>
      <c r="AM87" s="78"/>
    </row>
    <row r="88" spans="1:40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>
        <v>0</v>
      </c>
      <c r="T88" s="77">
        <v>0</v>
      </c>
      <c r="U88" s="77">
        <v>0</v>
      </c>
      <c r="V88" s="77">
        <v>0</v>
      </c>
      <c r="W88" s="77">
        <v>0</v>
      </c>
      <c r="X88" s="77">
        <v>0</v>
      </c>
      <c r="Y88" s="77">
        <v>0</v>
      </c>
      <c r="Z88" s="77">
        <v>0</v>
      </c>
      <c r="AA88" s="77">
        <v>0</v>
      </c>
      <c r="AB88" s="77">
        <v>0</v>
      </c>
      <c r="AC88" s="77">
        <v>0</v>
      </c>
      <c r="AD88" s="77">
        <v>0</v>
      </c>
      <c r="AE88" s="77">
        <v>0</v>
      </c>
      <c r="AF88" s="77">
        <v>0</v>
      </c>
      <c r="AG88" s="75"/>
      <c r="AH88" s="47">
        <f t="shared" si="17"/>
        <v>0</v>
      </c>
      <c r="AI88" s="48">
        <f t="shared" si="18"/>
        <v>0</v>
      </c>
      <c r="AK88" s="79"/>
      <c r="AL88" s="80"/>
      <c r="AM88" s="80"/>
      <c r="AN88" s="81"/>
    </row>
    <row r="89" spans="1:40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>
        <v>0</v>
      </c>
      <c r="T89" s="77">
        <v>0</v>
      </c>
      <c r="U89" s="77">
        <v>0</v>
      </c>
      <c r="V89" s="77">
        <v>0</v>
      </c>
      <c r="W89" s="77">
        <v>0</v>
      </c>
      <c r="X89" s="77">
        <v>0</v>
      </c>
      <c r="Y89" s="77">
        <v>0</v>
      </c>
      <c r="Z89" s="77">
        <v>0</v>
      </c>
      <c r="AA89" s="77">
        <v>0</v>
      </c>
      <c r="AB89" s="77">
        <v>0</v>
      </c>
      <c r="AC89" s="77">
        <v>0</v>
      </c>
      <c r="AD89" s="77">
        <v>0</v>
      </c>
      <c r="AE89" s="77">
        <v>0</v>
      </c>
      <c r="AF89" s="77">
        <v>0</v>
      </c>
      <c r="AG89" s="75"/>
      <c r="AH89" s="47">
        <f t="shared" si="17"/>
        <v>0</v>
      </c>
      <c r="AI89" s="48">
        <f t="shared" si="18"/>
        <v>0</v>
      </c>
      <c r="AK89" s="82" t="s">
        <v>91</v>
      </c>
      <c r="AL89" s="65"/>
      <c r="AM89" s="76"/>
      <c r="AN89" s="83"/>
    </row>
    <row r="90" spans="1:40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>
        <v>0</v>
      </c>
      <c r="T90" s="77">
        <v>0</v>
      </c>
      <c r="U90" s="77">
        <v>0</v>
      </c>
      <c r="V90" s="77">
        <v>0</v>
      </c>
      <c r="W90" s="77">
        <v>0</v>
      </c>
      <c r="X90" s="77">
        <v>0</v>
      </c>
      <c r="Y90" s="77">
        <v>0</v>
      </c>
      <c r="Z90" s="77">
        <v>0</v>
      </c>
      <c r="AA90" s="77">
        <v>0</v>
      </c>
      <c r="AB90" s="77">
        <v>0</v>
      </c>
      <c r="AC90" s="77">
        <v>0</v>
      </c>
      <c r="AD90" s="77">
        <v>0</v>
      </c>
      <c r="AE90" s="77">
        <v>0</v>
      </c>
      <c r="AF90" s="77">
        <v>0</v>
      </c>
      <c r="AG90" s="85"/>
      <c r="AH90" s="47">
        <f t="shared" si="17"/>
        <v>0</v>
      </c>
      <c r="AI90" s="48">
        <f t="shared" si="18"/>
        <v>0</v>
      </c>
      <c r="AK90" s="82" t="s">
        <v>93</v>
      </c>
      <c r="AL90" s="76"/>
      <c r="AM90" s="76"/>
      <c r="AN90" s="83"/>
    </row>
    <row r="91" spans="1:40" ht="15.75" thickBot="1" x14ac:dyDescent="0.3">
      <c r="A91" s="84" t="s">
        <v>421</v>
      </c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>
        <v>0</v>
      </c>
      <c r="T91" s="77">
        <v>0</v>
      </c>
      <c r="U91" s="77">
        <v>0</v>
      </c>
      <c r="V91" s="77">
        <v>0</v>
      </c>
      <c r="W91" s="77">
        <v>0</v>
      </c>
      <c r="X91" s="77">
        <v>0</v>
      </c>
      <c r="Y91" s="77">
        <v>45.8</v>
      </c>
      <c r="Z91" s="77">
        <v>46.8</v>
      </c>
      <c r="AA91" s="77">
        <v>44.9</v>
      </c>
      <c r="AB91" s="77">
        <v>44.9</v>
      </c>
      <c r="AC91" s="77">
        <v>42</v>
      </c>
      <c r="AD91" s="77">
        <v>42</v>
      </c>
      <c r="AE91" s="77">
        <v>52.5</v>
      </c>
      <c r="AF91" s="77">
        <v>53</v>
      </c>
      <c r="AG91" s="85"/>
      <c r="AH91" s="47">
        <f t="shared" si="17"/>
        <v>53</v>
      </c>
      <c r="AI91" s="48">
        <f t="shared" si="18"/>
        <v>0</v>
      </c>
      <c r="AK91" s="86"/>
      <c r="AL91" s="45"/>
      <c r="AM91" s="45"/>
      <c r="AN91" s="87"/>
    </row>
    <row r="92" spans="1:40" ht="15.75" thickBot="1" x14ac:dyDescent="0.3">
      <c r="A92" s="74" t="s">
        <v>95</v>
      </c>
      <c r="B92" s="60">
        <f t="shared" ref="B92:D92" si="19">SUMIF(B81:B91,"&gt;0")</f>
        <v>410</v>
      </c>
      <c r="C92" s="60">
        <f t="shared" si="19"/>
        <v>404.5</v>
      </c>
      <c r="D92" s="60">
        <f t="shared" si="19"/>
        <v>406.5</v>
      </c>
      <c r="E92" s="60">
        <f t="shared" ref="E92:AF92" si="20">SUMIF(E81:E91,"&gt;0")</f>
        <v>385.5</v>
      </c>
      <c r="F92" s="60">
        <f t="shared" si="20"/>
        <v>412.9</v>
      </c>
      <c r="G92" s="60">
        <f t="shared" si="20"/>
        <v>410.1</v>
      </c>
      <c r="H92" s="60">
        <f t="shared" si="20"/>
        <v>458</v>
      </c>
      <c r="I92" s="60">
        <f t="shared" si="20"/>
        <v>484</v>
      </c>
      <c r="J92" s="60">
        <f t="shared" si="20"/>
        <v>400</v>
      </c>
      <c r="K92" s="60">
        <f t="shared" si="20"/>
        <v>250</v>
      </c>
      <c r="L92" s="60">
        <f t="shared" si="20"/>
        <v>137.4</v>
      </c>
      <c r="M92" s="60">
        <f t="shared" si="20"/>
        <v>155.6</v>
      </c>
      <c r="N92" s="60">
        <f t="shared" si="20"/>
        <v>116</v>
      </c>
      <c r="O92" s="60">
        <f t="shared" si="20"/>
        <v>363</v>
      </c>
      <c r="P92" s="60">
        <f t="shared" si="20"/>
        <v>489</v>
      </c>
      <c r="Q92" s="60">
        <f t="shared" si="20"/>
        <v>592.6</v>
      </c>
      <c r="R92" s="60">
        <f t="shared" si="20"/>
        <v>561.5</v>
      </c>
      <c r="S92" s="60">
        <f t="shared" si="20"/>
        <v>680.8</v>
      </c>
      <c r="T92" s="60">
        <f t="shared" si="20"/>
        <v>687.8</v>
      </c>
      <c r="U92" s="60">
        <f t="shared" si="20"/>
        <v>660.2</v>
      </c>
      <c r="V92" s="60">
        <f t="shared" si="20"/>
        <v>591.5</v>
      </c>
      <c r="W92" s="60">
        <f t="shared" si="20"/>
        <v>538.1</v>
      </c>
      <c r="X92" s="60">
        <f t="shared" si="20"/>
        <v>338.1</v>
      </c>
      <c r="Y92" s="60">
        <f t="shared" si="20"/>
        <v>384.6</v>
      </c>
      <c r="Z92" s="60">
        <f t="shared" si="20"/>
        <v>384.90000000000003</v>
      </c>
      <c r="AA92" s="60">
        <f t="shared" si="20"/>
        <v>374.5</v>
      </c>
      <c r="AB92" s="60">
        <f t="shared" si="20"/>
        <v>374.9</v>
      </c>
      <c r="AC92" s="60">
        <f t="shared" si="20"/>
        <v>523</v>
      </c>
      <c r="AD92" s="60">
        <f t="shared" si="20"/>
        <v>477.9</v>
      </c>
      <c r="AE92" s="60">
        <f t="shared" si="20"/>
        <v>535.79999999999995</v>
      </c>
      <c r="AF92" s="60">
        <f t="shared" si="20"/>
        <v>512.09999999999991</v>
      </c>
      <c r="AG92" s="88">
        <f>SUM(AG81:AG91)</f>
        <v>0</v>
      </c>
      <c r="AH92" s="47">
        <f t="shared" si="17"/>
        <v>687.8</v>
      </c>
      <c r="AI92" s="48">
        <f t="shared" si="18"/>
        <v>116</v>
      </c>
      <c r="AK92" s="86"/>
      <c r="AL92" s="77"/>
      <c r="AM92" s="89"/>
      <c r="AN92" s="255"/>
    </row>
    <row r="93" spans="1:40" x14ac:dyDescent="0.25">
      <c r="A93" s="44" t="s">
        <v>96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17"/>
        <v>0</v>
      </c>
      <c r="AI93" s="48">
        <f t="shared" si="18"/>
        <v>0</v>
      </c>
      <c r="AK93" s="86"/>
      <c r="AL93" s="77"/>
      <c r="AM93" s="77"/>
      <c r="AN93" s="256"/>
    </row>
    <row r="94" spans="1:40" ht="15.75" thickBot="1" x14ac:dyDescent="0.3">
      <c r="A94" s="54" t="s">
        <v>97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17"/>
        <v>0</v>
      </c>
      <c r="AI94" s="48">
        <f t="shared" si="18"/>
        <v>0</v>
      </c>
      <c r="AK94" s="91"/>
      <c r="AL94" s="92"/>
      <c r="AM94" s="92"/>
      <c r="AN94" s="93"/>
    </row>
    <row r="95" spans="1:40" ht="15.75" thickBot="1" x14ac:dyDescent="0.3">
      <c r="A95" s="84" t="s">
        <v>98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17"/>
        <v>0</v>
      </c>
      <c r="AI95" s="48">
        <f t="shared" si="18"/>
        <v>0</v>
      </c>
    </row>
    <row r="96" spans="1:40" ht="15.75" thickBot="1" x14ac:dyDescent="0.3">
      <c r="A96" s="74" t="s">
        <v>99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>
        <v>0</v>
      </c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17"/>
        <v>0</v>
      </c>
      <c r="AI96" s="48">
        <f t="shared" si="18"/>
        <v>0</v>
      </c>
    </row>
    <row r="97" spans="1:37" ht="15.75" thickBot="1" x14ac:dyDescent="0.3">
      <c r="A97" s="74" t="s">
        <v>100</v>
      </c>
      <c r="B97" s="95">
        <f t="shared" ref="B97:D97" si="21">B58+B62+B80+B76+B92+B96</f>
        <v>1116.8400000000001</v>
      </c>
      <c r="C97" s="95">
        <f t="shared" si="21"/>
        <v>1093.3400000000001</v>
      </c>
      <c r="D97" s="95">
        <f t="shared" si="21"/>
        <v>1097.3400000000001</v>
      </c>
      <c r="E97" s="95">
        <f t="shared" ref="E97:AG97" si="22">E58+E62+E80+E76+E92+E96</f>
        <v>1072.1400000000001</v>
      </c>
      <c r="F97" s="95">
        <f t="shared" si="22"/>
        <v>1099.3400000000001</v>
      </c>
      <c r="G97" s="95">
        <f t="shared" si="22"/>
        <v>1096.7400000000002</v>
      </c>
      <c r="H97" s="95">
        <f t="shared" si="22"/>
        <v>1256.6400000000001</v>
      </c>
      <c r="I97" s="95">
        <f t="shared" si="22"/>
        <v>1348.3400000000001</v>
      </c>
      <c r="J97" s="95">
        <f t="shared" si="22"/>
        <v>1375.2400000000002</v>
      </c>
      <c r="K97" s="95">
        <f t="shared" si="22"/>
        <v>1442.3400000000001</v>
      </c>
      <c r="L97" s="95">
        <f t="shared" si="22"/>
        <v>1533.7400000000002</v>
      </c>
      <c r="M97" s="95">
        <f t="shared" si="22"/>
        <v>1549.26</v>
      </c>
      <c r="N97" s="95">
        <f t="shared" si="22"/>
        <v>1502.66</v>
      </c>
      <c r="O97" s="95">
        <f t="shared" si="22"/>
        <v>1464.3400000000001</v>
      </c>
      <c r="P97" s="95">
        <f t="shared" si="22"/>
        <v>1550.3400000000001</v>
      </c>
      <c r="Q97" s="95">
        <f t="shared" si="22"/>
        <v>1605.14</v>
      </c>
      <c r="R97" s="95">
        <f t="shared" si="22"/>
        <v>1582.64</v>
      </c>
      <c r="S97" s="95">
        <f t="shared" si="22"/>
        <v>1612.94</v>
      </c>
      <c r="T97" s="95">
        <f t="shared" si="22"/>
        <v>1582.2399999999998</v>
      </c>
      <c r="U97" s="95">
        <f t="shared" si="22"/>
        <v>1488.04</v>
      </c>
      <c r="V97" s="95">
        <f t="shared" si="22"/>
        <v>1439.54</v>
      </c>
      <c r="W97" s="95">
        <f t="shared" si="22"/>
        <v>1479.3400000000001</v>
      </c>
      <c r="X97" s="95">
        <f t="shared" si="22"/>
        <v>1664.6399999999999</v>
      </c>
      <c r="Y97" s="95">
        <f t="shared" si="22"/>
        <v>1758.94</v>
      </c>
      <c r="Z97" s="95">
        <f t="shared" si="22"/>
        <v>1716.14</v>
      </c>
      <c r="AA97" s="95">
        <f t="shared" si="22"/>
        <v>1686.54</v>
      </c>
      <c r="AB97" s="95">
        <f t="shared" si="22"/>
        <v>1608.04</v>
      </c>
      <c r="AC97" s="95">
        <f t="shared" si="22"/>
        <v>1563.6399999999999</v>
      </c>
      <c r="AD97" s="95">
        <f t="shared" si="22"/>
        <v>1495.3400000000001</v>
      </c>
      <c r="AE97" s="95">
        <f t="shared" si="22"/>
        <v>1466.04</v>
      </c>
      <c r="AF97" s="95">
        <f t="shared" si="22"/>
        <v>1248.8399999999999</v>
      </c>
      <c r="AG97" s="61">
        <f t="shared" si="22"/>
        <v>2231.81</v>
      </c>
      <c r="AH97" s="47">
        <f t="shared" si="17"/>
        <v>1758.94</v>
      </c>
      <c r="AI97" s="48">
        <f t="shared" si="18"/>
        <v>1072.1400000000001</v>
      </c>
    </row>
    <row r="98" spans="1:37" ht="15.75" thickBot="1" x14ac:dyDescent="0.3">
      <c r="A98" s="96" t="s">
        <v>101</v>
      </c>
      <c r="B98" s="97">
        <v>0</v>
      </c>
      <c r="C98" s="97">
        <v>0</v>
      </c>
      <c r="D98" s="97">
        <v>0</v>
      </c>
      <c r="E98" s="97"/>
      <c r="F98" s="97"/>
      <c r="G98" s="97"/>
      <c r="H98" s="97"/>
      <c r="I98" s="97"/>
      <c r="J98" s="97"/>
      <c r="K98" s="97">
        <v>150</v>
      </c>
      <c r="L98" s="97">
        <v>200</v>
      </c>
      <c r="M98" s="97">
        <v>200</v>
      </c>
      <c r="N98" s="97">
        <v>200</v>
      </c>
      <c r="O98" s="97">
        <v>200</v>
      </c>
      <c r="P98" s="97"/>
      <c r="Q98" s="97"/>
      <c r="R98" s="97"/>
      <c r="S98" s="97"/>
      <c r="T98" s="97">
        <v>60</v>
      </c>
      <c r="U98" s="97">
        <v>150</v>
      </c>
      <c r="V98" s="97">
        <v>160</v>
      </c>
      <c r="W98" s="97">
        <v>180</v>
      </c>
      <c r="X98" s="97">
        <v>200</v>
      </c>
      <c r="Y98" s="97">
        <v>200</v>
      </c>
      <c r="Z98" s="97">
        <v>180</v>
      </c>
      <c r="AA98" s="97">
        <v>160</v>
      </c>
      <c r="AB98" s="97">
        <v>160</v>
      </c>
      <c r="AC98" s="97">
        <v>160</v>
      </c>
      <c r="AD98" s="97">
        <v>160</v>
      </c>
      <c r="AE98" s="97"/>
      <c r="AF98" s="97"/>
      <c r="AG98" s="88"/>
      <c r="AH98" s="47">
        <f t="shared" si="17"/>
        <v>200</v>
      </c>
      <c r="AI98" s="48">
        <f t="shared" si="18"/>
        <v>0</v>
      </c>
    </row>
    <row r="99" spans="1:37" ht="15.75" thickBot="1" x14ac:dyDescent="0.3">
      <c r="A99" s="74" t="s">
        <v>102</v>
      </c>
      <c r="B99" s="95">
        <f t="shared" ref="B99:D99" si="23">B97+B98</f>
        <v>1116.8400000000001</v>
      </c>
      <c r="C99" s="95">
        <f t="shared" si="23"/>
        <v>1093.3400000000001</v>
      </c>
      <c r="D99" s="95">
        <f t="shared" si="23"/>
        <v>1097.3400000000001</v>
      </c>
      <c r="E99" s="95">
        <f t="shared" ref="E99:AF99" si="24">E97+E98</f>
        <v>1072.1400000000001</v>
      </c>
      <c r="F99" s="95">
        <f t="shared" si="24"/>
        <v>1099.3400000000001</v>
      </c>
      <c r="G99" s="95">
        <f t="shared" si="24"/>
        <v>1096.7400000000002</v>
      </c>
      <c r="H99" s="95">
        <f t="shared" si="24"/>
        <v>1256.6400000000001</v>
      </c>
      <c r="I99" s="95">
        <f t="shared" si="24"/>
        <v>1348.3400000000001</v>
      </c>
      <c r="J99" s="95">
        <f t="shared" si="24"/>
        <v>1375.2400000000002</v>
      </c>
      <c r="K99" s="95">
        <f t="shared" si="24"/>
        <v>1592.3400000000001</v>
      </c>
      <c r="L99" s="95">
        <f t="shared" si="24"/>
        <v>1733.7400000000002</v>
      </c>
      <c r="M99" s="95">
        <f t="shared" si="24"/>
        <v>1749.26</v>
      </c>
      <c r="N99" s="95">
        <f t="shared" si="24"/>
        <v>1702.66</v>
      </c>
      <c r="O99" s="95">
        <f t="shared" si="24"/>
        <v>1664.3400000000001</v>
      </c>
      <c r="P99" s="95">
        <f t="shared" si="24"/>
        <v>1550.3400000000001</v>
      </c>
      <c r="Q99" s="95">
        <f t="shared" si="24"/>
        <v>1605.14</v>
      </c>
      <c r="R99" s="95">
        <f t="shared" si="24"/>
        <v>1582.64</v>
      </c>
      <c r="S99" s="95">
        <f t="shared" si="24"/>
        <v>1612.94</v>
      </c>
      <c r="T99" s="95">
        <f t="shared" si="24"/>
        <v>1642.2399999999998</v>
      </c>
      <c r="U99" s="95">
        <f t="shared" si="24"/>
        <v>1638.04</v>
      </c>
      <c r="V99" s="95">
        <f t="shared" si="24"/>
        <v>1599.54</v>
      </c>
      <c r="W99" s="95">
        <f t="shared" si="24"/>
        <v>1659.3400000000001</v>
      </c>
      <c r="X99" s="95">
        <f t="shared" si="24"/>
        <v>1864.6399999999999</v>
      </c>
      <c r="Y99" s="95">
        <f t="shared" si="24"/>
        <v>1958.94</v>
      </c>
      <c r="Z99" s="95">
        <f t="shared" si="24"/>
        <v>1896.14</v>
      </c>
      <c r="AA99" s="95">
        <f t="shared" si="24"/>
        <v>1846.54</v>
      </c>
      <c r="AB99" s="95">
        <f t="shared" si="24"/>
        <v>1768.04</v>
      </c>
      <c r="AC99" s="95">
        <f t="shared" si="24"/>
        <v>1723.6399999999999</v>
      </c>
      <c r="AD99" s="95">
        <f t="shared" si="24"/>
        <v>1655.3400000000001</v>
      </c>
      <c r="AE99" s="95">
        <f t="shared" si="24"/>
        <v>1466.04</v>
      </c>
      <c r="AF99" s="95">
        <f t="shared" si="24"/>
        <v>1248.8399999999999</v>
      </c>
      <c r="AG99" s="88">
        <f>AG96+AG92+AG80+AG76+AG58+AG98</f>
        <v>1693.71</v>
      </c>
      <c r="AH99" s="47">
        <f t="shared" si="17"/>
        <v>1958.94</v>
      </c>
      <c r="AI99" s="48">
        <f t="shared" si="18"/>
        <v>1072.1400000000001</v>
      </c>
    </row>
    <row r="100" spans="1:37" ht="15.75" thickBot="1" x14ac:dyDescent="0.3">
      <c r="A100" s="74" t="s">
        <v>103</v>
      </c>
      <c r="B100" s="95">
        <f t="shared" ref="B100:D100" si="25">B99-(B107)</f>
        <v>1116.8400000000001</v>
      </c>
      <c r="C100" s="95">
        <f t="shared" si="25"/>
        <v>1092.3400000000001</v>
      </c>
      <c r="D100" s="95">
        <f t="shared" si="25"/>
        <v>1095.3400000000001</v>
      </c>
      <c r="E100" s="95">
        <f t="shared" ref="E100:M100" si="26">E99-(E107)</f>
        <v>1072.1400000000001</v>
      </c>
      <c r="F100" s="95">
        <f t="shared" si="26"/>
        <v>1099.3400000000001</v>
      </c>
      <c r="G100" s="95">
        <f t="shared" si="26"/>
        <v>1096.7400000000002</v>
      </c>
      <c r="H100" s="95">
        <f t="shared" si="26"/>
        <v>1256.6400000000001</v>
      </c>
      <c r="I100" s="95">
        <f t="shared" si="26"/>
        <v>1348.3400000000001</v>
      </c>
      <c r="J100" s="95">
        <f t="shared" si="26"/>
        <v>1375.2400000000002</v>
      </c>
      <c r="K100" s="95">
        <f t="shared" si="26"/>
        <v>1592.3400000000001</v>
      </c>
      <c r="L100" s="95">
        <f t="shared" si="26"/>
        <v>1733.7400000000002</v>
      </c>
      <c r="M100" s="95">
        <f t="shared" si="26"/>
        <v>1749.26</v>
      </c>
      <c r="N100" s="95">
        <f>N99-(N107)</f>
        <v>1702.66</v>
      </c>
      <c r="O100" s="95">
        <f t="shared" ref="O100:AF100" si="27">O99-(O107)</f>
        <v>1664.3400000000001</v>
      </c>
      <c r="P100" s="95">
        <f t="shared" si="27"/>
        <v>1550.3400000000001</v>
      </c>
      <c r="Q100" s="95">
        <f t="shared" si="27"/>
        <v>1605.14</v>
      </c>
      <c r="R100" s="95">
        <f t="shared" si="27"/>
        <v>1582.64</v>
      </c>
      <c r="S100" s="95">
        <f t="shared" si="27"/>
        <v>1612.94</v>
      </c>
      <c r="T100" s="95">
        <f t="shared" si="27"/>
        <v>1642.2399999999998</v>
      </c>
      <c r="U100" s="95">
        <f t="shared" si="27"/>
        <v>1638.04</v>
      </c>
      <c r="V100" s="95">
        <f t="shared" si="27"/>
        <v>1599.54</v>
      </c>
      <c r="W100" s="95">
        <f t="shared" si="27"/>
        <v>1659.3400000000001</v>
      </c>
      <c r="X100" s="95">
        <f t="shared" si="27"/>
        <v>1864.6399999999999</v>
      </c>
      <c r="Y100" s="95">
        <f t="shared" si="27"/>
        <v>1958.94</v>
      </c>
      <c r="Z100" s="95">
        <f t="shared" si="27"/>
        <v>1896.14</v>
      </c>
      <c r="AA100" s="95">
        <f t="shared" si="27"/>
        <v>1846.54</v>
      </c>
      <c r="AB100" s="95">
        <f t="shared" si="27"/>
        <v>1768.04</v>
      </c>
      <c r="AC100" s="95">
        <f t="shared" si="27"/>
        <v>1723.6399999999999</v>
      </c>
      <c r="AD100" s="95">
        <f t="shared" si="27"/>
        <v>1655.3400000000001</v>
      </c>
      <c r="AE100" s="95">
        <f t="shared" si="27"/>
        <v>1466.04</v>
      </c>
      <c r="AF100" s="95">
        <f t="shared" si="27"/>
        <v>1248.8399999999999</v>
      </c>
      <c r="AG100" s="88"/>
      <c r="AH100" s="47">
        <f t="shared" si="17"/>
        <v>1958.94</v>
      </c>
      <c r="AI100" s="48">
        <f t="shared" si="18"/>
        <v>1072.1400000000001</v>
      </c>
    </row>
    <row r="101" spans="1:37" x14ac:dyDescent="0.25">
      <c r="A101" s="44" t="s">
        <v>84</v>
      </c>
      <c r="B101" s="76">
        <f t="shared" ref="B101:D101" si="28">IF(B84&lt;0,B84*-1,0)</f>
        <v>0</v>
      </c>
      <c r="C101" s="76">
        <f t="shared" si="28"/>
        <v>0</v>
      </c>
      <c r="D101" s="76">
        <f t="shared" si="28"/>
        <v>0</v>
      </c>
      <c r="E101" s="76">
        <f t="shared" ref="E101:AF101" si="29">IF(E84&lt;0,E84*-1,0)</f>
        <v>0</v>
      </c>
      <c r="F101" s="76">
        <f t="shared" si="29"/>
        <v>0</v>
      </c>
      <c r="G101" s="76">
        <f t="shared" si="29"/>
        <v>0</v>
      </c>
      <c r="H101" s="76">
        <f t="shared" si="29"/>
        <v>0</v>
      </c>
      <c r="I101" s="76">
        <f t="shared" si="29"/>
        <v>0</v>
      </c>
      <c r="J101" s="76">
        <f t="shared" si="29"/>
        <v>0</v>
      </c>
      <c r="K101" s="76">
        <f t="shared" si="29"/>
        <v>0</v>
      </c>
      <c r="L101" s="76">
        <f t="shared" si="29"/>
        <v>0</v>
      </c>
      <c r="M101" s="76">
        <f t="shared" si="29"/>
        <v>0</v>
      </c>
      <c r="N101" s="76">
        <f t="shared" si="29"/>
        <v>0</v>
      </c>
      <c r="O101" s="76">
        <f t="shared" si="29"/>
        <v>0</v>
      </c>
      <c r="P101" s="76">
        <f t="shared" si="29"/>
        <v>0</v>
      </c>
      <c r="Q101" s="76">
        <f t="shared" si="29"/>
        <v>0</v>
      </c>
      <c r="R101" s="76">
        <f t="shared" si="29"/>
        <v>0</v>
      </c>
      <c r="S101" s="76">
        <f t="shared" si="29"/>
        <v>0</v>
      </c>
      <c r="T101" s="76">
        <f t="shared" si="29"/>
        <v>0</v>
      </c>
      <c r="U101" s="76">
        <f t="shared" si="29"/>
        <v>0</v>
      </c>
      <c r="V101" s="76">
        <f t="shared" si="29"/>
        <v>0</v>
      </c>
      <c r="W101" s="76">
        <f t="shared" si="29"/>
        <v>0</v>
      </c>
      <c r="X101" s="76">
        <f t="shared" si="29"/>
        <v>0</v>
      </c>
      <c r="Y101" s="76">
        <f t="shared" si="29"/>
        <v>0</v>
      </c>
      <c r="Z101" s="76">
        <f t="shared" si="29"/>
        <v>0</v>
      </c>
      <c r="AA101" s="76">
        <f t="shared" si="29"/>
        <v>0</v>
      </c>
      <c r="AB101" s="76">
        <f t="shared" si="29"/>
        <v>0</v>
      </c>
      <c r="AC101" s="76">
        <f t="shared" si="29"/>
        <v>0</v>
      </c>
      <c r="AD101" s="76">
        <f t="shared" si="29"/>
        <v>0</v>
      </c>
      <c r="AE101" s="76">
        <f t="shared" si="29"/>
        <v>0</v>
      </c>
      <c r="AF101" s="76">
        <f t="shared" si="29"/>
        <v>0</v>
      </c>
      <c r="AG101" s="52"/>
      <c r="AH101" s="47">
        <f t="shared" si="17"/>
        <v>0</v>
      </c>
      <c r="AI101" s="48">
        <f t="shared" si="18"/>
        <v>0</v>
      </c>
    </row>
    <row r="102" spans="1:37" x14ac:dyDescent="0.25">
      <c r="A102" s="54" t="s">
        <v>82</v>
      </c>
      <c r="B102" s="76">
        <f t="shared" ref="B102:D102" si="30">IF(B82&lt;0,B82*-1,0)</f>
        <v>0</v>
      </c>
      <c r="C102" s="76">
        <f t="shared" si="30"/>
        <v>0</v>
      </c>
      <c r="D102" s="76">
        <f t="shared" si="30"/>
        <v>0</v>
      </c>
      <c r="E102" s="76">
        <f t="shared" ref="E102:AF102" si="31">IF(E82&lt;0,E82*-1,0)</f>
        <v>0</v>
      </c>
      <c r="F102" s="76">
        <f t="shared" si="31"/>
        <v>0</v>
      </c>
      <c r="G102" s="76">
        <f t="shared" si="31"/>
        <v>0</v>
      </c>
      <c r="H102" s="76">
        <f t="shared" si="31"/>
        <v>0</v>
      </c>
      <c r="I102" s="76">
        <f t="shared" si="31"/>
        <v>0</v>
      </c>
      <c r="J102" s="76">
        <f t="shared" si="31"/>
        <v>0</v>
      </c>
      <c r="K102" s="76">
        <f t="shared" si="31"/>
        <v>0</v>
      </c>
      <c r="L102" s="76">
        <f t="shared" si="31"/>
        <v>0</v>
      </c>
      <c r="M102" s="76">
        <f t="shared" si="31"/>
        <v>0</v>
      </c>
      <c r="N102" s="76">
        <f t="shared" si="31"/>
        <v>0</v>
      </c>
      <c r="O102" s="76">
        <f t="shared" si="31"/>
        <v>0</v>
      </c>
      <c r="P102" s="76">
        <f t="shared" si="31"/>
        <v>0</v>
      </c>
      <c r="Q102" s="76">
        <f t="shared" si="31"/>
        <v>0</v>
      </c>
      <c r="R102" s="76">
        <f t="shared" si="31"/>
        <v>0</v>
      </c>
      <c r="S102" s="76">
        <f t="shared" si="31"/>
        <v>0</v>
      </c>
      <c r="T102" s="76">
        <f t="shared" si="31"/>
        <v>0</v>
      </c>
      <c r="U102" s="76">
        <f t="shared" si="31"/>
        <v>0</v>
      </c>
      <c r="V102" s="76">
        <f t="shared" si="31"/>
        <v>0</v>
      </c>
      <c r="W102" s="76">
        <f t="shared" si="31"/>
        <v>0</v>
      </c>
      <c r="X102" s="76">
        <f t="shared" si="31"/>
        <v>0</v>
      </c>
      <c r="Y102" s="76">
        <f t="shared" si="31"/>
        <v>0</v>
      </c>
      <c r="Z102" s="76">
        <f t="shared" si="31"/>
        <v>0</v>
      </c>
      <c r="AA102" s="76">
        <f t="shared" si="31"/>
        <v>0</v>
      </c>
      <c r="AB102" s="76">
        <f t="shared" si="31"/>
        <v>0</v>
      </c>
      <c r="AC102" s="76">
        <f t="shared" si="31"/>
        <v>0</v>
      </c>
      <c r="AD102" s="76">
        <f t="shared" si="31"/>
        <v>0</v>
      </c>
      <c r="AE102" s="76">
        <f t="shared" si="31"/>
        <v>0</v>
      </c>
      <c r="AF102" s="76">
        <f t="shared" si="31"/>
        <v>0</v>
      </c>
      <c r="AG102" s="55"/>
      <c r="AH102" s="47">
        <f t="shared" si="17"/>
        <v>0</v>
      </c>
      <c r="AI102" s="48">
        <f t="shared" si="18"/>
        <v>0</v>
      </c>
    </row>
    <row r="103" spans="1:37" x14ac:dyDescent="0.25">
      <c r="A103" s="84" t="s">
        <v>104</v>
      </c>
      <c r="B103" s="76">
        <f t="shared" ref="B103:D103" si="32">IF(B85&lt;0,B85*-1,0)</f>
        <v>0</v>
      </c>
      <c r="C103" s="76">
        <f t="shared" si="32"/>
        <v>0</v>
      </c>
      <c r="D103" s="76">
        <f t="shared" si="32"/>
        <v>0</v>
      </c>
      <c r="E103" s="76">
        <f t="shared" ref="E103:AF103" si="33">IF(E85&lt;0,E85*-1,0)</f>
        <v>0</v>
      </c>
      <c r="F103" s="76">
        <f t="shared" si="33"/>
        <v>0</v>
      </c>
      <c r="G103" s="76">
        <f t="shared" si="33"/>
        <v>0</v>
      </c>
      <c r="H103" s="76">
        <f t="shared" si="33"/>
        <v>0</v>
      </c>
      <c r="I103" s="76">
        <f t="shared" si="33"/>
        <v>0</v>
      </c>
      <c r="J103" s="76">
        <f t="shared" si="33"/>
        <v>0</v>
      </c>
      <c r="K103" s="76">
        <f t="shared" si="33"/>
        <v>0</v>
      </c>
      <c r="L103" s="76">
        <f t="shared" si="33"/>
        <v>0</v>
      </c>
      <c r="M103" s="76">
        <f t="shared" si="33"/>
        <v>0</v>
      </c>
      <c r="N103" s="76">
        <f t="shared" si="33"/>
        <v>0</v>
      </c>
      <c r="O103" s="76">
        <f t="shared" si="33"/>
        <v>0</v>
      </c>
      <c r="P103" s="76">
        <f t="shared" si="33"/>
        <v>0</v>
      </c>
      <c r="Q103" s="76">
        <f t="shared" si="33"/>
        <v>0</v>
      </c>
      <c r="R103" s="76">
        <f t="shared" si="33"/>
        <v>0</v>
      </c>
      <c r="S103" s="76">
        <f t="shared" si="33"/>
        <v>0</v>
      </c>
      <c r="T103" s="76">
        <f t="shared" si="33"/>
        <v>0</v>
      </c>
      <c r="U103" s="76">
        <f t="shared" si="33"/>
        <v>0</v>
      </c>
      <c r="V103" s="76">
        <f t="shared" si="33"/>
        <v>0</v>
      </c>
      <c r="W103" s="76">
        <f t="shared" si="33"/>
        <v>0</v>
      </c>
      <c r="X103" s="76">
        <f t="shared" si="33"/>
        <v>0</v>
      </c>
      <c r="Y103" s="76">
        <f t="shared" si="33"/>
        <v>0</v>
      </c>
      <c r="Z103" s="76">
        <f t="shared" si="33"/>
        <v>0</v>
      </c>
      <c r="AA103" s="76">
        <f t="shared" si="33"/>
        <v>0</v>
      </c>
      <c r="AB103" s="76">
        <f t="shared" si="33"/>
        <v>0</v>
      </c>
      <c r="AC103" s="76">
        <f t="shared" si="33"/>
        <v>0</v>
      </c>
      <c r="AD103" s="76">
        <f t="shared" si="33"/>
        <v>0</v>
      </c>
      <c r="AE103" s="76">
        <f t="shared" si="33"/>
        <v>0</v>
      </c>
      <c r="AF103" s="76">
        <f t="shared" si="33"/>
        <v>0</v>
      </c>
      <c r="AG103" s="98"/>
      <c r="AH103" s="47">
        <f t="shared" si="17"/>
        <v>0</v>
      </c>
      <c r="AI103" s="48">
        <f t="shared" si="18"/>
        <v>0</v>
      </c>
    </row>
    <row r="104" spans="1:37" x14ac:dyDescent="0.25">
      <c r="A104" s="84" t="s">
        <v>105</v>
      </c>
      <c r="B104" s="76">
        <f t="shared" ref="B104:D104" si="34">IF(B83&lt;0,B83*-1,0)</f>
        <v>0</v>
      </c>
      <c r="C104" s="76">
        <f t="shared" si="34"/>
        <v>0</v>
      </c>
      <c r="D104" s="76">
        <f t="shared" si="34"/>
        <v>0</v>
      </c>
      <c r="E104" s="76">
        <f t="shared" ref="E104:AF104" si="35">IF(E83&lt;0,E83*-1,0)</f>
        <v>0</v>
      </c>
      <c r="F104" s="76">
        <f t="shared" si="35"/>
        <v>0</v>
      </c>
      <c r="G104" s="76">
        <f t="shared" si="35"/>
        <v>0</v>
      </c>
      <c r="H104" s="76">
        <f t="shared" si="35"/>
        <v>0</v>
      </c>
      <c r="I104" s="76">
        <f t="shared" si="35"/>
        <v>0</v>
      </c>
      <c r="J104" s="76">
        <f t="shared" si="35"/>
        <v>0</v>
      </c>
      <c r="K104" s="76">
        <f t="shared" si="35"/>
        <v>0</v>
      </c>
      <c r="L104" s="76">
        <f t="shared" si="35"/>
        <v>0</v>
      </c>
      <c r="M104" s="76">
        <f t="shared" si="35"/>
        <v>0</v>
      </c>
      <c r="N104" s="76">
        <f t="shared" si="35"/>
        <v>0</v>
      </c>
      <c r="O104" s="76">
        <f t="shared" si="35"/>
        <v>0</v>
      </c>
      <c r="P104" s="76">
        <f t="shared" si="35"/>
        <v>0</v>
      </c>
      <c r="Q104" s="76">
        <f t="shared" si="35"/>
        <v>0</v>
      </c>
      <c r="R104" s="76">
        <f t="shared" si="35"/>
        <v>0</v>
      </c>
      <c r="S104" s="76">
        <f t="shared" si="35"/>
        <v>0</v>
      </c>
      <c r="T104" s="76">
        <f t="shared" si="35"/>
        <v>0</v>
      </c>
      <c r="U104" s="76">
        <f t="shared" si="35"/>
        <v>0</v>
      </c>
      <c r="V104" s="76">
        <f t="shared" si="35"/>
        <v>0</v>
      </c>
      <c r="W104" s="76">
        <f t="shared" si="35"/>
        <v>0</v>
      </c>
      <c r="X104" s="76">
        <f t="shared" si="35"/>
        <v>0</v>
      </c>
      <c r="Y104" s="76">
        <f t="shared" si="35"/>
        <v>0</v>
      </c>
      <c r="Z104" s="76">
        <f t="shared" si="35"/>
        <v>0</v>
      </c>
      <c r="AA104" s="76">
        <f t="shared" si="35"/>
        <v>0</v>
      </c>
      <c r="AB104" s="76">
        <f t="shared" si="35"/>
        <v>0</v>
      </c>
      <c r="AC104" s="76">
        <f t="shared" si="35"/>
        <v>0</v>
      </c>
      <c r="AD104" s="76">
        <f t="shared" si="35"/>
        <v>0</v>
      </c>
      <c r="AE104" s="76">
        <f t="shared" si="35"/>
        <v>0</v>
      </c>
      <c r="AF104" s="76">
        <f t="shared" si="35"/>
        <v>0</v>
      </c>
      <c r="AG104" s="98"/>
      <c r="AH104" s="47">
        <f t="shared" si="17"/>
        <v>0</v>
      </c>
      <c r="AI104" s="48">
        <f t="shared" si="18"/>
        <v>0</v>
      </c>
    </row>
    <row r="105" spans="1:37" x14ac:dyDescent="0.25">
      <c r="A105" s="84" t="s">
        <v>81</v>
      </c>
      <c r="B105" s="76">
        <f t="shared" ref="B105:D105" si="36">IF(B81&lt;0,B81*-1,0)</f>
        <v>0</v>
      </c>
      <c r="C105" s="76">
        <f t="shared" si="36"/>
        <v>0</v>
      </c>
      <c r="D105" s="76">
        <f t="shared" si="36"/>
        <v>0</v>
      </c>
      <c r="E105" s="76">
        <f t="shared" ref="E105:AF105" si="37">IF(E81&lt;0,E81*-1,0)</f>
        <v>0</v>
      </c>
      <c r="F105" s="76">
        <f t="shared" si="37"/>
        <v>0</v>
      </c>
      <c r="G105" s="76">
        <f t="shared" si="37"/>
        <v>0</v>
      </c>
      <c r="H105" s="76">
        <f t="shared" si="37"/>
        <v>0</v>
      </c>
      <c r="I105" s="76">
        <f t="shared" si="37"/>
        <v>0</v>
      </c>
      <c r="J105" s="76">
        <f t="shared" si="37"/>
        <v>0</v>
      </c>
      <c r="K105" s="76">
        <f t="shared" si="37"/>
        <v>0</v>
      </c>
      <c r="L105" s="76">
        <f t="shared" si="37"/>
        <v>0</v>
      </c>
      <c r="M105" s="76">
        <f t="shared" si="37"/>
        <v>0</v>
      </c>
      <c r="N105" s="76">
        <f t="shared" si="37"/>
        <v>0</v>
      </c>
      <c r="O105" s="76">
        <f t="shared" si="37"/>
        <v>0</v>
      </c>
      <c r="P105" s="76">
        <f t="shared" si="37"/>
        <v>0</v>
      </c>
      <c r="Q105" s="76">
        <f t="shared" si="37"/>
        <v>0</v>
      </c>
      <c r="R105" s="76">
        <f t="shared" si="37"/>
        <v>0</v>
      </c>
      <c r="S105" s="76">
        <f t="shared" si="37"/>
        <v>0</v>
      </c>
      <c r="T105" s="76">
        <f t="shared" si="37"/>
        <v>0</v>
      </c>
      <c r="U105" s="76">
        <f t="shared" si="37"/>
        <v>0</v>
      </c>
      <c r="V105" s="76">
        <f t="shared" si="37"/>
        <v>0</v>
      </c>
      <c r="W105" s="76">
        <f t="shared" si="37"/>
        <v>0</v>
      </c>
      <c r="X105" s="76">
        <f t="shared" si="37"/>
        <v>0</v>
      </c>
      <c r="Y105" s="76">
        <f t="shared" si="37"/>
        <v>0</v>
      </c>
      <c r="Z105" s="76">
        <f t="shared" si="37"/>
        <v>0</v>
      </c>
      <c r="AA105" s="76">
        <f t="shared" si="37"/>
        <v>0</v>
      </c>
      <c r="AB105" s="76">
        <f t="shared" si="37"/>
        <v>0</v>
      </c>
      <c r="AC105" s="76">
        <f t="shared" si="37"/>
        <v>0</v>
      </c>
      <c r="AD105" s="76">
        <f t="shared" si="37"/>
        <v>0</v>
      </c>
      <c r="AE105" s="76">
        <f t="shared" si="37"/>
        <v>0</v>
      </c>
      <c r="AF105" s="76">
        <f t="shared" si="37"/>
        <v>0</v>
      </c>
      <c r="AG105" s="98"/>
      <c r="AH105" s="47">
        <f t="shared" si="17"/>
        <v>0</v>
      </c>
      <c r="AI105" s="48">
        <f t="shared" si="18"/>
        <v>0</v>
      </c>
    </row>
    <row r="106" spans="1:37" ht="15.75" thickBot="1" x14ac:dyDescent="0.3">
      <c r="A106" s="84" t="s">
        <v>106</v>
      </c>
      <c r="B106" s="94">
        <v>0</v>
      </c>
      <c r="C106" s="94">
        <v>1</v>
      </c>
      <c r="D106" s="94">
        <v>2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0</v>
      </c>
      <c r="AB106" s="94">
        <v>0</v>
      </c>
      <c r="AC106" s="94">
        <v>0</v>
      </c>
      <c r="AD106" s="94">
        <v>0</v>
      </c>
      <c r="AE106" s="94">
        <v>0</v>
      </c>
      <c r="AF106" s="94">
        <v>0</v>
      </c>
      <c r="AG106" s="85"/>
      <c r="AH106" s="47">
        <f t="shared" si="17"/>
        <v>2</v>
      </c>
      <c r="AI106" s="48">
        <f t="shared" si="18"/>
        <v>0</v>
      </c>
    </row>
    <row r="107" spans="1:37" ht="15.75" thickBot="1" x14ac:dyDescent="0.3">
      <c r="A107" s="99" t="s">
        <v>107</v>
      </c>
      <c r="B107" s="60">
        <f t="shared" ref="B107:D107" si="38">SUM(B101:B106)</f>
        <v>0</v>
      </c>
      <c r="C107" s="60">
        <f t="shared" si="38"/>
        <v>1</v>
      </c>
      <c r="D107" s="60">
        <f t="shared" si="38"/>
        <v>2</v>
      </c>
      <c r="E107" s="60">
        <f t="shared" ref="E107:AF107" si="39">SUM(E101:E106)</f>
        <v>0</v>
      </c>
      <c r="F107" s="60">
        <f t="shared" si="39"/>
        <v>0</v>
      </c>
      <c r="G107" s="60">
        <f t="shared" si="39"/>
        <v>0</v>
      </c>
      <c r="H107" s="60">
        <f t="shared" si="39"/>
        <v>0</v>
      </c>
      <c r="I107" s="60">
        <f t="shared" si="39"/>
        <v>0</v>
      </c>
      <c r="J107" s="60">
        <f t="shared" si="39"/>
        <v>0</v>
      </c>
      <c r="K107" s="60">
        <f t="shared" si="39"/>
        <v>0</v>
      </c>
      <c r="L107" s="60">
        <f t="shared" si="39"/>
        <v>0</v>
      </c>
      <c r="M107" s="60">
        <f t="shared" si="39"/>
        <v>0</v>
      </c>
      <c r="N107" s="60">
        <f t="shared" si="39"/>
        <v>0</v>
      </c>
      <c r="O107" s="60">
        <f t="shared" si="39"/>
        <v>0</v>
      </c>
      <c r="P107" s="60">
        <f t="shared" si="39"/>
        <v>0</v>
      </c>
      <c r="Q107" s="60">
        <f t="shared" si="39"/>
        <v>0</v>
      </c>
      <c r="R107" s="60">
        <f t="shared" si="39"/>
        <v>0</v>
      </c>
      <c r="S107" s="60">
        <f t="shared" si="39"/>
        <v>0</v>
      </c>
      <c r="T107" s="60">
        <f t="shared" si="39"/>
        <v>0</v>
      </c>
      <c r="U107" s="60">
        <f t="shared" si="39"/>
        <v>0</v>
      </c>
      <c r="V107" s="60">
        <f t="shared" si="39"/>
        <v>0</v>
      </c>
      <c r="W107" s="60">
        <f t="shared" si="39"/>
        <v>0</v>
      </c>
      <c r="X107" s="60">
        <f t="shared" si="39"/>
        <v>0</v>
      </c>
      <c r="Y107" s="60">
        <f t="shared" si="39"/>
        <v>0</v>
      </c>
      <c r="Z107" s="60">
        <f t="shared" si="39"/>
        <v>0</v>
      </c>
      <c r="AA107" s="60">
        <f t="shared" si="39"/>
        <v>0</v>
      </c>
      <c r="AB107" s="60">
        <f t="shared" si="39"/>
        <v>0</v>
      </c>
      <c r="AC107" s="60">
        <f t="shared" si="39"/>
        <v>0</v>
      </c>
      <c r="AD107" s="60">
        <f t="shared" si="39"/>
        <v>0</v>
      </c>
      <c r="AE107" s="60">
        <f t="shared" si="39"/>
        <v>0</v>
      </c>
      <c r="AF107" s="60">
        <f t="shared" si="39"/>
        <v>0</v>
      </c>
      <c r="AG107" s="88"/>
      <c r="AH107" s="47">
        <f t="shared" si="17"/>
        <v>2</v>
      </c>
      <c r="AI107" s="48">
        <f t="shared" si="18"/>
        <v>0</v>
      </c>
      <c r="AK107" s="50"/>
    </row>
    <row r="108" spans="1:37" ht="15.75" thickBot="1" x14ac:dyDescent="0.3">
      <c r="A108" s="74" t="s">
        <v>108</v>
      </c>
      <c r="B108" s="60">
        <f t="shared" ref="B108:D108" si="40">B92-B107</f>
        <v>410</v>
      </c>
      <c r="C108" s="60">
        <f t="shared" si="40"/>
        <v>403.5</v>
      </c>
      <c r="D108" s="60">
        <f t="shared" si="40"/>
        <v>404.5</v>
      </c>
      <c r="E108" s="60">
        <f t="shared" ref="E108:AF108" si="41">E92-E107</f>
        <v>385.5</v>
      </c>
      <c r="F108" s="60">
        <f t="shared" si="41"/>
        <v>412.9</v>
      </c>
      <c r="G108" s="60">
        <f t="shared" si="41"/>
        <v>410.1</v>
      </c>
      <c r="H108" s="60">
        <f t="shared" si="41"/>
        <v>458</v>
      </c>
      <c r="I108" s="60">
        <f t="shared" si="41"/>
        <v>484</v>
      </c>
      <c r="J108" s="60">
        <f t="shared" si="41"/>
        <v>400</v>
      </c>
      <c r="K108" s="60">
        <f t="shared" si="41"/>
        <v>250</v>
      </c>
      <c r="L108" s="60">
        <f t="shared" si="41"/>
        <v>137.4</v>
      </c>
      <c r="M108" s="60">
        <f t="shared" si="41"/>
        <v>155.6</v>
      </c>
      <c r="N108" s="60">
        <f t="shared" si="41"/>
        <v>116</v>
      </c>
      <c r="O108" s="60">
        <f t="shared" si="41"/>
        <v>363</v>
      </c>
      <c r="P108" s="60">
        <f t="shared" si="41"/>
        <v>489</v>
      </c>
      <c r="Q108" s="60">
        <f t="shared" si="41"/>
        <v>592.6</v>
      </c>
      <c r="R108" s="60">
        <f t="shared" si="41"/>
        <v>561.5</v>
      </c>
      <c r="S108" s="60">
        <f t="shared" si="41"/>
        <v>680.8</v>
      </c>
      <c r="T108" s="60">
        <f t="shared" si="41"/>
        <v>687.8</v>
      </c>
      <c r="U108" s="60">
        <f t="shared" si="41"/>
        <v>660.2</v>
      </c>
      <c r="V108" s="60">
        <f t="shared" si="41"/>
        <v>591.5</v>
      </c>
      <c r="W108" s="60">
        <f t="shared" si="41"/>
        <v>538.1</v>
      </c>
      <c r="X108" s="60">
        <f t="shared" si="41"/>
        <v>338.1</v>
      </c>
      <c r="Y108" s="60">
        <f t="shared" si="41"/>
        <v>384.6</v>
      </c>
      <c r="Z108" s="60">
        <f t="shared" si="41"/>
        <v>384.90000000000003</v>
      </c>
      <c r="AA108" s="60">
        <f t="shared" si="41"/>
        <v>374.5</v>
      </c>
      <c r="AB108" s="60">
        <f t="shared" si="41"/>
        <v>374.9</v>
      </c>
      <c r="AC108" s="60">
        <f t="shared" si="41"/>
        <v>523</v>
      </c>
      <c r="AD108" s="60">
        <f t="shared" si="41"/>
        <v>477.9</v>
      </c>
      <c r="AE108" s="60">
        <f t="shared" si="41"/>
        <v>535.79999999999995</v>
      </c>
      <c r="AF108" s="60">
        <f t="shared" si="41"/>
        <v>512.09999999999991</v>
      </c>
      <c r="AG108" s="88"/>
      <c r="AH108" s="47">
        <f t="shared" si="17"/>
        <v>687.8</v>
      </c>
      <c r="AI108" s="48">
        <f t="shared" si="18"/>
        <v>116</v>
      </c>
    </row>
    <row r="109" spans="1:37" x14ac:dyDescent="0.25">
      <c r="A109" s="100" t="s">
        <v>109</v>
      </c>
      <c r="B109" s="101">
        <v>50.033999999999999</v>
      </c>
      <c r="C109" s="101">
        <v>50.02</v>
      </c>
      <c r="D109" s="101">
        <v>50.05</v>
      </c>
      <c r="E109" s="101">
        <v>49.996000000000002</v>
      </c>
      <c r="F109" s="101">
        <v>50.048999999999999</v>
      </c>
      <c r="G109" s="101">
        <v>50.033999999999999</v>
      </c>
      <c r="H109" s="101">
        <v>50.05</v>
      </c>
      <c r="I109" s="101">
        <v>50.320999999999998</v>
      </c>
      <c r="J109" s="101">
        <v>50.145000000000003</v>
      </c>
      <c r="K109" s="101">
        <v>50.21</v>
      </c>
      <c r="L109" s="101">
        <v>49.957000000000001</v>
      </c>
      <c r="M109" s="101">
        <v>50.000100000000003</v>
      </c>
      <c r="N109" s="101">
        <v>49.908000000000001</v>
      </c>
      <c r="O109" s="101">
        <v>50.000999999999998</v>
      </c>
      <c r="P109" s="101">
        <v>50.027999999999999</v>
      </c>
      <c r="Q109" s="101">
        <v>50.036999999999999</v>
      </c>
      <c r="R109" s="101">
        <v>50.097999999999999</v>
      </c>
      <c r="S109" s="101">
        <v>50.029000000000003</v>
      </c>
      <c r="T109" s="101">
        <v>49.945999999999998</v>
      </c>
      <c r="U109" s="101">
        <v>49.98</v>
      </c>
      <c r="V109" s="101">
        <v>50.09</v>
      </c>
      <c r="W109" s="101">
        <v>50.012999999999998</v>
      </c>
      <c r="X109" s="101">
        <v>49.962000000000003</v>
      </c>
      <c r="Y109" s="101">
        <v>49.91</v>
      </c>
      <c r="Z109" s="101">
        <v>49.997</v>
      </c>
      <c r="AA109" s="101">
        <v>49.933999999999997</v>
      </c>
      <c r="AB109" s="101">
        <v>49.999000000000002</v>
      </c>
      <c r="AC109" s="101">
        <v>49.985999999999997</v>
      </c>
      <c r="AD109" s="101">
        <v>50.012999999999998</v>
      </c>
      <c r="AE109" s="101">
        <v>50.06</v>
      </c>
      <c r="AF109" s="101">
        <v>50.069000000000003</v>
      </c>
      <c r="AG109" s="102"/>
      <c r="AH109" s="47">
        <f t="shared" si="17"/>
        <v>50.320999999999998</v>
      </c>
      <c r="AI109" s="48">
        <f t="shared" si="18"/>
        <v>49.908000000000001</v>
      </c>
    </row>
    <row r="110" spans="1:37" x14ac:dyDescent="0.25">
      <c r="A110" s="103" t="s">
        <v>110</v>
      </c>
      <c r="B110" s="65">
        <v>125.9</v>
      </c>
      <c r="C110" s="65">
        <v>127.2</v>
      </c>
      <c r="D110" s="65">
        <v>127.9</v>
      </c>
      <c r="E110" s="65">
        <v>128.30000000000001</v>
      </c>
      <c r="F110" s="65">
        <v>126.5</v>
      </c>
      <c r="G110" s="65">
        <v>126.9</v>
      </c>
      <c r="H110" s="65">
        <v>125</v>
      </c>
      <c r="I110" s="65">
        <v>125</v>
      </c>
      <c r="J110" s="65">
        <v>127.8</v>
      </c>
      <c r="K110" s="65">
        <v>125.6</v>
      </c>
      <c r="L110" s="65">
        <v>125</v>
      </c>
      <c r="M110" s="65">
        <v>124.2</v>
      </c>
      <c r="N110" s="65">
        <v>124.9</v>
      </c>
      <c r="O110" s="65">
        <v>127</v>
      </c>
      <c r="P110" s="65">
        <v>124.9</v>
      </c>
      <c r="Q110" s="65">
        <v>124.3</v>
      </c>
      <c r="R110" s="65">
        <v>125.6</v>
      </c>
      <c r="S110" s="65">
        <v>125.5</v>
      </c>
      <c r="T110" s="65">
        <v>124.2</v>
      </c>
      <c r="U110" s="65">
        <v>127.2</v>
      </c>
      <c r="V110" s="65">
        <v>127.2</v>
      </c>
      <c r="W110" s="65">
        <v>127.2</v>
      </c>
      <c r="X110" s="65">
        <v>127.8</v>
      </c>
      <c r="Y110" s="65">
        <v>126.8</v>
      </c>
      <c r="Z110" s="65">
        <v>127.8</v>
      </c>
      <c r="AA110" s="65">
        <v>128.1</v>
      </c>
      <c r="AB110" s="65">
        <v>128.19999999999999</v>
      </c>
      <c r="AC110" s="65">
        <v>128.4</v>
      </c>
      <c r="AD110" s="65">
        <v>128.6</v>
      </c>
      <c r="AE110" s="65">
        <v>126.9</v>
      </c>
      <c r="AF110" s="65">
        <v>128.30000000000001</v>
      </c>
      <c r="AG110" s="104"/>
      <c r="AH110" s="47">
        <f t="shared" si="17"/>
        <v>128.6</v>
      </c>
      <c r="AI110" s="48">
        <f t="shared" si="18"/>
        <v>124.2</v>
      </c>
    </row>
    <row r="111" spans="1:37" x14ac:dyDescent="0.25">
      <c r="A111" s="103" t="s">
        <v>111</v>
      </c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104"/>
      <c r="AH111" s="47">
        <f t="shared" si="17"/>
        <v>0</v>
      </c>
      <c r="AI111" s="48">
        <f t="shared" si="18"/>
        <v>0</v>
      </c>
    </row>
    <row r="112" spans="1:37" x14ac:dyDescent="0.25">
      <c r="A112" s="103" t="s">
        <v>112</v>
      </c>
      <c r="B112" s="65">
        <v>133.69999999999999</v>
      </c>
      <c r="C112" s="65">
        <v>131.69999999999999</v>
      </c>
      <c r="D112" s="65">
        <v>131.69999999999999</v>
      </c>
      <c r="E112" s="65">
        <v>132</v>
      </c>
      <c r="F112" s="65">
        <v>131.30000000000001</v>
      </c>
      <c r="G112" s="65">
        <v>131.80000000000001</v>
      </c>
      <c r="H112" s="65">
        <v>129</v>
      </c>
      <c r="I112" s="65">
        <v>128.5</v>
      </c>
      <c r="J112" s="65">
        <v>129.69999999999999</v>
      </c>
      <c r="K112" s="65">
        <v>129.69999999999999</v>
      </c>
      <c r="L112" s="65">
        <v>127.4</v>
      </c>
      <c r="M112" s="65">
        <v>125.3</v>
      </c>
      <c r="N112" s="65">
        <v>128.4</v>
      </c>
      <c r="O112" s="65">
        <v>130</v>
      </c>
      <c r="P112" s="65">
        <v>125.4</v>
      </c>
      <c r="Q112" s="65">
        <v>124.6</v>
      </c>
      <c r="R112" s="65">
        <v>126</v>
      </c>
      <c r="S112" s="65">
        <v>124</v>
      </c>
      <c r="T112" s="65">
        <v>127.6</v>
      </c>
      <c r="U112" s="65">
        <v>129.1</v>
      </c>
      <c r="V112" s="65">
        <v>129.1</v>
      </c>
      <c r="W112" s="65">
        <v>129.1</v>
      </c>
      <c r="X112" s="65">
        <v>127</v>
      </c>
      <c r="Y112" s="65">
        <v>127</v>
      </c>
      <c r="Z112" s="65">
        <v>128.1</v>
      </c>
      <c r="AA112" s="65">
        <v>128.69999999999999</v>
      </c>
      <c r="AB112" s="65">
        <v>131.69999999999999</v>
      </c>
      <c r="AC112" s="65">
        <v>130</v>
      </c>
      <c r="AD112" s="65">
        <v>130.1</v>
      </c>
      <c r="AE112" s="65">
        <v>130.69999999999999</v>
      </c>
      <c r="AF112" s="65">
        <v>129.69999999999999</v>
      </c>
      <c r="AG112" s="104"/>
      <c r="AH112" s="47">
        <f t="shared" si="17"/>
        <v>133.69999999999999</v>
      </c>
      <c r="AI112" s="48">
        <f t="shared" si="18"/>
        <v>124</v>
      </c>
    </row>
    <row r="113" spans="1:35" x14ac:dyDescent="0.25">
      <c r="A113" s="105" t="s">
        <v>113</v>
      </c>
      <c r="B113" s="65">
        <v>135.69999999999999</v>
      </c>
      <c r="C113" s="65">
        <v>132.9</v>
      </c>
      <c r="D113" s="65">
        <v>132.6</v>
      </c>
      <c r="E113" s="65">
        <v>132.6</v>
      </c>
      <c r="F113" s="65">
        <v>131.9</v>
      </c>
      <c r="G113" s="65">
        <v>132.1</v>
      </c>
      <c r="H113" s="65">
        <v>131.1</v>
      </c>
      <c r="I113" s="65">
        <v>131.1</v>
      </c>
      <c r="J113" s="65">
        <v>130.69999999999999</v>
      </c>
      <c r="K113" s="65">
        <v>134.1</v>
      </c>
      <c r="L113" s="65">
        <v>128.5</v>
      </c>
      <c r="M113" s="65">
        <v>127</v>
      </c>
      <c r="N113" s="65">
        <v>128.69999999999999</v>
      </c>
      <c r="O113" s="65">
        <v>130.6</v>
      </c>
      <c r="P113" s="65">
        <v>126.7</v>
      </c>
      <c r="Q113" s="65">
        <v>127.8</v>
      </c>
      <c r="R113" s="65">
        <v>129.19999999999999</v>
      </c>
      <c r="S113" s="65">
        <v>126.5</v>
      </c>
      <c r="T113" s="65">
        <v>129.4</v>
      </c>
      <c r="U113" s="65">
        <v>130.5</v>
      </c>
      <c r="V113" s="65">
        <v>130.5</v>
      </c>
      <c r="W113" s="65">
        <v>130.5</v>
      </c>
      <c r="X113" s="65">
        <v>126.5</v>
      </c>
      <c r="Y113" s="65">
        <v>127.5</v>
      </c>
      <c r="Z113" s="65">
        <v>129.4</v>
      </c>
      <c r="AA113" s="65">
        <v>130.6</v>
      </c>
      <c r="AB113" s="65">
        <v>134</v>
      </c>
      <c r="AC113" s="65">
        <v>132.6</v>
      </c>
      <c r="AD113" s="65">
        <v>133.30000000000001</v>
      </c>
      <c r="AE113" s="65">
        <v>133.1</v>
      </c>
      <c r="AF113" s="65">
        <v>132.4</v>
      </c>
      <c r="AG113" s="104"/>
      <c r="AH113" s="47">
        <f t="shared" si="17"/>
        <v>135.69999999999999</v>
      </c>
      <c r="AI113" s="48">
        <f t="shared" si="18"/>
        <v>126.5</v>
      </c>
    </row>
    <row r="114" spans="1:35" x14ac:dyDescent="0.25">
      <c r="A114" s="105" t="s">
        <v>114</v>
      </c>
      <c r="B114" s="106">
        <v>128.30000000000001</v>
      </c>
      <c r="C114" s="106">
        <v>129.5</v>
      </c>
      <c r="D114" s="106">
        <v>130.19999999999999</v>
      </c>
      <c r="E114" s="106">
        <v>130.19999999999999</v>
      </c>
      <c r="F114" s="106">
        <v>128.30000000000001</v>
      </c>
      <c r="G114" s="106">
        <v>130.6</v>
      </c>
      <c r="H114" s="106">
        <v>131.6</v>
      </c>
      <c r="I114" s="106">
        <v>131.6</v>
      </c>
      <c r="J114" s="106">
        <v>135.4</v>
      </c>
      <c r="K114" s="106">
        <v>135.4</v>
      </c>
      <c r="L114" s="106">
        <v>134.30000000000001</v>
      </c>
      <c r="M114" s="106">
        <v>134.30000000000001</v>
      </c>
      <c r="N114" s="106">
        <v>134.30000000000001</v>
      </c>
      <c r="O114" s="106">
        <v>134</v>
      </c>
      <c r="P114" s="106">
        <v>129.1</v>
      </c>
      <c r="Q114" s="106">
        <v>129.25</v>
      </c>
      <c r="R114" s="106">
        <v>130</v>
      </c>
      <c r="S114" s="106">
        <v>130.5</v>
      </c>
      <c r="T114" s="106">
        <v>129.6</v>
      </c>
      <c r="U114" s="106">
        <v>131.1</v>
      </c>
      <c r="V114" s="106">
        <v>131.1</v>
      </c>
      <c r="W114" s="106">
        <v>131.1</v>
      </c>
      <c r="X114" s="106">
        <v>134.6</v>
      </c>
      <c r="Y114" s="106">
        <v>134</v>
      </c>
      <c r="Z114" s="106">
        <v>135.6</v>
      </c>
      <c r="AA114" s="106">
        <v>135.1</v>
      </c>
      <c r="AB114" s="106">
        <v>135.1</v>
      </c>
      <c r="AC114" s="106">
        <v>134.80000000000001</v>
      </c>
      <c r="AD114" s="106">
        <v>134.5</v>
      </c>
      <c r="AE114" s="106">
        <v>131.19999999999999</v>
      </c>
      <c r="AF114" s="106">
        <v>133.30000000000001</v>
      </c>
      <c r="AG114" s="107"/>
      <c r="AH114" s="47">
        <f t="shared" si="17"/>
        <v>135.6</v>
      </c>
      <c r="AI114" s="48">
        <f t="shared" si="18"/>
        <v>128.30000000000001</v>
      </c>
    </row>
    <row r="115" spans="1:35" x14ac:dyDescent="0.25">
      <c r="A115" s="103" t="s">
        <v>115</v>
      </c>
      <c r="B115" s="65">
        <v>133.9</v>
      </c>
      <c r="C115" s="65">
        <v>133.9</v>
      </c>
      <c r="D115" s="65">
        <v>131.19999999999999</v>
      </c>
      <c r="E115" s="65">
        <v>133.4</v>
      </c>
      <c r="F115" s="65">
        <v>133.19999999999999</v>
      </c>
      <c r="G115" s="65">
        <v>134.19999999999999</v>
      </c>
      <c r="H115" s="65">
        <v>131.5</v>
      </c>
      <c r="I115" s="65">
        <v>130.30000000000001</v>
      </c>
      <c r="J115" s="65">
        <v>131</v>
      </c>
      <c r="K115" s="65">
        <v>131</v>
      </c>
      <c r="L115" s="65">
        <v>131.69999999999999</v>
      </c>
      <c r="M115" s="65">
        <v>133.4</v>
      </c>
      <c r="N115" s="65">
        <v>133.30000000000001</v>
      </c>
      <c r="O115" s="65">
        <v>128.69999999999999</v>
      </c>
      <c r="P115" s="65">
        <v>127.4</v>
      </c>
      <c r="Q115" s="65">
        <v>132.5</v>
      </c>
      <c r="R115" s="65">
        <v>131.9</v>
      </c>
      <c r="S115" s="65">
        <v>132.6</v>
      </c>
      <c r="T115" s="65">
        <v>132.69999999999999</v>
      </c>
      <c r="U115" s="65">
        <v>134.5</v>
      </c>
      <c r="V115" s="65">
        <v>134.5</v>
      </c>
      <c r="W115" s="65">
        <v>134.5</v>
      </c>
      <c r="X115" s="65">
        <v>131.80000000000001</v>
      </c>
      <c r="Y115" s="65">
        <v>131.69999999999999</v>
      </c>
      <c r="Z115" s="65">
        <v>130.19999999999999</v>
      </c>
      <c r="AA115" s="65">
        <v>131.80000000000001</v>
      </c>
      <c r="AB115" s="65">
        <v>131.19999999999999</v>
      </c>
      <c r="AC115" s="65">
        <v>131.69999999999999</v>
      </c>
      <c r="AD115" s="65">
        <v>133.9</v>
      </c>
      <c r="AE115" s="65">
        <v>132</v>
      </c>
      <c r="AF115" s="65">
        <v>132.69999999999999</v>
      </c>
      <c r="AG115" s="104"/>
      <c r="AH115" s="47">
        <f t="shared" si="17"/>
        <v>134.5</v>
      </c>
      <c r="AI115" s="48">
        <f t="shared" si="18"/>
        <v>127.4</v>
      </c>
    </row>
    <row r="116" spans="1:35" ht="15.75" thickBot="1" x14ac:dyDescent="0.3">
      <c r="A116" s="103" t="s">
        <v>116</v>
      </c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108"/>
      <c r="AH116" s="47">
        <f t="shared" si="17"/>
        <v>0</v>
      </c>
      <c r="AI116" s="48">
        <f t="shared" si="18"/>
        <v>0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 t="s">
        <v>117</v>
      </c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17"/>
        <v>0</v>
      </c>
      <c r="AI117" s="48">
        <f t="shared" si="18"/>
        <v>0</v>
      </c>
    </row>
    <row r="118" spans="1:35" ht="15.75" thickBot="1" x14ac:dyDescent="0.3">
      <c r="A118" s="110" t="s">
        <v>118</v>
      </c>
      <c r="B118" s="111"/>
      <c r="C118" s="111"/>
      <c r="D118" s="111"/>
      <c r="E118" s="111">
        <f t="shared" ref="E118:O118" si="42">SUM(E22,E28,E31:E32,E66,E68:E69,E71,E73,E119:E123,E155,E161,E167,E176,E178,E190,E197,E200:E201,E208,E210,E212,E216:E218,E220:E222,E227,E233:E234,E236:E238,E246,E251)</f>
        <v>46.739999999999995</v>
      </c>
      <c r="F118" s="111">
        <f t="shared" si="42"/>
        <v>44.139999999999993</v>
      </c>
      <c r="G118" s="111">
        <f t="shared" si="42"/>
        <v>55.739999999999995</v>
      </c>
      <c r="H118" s="111">
        <f t="shared" si="42"/>
        <v>127.23999999999998</v>
      </c>
      <c r="I118" s="111">
        <f t="shared" si="42"/>
        <v>100.64000000000001</v>
      </c>
      <c r="J118" s="111">
        <f t="shared" si="42"/>
        <v>144.34</v>
      </c>
      <c r="K118" s="111">
        <f t="shared" si="42"/>
        <v>155.04</v>
      </c>
      <c r="L118" s="111">
        <f t="shared" si="42"/>
        <v>165.04</v>
      </c>
      <c r="M118" s="111">
        <f t="shared" si="42"/>
        <v>367.74</v>
      </c>
      <c r="N118" s="111">
        <f t="shared" si="42"/>
        <v>48.639999999999993</v>
      </c>
      <c r="O118" s="111">
        <f t="shared" si="42"/>
        <v>72.739999999999995</v>
      </c>
      <c r="P118" s="111">
        <v>42</v>
      </c>
      <c r="Q118" s="111">
        <f t="shared" ref="Q118:AC118" si="43">SUM(Q22,Q28,Q31:Q32,Q66,Q68:Q69,Q71,Q73,Q119:Q123,Q155,Q161,Q167,Q176,Q178,Q190,Q197,Q200:Q201,Q208,Q210,Q212,Q216:Q218,Q220:Q222,Q227,Q233:Q234,Q236:Q238,Q246,Q251)</f>
        <v>53.039999999999992</v>
      </c>
      <c r="R118" s="111">
        <f t="shared" si="43"/>
        <v>61.439999999999984</v>
      </c>
      <c r="S118" s="111">
        <f t="shared" si="43"/>
        <v>220.13200000000001</v>
      </c>
      <c r="T118" s="111">
        <f t="shared" si="43"/>
        <v>224.54599999999999</v>
      </c>
      <c r="U118" s="111">
        <f t="shared" si="43"/>
        <v>222.78</v>
      </c>
      <c r="V118" s="111">
        <f t="shared" si="43"/>
        <v>219.78</v>
      </c>
      <c r="W118" s="111">
        <f t="shared" si="43"/>
        <v>218.78</v>
      </c>
      <c r="X118" s="111">
        <f t="shared" si="43"/>
        <v>325.12499999999994</v>
      </c>
      <c r="Y118" s="111">
        <f t="shared" si="43"/>
        <v>342.74799999999999</v>
      </c>
      <c r="Z118" s="111">
        <f t="shared" si="43"/>
        <v>333.577</v>
      </c>
      <c r="AA118" s="111">
        <f t="shared" si="43"/>
        <v>328.80199999999996</v>
      </c>
      <c r="AB118" s="111">
        <f t="shared" si="43"/>
        <v>319.54000000000002</v>
      </c>
      <c r="AC118" s="111">
        <f t="shared" si="43"/>
        <v>299.20499999999998</v>
      </c>
      <c r="AD118" s="111"/>
      <c r="AE118" s="111">
        <f>SUM(AE22,AE28,AE31:AE32,AE66,AE68:AE69,AE71,AE73,AE119:AE123,AE155,AE161,AE167,AE176,AE178,AE190,AE197,AE200:AE201,AE208,AE210,AE212,AE216:AE218,AE220:AE222,AE227,AE233:AE234,AE236:AE238,AE246,AE251)</f>
        <v>218.98000000000002</v>
      </c>
      <c r="AF118" s="111">
        <f>SUM(AF22,AF28,AF31:AF32,AF66,AF68:AF69,AF71,AF73,AF119:AF123,AF155,AF161,AF167,AF176,AF178,AF190,AF197,AF200:AF201,AF208,AF210,AF212,AF216:AF218,AF220:AF222,AF227,AF233:AF234,AF236:AF238,AF246,AF251)</f>
        <v>192.26</v>
      </c>
      <c r="AG118" s="112"/>
      <c r="AH118" s="47">
        <f t="shared" si="17"/>
        <v>367.74</v>
      </c>
      <c r="AI118" s="48">
        <f t="shared" si="18"/>
        <v>42</v>
      </c>
    </row>
    <row r="119" spans="1:35" x14ac:dyDescent="0.25">
      <c r="A119" s="172" t="s">
        <v>119</v>
      </c>
      <c r="B119" s="113">
        <v>8.6</v>
      </c>
      <c r="C119" s="113">
        <v>-2.7</v>
      </c>
      <c r="D119" s="113">
        <v>0.5</v>
      </c>
      <c r="E119" s="113">
        <v>-0.8</v>
      </c>
      <c r="F119" s="113">
        <v>-1.6</v>
      </c>
      <c r="G119" s="113">
        <v>13.9</v>
      </c>
      <c r="H119" s="113">
        <v>22.4</v>
      </c>
      <c r="I119" s="113">
        <v>36.200000000000003</v>
      </c>
      <c r="J119" s="113">
        <v>42.2</v>
      </c>
      <c r="K119" s="113">
        <v>40.200000000000003</v>
      </c>
      <c r="L119" s="113">
        <v>41.8</v>
      </c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Z119" s="113"/>
      <c r="AA119" s="113"/>
      <c r="AB119" s="113"/>
      <c r="AC119" s="113"/>
      <c r="AD119" s="113"/>
      <c r="AE119" s="113">
        <v>8.5</v>
      </c>
      <c r="AF119" s="113">
        <v>12.9</v>
      </c>
      <c r="AG119" s="114">
        <v>75</v>
      </c>
      <c r="AH119" s="47">
        <f t="shared" si="17"/>
        <v>42.2</v>
      </c>
      <c r="AI119" s="48">
        <f t="shared" si="18"/>
        <v>-2.7</v>
      </c>
    </row>
    <row r="120" spans="1:35" x14ac:dyDescent="0.25">
      <c r="A120" s="173" t="s">
        <v>120</v>
      </c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>
        <f>285/5</f>
        <v>57</v>
      </c>
      <c r="N120" s="115">
        <v>-62.1</v>
      </c>
      <c r="O120" s="115">
        <v>-52</v>
      </c>
      <c r="P120" s="115">
        <v>-56</v>
      </c>
      <c r="Q120" s="115">
        <v>-33.4</v>
      </c>
      <c r="R120" s="115">
        <v>-30</v>
      </c>
      <c r="S120" s="115">
        <v>33.700000000000003</v>
      </c>
      <c r="T120" s="115">
        <v>28.9</v>
      </c>
      <c r="U120" s="115">
        <v>27.4</v>
      </c>
      <c r="V120" s="115">
        <v>27.4</v>
      </c>
      <c r="W120" s="115">
        <v>27.4</v>
      </c>
      <c r="X120" s="115">
        <v>43.2</v>
      </c>
      <c r="Y120" s="115">
        <v>44.1</v>
      </c>
      <c r="Z120" s="115">
        <v>38.299999999999997</v>
      </c>
      <c r="AA120" s="115">
        <v>39.200000000000003</v>
      </c>
      <c r="AB120" s="115"/>
      <c r="AC120" s="115"/>
      <c r="AD120" s="115"/>
      <c r="AE120" s="115"/>
      <c r="AF120" s="115">
        <v>16.7</v>
      </c>
      <c r="AG120" s="114">
        <v>240</v>
      </c>
      <c r="AH120" s="47">
        <f t="shared" si="17"/>
        <v>57</v>
      </c>
      <c r="AI120" s="48">
        <f t="shared" si="18"/>
        <v>-62.1</v>
      </c>
    </row>
    <row r="121" spans="1:35" x14ac:dyDescent="0.25">
      <c r="A121" s="173" t="s">
        <v>121</v>
      </c>
      <c r="B121" s="115">
        <f>-22.4-24.9</f>
        <v>-47.3</v>
      </c>
      <c r="C121" s="115">
        <v>-54.6</v>
      </c>
      <c r="D121" s="115">
        <f>-28.8-31.7</f>
        <v>-60.5</v>
      </c>
      <c r="E121" s="115">
        <f>-26.4-28.7</f>
        <v>-55.099999999999994</v>
      </c>
      <c r="F121" s="115">
        <f>-27-29.9</f>
        <v>-56.9</v>
      </c>
      <c r="G121" s="115">
        <f>-29-32</f>
        <v>-61</v>
      </c>
      <c r="H121" s="115"/>
      <c r="I121" s="115">
        <f>-19.5-21.1</f>
        <v>-40.6</v>
      </c>
      <c r="J121" s="115">
        <f>-0.7-2.2</f>
        <v>-2.9000000000000004</v>
      </c>
      <c r="K121" s="115">
        <v>10</v>
      </c>
      <c r="L121" s="115">
        <f>8.6+9.5</f>
        <v>18.100000000000001</v>
      </c>
      <c r="M121" s="115">
        <v>19.600000000000001</v>
      </c>
      <c r="N121" s="115">
        <v>5</v>
      </c>
      <c r="O121" s="115">
        <v>19</v>
      </c>
      <c r="P121" s="115">
        <v>-2.2999999999999998</v>
      </c>
      <c r="Q121" s="115">
        <v>-17</v>
      </c>
      <c r="R121" s="115">
        <v>-12</v>
      </c>
      <c r="S121" s="115">
        <v>-56</v>
      </c>
      <c r="T121" s="115">
        <v>-50</v>
      </c>
      <c r="U121" s="115">
        <v>-29.3</v>
      </c>
      <c r="V121" s="115">
        <v>-29.3</v>
      </c>
      <c r="W121" s="115">
        <v>-29.3</v>
      </c>
      <c r="X121" s="115">
        <v>22</v>
      </c>
      <c r="Y121" s="115">
        <v>25</v>
      </c>
      <c r="Z121" s="115">
        <v>24</v>
      </c>
      <c r="AA121" s="115">
        <v>21.5</v>
      </c>
      <c r="AB121" s="115">
        <v>61</v>
      </c>
      <c r="AC121" s="115">
        <v>57</v>
      </c>
      <c r="AD121" s="115">
        <v>43</v>
      </c>
      <c r="AE121" s="115">
        <v>-14.2</v>
      </c>
      <c r="AF121" s="115">
        <f>-20.2-22.2</f>
        <v>-42.4</v>
      </c>
      <c r="AG121" s="114">
        <v>240</v>
      </c>
      <c r="AH121" s="47">
        <f t="shared" si="17"/>
        <v>61</v>
      </c>
      <c r="AI121" s="48">
        <f t="shared" si="18"/>
        <v>-61</v>
      </c>
    </row>
    <row r="122" spans="1:35" ht="15.75" thickBot="1" x14ac:dyDescent="0.3">
      <c r="A122" s="173" t="s">
        <v>122</v>
      </c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>
        <v>22.4</v>
      </c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15"/>
      <c r="AF122" s="115"/>
      <c r="AG122" s="114">
        <v>60</v>
      </c>
      <c r="AH122" s="47">
        <f t="shared" si="17"/>
        <v>22.4</v>
      </c>
      <c r="AI122" s="48">
        <f t="shared" si="18"/>
        <v>22.4</v>
      </c>
    </row>
    <row r="123" spans="1:35" x14ac:dyDescent="0.25">
      <c r="A123" s="172" t="s">
        <v>260</v>
      </c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>
        <v>163</v>
      </c>
      <c r="N123" s="117"/>
      <c r="O123" s="117"/>
      <c r="P123" s="117"/>
      <c r="Q123" s="117"/>
      <c r="R123" s="117"/>
      <c r="S123" s="117">
        <f>77.6*1.67</f>
        <v>129.59199999999998</v>
      </c>
      <c r="T123" s="117">
        <f>81.8*1.67</f>
        <v>136.60599999999999</v>
      </c>
      <c r="U123" s="117">
        <f>72*1.67</f>
        <v>120.24</v>
      </c>
      <c r="V123" s="117">
        <f t="shared" ref="V123:W123" si="44">72*1.67</f>
        <v>120.24</v>
      </c>
      <c r="W123" s="117">
        <f t="shared" si="44"/>
        <v>120.24</v>
      </c>
      <c r="X123" s="117">
        <f>95.5*1.67</f>
        <v>159.48499999999999</v>
      </c>
      <c r="Y123" s="117">
        <f>102.4*1.67</f>
        <v>171.00800000000001</v>
      </c>
      <c r="Z123" s="117">
        <f>101.1*1.67</f>
        <v>168.83699999999999</v>
      </c>
      <c r="AA123" s="117">
        <f>98.6*1.67</f>
        <v>164.66199999999998</v>
      </c>
      <c r="AB123" s="117">
        <f>94*1.65</f>
        <v>155.1</v>
      </c>
      <c r="AC123" s="117">
        <f>84.1*1.65</f>
        <v>138.76499999999999</v>
      </c>
      <c r="AD123" s="117">
        <f>81*1.65</f>
        <v>133.65</v>
      </c>
      <c r="AE123" s="117">
        <f>73.4*1.6</f>
        <v>117.44000000000001</v>
      </c>
      <c r="AF123" s="117">
        <f>60.7*1.6</f>
        <v>97.12</v>
      </c>
      <c r="AG123" s="118">
        <v>120</v>
      </c>
      <c r="AH123" s="47">
        <f t="shared" si="17"/>
        <v>171.00800000000001</v>
      </c>
      <c r="AI123" s="48">
        <f t="shared" si="18"/>
        <v>97.12</v>
      </c>
    </row>
    <row r="124" spans="1:35" x14ac:dyDescent="0.25">
      <c r="A124" s="173" t="s">
        <v>259</v>
      </c>
      <c r="B124" s="117">
        <v>83.2</v>
      </c>
      <c r="C124" s="117">
        <v>77.599999999999994</v>
      </c>
      <c r="D124" s="117">
        <v>74.8</v>
      </c>
      <c r="E124" s="117">
        <v>71.3</v>
      </c>
      <c r="F124" s="117">
        <v>75.7</v>
      </c>
      <c r="G124" s="117">
        <v>73.400000000000006</v>
      </c>
      <c r="H124" s="117">
        <v>81</v>
      </c>
      <c r="I124" s="117">
        <v>85</v>
      </c>
      <c r="J124" s="117">
        <v>90.9</v>
      </c>
      <c r="K124" s="117">
        <v>95</v>
      </c>
      <c r="L124" s="117">
        <v>104.7</v>
      </c>
      <c r="M124" s="117">
        <v>105.1</v>
      </c>
      <c r="N124" s="117">
        <v>100.5</v>
      </c>
      <c r="O124" s="117">
        <v>88.9</v>
      </c>
      <c r="P124" s="117">
        <v>85.6</v>
      </c>
      <c r="Q124" s="117">
        <v>89</v>
      </c>
      <c r="R124" s="117">
        <v>90</v>
      </c>
      <c r="S124" s="117">
        <v>90.3</v>
      </c>
      <c r="T124" s="117">
        <v>93.2</v>
      </c>
      <c r="U124" s="117">
        <v>88.6</v>
      </c>
      <c r="V124" s="117">
        <v>88.6</v>
      </c>
      <c r="W124" s="117">
        <v>88.6</v>
      </c>
      <c r="X124" s="117">
        <v>105.9</v>
      </c>
      <c r="Y124" s="117">
        <v>111.5</v>
      </c>
      <c r="Z124" s="117">
        <v>110.1</v>
      </c>
      <c r="AA124" s="117">
        <v>107.8</v>
      </c>
      <c r="AB124" s="117">
        <v>105</v>
      </c>
      <c r="AC124" s="117">
        <v>95</v>
      </c>
      <c r="AD124" s="117">
        <v>95</v>
      </c>
      <c r="AE124" s="117">
        <v>91.1</v>
      </c>
      <c r="AF124" s="117">
        <v>78.900000000000006</v>
      </c>
      <c r="AG124" s="118"/>
      <c r="AH124" s="47"/>
      <c r="AI124" s="48"/>
    </row>
    <row r="125" spans="1:35" x14ac:dyDescent="0.25">
      <c r="A125" s="173" t="s">
        <v>256</v>
      </c>
      <c r="B125" s="117">
        <v>56.5</v>
      </c>
      <c r="C125" s="117">
        <v>74.5</v>
      </c>
      <c r="D125" s="117">
        <v>73.2</v>
      </c>
      <c r="E125" s="117">
        <v>67.3</v>
      </c>
      <c r="F125" s="117">
        <v>73</v>
      </c>
      <c r="G125" s="117">
        <v>53</v>
      </c>
      <c r="H125" s="117">
        <v>25</v>
      </c>
      <c r="I125" s="117">
        <v>16.7</v>
      </c>
      <c r="J125" s="117">
        <v>-11.7</v>
      </c>
      <c r="K125" s="117">
        <v>-14</v>
      </c>
      <c r="L125" s="117">
        <v>-19.7</v>
      </c>
      <c r="M125" s="117">
        <v>20.7</v>
      </c>
      <c r="N125" s="117">
        <v>-18</v>
      </c>
      <c r="O125" s="117">
        <v>-18</v>
      </c>
      <c r="P125" s="117">
        <v>-8</v>
      </c>
      <c r="Q125" s="117">
        <v>-22</v>
      </c>
      <c r="R125" s="117">
        <v>-26</v>
      </c>
      <c r="S125" s="117">
        <v>29.2</v>
      </c>
      <c r="T125" s="117">
        <v>27.3</v>
      </c>
      <c r="U125" s="117">
        <v>16.100000000000001</v>
      </c>
      <c r="V125" s="117">
        <v>16.100000000000001</v>
      </c>
      <c r="W125" s="117">
        <v>16.100000000000001</v>
      </c>
      <c r="X125" s="117">
        <v>-29.6</v>
      </c>
      <c r="Y125" s="117">
        <v>-31</v>
      </c>
      <c r="Z125" s="117">
        <v>-27.3</v>
      </c>
      <c r="AA125" s="117">
        <v>-26.8</v>
      </c>
      <c r="AB125" s="117">
        <v>-14</v>
      </c>
      <c r="AC125" s="117">
        <v>-23</v>
      </c>
      <c r="AD125" s="117">
        <v>-8.6</v>
      </c>
      <c r="AE125" s="117">
        <v>37.200000000000003</v>
      </c>
      <c r="AF125" s="117">
        <v>52.6</v>
      </c>
      <c r="AG125" s="118"/>
      <c r="AH125" s="47"/>
      <c r="AI125" s="48"/>
    </row>
    <row r="126" spans="1:35" ht="15.75" thickBot="1" x14ac:dyDescent="0.3">
      <c r="A126" s="173" t="s">
        <v>255</v>
      </c>
      <c r="B126" s="117">
        <v>104.5</v>
      </c>
      <c r="C126" s="117">
        <v>97.5</v>
      </c>
      <c r="D126" s="117">
        <v>99.1</v>
      </c>
      <c r="E126" s="117">
        <v>98</v>
      </c>
      <c r="F126" s="117">
        <v>93.8</v>
      </c>
      <c r="G126" s="117">
        <v>94.5</v>
      </c>
      <c r="H126" s="117">
        <v>104</v>
      </c>
      <c r="I126" s="117">
        <v>105.6</v>
      </c>
      <c r="J126" s="117">
        <v>89.8</v>
      </c>
      <c r="K126" s="117">
        <v>98</v>
      </c>
      <c r="L126" s="117">
        <v>96.2</v>
      </c>
      <c r="M126" s="117">
        <v>92.9</v>
      </c>
      <c r="N126" s="117">
        <v>93</v>
      </c>
      <c r="O126" s="117">
        <v>89</v>
      </c>
      <c r="P126" s="117">
        <v>88</v>
      </c>
      <c r="Q126" s="117">
        <v>110</v>
      </c>
      <c r="R126" s="117">
        <v>109</v>
      </c>
      <c r="S126" s="117">
        <v>113.5</v>
      </c>
      <c r="T126" s="117">
        <v>114.5</v>
      </c>
      <c r="U126" s="117">
        <v>98.4</v>
      </c>
      <c r="V126" s="117">
        <v>98.4</v>
      </c>
      <c r="W126" s="117">
        <v>98.4</v>
      </c>
      <c r="X126" s="117">
        <v>94.3</v>
      </c>
      <c r="Y126" s="117">
        <v>102</v>
      </c>
      <c r="Z126" s="117">
        <v>99.4</v>
      </c>
      <c r="AA126" s="117">
        <v>91.6</v>
      </c>
      <c r="AB126" s="117">
        <v>100</v>
      </c>
      <c r="AC126" s="117">
        <v>87</v>
      </c>
      <c r="AD126" s="117">
        <v>94</v>
      </c>
      <c r="AE126" s="117">
        <v>106.1</v>
      </c>
      <c r="AF126" s="117">
        <v>96.8</v>
      </c>
      <c r="AG126" s="114"/>
      <c r="AH126" s="47">
        <f t="shared" si="17"/>
        <v>114.5</v>
      </c>
      <c r="AI126" s="48">
        <f t="shared" si="18"/>
        <v>87</v>
      </c>
    </row>
    <row r="127" spans="1:35" x14ac:dyDescent="0.25">
      <c r="A127" s="172" t="s">
        <v>257</v>
      </c>
      <c r="B127" s="117">
        <v>27.1</v>
      </c>
      <c r="C127" s="117">
        <v>24.6</v>
      </c>
      <c r="D127" s="117">
        <v>21.1</v>
      </c>
      <c r="E127" s="117">
        <v>21.1</v>
      </c>
      <c r="F127" s="117">
        <v>21.3</v>
      </c>
      <c r="G127" s="117">
        <v>21.3</v>
      </c>
      <c r="H127" s="117">
        <v>10</v>
      </c>
      <c r="I127" s="117">
        <v>0</v>
      </c>
      <c r="J127" s="117">
        <v>-2.4</v>
      </c>
      <c r="K127" s="117">
        <v>-1.5</v>
      </c>
      <c r="L127" s="117">
        <v>-1.3</v>
      </c>
      <c r="M127" s="117">
        <v>-2.5</v>
      </c>
      <c r="N127" s="117">
        <v>-4</v>
      </c>
      <c r="O127" s="117">
        <v>5</v>
      </c>
      <c r="P127" s="117">
        <v>2.1</v>
      </c>
      <c r="Q127" s="117">
        <v>25</v>
      </c>
      <c r="R127" s="117">
        <v>24.1</v>
      </c>
      <c r="S127" s="117">
        <v>41.4</v>
      </c>
      <c r="T127" s="117">
        <v>33.1</v>
      </c>
      <c r="U127" s="117">
        <v>34</v>
      </c>
      <c r="V127" s="117">
        <v>34</v>
      </c>
      <c r="W127" s="117">
        <v>34</v>
      </c>
      <c r="X127" s="117">
        <v>12.7</v>
      </c>
      <c r="Y127" s="117">
        <v>12.3</v>
      </c>
      <c r="Z127" s="117">
        <v>13.3</v>
      </c>
      <c r="AA127" s="117">
        <v>10.9</v>
      </c>
      <c r="AB127" s="117">
        <v>22</v>
      </c>
      <c r="AC127" s="117">
        <v>18</v>
      </c>
      <c r="AD127" s="117">
        <v>27</v>
      </c>
      <c r="AE127" s="117">
        <v>25.6</v>
      </c>
      <c r="AF127" s="106">
        <v>15.5</v>
      </c>
      <c r="AG127" s="114"/>
      <c r="AH127" s="47">
        <f t="shared" si="17"/>
        <v>41.4</v>
      </c>
      <c r="AI127" s="48">
        <f t="shared" si="18"/>
        <v>-4</v>
      </c>
    </row>
    <row r="128" spans="1:35" x14ac:dyDescent="0.25">
      <c r="A128" s="173" t="s">
        <v>124</v>
      </c>
      <c r="B128" s="106">
        <v>-1.9</v>
      </c>
      <c r="C128" s="106">
        <v>3.9</v>
      </c>
      <c r="D128" s="106">
        <v>0.8</v>
      </c>
      <c r="E128" s="106">
        <v>2</v>
      </c>
      <c r="F128" s="106">
        <v>1.5</v>
      </c>
      <c r="G128" s="106">
        <v>-3</v>
      </c>
      <c r="H128" s="106">
        <v>-4</v>
      </c>
      <c r="I128" s="106">
        <v>-19.78</v>
      </c>
      <c r="J128" s="106">
        <v>-29.3</v>
      </c>
      <c r="K128" s="106">
        <v>-32</v>
      </c>
      <c r="L128" s="106">
        <v>-37.9</v>
      </c>
      <c r="M128" s="106">
        <v>-29.6</v>
      </c>
      <c r="N128" s="106">
        <v>-33</v>
      </c>
      <c r="O128" s="106">
        <v>-27</v>
      </c>
      <c r="P128" s="106">
        <v>-24</v>
      </c>
      <c r="Q128" s="106">
        <v>-16</v>
      </c>
      <c r="R128" s="106">
        <v>-16</v>
      </c>
      <c r="S128" s="106">
        <v>-22.9</v>
      </c>
      <c r="T128" s="106">
        <v>-19.399999999999999</v>
      </c>
      <c r="U128" s="106">
        <v>-20.8</v>
      </c>
      <c r="V128" s="106">
        <v>-20.8</v>
      </c>
      <c r="W128" s="106">
        <v>-20.8</v>
      </c>
      <c r="X128" s="106">
        <v>-56.9</v>
      </c>
      <c r="Y128" s="106">
        <v>-50.3</v>
      </c>
      <c r="Z128" s="106">
        <v>-42.6</v>
      </c>
      <c r="AA128" s="106">
        <v>-39.700000000000003</v>
      </c>
      <c r="AB128" s="106">
        <v>-34</v>
      </c>
      <c r="AC128" s="106">
        <v>-30</v>
      </c>
      <c r="AD128" s="106">
        <v>-25.2</v>
      </c>
      <c r="AE128" s="106">
        <v>-11.3</v>
      </c>
      <c r="AF128" s="106">
        <v>-7.7</v>
      </c>
      <c r="AG128" s="114"/>
      <c r="AH128" s="47">
        <f t="shared" si="17"/>
        <v>3.9</v>
      </c>
      <c r="AI128" s="48">
        <f t="shared" si="18"/>
        <v>-56.9</v>
      </c>
    </row>
    <row r="129" spans="1:37" x14ac:dyDescent="0.25">
      <c r="A129" s="173" t="s">
        <v>261</v>
      </c>
      <c r="B129" s="106">
        <v>-3.1</v>
      </c>
      <c r="C129" s="106">
        <v>2.2999999999999998</v>
      </c>
      <c r="D129" s="106">
        <v>7.4</v>
      </c>
      <c r="E129" s="106">
        <v>5</v>
      </c>
      <c r="F129" s="106">
        <v>4.8</v>
      </c>
      <c r="G129" s="106">
        <v>12.8</v>
      </c>
      <c r="H129" s="106">
        <v>10</v>
      </c>
      <c r="I129" s="106">
        <v>2.4</v>
      </c>
      <c r="J129" s="106">
        <v>-9.1</v>
      </c>
      <c r="K129" s="106">
        <v>-15</v>
      </c>
      <c r="L129" s="106">
        <v>-22.6</v>
      </c>
      <c r="M129" s="106">
        <v>-23.8</v>
      </c>
      <c r="N129" s="106">
        <v>-16</v>
      </c>
      <c r="O129" s="106">
        <v>-13</v>
      </c>
      <c r="P129" s="106">
        <v>-8</v>
      </c>
      <c r="Q129" s="106">
        <v>-1.6</v>
      </c>
      <c r="R129" s="106">
        <v>-2</v>
      </c>
      <c r="S129" s="106">
        <v>-7.6</v>
      </c>
      <c r="T129" s="106">
        <v>-10</v>
      </c>
      <c r="U129" s="106">
        <v>-15.4</v>
      </c>
      <c r="V129" s="106">
        <v>-15.4</v>
      </c>
      <c r="W129" s="106">
        <v>-15.4</v>
      </c>
      <c r="X129" s="106">
        <v>-25.8</v>
      </c>
      <c r="Y129" s="106">
        <v>-25.8</v>
      </c>
      <c r="Z129" s="106">
        <v>-25.8</v>
      </c>
      <c r="AA129" s="106">
        <v>-21.7</v>
      </c>
      <c r="AB129" s="106">
        <v>-30</v>
      </c>
      <c r="AC129" s="106">
        <v>-21</v>
      </c>
      <c r="AD129" s="106">
        <v>-21</v>
      </c>
      <c r="AE129" s="106">
        <v>4.7</v>
      </c>
      <c r="AF129" s="106">
        <v>-1.6</v>
      </c>
      <c r="AG129" s="114"/>
      <c r="AH129" s="47">
        <f t="shared" si="17"/>
        <v>12.8</v>
      </c>
      <c r="AI129" s="48">
        <f t="shared" si="18"/>
        <v>-30</v>
      </c>
    </row>
    <row r="130" spans="1:37" ht="15.75" thickBot="1" x14ac:dyDescent="0.3">
      <c r="A130" s="173" t="s">
        <v>258</v>
      </c>
      <c r="B130" s="106">
        <v>73.5</v>
      </c>
      <c r="C130" s="106">
        <v>71.3</v>
      </c>
      <c r="D130" s="106">
        <v>68</v>
      </c>
      <c r="E130" s="106">
        <v>67.8</v>
      </c>
      <c r="F130" s="106">
        <v>68.5</v>
      </c>
      <c r="G130" s="106">
        <v>69</v>
      </c>
      <c r="H130" s="106">
        <v>75</v>
      </c>
      <c r="I130" s="106">
        <v>82.1</v>
      </c>
      <c r="J130" s="106">
        <v>98.4</v>
      </c>
      <c r="K130" s="106">
        <v>99.5</v>
      </c>
      <c r="L130" s="106">
        <v>92.4</v>
      </c>
      <c r="M130" s="106">
        <v>96.5</v>
      </c>
      <c r="N130" s="106">
        <v>91</v>
      </c>
      <c r="O130" s="106">
        <v>85</v>
      </c>
      <c r="P130" s="106">
        <v>111.9</v>
      </c>
      <c r="Q130" s="106">
        <v>112</v>
      </c>
      <c r="R130" s="106">
        <v>112</v>
      </c>
      <c r="S130" s="106">
        <v>112.9</v>
      </c>
      <c r="T130" s="106">
        <v>105</v>
      </c>
      <c r="U130" s="106">
        <v>108</v>
      </c>
      <c r="V130" s="106">
        <v>108</v>
      </c>
      <c r="W130" s="106">
        <v>108</v>
      </c>
      <c r="X130" s="106">
        <v>121.3</v>
      </c>
      <c r="Y130" s="106">
        <v>115.7</v>
      </c>
      <c r="Z130" s="106">
        <v>118.4</v>
      </c>
      <c r="AA130" s="106">
        <v>116</v>
      </c>
      <c r="AB130" s="106">
        <v>110</v>
      </c>
      <c r="AC130" s="106">
        <v>107</v>
      </c>
      <c r="AD130" s="106">
        <v>100</v>
      </c>
      <c r="AE130" s="106">
        <v>96.4</v>
      </c>
      <c r="AF130" s="106">
        <v>84.8</v>
      </c>
      <c r="AG130" s="114"/>
      <c r="AH130" s="47">
        <f t="shared" si="17"/>
        <v>121.3</v>
      </c>
      <c r="AI130" s="48">
        <f t="shared" si="18"/>
        <v>67.8</v>
      </c>
    </row>
    <row r="131" spans="1:37" x14ac:dyDescent="0.25">
      <c r="A131" s="144" t="s">
        <v>238</v>
      </c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6"/>
      <c r="AG131" s="43"/>
      <c r="AH131" s="47"/>
      <c r="AI131" s="48"/>
    </row>
    <row r="132" spans="1:37" x14ac:dyDescent="0.25">
      <c r="A132" s="189" t="s">
        <v>368</v>
      </c>
      <c r="B132" s="147">
        <v>1983.55</v>
      </c>
      <c r="C132" s="147">
        <v>1983.85</v>
      </c>
      <c r="D132" s="147">
        <v>1984.17</v>
      </c>
      <c r="E132" s="147">
        <v>1984.42</v>
      </c>
      <c r="F132" s="147">
        <v>1984.7</v>
      </c>
      <c r="G132" s="147">
        <v>1984.95</v>
      </c>
      <c r="H132" s="147"/>
      <c r="I132" s="147">
        <v>1985.21</v>
      </c>
      <c r="J132" s="147"/>
      <c r="K132" s="147">
        <v>1985.32</v>
      </c>
      <c r="L132" s="147"/>
      <c r="M132" s="147">
        <v>1984.45</v>
      </c>
      <c r="N132" s="147">
        <v>1983.6</v>
      </c>
      <c r="O132" s="147">
        <v>1982.55</v>
      </c>
      <c r="P132" s="147">
        <v>192.1</v>
      </c>
      <c r="Q132" s="147">
        <v>1982.72</v>
      </c>
      <c r="R132" s="147">
        <v>1983</v>
      </c>
      <c r="S132" s="147">
        <v>1983.32</v>
      </c>
      <c r="T132" s="147">
        <v>1983.62</v>
      </c>
      <c r="U132" s="147">
        <v>1983.89</v>
      </c>
      <c r="V132" s="147">
        <v>1984.15</v>
      </c>
      <c r="W132" s="147"/>
      <c r="X132" s="147">
        <v>1984.1</v>
      </c>
      <c r="Y132" s="147"/>
      <c r="Z132" s="147">
        <v>1983.52</v>
      </c>
      <c r="AA132" s="147"/>
      <c r="AB132" s="147">
        <v>1982.5</v>
      </c>
      <c r="AC132" s="147"/>
      <c r="AD132" s="147">
        <v>1982.55</v>
      </c>
      <c r="AE132" s="147">
        <v>1982.6</v>
      </c>
      <c r="AF132" s="148">
        <v>1982.82</v>
      </c>
      <c r="AG132" s="149"/>
      <c r="AH132" s="47"/>
      <c r="AI132" s="48"/>
    </row>
    <row r="133" spans="1:37" x14ac:dyDescent="0.25">
      <c r="A133" s="189" t="s">
        <v>239</v>
      </c>
      <c r="B133" s="150">
        <v>519.86</v>
      </c>
      <c r="C133" s="150">
        <v>520.70000000000005</v>
      </c>
      <c r="D133" s="150">
        <v>521.08000000000004</v>
      </c>
      <c r="E133" s="150">
        <v>521.5</v>
      </c>
      <c r="F133" s="150">
        <v>521.9</v>
      </c>
      <c r="G133" s="150">
        <v>522.27</v>
      </c>
      <c r="H133" s="150"/>
      <c r="I133" s="150">
        <v>522.49</v>
      </c>
      <c r="J133" s="150"/>
      <c r="K133" s="150">
        <v>522.19000000000005</v>
      </c>
      <c r="L133" s="150"/>
      <c r="M133" s="150">
        <v>521.64</v>
      </c>
      <c r="N133" s="150">
        <v>521.1</v>
      </c>
      <c r="O133" s="150">
        <v>520.67999999999995</v>
      </c>
      <c r="P133" s="150">
        <v>520.6</v>
      </c>
      <c r="Q133" s="150">
        <v>519.64</v>
      </c>
      <c r="R133" s="150">
        <v>519.29999999999995</v>
      </c>
      <c r="S133" s="150">
        <v>519.21</v>
      </c>
      <c r="T133" s="150">
        <v>519.33000000000004</v>
      </c>
      <c r="U133" s="150">
        <v>519.48</v>
      </c>
      <c r="V133" s="150">
        <v>519.70000000000005</v>
      </c>
      <c r="W133" s="150"/>
      <c r="X133" s="150">
        <v>519.70000000000005</v>
      </c>
      <c r="Y133" s="150"/>
      <c r="Z133" s="150">
        <v>519.17999999999995</v>
      </c>
      <c r="AA133" s="150"/>
      <c r="AB133" s="150">
        <v>518.70000000000005</v>
      </c>
      <c r="AC133" s="150"/>
      <c r="AD133" s="150">
        <v>518.54</v>
      </c>
      <c r="AE133" s="150">
        <v>518.9</v>
      </c>
      <c r="AF133" s="151">
        <v>519.44000000000005</v>
      </c>
      <c r="AG133" s="149"/>
      <c r="AH133" s="47"/>
      <c r="AI133" s="48"/>
    </row>
    <row r="134" spans="1:37" x14ac:dyDescent="0.25">
      <c r="A134" s="189" t="s">
        <v>240</v>
      </c>
      <c r="B134" s="150">
        <v>622.14</v>
      </c>
      <c r="C134" s="150">
        <v>622.83000000000004</v>
      </c>
      <c r="D134" s="150">
        <v>623.32000000000005</v>
      </c>
      <c r="E134" s="150">
        <v>623.77</v>
      </c>
      <c r="F134" s="150"/>
      <c r="G134" s="150">
        <v>624.54</v>
      </c>
      <c r="H134" s="150"/>
      <c r="I134" s="150">
        <v>624.49</v>
      </c>
      <c r="J134" s="150"/>
      <c r="K134" s="150">
        <v>624.24</v>
      </c>
      <c r="L134" s="150"/>
      <c r="M134" s="150">
        <v>623.24</v>
      </c>
      <c r="N134" s="150">
        <v>623.27</v>
      </c>
      <c r="O134" s="150">
        <v>622.69000000000005</v>
      </c>
      <c r="P134" s="150">
        <v>622.11</v>
      </c>
      <c r="Q134" s="150">
        <v>621.41</v>
      </c>
      <c r="R134" s="150">
        <v>621.36</v>
      </c>
      <c r="S134" s="150">
        <v>621.55999999999995</v>
      </c>
      <c r="T134" s="150">
        <v>621.66</v>
      </c>
      <c r="U134" s="150">
        <v>621.99</v>
      </c>
      <c r="V134" s="150">
        <v>622.64</v>
      </c>
      <c r="W134" s="150"/>
      <c r="X134" s="150">
        <v>622.41</v>
      </c>
      <c r="Y134" s="150"/>
      <c r="Z134" s="150">
        <v>621.67999999999995</v>
      </c>
      <c r="AA134" s="150"/>
      <c r="AB134" s="150">
        <v>621.85</v>
      </c>
      <c r="AC134" s="150"/>
      <c r="AD134" s="150">
        <v>621.91</v>
      </c>
      <c r="AE134" s="150">
        <v>621.96</v>
      </c>
      <c r="AF134" s="151">
        <v>622.1</v>
      </c>
      <c r="AG134" s="149"/>
      <c r="AH134" s="47"/>
      <c r="AI134" s="48"/>
    </row>
    <row r="135" spans="1:37" x14ac:dyDescent="0.25">
      <c r="A135" s="189" t="s">
        <v>241</v>
      </c>
      <c r="B135" s="150">
        <v>334.18</v>
      </c>
      <c r="C135" s="150">
        <v>334.93</v>
      </c>
      <c r="D135" s="150">
        <v>335.53</v>
      </c>
      <c r="E135" s="150">
        <v>335.93</v>
      </c>
      <c r="F135" s="150">
        <v>336.25</v>
      </c>
      <c r="G135" s="150">
        <v>336.4</v>
      </c>
      <c r="H135" s="150"/>
      <c r="I135" s="150">
        <v>336.28</v>
      </c>
      <c r="J135" s="150"/>
      <c r="K135" s="150">
        <v>336.05</v>
      </c>
      <c r="L135" s="150"/>
      <c r="M135" s="150">
        <v>335.72</v>
      </c>
      <c r="N135" s="150">
        <v>335.14</v>
      </c>
      <c r="O135" s="150">
        <v>334.53</v>
      </c>
      <c r="P135" s="150">
        <v>334.01</v>
      </c>
      <c r="Q135" s="150">
        <v>333.48</v>
      </c>
      <c r="R135" s="150">
        <v>333.83</v>
      </c>
      <c r="S135" s="150">
        <v>334.15</v>
      </c>
      <c r="T135" s="150">
        <v>334.44</v>
      </c>
      <c r="U135" s="150">
        <v>334.77</v>
      </c>
      <c r="V135" s="150">
        <v>335.15</v>
      </c>
      <c r="W135" s="150"/>
      <c r="X135" s="150">
        <v>335.23</v>
      </c>
      <c r="Y135" s="150"/>
      <c r="Z135" s="150">
        <v>334.96</v>
      </c>
      <c r="AA135" s="150"/>
      <c r="AB135" s="150">
        <v>334.55</v>
      </c>
      <c r="AC135" s="150"/>
      <c r="AD135" s="150">
        <v>334.46</v>
      </c>
      <c r="AE135" s="150">
        <v>334.37</v>
      </c>
      <c r="AF135" s="151">
        <v>334.28</v>
      </c>
      <c r="AG135" s="149"/>
      <c r="AH135" s="47"/>
      <c r="AI135" s="48"/>
    </row>
    <row r="136" spans="1:37" x14ac:dyDescent="0.25">
      <c r="A136" s="189" t="s">
        <v>407</v>
      </c>
      <c r="B136" s="150">
        <v>884.8</v>
      </c>
      <c r="C136" s="150">
        <v>884.5</v>
      </c>
      <c r="D136" s="150">
        <v>886.1</v>
      </c>
      <c r="E136" s="150">
        <v>886.6</v>
      </c>
      <c r="F136" s="150">
        <v>887.1</v>
      </c>
      <c r="G136" s="150">
        <v>887.6</v>
      </c>
      <c r="H136" s="150"/>
      <c r="I136" s="150">
        <v>887.6</v>
      </c>
      <c r="J136" s="150"/>
      <c r="K136" s="150">
        <v>887.4</v>
      </c>
      <c r="L136" s="150"/>
      <c r="M136" s="150">
        <v>886.5</v>
      </c>
      <c r="N136" s="150">
        <v>885.3</v>
      </c>
      <c r="O136" s="150">
        <v>883.8</v>
      </c>
      <c r="P136" s="150">
        <v>882.8</v>
      </c>
      <c r="Q136" s="150">
        <v>882.3</v>
      </c>
      <c r="R136" s="150">
        <v>881.8</v>
      </c>
      <c r="S136" s="150">
        <v>881.8</v>
      </c>
      <c r="T136" s="150">
        <v>882.5</v>
      </c>
      <c r="U136" s="150">
        <v>883.4</v>
      </c>
      <c r="V136" s="150">
        <v>884.2</v>
      </c>
      <c r="W136" s="150"/>
      <c r="X136" s="150">
        <v>884.1</v>
      </c>
      <c r="Y136" s="150"/>
      <c r="Z136" s="150">
        <v>882.6</v>
      </c>
      <c r="AA136" s="150"/>
      <c r="AB136" s="150">
        <v>882.2</v>
      </c>
      <c r="AC136" s="150"/>
      <c r="AD136" s="150">
        <v>882.1</v>
      </c>
      <c r="AE136" s="150">
        <v>882.1</v>
      </c>
      <c r="AF136" s="151">
        <v>882.4</v>
      </c>
      <c r="AG136" s="149"/>
      <c r="AH136" s="47"/>
      <c r="AI136" s="48"/>
    </row>
    <row r="137" spans="1:37" ht="15.75" thickBot="1" x14ac:dyDescent="0.3">
      <c r="A137" s="189" t="s">
        <v>242</v>
      </c>
      <c r="B137" s="152">
        <v>1521.2</v>
      </c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>
        <v>1521.15</v>
      </c>
      <c r="T137" s="152"/>
      <c r="U137" s="152"/>
      <c r="V137" s="152"/>
      <c r="W137" s="152"/>
      <c r="X137" s="152"/>
      <c r="Y137" s="152"/>
      <c r="Z137" s="152">
        <v>1521.04</v>
      </c>
      <c r="AA137" s="152"/>
      <c r="AB137" s="152"/>
      <c r="AC137" s="152"/>
      <c r="AD137" s="152"/>
      <c r="AE137" s="152"/>
      <c r="AF137" s="153"/>
      <c r="AG137" s="149"/>
      <c r="AH137" s="47"/>
      <c r="AI137" s="48"/>
    </row>
    <row r="138" spans="1:37" ht="15.75" thickBot="1" x14ac:dyDescent="0.3">
      <c r="A138" s="120" t="s">
        <v>125</v>
      </c>
      <c r="B138" s="121"/>
      <c r="C138" s="121"/>
      <c r="D138" s="121"/>
      <c r="E138" s="121"/>
      <c r="F138" s="170" t="s">
        <v>254</v>
      </c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74"/>
      <c r="AH138" s="47"/>
      <c r="AI138" s="48"/>
      <c r="AK138" s="50"/>
    </row>
    <row r="139" spans="1:37" x14ac:dyDescent="0.25">
      <c r="A139" s="122" t="s">
        <v>126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5">
        <v>9.94</v>
      </c>
      <c r="AH139" s="47"/>
      <c r="AI139" s="48"/>
      <c r="AK139" s="50"/>
    </row>
    <row r="140" spans="1:37" x14ac:dyDescent="0.25">
      <c r="A140" s="103" t="s">
        <v>127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5"/>
      <c r="AH140" s="47"/>
      <c r="AI140" s="48"/>
      <c r="AK140" s="50"/>
    </row>
    <row r="141" spans="1:37" x14ac:dyDescent="0.25">
      <c r="A141" s="103" t="s">
        <v>128</v>
      </c>
      <c r="B141" s="123"/>
      <c r="C141" s="124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5"/>
      <c r="AH141" s="47"/>
      <c r="AI141" s="48"/>
      <c r="AK141" s="50"/>
    </row>
    <row r="142" spans="1:37" x14ac:dyDescent="0.25">
      <c r="A142" s="103" t="s">
        <v>129</v>
      </c>
      <c r="B142" s="123"/>
      <c r="C142" s="124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5"/>
      <c r="AH142" s="47"/>
      <c r="AI142" s="48"/>
      <c r="AK142" s="50"/>
    </row>
    <row r="143" spans="1:37" x14ac:dyDescent="0.25">
      <c r="A143" s="103" t="s">
        <v>130</v>
      </c>
      <c r="B143" s="123"/>
      <c r="C143" s="124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5"/>
      <c r="AH143" s="47"/>
      <c r="AI143" s="48"/>
      <c r="AK143" s="50"/>
    </row>
    <row r="144" spans="1:37" x14ac:dyDescent="0.25">
      <c r="A144" s="103" t="s">
        <v>131</v>
      </c>
      <c r="B144" s="123"/>
      <c r="C144" s="124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5"/>
      <c r="AH144" s="47"/>
      <c r="AI144" s="48"/>
      <c r="AK144" s="50"/>
    </row>
    <row r="145" spans="1:37" x14ac:dyDescent="0.25">
      <c r="A145" s="103" t="s">
        <v>132</v>
      </c>
      <c r="B145" s="123"/>
      <c r="C145" s="124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5"/>
      <c r="AH145" s="47"/>
      <c r="AI145" s="48"/>
      <c r="AK145" s="50"/>
    </row>
    <row r="146" spans="1:37" x14ac:dyDescent="0.25">
      <c r="A146" s="103" t="s">
        <v>133</v>
      </c>
      <c r="B146" s="123"/>
      <c r="C146" s="124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5"/>
      <c r="AH146" s="47"/>
      <c r="AI146" s="48"/>
      <c r="AK146" s="50"/>
    </row>
    <row r="147" spans="1:37" x14ac:dyDescent="0.25">
      <c r="A147" s="103" t="s">
        <v>134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5"/>
      <c r="AH147" s="47"/>
      <c r="AI147" s="48"/>
      <c r="AK147" s="50"/>
    </row>
    <row r="148" spans="1:37" x14ac:dyDescent="0.25">
      <c r="A148" s="103" t="s">
        <v>135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5"/>
      <c r="AH148" s="47"/>
      <c r="AI148" s="48"/>
      <c r="AK148" s="50"/>
    </row>
    <row r="149" spans="1:37" x14ac:dyDescent="0.25">
      <c r="A149" s="103" t="s">
        <v>136</v>
      </c>
      <c r="B149" s="123"/>
      <c r="C149" s="124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5"/>
      <c r="AH149" s="47"/>
      <c r="AI149" s="48"/>
      <c r="AK149" s="50"/>
    </row>
    <row r="150" spans="1:37" x14ac:dyDescent="0.25">
      <c r="A150" s="103" t="s">
        <v>137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5"/>
      <c r="AH150" s="47"/>
      <c r="AI150" s="48"/>
      <c r="AK150" s="50"/>
    </row>
    <row r="151" spans="1:37" x14ac:dyDescent="0.25">
      <c r="A151" s="103" t="s">
        <v>138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5"/>
      <c r="AH151" s="47"/>
      <c r="AI151" s="48"/>
      <c r="AK151" s="50"/>
    </row>
    <row r="152" spans="1:37" x14ac:dyDescent="0.25">
      <c r="A152" s="103" t="s">
        <v>139</v>
      </c>
      <c r="B152" s="123"/>
      <c r="C152" s="124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5"/>
      <c r="AH152" s="47"/>
      <c r="AI152" s="48"/>
      <c r="AK152" s="50"/>
    </row>
    <row r="153" spans="1:37" x14ac:dyDescent="0.25">
      <c r="A153" s="103" t="s">
        <v>140</v>
      </c>
      <c r="B153" s="123"/>
      <c r="C153" s="124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5"/>
      <c r="AH153" s="47"/>
      <c r="AI153" s="48"/>
      <c r="AK153" s="50"/>
    </row>
    <row r="154" spans="1:37" x14ac:dyDescent="0.25">
      <c r="A154" s="103" t="s">
        <v>141</v>
      </c>
      <c r="B154" s="123"/>
      <c r="C154" s="124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5"/>
      <c r="AH154" s="47"/>
      <c r="AI154" s="48"/>
      <c r="AK154" s="50"/>
    </row>
    <row r="155" spans="1:37" x14ac:dyDescent="0.25">
      <c r="A155" s="103" t="s">
        <v>142</v>
      </c>
      <c r="B155" s="126"/>
      <c r="C155" s="127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8">
        <v>9.9</v>
      </c>
      <c r="AH155" s="47"/>
      <c r="AI155" s="48"/>
      <c r="AK155" s="50"/>
    </row>
    <row r="156" spans="1:37" x14ac:dyDescent="0.25">
      <c r="A156" s="116" t="s">
        <v>143</v>
      </c>
      <c r="B156" s="126"/>
      <c r="C156" s="127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9">
        <v>9.6579999999999995</v>
      </c>
      <c r="AH156" s="47"/>
      <c r="AI156" s="48"/>
      <c r="AK156" s="50"/>
    </row>
    <row r="157" spans="1:37" x14ac:dyDescent="0.25">
      <c r="A157" s="116" t="s">
        <v>144</v>
      </c>
      <c r="B157" s="126"/>
      <c r="C157" s="127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9">
        <v>9.6</v>
      </c>
      <c r="AH157" s="47"/>
      <c r="AI157" s="48"/>
      <c r="AK157" s="50"/>
    </row>
    <row r="158" spans="1:37" x14ac:dyDescent="0.25">
      <c r="A158" s="116" t="s">
        <v>145</v>
      </c>
      <c r="B158" s="126"/>
      <c r="C158" s="127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9">
        <v>9.51</v>
      </c>
      <c r="AH158" s="47"/>
      <c r="AI158" s="48"/>
      <c r="AK158" s="50"/>
    </row>
    <row r="159" spans="1:37" x14ac:dyDescent="0.25">
      <c r="A159" s="116" t="s">
        <v>146</v>
      </c>
      <c r="B159" s="126"/>
      <c r="C159" s="127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9">
        <v>9.4</v>
      </c>
      <c r="AH159" s="47"/>
      <c r="AI159" s="48"/>
      <c r="AK159" s="50"/>
    </row>
    <row r="160" spans="1:37" x14ac:dyDescent="0.25">
      <c r="A160" s="116" t="s">
        <v>147</v>
      </c>
      <c r="B160" s="126"/>
      <c r="C160" s="127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9">
        <v>8.8000000000000007</v>
      </c>
      <c r="AH160" s="47"/>
      <c r="AI160" s="48"/>
      <c r="AK160" s="50"/>
    </row>
    <row r="161" spans="1:37" x14ac:dyDescent="0.25">
      <c r="A161" s="116" t="s">
        <v>148</v>
      </c>
      <c r="B161" s="126"/>
      <c r="C161" s="127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9">
        <v>8.5</v>
      </c>
      <c r="AH161" s="47"/>
      <c r="AI161" s="48"/>
      <c r="AK161" s="50"/>
    </row>
    <row r="162" spans="1:37" x14ac:dyDescent="0.25">
      <c r="A162" s="116" t="s">
        <v>149</v>
      </c>
      <c r="B162" s="126"/>
      <c r="C162" s="127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9">
        <v>8.5</v>
      </c>
      <c r="AH162" s="47"/>
      <c r="AI162" s="48"/>
      <c r="AK162" s="50"/>
    </row>
    <row r="163" spans="1:37" x14ac:dyDescent="0.25">
      <c r="A163" s="116" t="s">
        <v>150</v>
      </c>
      <c r="B163" s="126"/>
      <c r="C163" s="127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9">
        <v>8.4</v>
      </c>
      <c r="AH163" s="47"/>
      <c r="AI163" s="48"/>
      <c r="AK163" s="50"/>
    </row>
    <row r="164" spans="1:37" ht="13.5" customHeight="1" x14ac:dyDescent="0.25">
      <c r="A164" s="116" t="s">
        <v>151</v>
      </c>
      <c r="B164" s="126"/>
      <c r="C164" s="127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9">
        <v>8</v>
      </c>
      <c r="AH164" s="47"/>
      <c r="AI164" s="48"/>
      <c r="AK164" s="50"/>
    </row>
    <row r="165" spans="1:37" x14ac:dyDescent="0.25">
      <c r="A165" s="116" t="s">
        <v>152</v>
      </c>
      <c r="B165" s="126"/>
      <c r="C165" s="127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9">
        <v>8</v>
      </c>
      <c r="AH165" s="47"/>
      <c r="AI165" s="48"/>
      <c r="AK165" s="50"/>
    </row>
    <row r="166" spans="1:37" x14ac:dyDescent="0.25">
      <c r="A166" s="116" t="s">
        <v>153</v>
      </c>
      <c r="B166" s="126"/>
      <c r="C166" s="127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9">
        <v>8</v>
      </c>
      <c r="AH166" s="47"/>
      <c r="AI166" s="48"/>
      <c r="AK166" s="50"/>
    </row>
    <row r="167" spans="1:37" x14ac:dyDescent="0.25">
      <c r="A167" s="116" t="s">
        <v>154</v>
      </c>
      <c r="B167" s="126"/>
      <c r="C167" s="127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9">
        <v>7.8</v>
      </c>
      <c r="AH167" s="47"/>
      <c r="AI167" s="48"/>
      <c r="AK167" s="50"/>
    </row>
    <row r="168" spans="1:37" x14ac:dyDescent="0.25">
      <c r="A168" s="116" t="s">
        <v>155</v>
      </c>
      <c r="B168" s="126"/>
      <c r="C168" s="127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9">
        <v>7.6</v>
      </c>
      <c r="AH168" s="47"/>
      <c r="AI168" s="48"/>
      <c r="AK168" s="50"/>
    </row>
    <row r="169" spans="1:37" x14ac:dyDescent="0.25">
      <c r="A169" s="116" t="s">
        <v>156</v>
      </c>
      <c r="B169" s="126"/>
      <c r="C169" s="127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9">
        <v>7.5</v>
      </c>
      <c r="AH169" s="47"/>
      <c r="AI169" s="48"/>
      <c r="AK169" s="50"/>
    </row>
    <row r="170" spans="1:37" x14ac:dyDescent="0.25">
      <c r="A170" s="116" t="s">
        <v>157</v>
      </c>
      <c r="B170" s="126"/>
      <c r="C170" s="127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9">
        <v>7.5</v>
      </c>
      <c r="AH170" s="47"/>
      <c r="AI170" s="48"/>
      <c r="AK170" s="50"/>
    </row>
    <row r="171" spans="1:37" x14ac:dyDescent="0.25">
      <c r="A171" s="116" t="s">
        <v>158</v>
      </c>
      <c r="B171" s="126"/>
      <c r="C171" s="127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9">
        <v>7</v>
      </c>
      <c r="AH171" s="47"/>
      <c r="AI171" s="48"/>
      <c r="AK171" s="50"/>
    </row>
    <row r="172" spans="1:37" x14ac:dyDescent="0.25">
      <c r="A172" s="116" t="s">
        <v>159</v>
      </c>
      <c r="B172" s="126"/>
      <c r="C172" s="127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9">
        <v>7</v>
      </c>
      <c r="AH172" s="47"/>
      <c r="AI172" s="48"/>
      <c r="AK172" s="50"/>
    </row>
    <row r="173" spans="1:37" x14ac:dyDescent="0.25">
      <c r="A173" s="116" t="s">
        <v>160</v>
      </c>
      <c r="B173" s="126"/>
      <c r="C173" s="127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9">
        <v>7</v>
      </c>
      <c r="AH173" s="47"/>
      <c r="AI173" s="48"/>
      <c r="AK173" s="50"/>
    </row>
    <row r="174" spans="1:37" x14ac:dyDescent="0.25">
      <c r="A174" s="116" t="s">
        <v>161</v>
      </c>
      <c r="B174" s="126"/>
      <c r="C174" s="127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9">
        <v>7</v>
      </c>
      <c r="AH174" s="47"/>
      <c r="AI174" s="48"/>
      <c r="AK174" s="50"/>
    </row>
    <row r="175" spans="1:37" x14ac:dyDescent="0.25">
      <c r="A175" s="116" t="s">
        <v>162</v>
      </c>
      <c r="B175" s="126"/>
      <c r="C175" s="127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9">
        <v>6.6</v>
      </c>
      <c r="AH175" s="47"/>
      <c r="AI175" s="48"/>
      <c r="AK175" s="50"/>
    </row>
    <row r="176" spans="1:37" x14ac:dyDescent="0.25">
      <c r="A176" s="116" t="s">
        <v>163</v>
      </c>
      <c r="B176" s="126"/>
      <c r="C176" s="127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9">
        <v>6.6</v>
      </c>
      <c r="AH176" s="47"/>
      <c r="AI176" s="48"/>
      <c r="AK176" s="50"/>
    </row>
    <row r="177" spans="1:37" x14ac:dyDescent="0.25">
      <c r="A177" s="116" t="s">
        <v>164</v>
      </c>
      <c r="B177" s="126"/>
      <c r="C177" s="127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9">
        <v>6.4</v>
      </c>
      <c r="AH177" s="47"/>
      <c r="AI177" s="48"/>
      <c r="AK177" s="50"/>
    </row>
    <row r="178" spans="1:37" x14ac:dyDescent="0.25">
      <c r="A178" s="116" t="s">
        <v>165</v>
      </c>
      <c r="B178" s="126"/>
      <c r="C178" s="127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9">
        <v>6</v>
      </c>
      <c r="AH178" s="47"/>
      <c r="AI178" s="48"/>
      <c r="AK178" s="50"/>
    </row>
    <row r="179" spans="1:37" x14ac:dyDescent="0.25">
      <c r="A179" s="116" t="s">
        <v>166</v>
      </c>
      <c r="B179" s="126"/>
      <c r="C179" s="127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9">
        <v>5.0999999999999996</v>
      </c>
      <c r="AH179" s="47"/>
      <c r="AI179" s="48"/>
      <c r="AK179" s="50"/>
    </row>
    <row r="180" spans="1:37" x14ac:dyDescent="0.25">
      <c r="A180" s="116" t="s">
        <v>167</v>
      </c>
      <c r="B180" s="126"/>
      <c r="C180" s="127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9">
        <v>5</v>
      </c>
      <c r="AH180" s="47"/>
      <c r="AI180" s="48"/>
      <c r="AK180" s="50"/>
    </row>
    <row r="181" spans="1:37" x14ac:dyDescent="0.25">
      <c r="A181" s="103" t="s">
        <v>168</v>
      </c>
      <c r="B181" s="126"/>
      <c r="C181" s="127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8">
        <v>5</v>
      </c>
      <c r="AH181" s="47"/>
      <c r="AI181" s="48"/>
      <c r="AK181" s="50"/>
    </row>
    <row r="182" spans="1:37" x14ac:dyDescent="0.25">
      <c r="A182" s="116" t="s">
        <v>169</v>
      </c>
      <c r="B182" s="126"/>
      <c r="C182" s="127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9">
        <v>5</v>
      </c>
      <c r="AH182" s="47"/>
      <c r="AI182" s="48"/>
      <c r="AK182" s="50"/>
    </row>
    <row r="183" spans="1:37" x14ac:dyDescent="0.25">
      <c r="A183" s="116" t="s">
        <v>170</v>
      </c>
      <c r="B183" s="126"/>
      <c r="C183" s="127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9">
        <v>5</v>
      </c>
      <c r="AH183" s="47"/>
      <c r="AI183" s="48"/>
      <c r="AK183" s="50"/>
    </row>
    <row r="184" spans="1:37" x14ac:dyDescent="0.25">
      <c r="A184" s="116" t="s">
        <v>171</v>
      </c>
      <c r="B184" s="126"/>
      <c r="C184" s="127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9">
        <v>5</v>
      </c>
      <c r="AH184" s="47"/>
      <c r="AI184" s="48"/>
      <c r="AK184" s="50"/>
    </row>
    <row r="185" spans="1:37" x14ac:dyDescent="0.25">
      <c r="A185" s="116" t="s">
        <v>172</v>
      </c>
      <c r="B185" s="126"/>
      <c r="C185" s="127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9">
        <v>5</v>
      </c>
      <c r="AH185" s="47"/>
      <c r="AI185" s="48"/>
      <c r="AK185" s="50"/>
    </row>
    <row r="186" spans="1:37" x14ac:dyDescent="0.25">
      <c r="A186" s="116" t="s">
        <v>173</v>
      </c>
      <c r="B186" s="126"/>
      <c r="C186" s="127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9">
        <v>5</v>
      </c>
      <c r="AH186" s="47"/>
      <c r="AI186" s="48"/>
      <c r="AK186" s="50"/>
    </row>
    <row r="187" spans="1:37" x14ac:dyDescent="0.25">
      <c r="A187" s="116" t="s">
        <v>174</v>
      </c>
      <c r="B187" s="126"/>
      <c r="C187" s="127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9">
        <v>4.9930000000000003</v>
      </c>
      <c r="AH187" s="47"/>
      <c r="AI187" s="48"/>
      <c r="AK187" s="50"/>
    </row>
    <row r="188" spans="1:37" x14ac:dyDescent="0.25">
      <c r="A188" s="116" t="s">
        <v>175</v>
      </c>
      <c r="B188" s="126"/>
      <c r="C188" s="127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9">
        <v>4.9800000000000004</v>
      </c>
      <c r="AH188" s="47"/>
      <c r="AI188" s="48"/>
      <c r="AK188" s="50"/>
    </row>
    <row r="189" spans="1:37" x14ac:dyDescent="0.25">
      <c r="A189" s="116" t="s">
        <v>176</v>
      </c>
      <c r="B189" s="126"/>
      <c r="C189" s="127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9">
        <v>4.95</v>
      </c>
      <c r="AH189" s="47"/>
      <c r="AI189" s="48"/>
      <c r="AK189" s="50"/>
    </row>
    <row r="190" spans="1:37" x14ac:dyDescent="0.25">
      <c r="A190" s="116" t="s">
        <v>177</v>
      </c>
      <c r="B190" s="126"/>
      <c r="C190" s="127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9">
        <v>4.95</v>
      </c>
      <c r="AH190" s="47"/>
      <c r="AI190" s="48"/>
      <c r="AK190" s="50"/>
    </row>
    <row r="191" spans="1:37" x14ac:dyDescent="0.25">
      <c r="A191" s="116" t="s">
        <v>178</v>
      </c>
      <c r="B191" s="126"/>
      <c r="C191" s="127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9">
        <v>4.8</v>
      </c>
      <c r="AH191" s="47"/>
      <c r="AI191" s="48"/>
      <c r="AK191" s="50"/>
    </row>
    <row r="192" spans="1:37" x14ac:dyDescent="0.25">
      <c r="A192" s="116" t="s">
        <v>179</v>
      </c>
      <c r="B192" s="126"/>
      <c r="C192" s="127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9">
        <v>4.8</v>
      </c>
      <c r="AH192" s="47"/>
      <c r="AI192" s="48"/>
      <c r="AK192" s="50"/>
    </row>
    <row r="193" spans="1:37" x14ac:dyDescent="0.25">
      <c r="A193" s="116" t="s">
        <v>180</v>
      </c>
      <c r="B193" s="126"/>
      <c r="C193" s="127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9">
        <v>4.8</v>
      </c>
      <c r="AH193" s="47"/>
      <c r="AI193" s="48"/>
      <c r="AK193" s="50"/>
    </row>
    <row r="194" spans="1:37" x14ac:dyDescent="0.25">
      <c r="A194" s="116" t="s">
        <v>181</v>
      </c>
      <c r="B194" s="126"/>
      <c r="C194" s="127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9">
        <v>4.5</v>
      </c>
      <c r="AH194" s="47"/>
      <c r="AI194" s="48"/>
      <c r="AK194" s="50"/>
    </row>
    <row r="195" spans="1:37" x14ac:dyDescent="0.25">
      <c r="A195" s="116" t="s">
        <v>182</v>
      </c>
      <c r="B195" s="126"/>
      <c r="C195" s="127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9">
        <v>4.5</v>
      </c>
      <c r="AH195" s="47"/>
      <c r="AI195" s="48"/>
      <c r="AK195" s="50"/>
    </row>
    <row r="196" spans="1:37" x14ac:dyDescent="0.25">
      <c r="A196" s="116" t="s">
        <v>183</v>
      </c>
      <c r="B196" s="126"/>
      <c r="C196" s="127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9">
        <v>4.4550000000000001</v>
      </c>
      <c r="AH196" s="47"/>
      <c r="AI196" s="48"/>
      <c r="AK196" s="50"/>
    </row>
    <row r="197" spans="1:37" x14ac:dyDescent="0.25">
      <c r="A197" s="116" t="s">
        <v>184</v>
      </c>
      <c r="B197" s="126"/>
      <c r="C197" s="127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9">
        <v>4.41</v>
      </c>
      <c r="AH197" s="47"/>
      <c r="AI197" s="48"/>
      <c r="AK197" s="50"/>
    </row>
    <row r="198" spans="1:37" x14ac:dyDescent="0.25">
      <c r="A198" s="116" t="s">
        <v>185</v>
      </c>
      <c r="B198" s="126"/>
      <c r="C198" s="127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9">
        <v>4.4000000000000004</v>
      </c>
      <c r="AH198" s="47"/>
      <c r="AI198" s="48"/>
      <c r="AK198" s="50"/>
    </row>
    <row r="199" spans="1:37" x14ac:dyDescent="0.25">
      <c r="A199" s="116" t="s">
        <v>186</v>
      </c>
      <c r="B199" s="126"/>
      <c r="C199" s="127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9">
        <v>4.3600000000000003</v>
      </c>
      <c r="AH199" s="47"/>
      <c r="AI199" s="48"/>
      <c r="AK199" s="50"/>
    </row>
    <row r="200" spans="1:37" x14ac:dyDescent="0.25">
      <c r="A200" s="116" t="s">
        <v>187</v>
      </c>
      <c r="B200" s="126"/>
      <c r="C200" s="127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9">
        <v>4.2</v>
      </c>
      <c r="AH200" s="47"/>
      <c r="AI200" s="48"/>
      <c r="AK200" s="50"/>
    </row>
    <row r="201" spans="1:37" x14ac:dyDescent="0.25">
      <c r="A201" s="116" t="s">
        <v>188</v>
      </c>
      <c r="B201" s="126"/>
      <c r="C201" s="127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9">
        <v>4</v>
      </c>
      <c r="AH201" s="47"/>
      <c r="AI201" s="48"/>
      <c r="AK201" s="50"/>
    </row>
    <row r="202" spans="1:37" x14ac:dyDescent="0.25">
      <c r="A202" s="116" t="s">
        <v>189</v>
      </c>
      <c r="B202" s="126"/>
      <c r="C202" s="127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9">
        <v>4</v>
      </c>
      <c r="AH202" s="47"/>
      <c r="AI202" s="48"/>
      <c r="AK202" s="50"/>
    </row>
    <row r="203" spans="1:37" x14ac:dyDescent="0.25">
      <c r="A203" s="116" t="s">
        <v>190</v>
      </c>
      <c r="B203" s="126"/>
      <c r="C203" s="127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9">
        <v>4</v>
      </c>
      <c r="AH203" s="47"/>
      <c r="AI203" s="48"/>
      <c r="AK203" s="50"/>
    </row>
    <row r="204" spans="1:37" x14ac:dyDescent="0.25">
      <c r="A204" s="116" t="s">
        <v>191</v>
      </c>
      <c r="B204" s="126"/>
      <c r="C204" s="127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9">
        <v>4</v>
      </c>
      <c r="AH204" s="47"/>
      <c r="AI204" s="48"/>
      <c r="AK204" s="50"/>
    </row>
    <row r="205" spans="1:37" x14ac:dyDescent="0.25">
      <c r="A205" s="116" t="s">
        <v>192</v>
      </c>
      <c r="B205" s="126"/>
      <c r="C205" s="127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9">
        <v>4</v>
      </c>
      <c r="AH205" s="47"/>
      <c r="AI205" s="48"/>
      <c r="AK205" s="50"/>
    </row>
    <row r="206" spans="1:37" x14ac:dyDescent="0.25">
      <c r="A206" s="116" t="s">
        <v>193</v>
      </c>
      <c r="B206" s="126"/>
      <c r="C206" s="127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9">
        <v>4</v>
      </c>
      <c r="AH206" s="47"/>
      <c r="AI206" s="48"/>
      <c r="AK206" s="50"/>
    </row>
    <row r="207" spans="1:37" x14ac:dyDescent="0.25">
      <c r="A207" s="116" t="s">
        <v>194</v>
      </c>
      <c r="B207" s="126"/>
      <c r="C207" s="127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9">
        <v>4</v>
      </c>
      <c r="AH207" s="47"/>
      <c r="AI207" s="48"/>
      <c r="AK207" s="50"/>
    </row>
    <row r="208" spans="1:37" x14ac:dyDescent="0.25">
      <c r="A208" s="116" t="s">
        <v>195</v>
      </c>
      <c r="B208" s="126"/>
      <c r="C208" s="127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9">
        <v>4</v>
      </c>
      <c r="AH208" s="47"/>
      <c r="AI208" s="48"/>
      <c r="AK208" s="50"/>
    </row>
    <row r="209" spans="1:37" x14ac:dyDescent="0.25">
      <c r="A209" s="116" t="s">
        <v>196</v>
      </c>
      <c r="B209" s="126"/>
      <c r="C209" s="127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9">
        <v>3.75</v>
      </c>
      <c r="AH209" s="47"/>
      <c r="AI209" s="48"/>
      <c r="AK209" s="50"/>
    </row>
    <row r="210" spans="1:37" x14ac:dyDescent="0.25">
      <c r="A210" s="116" t="s">
        <v>197</v>
      </c>
      <c r="B210" s="126"/>
      <c r="C210" s="127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9">
        <v>3.52</v>
      </c>
      <c r="AH210" s="47"/>
      <c r="AI210" s="48"/>
      <c r="AK210" s="50"/>
    </row>
    <row r="211" spans="1:37" x14ac:dyDescent="0.25">
      <c r="A211" s="116" t="s">
        <v>198</v>
      </c>
      <c r="B211" s="126"/>
      <c r="C211" s="127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9">
        <v>3.33</v>
      </c>
      <c r="AH211" s="47"/>
      <c r="AI211" s="48"/>
      <c r="AK211" s="50"/>
    </row>
    <row r="212" spans="1:37" x14ac:dyDescent="0.25">
      <c r="A212" s="116" t="s">
        <v>199</v>
      </c>
      <c r="B212" s="126"/>
      <c r="C212" s="127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9">
        <v>3.2</v>
      </c>
      <c r="AH212" s="47"/>
      <c r="AI212" s="48"/>
      <c r="AK212" s="50"/>
    </row>
    <row r="213" spans="1:37" x14ac:dyDescent="0.25">
      <c r="A213" s="116" t="s">
        <v>200</v>
      </c>
      <c r="B213" s="126"/>
      <c r="C213" s="127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9">
        <v>3</v>
      </c>
      <c r="AH213" s="47"/>
      <c r="AI213" s="48"/>
      <c r="AK213" s="50"/>
    </row>
    <row r="214" spans="1:37" x14ac:dyDescent="0.25">
      <c r="A214" s="116" t="s">
        <v>201</v>
      </c>
      <c r="B214" s="126"/>
      <c r="C214" s="127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9">
        <v>3</v>
      </c>
      <c r="AH214" s="47"/>
      <c r="AI214" s="48"/>
      <c r="AK214" s="50"/>
    </row>
    <row r="215" spans="1:37" x14ac:dyDescent="0.25">
      <c r="A215" s="116" t="s">
        <v>202</v>
      </c>
      <c r="B215" s="126"/>
      <c r="C215" s="127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9">
        <v>3</v>
      </c>
      <c r="AH215" s="47"/>
      <c r="AI215" s="48"/>
      <c r="AK215" s="50"/>
    </row>
    <row r="216" spans="1:37" x14ac:dyDescent="0.25">
      <c r="A216" s="116" t="s">
        <v>203</v>
      </c>
      <c r="B216" s="126"/>
      <c r="C216" s="127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9">
        <v>3</v>
      </c>
      <c r="AH216" s="47"/>
      <c r="AI216" s="48"/>
      <c r="AK216" s="50"/>
    </row>
    <row r="217" spans="1:37" x14ac:dyDescent="0.25">
      <c r="A217" s="116" t="s">
        <v>204</v>
      </c>
      <c r="B217" s="126"/>
      <c r="C217" s="127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9">
        <v>3</v>
      </c>
      <c r="AH217" s="47"/>
      <c r="AI217" s="48"/>
      <c r="AK217" s="50"/>
    </row>
    <row r="218" spans="1:37" x14ac:dyDescent="0.25">
      <c r="A218" s="116" t="s">
        <v>205</v>
      </c>
      <c r="B218" s="126"/>
      <c r="C218" s="127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9">
        <v>3</v>
      </c>
      <c r="AH218" s="47"/>
      <c r="AI218" s="48"/>
      <c r="AK218" s="50"/>
    </row>
    <row r="219" spans="1:37" x14ac:dyDescent="0.25">
      <c r="A219" s="116" t="s">
        <v>206</v>
      </c>
      <c r="B219" s="126"/>
      <c r="C219" s="127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9">
        <v>3</v>
      </c>
      <c r="AH219" s="47"/>
      <c r="AI219" s="48"/>
      <c r="AK219" s="50"/>
    </row>
    <row r="220" spans="1:37" x14ac:dyDescent="0.25">
      <c r="A220" s="116" t="s">
        <v>207</v>
      </c>
      <c r="B220" s="126"/>
      <c r="C220" s="127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9">
        <v>3</v>
      </c>
      <c r="AH220" s="47"/>
      <c r="AI220" s="48"/>
      <c r="AK220" s="50"/>
    </row>
    <row r="221" spans="1:37" x14ac:dyDescent="0.25">
      <c r="A221" s="116" t="s">
        <v>208</v>
      </c>
      <c r="B221" s="126"/>
      <c r="C221" s="127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9">
        <v>2.83</v>
      </c>
      <c r="AH221" s="47"/>
      <c r="AI221" s="48"/>
      <c r="AK221" s="50"/>
    </row>
    <row r="222" spans="1:37" x14ac:dyDescent="0.25">
      <c r="A222" s="116" t="s">
        <v>209</v>
      </c>
      <c r="B222" s="126"/>
      <c r="C222" s="127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9">
        <v>2.5</v>
      </c>
      <c r="AH222" s="47"/>
      <c r="AI222" s="48"/>
      <c r="AK222" s="50"/>
    </row>
    <row r="223" spans="1:37" x14ac:dyDescent="0.25">
      <c r="A223" s="116" t="s">
        <v>210</v>
      </c>
      <c r="B223" s="126"/>
      <c r="C223" s="127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9">
        <v>2.5</v>
      </c>
      <c r="AH223" s="47"/>
      <c r="AI223" s="48"/>
      <c r="AK223" s="50"/>
    </row>
    <row r="224" spans="1:37" x14ac:dyDescent="0.25">
      <c r="A224" s="116" t="s">
        <v>211</v>
      </c>
      <c r="B224" s="126"/>
      <c r="C224" s="127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9">
        <v>2.4</v>
      </c>
      <c r="AH224" s="47"/>
      <c r="AI224" s="48"/>
      <c r="AK224" s="50"/>
    </row>
    <row r="225" spans="1:37" x14ac:dyDescent="0.25">
      <c r="A225" s="116" t="s">
        <v>212</v>
      </c>
      <c r="B225" s="126"/>
      <c r="C225" s="127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9">
        <v>2.4</v>
      </c>
      <c r="AH225" s="47"/>
      <c r="AI225" s="48"/>
      <c r="AK225" s="50"/>
    </row>
    <row r="226" spans="1:37" x14ac:dyDescent="0.25">
      <c r="A226" s="116" t="s">
        <v>213</v>
      </c>
      <c r="B226" s="126"/>
      <c r="C226" s="127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9">
        <v>2.2000000000000002</v>
      </c>
      <c r="AH226" s="47"/>
      <c r="AI226" s="48"/>
      <c r="AK226" s="50"/>
    </row>
    <row r="227" spans="1:37" x14ac:dyDescent="0.25">
      <c r="A227" s="116" t="s">
        <v>214</v>
      </c>
      <c r="B227" s="126"/>
      <c r="C227" s="127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9">
        <v>2</v>
      </c>
      <c r="AH227" s="47"/>
      <c r="AI227" s="48"/>
      <c r="AK227" s="50"/>
    </row>
    <row r="228" spans="1:37" x14ac:dyDescent="0.25">
      <c r="A228" s="116" t="s">
        <v>215</v>
      </c>
      <c r="B228" s="126"/>
      <c r="C228" s="127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9">
        <v>2</v>
      </c>
      <c r="AH228" s="47"/>
      <c r="AI228" s="48"/>
      <c r="AK228" s="50"/>
    </row>
    <row r="229" spans="1:37" x14ac:dyDescent="0.25">
      <c r="A229" s="116" t="s">
        <v>216</v>
      </c>
      <c r="B229" s="126"/>
      <c r="C229" s="127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9">
        <v>2</v>
      </c>
      <c r="AH229" s="47"/>
      <c r="AI229" s="48"/>
      <c r="AK229" s="50"/>
    </row>
    <row r="230" spans="1:37" x14ac:dyDescent="0.25">
      <c r="A230" s="116" t="s">
        <v>217</v>
      </c>
      <c r="B230" s="126"/>
      <c r="C230" s="127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9">
        <v>1.8</v>
      </c>
      <c r="AH230" s="47"/>
      <c r="AI230" s="48"/>
      <c r="AK230" s="50"/>
    </row>
    <row r="231" spans="1:37" x14ac:dyDescent="0.25">
      <c r="A231" s="116" t="s">
        <v>218</v>
      </c>
      <c r="B231" s="126"/>
      <c r="C231" s="127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9">
        <v>1.8</v>
      </c>
      <c r="AH231" s="47"/>
      <c r="AI231" s="48"/>
      <c r="AK231" s="50"/>
    </row>
    <row r="232" spans="1:37" x14ac:dyDescent="0.25">
      <c r="A232" s="116" t="s">
        <v>219</v>
      </c>
      <c r="B232" s="126"/>
      <c r="C232" s="127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9">
        <v>1.65</v>
      </c>
      <c r="AH232" s="47"/>
      <c r="AI232" s="48"/>
      <c r="AK232" s="50"/>
    </row>
    <row r="233" spans="1:37" x14ac:dyDescent="0.25">
      <c r="A233" s="116" t="s">
        <v>220</v>
      </c>
      <c r="B233" s="126"/>
      <c r="C233" s="127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9">
        <v>1.5</v>
      </c>
      <c r="AH233" s="47"/>
      <c r="AI233" s="48"/>
      <c r="AK233" s="50"/>
    </row>
    <row r="234" spans="1:37" x14ac:dyDescent="0.25">
      <c r="A234" s="116" t="s">
        <v>221</v>
      </c>
      <c r="B234" s="126"/>
      <c r="C234" s="127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9">
        <v>0.998</v>
      </c>
      <c r="AH234" s="47"/>
      <c r="AI234" s="48"/>
      <c r="AK234" s="50"/>
    </row>
    <row r="235" spans="1:37" x14ac:dyDescent="0.25">
      <c r="A235" s="116" t="s">
        <v>222</v>
      </c>
      <c r="B235" s="126"/>
      <c r="C235" s="127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9">
        <v>0.997</v>
      </c>
      <c r="AH235" s="47"/>
      <c r="AI235" s="48"/>
      <c r="AK235" s="50"/>
    </row>
    <row r="236" spans="1:37" x14ac:dyDescent="0.25">
      <c r="A236" s="116" t="s">
        <v>223</v>
      </c>
      <c r="B236" s="126"/>
      <c r="C236" s="127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9">
        <v>0.997</v>
      </c>
      <c r="AH236" s="47"/>
      <c r="AI236" s="48"/>
      <c r="AK236" s="50"/>
    </row>
    <row r="237" spans="1:37" x14ac:dyDescent="0.25">
      <c r="A237" s="116" t="s">
        <v>224</v>
      </c>
      <c r="B237" s="126"/>
      <c r="C237" s="127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9">
        <v>0.996</v>
      </c>
      <c r="AH237" s="47"/>
      <c r="AI237" s="48"/>
      <c r="AK237" s="50"/>
    </row>
    <row r="238" spans="1:37" x14ac:dyDescent="0.25">
      <c r="A238" s="116" t="s">
        <v>225</v>
      </c>
      <c r="B238" s="126"/>
      <c r="C238" s="127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9">
        <v>0.996</v>
      </c>
      <c r="AH238" s="47"/>
      <c r="AI238" s="48"/>
      <c r="AK238" s="50"/>
    </row>
    <row r="239" spans="1:37" x14ac:dyDescent="0.25">
      <c r="A239" s="116" t="s">
        <v>226</v>
      </c>
      <c r="B239" s="126"/>
      <c r="C239" s="127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9">
        <v>0.996</v>
      </c>
      <c r="AH239" s="47"/>
      <c r="AI239" s="48"/>
      <c r="AK239" s="50"/>
    </row>
    <row r="240" spans="1:37" x14ac:dyDescent="0.25">
      <c r="A240" s="116" t="s">
        <v>227</v>
      </c>
      <c r="B240" s="126"/>
      <c r="C240" s="127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9">
        <v>0.995</v>
      </c>
      <c r="AH240" s="47"/>
      <c r="AI240" s="48"/>
      <c r="AK240" s="50"/>
    </row>
    <row r="241" spans="1:37" x14ac:dyDescent="0.25">
      <c r="A241" s="116" t="s">
        <v>228</v>
      </c>
      <c r="B241" s="126"/>
      <c r="C241" s="127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9">
        <v>0.99299999999999999</v>
      </c>
      <c r="AH241" s="47"/>
      <c r="AI241" s="48"/>
      <c r="AK241" s="50"/>
    </row>
    <row r="242" spans="1:37" x14ac:dyDescent="0.25">
      <c r="A242" s="116" t="s">
        <v>229</v>
      </c>
      <c r="B242" s="126"/>
      <c r="C242" s="124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9">
        <v>0.99</v>
      </c>
      <c r="AH242" s="47"/>
      <c r="AI242" s="48"/>
      <c r="AK242" s="50"/>
    </row>
    <row r="243" spans="1:37" ht="15.75" thickBot="1" x14ac:dyDescent="0.3">
      <c r="A243" s="116" t="s">
        <v>230</v>
      </c>
      <c r="B243" s="130"/>
      <c r="C243" s="131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29">
        <v>0.97899999999999998</v>
      </c>
      <c r="AH243" s="47"/>
      <c r="AI243" s="48"/>
      <c r="AK243" s="50"/>
    </row>
    <row r="244" spans="1:37" ht="15.75" thickBot="1" x14ac:dyDescent="0.3">
      <c r="A244" s="132" t="s">
        <v>231</v>
      </c>
      <c r="B244" s="133">
        <f t="shared" ref="B244:AG244" si="45">SUM(B139:B243)</f>
        <v>0</v>
      </c>
      <c r="C244" s="134">
        <f t="shared" si="45"/>
        <v>0</v>
      </c>
      <c r="D244" s="134">
        <f t="shared" si="45"/>
        <v>0</v>
      </c>
      <c r="E244" s="134">
        <f t="shared" si="45"/>
        <v>0</v>
      </c>
      <c r="F244" s="134">
        <f t="shared" si="45"/>
        <v>0</v>
      </c>
      <c r="G244" s="134">
        <f t="shared" si="45"/>
        <v>0</v>
      </c>
      <c r="H244" s="134">
        <f t="shared" si="45"/>
        <v>0</v>
      </c>
      <c r="I244" s="134">
        <f t="shared" si="45"/>
        <v>0</v>
      </c>
      <c r="J244" s="134">
        <f t="shared" si="45"/>
        <v>0</v>
      </c>
      <c r="K244" s="134">
        <f t="shared" si="45"/>
        <v>0</v>
      </c>
      <c r="L244" s="134">
        <f t="shared" si="45"/>
        <v>0</v>
      </c>
      <c r="M244" s="134">
        <f t="shared" si="45"/>
        <v>0</v>
      </c>
      <c r="N244" s="134">
        <f t="shared" si="45"/>
        <v>0</v>
      </c>
      <c r="O244" s="134">
        <f t="shared" si="45"/>
        <v>0</v>
      </c>
      <c r="P244" s="134">
        <f t="shared" si="45"/>
        <v>0</v>
      </c>
      <c r="Q244" s="134">
        <f t="shared" si="45"/>
        <v>0</v>
      </c>
      <c r="R244" s="134">
        <f t="shared" si="45"/>
        <v>0</v>
      </c>
      <c r="S244" s="134">
        <f t="shared" si="45"/>
        <v>0</v>
      </c>
      <c r="T244" s="134">
        <f t="shared" si="45"/>
        <v>0</v>
      </c>
      <c r="U244" s="134">
        <f t="shared" si="45"/>
        <v>0</v>
      </c>
      <c r="V244" s="134">
        <f t="shared" si="45"/>
        <v>0</v>
      </c>
      <c r="W244" s="134">
        <f t="shared" si="45"/>
        <v>0</v>
      </c>
      <c r="X244" s="134">
        <f t="shared" si="45"/>
        <v>0</v>
      </c>
      <c r="Y244" s="134">
        <f t="shared" si="45"/>
        <v>0</v>
      </c>
      <c r="Z244" s="134">
        <f t="shared" si="45"/>
        <v>0</v>
      </c>
      <c r="AA244" s="134">
        <f t="shared" si="45"/>
        <v>0</v>
      </c>
      <c r="AB244" s="134">
        <f t="shared" si="45"/>
        <v>0</v>
      </c>
      <c r="AC244" s="134">
        <f t="shared" si="45"/>
        <v>0</v>
      </c>
      <c r="AD244" s="134">
        <f t="shared" si="45"/>
        <v>0</v>
      </c>
      <c r="AE244" s="134">
        <f t="shared" si="45"/>
        <v>0</v>
      </c>
      <c r="AF244" s="135">
        <f t="shared" si="45"/>
        <v>0</v>
      </c>
      <c r="AG244" s="136">
        <f t="shared" si="45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19"/>
      <c r="AH245" s="47"/>
      <c r="AI245" s="48"/>
      <c r="AK245" s="50"/>
    </row>
    <row r="246" spans="1:37" x14ac:dyDescent="0.25">
      <c r="A246" s="100" t="s">
        <v>232</v>
      </c>
      <c r="B246" s="138">
        <f t="shared" ref="B246:B251" si="46">AF246</f>
        <v>0.3</v>
      </c>
      <c r="C246" s="138">
        <v>0.3</v>
      </c>
      <c r="D246" s="138">
        <f t="shared" ref="D246:S251" si="47">C246</f>
        <v>0.3</v>
      </c>
      <c r="E246" s="138">
        <f t="shared" si="47"/>
        <v>0.3</v>
      </c>
      <c r="F246" s="138">
        <f t="shared" si="47"/>
        <v>0.3</v>
      </c>
      <c r="G246" s="138">
        <f t="shared" si="47"/>
        <v>0.3</v>
      </c>
      <c r="H246" s="138">
        <f t="shared" si="47"/>
        <v>0.3</v>
      </c>
      <c r="I246" s="138">
        <f t="shared" si="47"/>
        <v>0.3</v>
      </c>
      <c r="J246" s="138">
        <f t="shared" si="47"/>
        <v>0.3</v>
      </c>
      <c r="K246" s="138">
        <f t="shared" si="47"/>
        <v>0.3</v>
      </c>
      <c r="L246" s="138">
        <f t="shared" si="47"/>
        <v>0.3</v>
      </c>
      <c r="M246" s="138">
        <f t="shared" si="47"/>
        <v>0.3</v>
      </c>
      <c r="N246" s="138">
        <f t="shared" si="47"/>
        <v>0.3</v>
      </c>
      <c r="O246" s="138">
        <f t="shared" si="47"/>
        <v>0.3</v>
      </c>
      <c r="P246" s="138">
        <f t="shared" si="47"/>
        <v>0.3</v>
      </c>
      <c r="Q246" s="138">
        <f t="shared" si="47"/>
        <v>0.3</v>
      </c>
      <c r="R246" s="138">
        <f t="shared" si="47"/>
        <v>0.3</v>
      </c>
      <c r="S246" s="138">
        <f t="shared" si="47"/>
        <v>0.3</v>
      </c>
      <c r="T246" s="138">
        <f t="shared" ref="T246:AF251" si="48">S246</f>
        <v>0.3</v>
      </c>
      <c r="U246" s="138">
        <f t="shared" si="48"/>
        <v>0.3</v>
      </c>
      <c r="V246" s="138">
        <f t="shared" si="48"/>
        <v>0.3</v>
      </c>
      <c r="W246" s="138">
        <f t="shared" si="48"/>
        <v>0.3</v>
      </c>
      <c r="X246" s="138">
        <f t="shared" si="48"/>
        <v>0.3</v>
      </c>
      <c r="Y246" s="138">
        <f t="shared" si="48"/>
        <v>0.3</v>
      </c>
      <c r="Z246" s="138">
        <f t="shared" si="48"/>
        <v>0.3</v>
      </c>
      <c r="AA246" s="138">
        <f t="shared" si="48"/>
        <v>0.3</v>
      </c>
      <c r="AB246" s="138">
        <f t="shared" si="48"/>
        <v>0.3</v>
      </c>
      <c r="AC246" s="138">
        <f t="shared" si="48"/>
        <v>0.3</v>
      </c>
      <c r="AD246" s="138">
        <f t="shared" si="48"/>
        <v>0.3</v>
      </c>
      <c r="AE246" s="138">
        <f t="shared" si="48"/>
        <v>0.3</v>
      </c>
      <c r="AF246" s="138">
        <f t="shared" si="48"/>
        <v>0.3</v>
      </c>
      <c r="AG246" s="139">
        <v>2.4</v>
      </c>
      <c r="AH246" s="47"/>
      <c r="AI246" s="48"/>
      <c r="AK246" s="50"/>
    </row>
    <row r="247" spans="1:37" x14ac:dyDescent="0.25">
      <c r="A247" s="103" t="s">
        <v>233</v>
      </c>
      <c r="B247" s="126">
        <f t="shared" si="46"/>
        <v>0.4</v>
      </c>
      <c r="C247" s="126">
        <v>0.4</v>
      </c>
      <c r="D247" s="126">
        <f t="shared" si="47"/>
        <v>0.4</v>
      </c>
      <c r="E247" s="126">
        <f t="shared" si="47"/>
        <v>0.4</v>
      </c>
      <c r="F247" s="126">
        <f t="shared" si="47"/>
        <v>0.4</v>
      </c>
      <c r="G247" s="126">
        <f t="shared" si="47"/>
        <v>0.4</v>
      </c>
      <c r="H247" s="126">
        <f t="shared" si="47"/>
        <v>0.4</v>
      </c>
      <c r="I247" s="126">
        <f t="shared" si="47"/>
        <v>0.4</v>
      </c>
      <c r="J247" s="126">
        <f t="shared" si="47"/>
        <v>0.4</v>
      </c>
      <c r="K247" s="126">
        <f t="shared" si="47"/>
        <v>0.4</v>
      </c>
      <c r="L247" s="126">
        <f t="shared" si="47"/>
        <v>0.4</v>
      </c>
      <c r="M247" s="126">
        <f t="shared" si="47"/>
        <v>0.4</v>
      </c>
      <c r="N247" s="126">
        <f t="shared" si="47"/>
        <v>0.4</v>
      </c>
      <c r="O247" s="126">
        <f t="shared" si="47"/>
        <v>0.4</v>
      </c>
      <c r="P247" s="126">
        <f t="shared" si="47"/>
        <v>0.4</v>
      </c>
      <c r="Q247" s="126">
        <f t="shared" si="47"/>
        <v>0.4</v>
      </c>
      <c r="R247" s="126">
        <f t="shared" si="47"/>
        <v>0.4</v>
      </c>
      <c r="S247" s="126">
        <f t="shared" si="47"/>
        <v>0.4</v>
      </c>
      <c r="T247" s="126">
        <f t="shared" si="48"/>
        <v>0.4</v>
      </c>
      <c r="U247" s="126">
        <f t="shared" si="48"/>
        <v>0.4</v>
      </c>
      <c r="V247" s="126">
        <f t="shared" si="48"/>
        <v>0.4</v>
      </c>
      <c r="W247" s="126">
        <f t="shared" si="48"/>
        <v>0.4</v>
      </c>
      <c r="X247" s="126">
        <f t="shared" si="48"/>
        <v>0.4</v>
      </c>
      <c r="Y247" s="126">
        <f t="shared" si="48"/>
        <v>0.4</v>
      </c>
      <c r="Z247" s="126">
        <f t="shared" si="48"/>
        <v>0.4</v>
      </c>
      <c r="AA247" s="126">
        <f t="shared" si="48"/>
        <v>0.4</v>
      </c>
      <c r="AB247" s="126">
        <f t="shared" si="48"/>
        <v>0.4</v>
      </c>
      <c r="AC247" s="126">
        <f t="shared" si="48"/>
        <v>0.4</v>
      </c>
      <c r="AD247" s="126">
        <f t="shared" si="48"/>
        <v>0.4</v>
      </c>
      <c r="AE247" s="126">
        <f t="shared" si="48"/>
        <v>0.4</v>
      </c>
      <c r="AF247" s="126">
        <f t="shared" si="48"/>
        <v>0.4</v>
      </c>
      <c r="AG247" s="140">
        <v>2</v>
      </c>
      <c r="AH247" s="47"/>
      <c r="AI247" s="48"/>
      <c r="AK247" s="50"/>
    </row>
    <row r="248" spans="1:37" x14ac:dyDescent="0.25">
      <c r="A248" s="103" t="s">
        <v>234</v>
      </c>
      <c r="B248" s="126">
        <f t="shared" si="46"/>
        <v>1.5</v>
      </c>
      <c r="C248" s="126">
        <v>1.5</v>
      </c>
      <c r="D248" s="126">
        <f t="shared" si="47"/>
        <v>1.5</v>
      </c>
      <c r="E248" s="126">
        <f t="shared" si="47"/>
        <v>1.5</v>
      </c>
      <c r="F248" s="126">
        <f t="shared" si="47"/>
        <v>1.5</v>
      </c>
      <c r="G248" s="126">
        <f t="shared" si="47"/>
        <v>1.5</v>
      </c>
      <c r="H248" s="126">
        <f t="shared" si="47"/>
        <v>1.5</v>
      </c>
      <c r="I248" s="126">
        <f t="shared" si="47"/>
        <v>1.5</v>
      </c>
      <c r="J248" s="126">
        <f t="shared" si="47"/>
        <v>1.5</v>
      </c>
      <c r="K248" s="126">
        <f t="shared" si="47"/>
        <v>1.5</v>
      </c>
      <c r="L248" s="126">
        <f t="shared" si="47"/>
        <v>1.5</v>
      </c>
      <c r="M248" s="126">
        <f t="shared" si="47"/>
        <v>1.5</v>
      </c>
      <c r="N248" s="126">
        <f t="shared" si="47"/>
        <v>1.5</v>
      </c>
      <c r="O248" s="126">
        <f t="shared" si="47"/>
        <v>1.5</v>
      </c>
      <c r="P248" s="126">
        <f t="shared" si="47"/>
        <v>1.5</v>
      </c>
      <c r="Q248" s="126">
        <f t="shared" si="47"/>
        <v>1.5</v>
      </c>
      <c r="R248" s="126">
        <f t="shared" si="47"/>
        <v>1.5</v>
      </c>
      <c r="S248" s="126">
        <f t="shared" si="47"/>
        <v>1.5</v>
      </c>
      <c r="T248" s="126">
        <f t="shared" si="48"/>
        <v>1.5</v>
      </c>
      <c r="U248" s="126">
        <f t="shared" si="48"/>
        <v>1.5</v>
      </c>
      <c r="V248" s="126">
        <f t="shared" si="48"/>
        <v>1.5</v>
      </c>
      <c r="W248" s="126">
        <f t="shared" si="48"/>
        <v>1.5</v>
      </c>
      <c r="X248" s="126">
        <f t="shared" si="48"/>
        <v>1.5</v>
      </c>
      <c r="Y248" s="126">
        <f t="shared" si="48"/>
        <v>1.5</v>
      </c>
      <c r="Z248" s="126">
        <f t="shared" si="48"/>
        <v>1.5</v>
      </c>
      <c r="AA248" s="126">
        <f t="shared" si="48"/>
        <v>1.5</v>
      </c>
      <c r="AB248" s="126">
        <f t="shared" si="48"/>
        <v>1.5</v>
      </c>
      <c r="AC248" s="126">
        <f t="shared" si="48"/>
        <v>1.5</v>
      </c>
      <c r="AD248" s="126">
        <f t="shared" si="48"/>
        <v>1.5</v>
      </c>
      <c r="AE248" s="126">
        <f t="shared" si="48"/>
        <v>1.5</v>
      </c>
      <c r="AF248" s="126">
        <f t="shared" si="48"/>
        <v>1.5</v>
      </c>
      <c r="AG248" s="140">
        <v>1.5</v>
      </c>
      <c r="AH248" s="47"/>
      <c r="AI248" s="48"/>
      <c r="AK248" s="50"/>
    </row>
    <row r="249" spans="1:37" x14ac:dyDescent="0.25">
      <c r="A249" s="103" t="s">
        <v>235</v>
      </c>
      <c r="B249" s="126">
        <f t="shared" si="46"/>
        <v>0.3</v>
      </c>
      <c r="C249" s="126">
        <v>0.3</v>
      </c>
      <c r="D249" s="126">
        <f t="shared" si="47"/>
        <v>0.3</v>
      </c>
      <c r="E249" s="126">
        <f t="shared" si="47"/>
        <v>0.3</v>
      </c>
      <c r="F249" s="126">
        <f t="shared" si="47"/>
        <v>0.3</v>
      </c>
      <c r="G249" s="126">
        <f t="shared" si="47"/>
        <v>0.3</v>
      </c>
      <c r="H249" s="126">
        <f t="shared" si="47"/>
        <v>0.3</v>
      </c>
      <c r="I249" s="126">
        <f t="shared" si="47"/>
        <v>0.3</v>
      </c>
      <c r="J249" s="126">
        <f t="shared" si="47"/>
        <v>0.3</v>
      </c>
      <c r="K249" s="126">
        <f t="shared" si="47"/>
        <v>0.3</v>
      </c>
      <c r="L249" s="126">
        <f t="shared" si="47"/>
        <v>0.3</v>
      </c>
      <c r="M249" s="126">
        <f t="shared" si="47"/>
        <v>0.3</v>
      </c>
      <c r="N249" s="126">
        <f t="shared" si="47"/>
        <v>0.3</v>
      </c>
      <c r="O249" s="126">
        <f t="shared" si="47"/>
        <v>0.3</v>
      </c>
      <c r="P249" s="126">
        <f t="shared" si="47"/>
        <v>0.3</v>
      </c>
      <c r="Q249" s="126">
        <f t="shared" si="47"/>
        <v>0.3</v>
      </c>
      <c r="R249" s="126">
        <f t="shared" si="47"/>
        <v>0.3</v>
      </c>
      <c r="S249" s="126">
        <f t="shared" si="47"/>
        <v>0.3</v>
      </c>
      <c r="T249" s="126">
        <f t="shared" si="48"/>
        <v>0.3</v>
      </c>
      <c r="U249" s="126">
        <f t="shared" si="48"/>
        <v>0.3</v>
      </c>
      <c r="V249" s="126">
        <f t="shared" si="48"/>
        <v>0.3</v>
      </c>
      <c r="W249" s="126">
        <f t="shared" si="48"/>
        <v>0.3</v>
      </c>
      <c r="X249" s="126">
        <f t="shared" si="48"/>
        <v>0.3</v>
      </c>
      <c r="Y249" s="126">
        <f t="shared" si="48"/>
        <v>0.3</v>
      </c>
      <c r="Z249" s="126">
        <f t="shared" si="48"/>
        <v>0.3</v>
      </c>
      <c r="AA249" s="126">
        <f t="shared" si="48"/>
        <v>0.3</v>
      </c>
      <c r="AB249" s="126">
        <f t="shared" si="48"/>
        <v>0.3</v>
      </c>
      <c r="AC249" s="126">
        <f t="shared" si="48"/>
        <v>0.3</v>
      </c>
      <c r="AD249" s="126">
        <f t="shared" si="48"/>
        <v>0.3</v>
      </c>
      <c r="AE249" s="126">
        <f t="shared" si="48"/>
        <v>0.3</v>
      </c>
      <c r="AF249" s="126">
        <f t="shared" si="48"/>
        <v>0.3</v>
      </c>
      <c r="AG249" s="140">
        <v>1</v>
      </c>
      <c r="AH249" s="47"/>
      <c r="AI249" s="48"/>
      <c r="AK249" s="50"/>
    </row>
    <row r="250" spans="1:37" x14ac:dyDescent="0.25">
      <c r="A250" s="103" t="s">
        <v>236</v>
      </c>
      <c r="B250" s="126">
        <f t="shared" si="46"/>
        <v>0.4</v>
      </c>
      <c r="C250" s="126">
        <v>0.4</v>
      </c>
      <c r="D250" s="126">
        <f t="shared" si="47"/>
        <v>0.4</v>
      </c>
      <c r="E250" s="126">
        <f t="shared" si="47"/>
        <v>0.4</v>
      </c>
      <c r="F250" s="126">
        <f t="shared" si="47"/>
        <v>0.4</v>
      </c>
      <c r="G250" s="126">
        <f t="shared" si="47"/>
        <v>0.4</v>
      </c>
      <c r="H250" s="126">
        <f t="shared" si="47"/>
        <v>0.4</v>
      </c>
      <c r="I250" s="126">
        <f t="shared" si="47"/>
        <v>0.4</v>
      </c>
      <c r="J250" s="126">
        <f t="shared" si="47"/>
        <v>0.4</v>
      </c>
      <c r="K250" s="126">
        <f t="shared" si="47"/>
        <v>0.4</v>
      </c>
      <c r="L250" s="126">
        <f t="shared" si="47"/>
        <v>0.4</v>
      </c>
      <c r="M250" s="126">
        <f t="shared" si="47"/>
        <v>0.4</v>
      </c>
      <c r="N250" s="126">
        <f t="shared" si="47"/>
        <v>0.4</v>
      </c>
      <c r="O250" s="126">
        <f t="shared" si="47"/>
        <v>0.4</v>
      </c>
      <c r="P250" s="126">
        <f t="shared" si="47"/>
        <v>0.4</v>
      </c>
      <c r="Q250" s="126">
        <f t="shared" si="47"/>
        <v>0.4</v>
      </c>
      <c r="R250" s="126">
        <f t="shared" si="47"/>
        <v>0.4</v>
      </c>
      <c r="S250" s="126">
        <f t="shared" si="47"/>
        <v>0.4</v>
      </c>
      <c r="T250" s="126">
        <f t="shared" si="48"/>
        <v>0.4</v>
      </c>
      <c r="U250" s="126">
        <f t="shared" si="48"/>
        <v>0.4</v>
      </c>
      <c r="V250" s="126">
        <f t="shared" si="48"/>
        <v>0.4</v>
      </c>
      <c r="W250" s="126">
        <f t="shared" si="48"/>
        <v>0.4</v>
      </c>
      <c r="X250" s="126">
        <f t="shared" si="48"/>
        <v>0.4</v>
      </c>
      <c r="Y250" s="126">
        <f t="shared" si="48"/>
        <v>0.4</v>
      </c>
      <c r="Z250" s="126">
        <f t="shared" si="48"/>
        <v>0.4</v>
      </c>
      <c r="AA250" s="126">
        <f t="shared" si="48"/>
        <v>0.4</v>
      </c>
      <c r="AB250" s="126">
        <f t="shared" si="48"/>
        <v>0.4</v>
      </c>
      <c r="AC250" s="126">
        <f t="shared" si="48"/>
        <v>0.4</v>
      </c>
      <c r="AD250" s="126">
        <f t="shared" si="48"/>
        <v>0.4</v>
      </c>
      <c r="AE250" s="126">
        <f t="shared" si="48"/>
        <v>0.4</v>
      </c>
      <c r="AF250" s="126">
        <f t="shared" si="48"/>
        <v>0.4</v>
      </c>
      <c r="AG250" s="140">
        <v>1</v>
      </c>
      <c r="AH250" s="47"/>
      <c r="AI250" s="48"/>
      <c r="AK250" s="50"/>
    </row>
    <row r="251" spans="1:37" ht="15.75" thickBot="1" x14ac:dyDescent="0.3">
      <c r="A251" s="116" t="s">
        <v>237</v>
      </c>
      <c r="B251" s="130">
        <f t="shared" si="46"/>
        <v>0.64</v>
      </c>
      <c r="C251" s="130">
        <v>0.64</v>
      </c>
      <c r="D251" s="130">
        <f t="shared" si="47"/>
        <v>0.64</v>
      </c>
      <c r="E251" s="130">
        <f t="shared" si="47"/>
        <v>0.64</v>
      </c>
      <c r="F251" s="130">
        <f t="shared" si="47"/>
        <v>0.64</v>
      </c>
      <c r="G251" s="130">
        <f t="shared" si="47"/>
        <v>0.64</v>
      </c>
      <c r="H251" s="130">
        <f t="shared" si="47"/>
        <v>0.64</v>
      </c>
      <c r="I251" s="130">
        <f t="shared" si="47"/>
        <v>0.64</v>
      </c>
      <c r="J251" s="130">
        <f t="shared" si="47"/>
        <v>0.64</v>
      </c>
      <c r="K251" s="130">
        <f t="shared" si="47"/>
        <v>0.64</v>
      </c>
      <c r="L251" s="130">
        <f t="shared" si="47"/>
        <v>0.64</v>
      </c>
      <c r="M251" s="130">
        <f t="shared" si="47"/>
        <v>0.64</v>
      </c>
      <c r="N251" s="130">
        <f t="shared" si="47"/>
        <v>0.64</v>
      </c>
      <c r="O251" s="130">
        <f t="shared" si="47"/>
        <v>0.64</v>
      </c>
      <c r="P251" s="130">
        <f t="shared" si="47"/>
        <v>0.64</v>
      </c>
      <c r="Q251" s="130">
        <f t="shared" si="47"/>
        <v>0.64</v>
      </c>
      <c r="R251" s="130">
        <f t="shared" si="47"/>
        <v>0.64</v>
      </c>
      <c r="S251" s="130">
        <f t="shared" si="47"/>
        <v>0.64</v>
      </c>
      <c r="T251" s="130">
        <f t="shared" si="48"/>
        <v>0.64</v>
      </c>
      <c r="U251" s="130">
        <f t="shared" si="48"/>
        <v>0.64</v>
      </c>
      <c r="V251" s="130">
        <f t="shared" si="48"/>
        <v>0.64</v>
      </c>
      <c r="W251" s="130">
        <f t="shared" si="48"/>
        <v>0.64</v>
      </c>
      <c r="X251" s="130">
        <f t="shared" si="48"/>
        <v>0.64</v>
      </c>
      <c r="Y251" s="130">
        <f t="shared" si="48"/>
        <v>0.64</v>
      </c>
      <c r="Z251" s="130">
        <f t="shared" si="48"/>
        <v>0.64</v>
      </c>
      <c r="AA251" s="130">
        <f t="shared" si="48"/>
        <v>0.64</v>
      </c>
      <c r="AB251" s="130">
        <f t="shared" si="48"/>
        <v>0.64</v>
      </c>
      <c r="AC251" s="130">
        <f t="shared" si="48"/>
        <v>0.64</v>
      </c>
      <c r="AD251" s="130">
        <f t="shared" si="48"/>
        <v>0.64</v>
      </c>
      <c r="AE251" s="130">
        <f t="shared" si="48"/>
        <v>0.64</v>
      </c>
      <c r="AF251" s="130">
        <f t="shared" si="48"/>
        <v>0.64</v>
      </c>
      <c r="AG251" s="141">
        <v>0.66</v>
      </c>
      <c r="AH251" s="47"/>
      <c r="AI251" s="48"/>
    </row>
    <row r="252" spans="1:37" ht="15.75" thickBot="1" x14ac:dyDescent="0.3">
      <c r="A252" s="142" t="s">
        <v>75</v>
      </c>
      <c r="B252" s="134">
        <f t="shared" ref="B252:AG252" si="49">SUM(B246:B251)</f>
        <v>3.54</v>
      </c>
      <c r="C252" s="134">
        <f t="shared" si="49"/>
        <v>3.54</v>
      </c>
      <c r="D252" s="134">
        <f t="shared" si="49"/>
        <v>3.54</v>
      </c>
      <c r="E252" s="134">
        <f t="shared" si="49"/>
        <v>3.54</v>
      </c>
      <c r="F252" s="134">
        <f t="shared" si="49"/>
        <v>3.54</v>
      </c>
      <c r="G252" s="134">
        <f t="shared" si="49"/>
        <v>3.54</v>
      </c>
      <c r="H252" s="134">
        <f t="shared" si="49"/>
        <v>3.54</v>
      </c>
      <c r="I252" s="134">
        <f t="shared" si="49"/>
        <v>3.54</v>
      </c>
      <c r="J252" s="134">
        <f t="shared" si="49"/>
        <v>3.54</v>
      </c>
      <c r="K252" s="134">
        <f t="shared" si="49"/>
        <v>3.54</v>
      </c>
      <c r="L252" s="134">
        <f t="shared" si="49"/>
        <v>3.54</v>
      </c>
      <c r="M252" s="134">
        <f t="shared" si="49"/>
        <v>3.54</v>
      </c>
      <c r="N252" s="134">
        <f t="shared" si="49"/>
        <v>3.54</v>
      </c>
      <c r="O252" s="134">
        <f t="shared" si="49"/>
        <v>3.54</v>
      </c>
      <c r="P252" s="134">
        <f t="shared" si="49"/>
        <v>3.54</v>
      </c>
      <c r="Q252" s="134">
        <f t="shared" si="49"/>
        <v>3.54</v>
      </c>
      <c r="R252" s="134">
        <f t="shared" si="49"/>
        <v>3.54</v>
      </c>
      <c r="S252" s="134">
        <f t="shared" si="49"/>
        <v>3.54</v>
      </c>
      <c r="T252" s="134">
        <f t="shared" si="49"/>
        <v>3.54</v>
      </c>
      <c r="U252" s="134">
        <f t="shared" si="49"/>
        <v>3.54</v>
      </c>
      <c r="V252" s="134">
        <f t="shared" si="49"/>
        <v>3.54</v>
      </c>
      <c r="W252" s="134">
        <f t="shared" si="49"/>
        <v>3.54</v>
      </c>
      <c r="X252" s="134">
        <f t="shared" si="49"/>
        <v>3.54</v>
      </c>
      <c r="Y252" s="134">
        <f t="shared" si="49"/>
        <v>3.54</v>
      </c>
      <c r="Z252" s="134">
        <f t="shared" si="49"/>
        <v>3.54</v>
      </c>
      <c r="AA252" s="134">
        <f t="shared" si="49"/>
        <v>3.54</v>
      </c>
      <c r="AB252" s="134">
        <f t="shared" si="49"/>
        <v>3.54</v>
      </c>
      <c r="AC252" s="134">
        <f t="shared" si="49"/>
        <v>3.54</v>
      </c>
      <c r="AD252" s="134">
        <f t="shared" si="49"/>
        <v>3.54</v>
      </c>
      <c r="AE252" s="134">
        <f t="shared" si="49"/>
        <v>3.54</v>
      </c>
      <c r="AF252" s="134">
        <f t="shared" si="49"/>
        <v>3.54</v>
      </c>
      <c r="AG252" s="143">
        <f t="shared" si="49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37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54" t="s">
        <v>243</v>
      </c>
      <c r="B256" s="155">
        <f>MAX(G99:N99)</f>
        <v>1749.26</v>
      </c>
      <c r="C256" s="156">
        <f>INDEX(G9:N9,1,MATCH(MAX(G99:N99),G99:N99,0))</f>
        <v>0.33333333333333331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50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157" t="str">
        <f ca="1">MID(CELL("filename",C7),FIND("]",CELL("filename",C7))+1,600)</f>
        <v>7</v>
      </c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50" x14ac:dyDescent="0.25">
      <c r="A258" s="257" t="s">
        <v>244</v>
      </c>
      <c r="B258" s="257"/>
      <c r="C258" s="43"/>
      <c r="D258" s="157" t="str">
        <f ca="1">"Pie Chart of Daily Peak Demand(Inclusive of Export) of Nepal ("&amp;A4&amp;" "&amp;B4&amp;")"</f>
        <v>Pie Chart of Daily Peak Demand(Inclusive of Export) of Nepal (Nepali Date: 2080/09/7)</v>
      </c>
      <c r="E258" s="43"/>
      <c r="F258" s="43"/>
      <c r="G258" s="157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157" t="str">
        <f ca="1">"Daily Load Curve(Excluding of Export) of Nepal ("&amp;A4&amp;" "&amp;B4&amp;")"</f>
        <v>Daily Load Curve(Excluding of Export) of Nepal (Nepali Date: 2080/09/7)</v>
      </c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50" ht="12.75" customHeight="1" thickBot="1" x14ac:dyDescent="0.3">
      <c r="A259" s="158" t="s">
        <v>7</v>
      </c>
      <c r="B259" s="159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50" ht="15.75" thickTop="1" x14ac:dyDescent="0.25">
      <c r="A260" s="158" t="s">
        <v>245</v>
      </c>
      <c r="B260" s="15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160" t="s">
        <v>246</v>
      </c>
      <c r="T260" s="161">
        <v>0</v>
      </c>
      <c r="U260" s="162">
        <v>4.1666666666666664E-2</v>
      </c>
      <c r="V260" s="163">
        <v>8.3333333333333301E-2</v>
      </c>
      <c r="W260" s="163">
        <v>0.125</v>
      </c>
      <c r="X260" s="163">
        <v>0.16666666666666699</v>
      </c>
      <c r="Y260" s="163">
        <v>0.20833333333333301</v>
      </c>
      <c r="Z260" s="163">
        <v>0.22916666666666666</v>
      </c>
      <c r="AA260" s="163">
        <v>0.25</v>
      </c>
      <c r="AB260" s="163">
        <v>0.27083333333333331</v>
      </c>
      <c r="AC260" s="163">
        <v>0.29166666666666669</v>
      </c>
      <c r="AD260" s="163">
        <v>0.3125</v>
      </c>
      <c r="AE260" s="164">
        <v>0.33333333333333331</v>
      </c>
      <c r="AF260" s="164">
        <v>0.375</v>
      </c>
      <c r="AG260" s="164">
        <v>0.41666666666666702</v>
      </c>
      <c r="AH260" s="164">
        <v>0.45833333333333298</v>
      </c>
      <c r="AI260" s="164">
        <v>0.5</v>
      </c>
      <c r="AJ260" s="164">
        <v>0.54166666666666696</v>
      </c>
      <c r="AK260" s="164">
        <v>0.58333333333333304</v>
      </c>
      <c r="AL260" s="164">
        <v>0.625</v>
      </c>
      <c r="AM260" s="164">
        <v>0.66666666666666696</v>
      </c>
      <c r="AN260" s="164">
        <v>0.70833333333333304</v>
      </c>
      <c r="AO260" s="164">
        <v>0.72916666666666663</v>
      </c>
      <c r="AP260" s="164">
        <v>0.75</v>
      </c>
      <c r="AQ260" s="164">
        <v>0.77083333333333337</v>
      </c>
      <c r="AR260" s="164">
        <v>0.79166666666666663</v>
      </c>
      <c r="AS260" s="164">
        <v>0.8125</v>
      </c>
      <c r="AT260" s="163">
        <v>0.83333333333333337</v>
      </c>
      <c r="AU260" s="163">
        <v>0.85416666666666663</v>
      </c>
      <c r="AV260" s="163">
        <v>0.875</v>
      </c>
      <c r="AW260" s="163">
        <v>0.91666666666666696</v>
      </c>
      <c r="AX260" s="163">
        <v>0.95833333333333304</v>
      </c>
    </row>
    <row r="261" spans="1:50" x14ac:dyDescent="0.25">
      <c r="A261" s="158" t="s">
        <v>247</v>
      </c>
      <c r="B261" s="15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 t="s">
        <v>248</v>
      </c>
      <c r="T261" s="165">
        <f t="shared" ref="T261:AX261" si="50">B99</f>
        <v>1116.8400000000001</v>
      </c>
      <c r="U261" s="165">
        <f t="shared" si="50"/>
        <v>1093.3400000000001</v>
      </c>
      <c r="V261" s="165">
        <f t="shared" si="50"/>
        <v>1097.3400000000001</v>
      </c>
      <c r="W261" s="165">
        <f t="shared" si="50"/>
        <v>1072.1400000000001</v>
      </c>
      <c r="X261" s="165">
        <f t="shared" si="50"/>
        <v>1099.3400000000001</v>
      </c>
      <c r="Y261" s="165">
        <f t="shared" si="50"/>
        <v>1096.7400000000002</v>
      </c>
      <c r="Z261" s="165">
        <f t="shared" si="50"/>
        <v>1256.6400000000001</v>
      </c>
      <c r="AA261" s="165">
        <f t="shared" si="50"/>
        <v>1348.3400000000001</v>
      </c>
      <c r="AB261" s="165">
        <f t="shared" si="50"/>
        <v>1375.2400000000002</v>
      </c>
      <c r="AC261" s="165">
        <f t="shared" si="50"/>
        <v>1592.3400000000001</v>
      </c>
      <c r="AD261" s="165">
        <f t="shared" si="50"/>
        <v>1733.7400000000002</v>
      </c>
      <c r="AE261" s="165">
        <f t="shared" si="50"/>
        <v>1749.26</v>
      </c>
      <c r="AF261" s="165">
        <f t="shared" si="50"/>
        <v>1702.66</v>
      </c>
      <c r="AG261" s="165">
        <f t="shared" si="50"/>
        <v>1664.3400000000001</v>
      </c>
      <c r="AH261" s="165">
        <f t="shared" si="50"/>
        <v>1550.3400000000001</v>
      </c>
      <c r="AI261" s="165">
        <f t="shared" si="50"/>
        <v>1605.14</v>
      </c>
      <c r="AJ261" s="165">
        <f t="shared" si="50"/>
        <v>1582.64</v>
      </c>
      <c r="AK261" s="165">
        <f t="shared" si="50"/>
        <v>1612.94</v>
      </c>
      <c r="AL261" s="165">
        <f t="shared" si="50"/>
        <v>1642.2399999999998</v>
      </c>
      <c r="AM261" s="165">
        <f t="shared" si="50"/>
        <v>1638.04</v>
      </c>
      <c r="AN261" s="165">
        <f t="shared" si="50"/>
        <v>1599.54</v>
      </c>
      <c r="AO261" s="165">
        <f t="shared" si="50"/>
        <v>1659.3400000000001</v>
      </c>
      <c r="AP261" s="165">
        <f t="shared" si="50"/>
        <v>1864.6399999999999</v>
      </c>
      <c r="AQ261" s="165">
        <f t="shared" si="50"/>
        <v>1958.94</v>
      </c>
      <c r="AR261" s="165">
        <f t="shared" si="50"/>
        <v>1896.14</v>
      </c>
      <c r="AS261" s="165">
        <f t="shared" si="50"/>
        <v>1846.54</v>
      </c>
      <c r="AT261" s="165">
        <f t="shared" si="50"/>
        <v>1768.04</v>
      </c>
      <c r="AU261" s="165">
        <f t="shared" si="50"/>
        <v>1723.6399999999999</v>
      </c>
      <c r="AV261" s="165">
        <f t="shared" si="50"/>
        <v>1655.3400000000001</v>
      </c>
      <c r="AW261" s="165">
        <f t="shared" si="50"/>
        <v>1466.04</v>
      </c>
      <c r="AX261" s="165">
        <f t="shared" si="50"/>
        <v>1248.8399999999999</v>
      </c>
    </row>
    <row r="262" spans="1:50" x14ac:dyDescent="0.25">
      <c r="A262" s="158" t="s">
        <v>249</v>
      </c>
      <c r="B262" s="15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50" x14ac:dyDescent="0.25">
      <c r="A263" s="158" t="s">
        <v>250</v>
      </c>
      <c r="B263" s="15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50" x14ac:dyDescent="0.25">
      <c r="A264" s="158" t="s">
        <v>251</v>
      </c>
      <c r="B264" s="15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50" x14ac:dyDescent="0.25">
      <c r="A265" s="158" t="s">
        <v>252</v>
      </c>
      <c r="B265" s="166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50" x14ac:dyDescent="0.25">
      <c r="A266" s="158" t="s">
        <v>253</v>
      </c>
      <c r="B266" s="15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50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50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50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50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50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50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1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1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1:34" x14ac:dyDescent="0.25">
      <c r="A282" s="167" t="s">
        <v>238</v>
      </c>
      <c r="B282" s="168">
        <f t="shared" ref="B282:AE282" si="51">C251</f>
        <v>0.64</v>
      </c>
      <c r="C282" s="168">
        <f t="shared" si="51"/>
        <v>0.64</v>
      </c>
      <c r="D282" s="168">
        <f t="shared" si="51"/>
        <v>0.64</v>
      </c>
      <c r="E282" s="168">
        <f t="shared" si="51"/>
        <v>0.64</v>
      </c>
      <c r="F282" s="168">
        <f t="shared" si="51"/>
        <v>0.64</v>
      </c>
      <c r="G282" s="168">
        <f t="shared" si="51"/>
        <v>0.64</v>
      </c>
      <c r="H282" s="168">
        <f t="shared" si="51"/>
        <v>0.64</v>
      </c>
      <c r="I282" s="168">
        <f t="shared" si="51"/>
        <v>0.64</v>
      </c>
      <c r="J282" s="168">
        <f t="shared" si="51"/>
        <v>0.64</v>
      </c>
      <c r="K282" s="168">
        <f t="shared" si="51"/>
        <v>0.64</v>
      </c>
      <c r="L282" s="168">
        <f t="shared" si="51"/>
        <v>0.64</v>
      </c>
      <c r="M282" s="168">
        <f t="shared" si="51"/>
        <v>0.64</v>
      </c>
      <c r="N282" s="168">
        <f t="shared" si="51"/>
        <v>0.64</v>
      </c>
      <c r="O282" s="168">
        <f t="shared" si="51"/>
        <v>0.64</v>
      </c>
      <c r="P282" s="168">
        <f t="shared" si="51"/>
        <v>0.64</v>
      </c>
      <c r="Q282" s="168">
        <f t="shared" si="51"/>
        <v>0.64</v>
      </c>
      <c r="R282" s="168">
        <f t="shared" si="51"/>
        <v>0.64</v>
      </c>
      <c r="S282" s="168">
        <f t="shared" si="51"/>
        <v>0.64</v>
      </c>
      <c r="T282" s="168">
        <f t="shared" si="51"/>
        <v>0.64</v>
      </c>
      <c r="U282" s="168">
        <f t="shared" si="51"/>
        <v>0.64</v>
      </c>
      <c r="V282" s="168">
        <f t="shared" si="51"/>
        <v>0.64</v>
      </c>
      <c r="W282" s="168">
        <f t="shared" si="51"/>
        <v>0.64</v>
      </c>
      <c r="X282" s="168">
        <f t="shared" si="51"/>
        <v>0.64</v>
      </c>
      <c r="Y282" s="168">
        <f t="shared" si="51"/>
        <v>0.64</v>
      </c>
      <c r="Z282" s="168">
        <f t="shared" si="51"/>
        <v>0.64</v>
      </c>
      <c r="AA282" s="168">
        <f t="shared" si="51"/>
        <v>0.64</v>
      </c>
      <c r="AB282" s="168">
        <f t="shared" si="51"/>
        <v>0.64</v>
      </c>
      <c r="AC282" s="168">
        <f t="shared" si="51"/>
        <v>0.64</v>
      </c>
      <c r="AD282" s="168">
        <f t="shared" si="51"/>
        <v>0.64</v>
      </c>
      <c r="AE282" s="168">
        <f t="shared" si="51"/>
        <v>0.64</v>
      </c>
      <c r="AF282" s="168">
        <f>B251</f>
        <v>0.64</v>
      </c>
      <c r="AG282" s="43"/>
      <c r="AH282" s="43"/>
    </row>
    <row r="283" spans="1:34" x14ac:dyDescent="0.25">
      <c r="A283" s="169" t="e">
        <f>#REF!</f>
        <v>#REF!</v>
      </c>
      <c r="B283" s="169" t="e">
        <f>IF(#REF!&lt;100,"",#REF!-520)</f>
        <v>#REF!</v>
      </c>
      <c r="C283" s="169" t="e">
        <f>IF(#REF!&lt;100,"",#REF!-520)</f>
        <v>#REF!</v>
      </c>
      <c r="D283" s="169" t="e">
        <f>IF(#REF!&lt;100,"",#REF!-520)</f>
        <v>#REF!</v>
      </c>
      <c r="E283" s="169" t="e">
        <f>IF(#REF!&lt;100,"",#REF!-520)</f>
        <v>#REF!</v>
      </c>
      <c r="F283" s="169" t="e">
        <f>IF(#REF!&lt;100,"",#REF!-520)</f>
        <v>#REF!</v>
      </c>
      <c r="G283" s="169" t="e">
        <f>IF(#REF!&lt;100,"",#REF!-520)</f>
        <v>#REF!</v>
      </c>
      <c r="H283" s="169" t="e">
        <f>IF(#REF!&lt;100,"",#REF!-520)</f>
        <v>#REF!</v>
      </c>
      <c r="I283" s="169" t="e">
        <f>IF(#REF!&lt;100,"",#REF!-520)</f>
        <v>#REF!</v>
      </c>
      <c r="J283" s="169" t="e">
        <f>IF(#REF!&lt;100,"",#REF!-520)</f>
        <v>#REF!</v>
      </c>
      <c r="K283" s="169" t="e">
        <f>IF(#REF!&lt;100,"",#REF!-520)</f>
        <v>#REF!</v>
      </c>
      <c r="L283" s="169" t="e">
        <f>IF(#REF!&lt;100,"",#REF!-520)</f>
        <v>#REF!</v>
      </c>
      <c r="M283" s="169" t="e">
        <f>IF(#REF!&lt;100,"",#REF!-520)</f>
        <v>#REF!</v>
      </c>
      <c r="N283" s="169" t="e">
        <f>IF(#REF!&lt;100,"",#REF!-520)</f>
        <v>#REF!</v>
      </c>
      <c r="O283" s="169" t="e">
        <f>IF(#REF!&lt;100,"",#REF!-520)</f>
        <v>#REF!</v>
      </c>
      <c r="P283" s="169" t="e">
        <f>IF(#REF!&lt;100,"",#REF!-520)</f>
        <v>#REF!</v>
      </c>
      <c r="Q283" s="169" t="e">
        <f>IF(#REF!&lt;100,"",#REF!-520)</f>
        <v>#REF!</v>
      </c>
      <c r="R283" s="169" t="e">
        <f>IF(#REF!&lt;100,"",#REF!-520)</f>
        <v>#REF!</v>
      </c>
      <c r="S283" s="169" t="e">
        <f>IF(#REF!&lt;100,"",#REF!-520)</f>
        <v>#REF!</v>
      </c>
      <c r="T283" s="169" t="e">
        <f>IF(#REF!&lt;100,"",#REF!-520)</f>
        <v>#REF!</v>
      </c>
      <c r="U283" s="169" t="e">
        <f>IF(#REF!&lt;100,"",#REF!-520)</f>
        <v>#REF!</v>
      </c>
      <c r="V283" s="169" t="e">
        <f>IF(#REF!&lt;100,"",#REF!-520)</f>
        <v>#REF!</v>
      </c>
      <c r="W283" s="169" t="e">
        <f>IF(#REF!&lt;100,"",#REF!-520)</f>
        <v>#REF!</v>
      </c>
      <c r="X283" s="169" t="e">
        <f>IF(#REF!&lt;100,"",#REF!-520)</f>
        <v>#REF!</v>
      </c>
      <c r="Y283" s="169" t="e">
        <f>IF(#REF!&lt;100,"",#REF!-520)</f>
        <v>#REF!</v>
      </c>
      <c r="Z283" s="169" t="e">
        <f>IF(#REF!&lt;100,"",#REF!-520)</f>
        <v>#REF!</v>
      </c>
      <c r="AA283" s="169" t="e">
        <f>IF(#REF!&lt;100,"",#REF!-520)</f>
        <v>#REF!</v>
      </c>
      <c r="AB283" s="169" t="e">
        <f>IF(#REF!&lt;100,"",#REF!-520)</f>
        <v>#REF!</v>
      </c>
      <c r="AC283" s="169" t="e">
        <f>IF(#REF!&lt;100,"",#REF!-520)</f>
        <v>#REF!</v>
      </c>
      <c r="AD283" s="169" t="e">
        <f>IF(#REF!&lt;100,"",#REF!-520)</f>
        <v>#REF!</v>
      </c>
      <c r="AE283" s="169" t="e">
        <f>IF(#REF!&lt;100,"",#REF!-520)</f>
        <v>#REF!</v>
      </c>
      <c r="AF283" s="169" t="e">
        <f>IF(#REF!&lt;100,"",#REF!-520)</f>
        <v>#REF!</v>
      </c>
      <c r="AG283" s="43"/>
      <c r="AH283" s="43"/>
    </row>
    <row r="284" spans="1:34" x14ac:dyDescent="0.25">
      <c r="A284" s="169" t="e">
        <f>#REF!</f>
        <v>#REF!</v>
      </c>
      <c r="B284" s="169" t="e">
        <f>IF(#REF!&lt;100,"",#REF!-620)</f>
        <v>#REF!</v>
      </c>
      <c r="C284" s="169" t="e">
        <f>IF(#REF!&lt;100,"",#REF!-620)</f>
        <v>#REF!</v>
      </c>
      <c r="D284" s="169" t="e">
        <f>IF(#REF!&lt;100,"",#REF!-620)</f>
        <v>#REF!</v>
      </c>
      <c r="E284" s="169" t="e">
        <f>IF(#REF!&lt;100,"",#REF!-620)</f>
        <v>#REF!</v>
      </c>
      <c r="F284" s="169" t="e">
        <f>IF(#REF!&lt;100,"",#REF!-620)</f>
        <v>#REF!</v>
      </c>
      <c r="G284" s="169" t="e">
        <f>IF(#REF!&lt;100,"",#REF!-620)</f>
        <v>#REF!</v>
      </c>
      <c r="H284" s="169" t="e">
        <f>IF(#REF!&lt;100,"",#REF!-620)</f>
        <v>#REF!</v>
      </c>
      <c r="I284" s="169" t="e">
        <f>IF(#REF!&lt;100,"",#REF!-620)</f>
        <v>#REF!</v>
      </c>
      <c r="J284" s="169" t="e">
        <f>IF(#REF!&lt;100,"",#REF!-620)</f>
        <v>#REF!</v>
      </c>
      <c r="K284" s="169" t="e">
        <f>IF(#REF!&lt;100,"",#REF!-620)</f>
        <v>#REF!</v>
      </c>
      <c r="L284" s="169" t="e">
        <f>IF(#REF!&lt;100,"",#REF!-620)</f>
        <v>#REF!</v>
      </c>
      <c r="M284" s="169" t="e">
        <f>IF(#REF!&lt;100,"",#REF!-620)</f>
        <v>#REF!</v>
      </c>
      <c r="N284" s="169" t="e">
        <f>IF(#REF!&lt;100,"",#REF!-620)</f>
        <v>#REF!</v>
      </c>
      <c r="O284" s="169" t="e">
        <f>IF(#REF!&lt;100,"",#REF!-620)</f>
        <v>#REF!</v>
      </c>
      <c r="P284" s="169" t="e">
        <f>IF(#REF!&lt;100,"",#REF!-620)</f>
        <v>#REF!</v>
      </c>
      <c r="Q284" s="169" t="e">
        <f>IF(#REF!&lt;100,"",#REF!-620)</f>
        <v>#REF!</v>
      </c>
      <c r="R284" s="169" t="e">
        <f>IF(#REF!&lt;100,"",#REF!-620)</f>
        <v>#REF!</v>
      </c>
      <c r="S284" s="169" t="e">
        <f>IF(#REF!&lt;100,"",#REF!-620)</f>
        <v>#REF!</v>
      </c>
      <c r="T284" s="169" t="e">
        <f>IF(#REF!&lt;100,"",#REF!-620)</f>
        <v>#REF!</v>
      </c>
      <c r="U284" s="169" t="e">
        <f>IF(#REF!&lt;100,"",#REF!-620)</f>
        <v>#REF!</v>
      </c>
      <c r="V284" s="169" t="e">
        <f>IF(#REF!&lt;100,"",#REF!-620)</f>
        <v>#REF!</v>
      </c>
      <c r="W284" s="169" t="e">
        <f>IF(#REF!&lt;100,"",#REF!-620)</f>
        <v>#REF!</v>
      </c>
      <c r="X284" s="169" t="e">
        <f>IF(#REF!&lt;100,"",#REF!-620)</f>
        <v>#REF!</v>
      </c>
      <c r="Y284" s="169" t="e">
        <f>IF(#REF!&lt;100,"",#REF!-620)</f>
        <v>#REF!</v>
      </c>
      <c r="Z284" s="169" t="e">
        <f>IF(#REF!&lt;100,"",#REF!-620)</f>
        <v>#REF!</v>
      </c>
      <c r="AA284" s="169" t="e">
        <f>IF(#REF!&lt;100,"",#REF!-620)</f>
        <v>#REF!</v>
      </c>
      <c r="AB284" s="169" t="e">
        <f>IF(#REF!&lt;100,"",#REF!-620)</f>
        <v>#REF!</v>
      </c>
      <c r="AC284" s="169" t="e">
        <f>IF(#REF!&lt;100,"",#REF!-620)</f>
        <v>#REF!</v>
      </c>
      <c r="AD284" s="169" t="e">
        <f>IF(#REF!&lt;100,"",#REF!-620)</f>
        <v>#REF!</v>
      </c>
      <c r="AE284" s="169" t="e">
        <f>IF(#REF!&lt;100,"",#REF!-620)</f>
        <v>#REF!</v>
      </c>
      <c r="AF284" s="169" t="e">
        <f>IF(#REF!&lt;100,"",#REF!-620)</f>
        <v>#REF!</v>
      </c>
      <c r="AG284" s="43"/>
      <c r="AH284" s="43"/>
    </row>
    <row r="285" spans="1:34" x14ac:dyDescent="0.25">
      <c r="A285" s="169" t="e">
        <f>#REF!</f>
        <v>#REF!</v>
      </c>
      <c r="B285" s="169" t="e">
        <f>IF(#REF!&lt;100,"",#REF!-330)</f>
        <v>#REF!</v>
      </c>
      <c r="C285" s="169" t="e">
        <f>IF(#REF!&lt;100,"",#REF!-330)</f>
        <v>#REF!</v>
      </c>
      <c r="D285" s="169" t="e">
        <f>IF(#REF!&lt;100,"",#REF!-330)</f>
        <v>#REF!</v>
      </c>
      <c r="E285" s="169" t="e">
        <f>IF(#REF!&lt;100,"",#REF!-330)</f>
        <v>#REF!</v>
      </c>
      <c r="F285" s="169" t="e">
        <f>IF(#REF!&lt;100,"",#REF!-330)</f>
        <v>#REF!</v>
      </c>
      <c r="G285" s="169" t="e">
        <f>IF(#REF!&lt;100,"",#REF!-330)</f>
        <v>#REF!</v>
      </c>
      <c r="H285" s="169" t="e">
        <f>IF(#REF!&lt;100,"",#REF!-330)</f>
        <v>#REF!</v>
      </c>
      <c r="I285" s="169" t="e">
        <f>IF(#REF!&lt;100,"",#REF!-330)</f>
        <v>#REF!</v>
      </c>
      <c r="J285" s="169" t="e">
        <f>IF(#REF!&lt;100,"",#REF!-330)</f>
        <v>#REF!</v>
      </c>
      <c r="K285" s="169" t="e">
        <f>IF(#REF!&lt;100,"",#REF!-330)</f>
        <v>#REF!</v>
      </c>
      <c r="L285" s="169" t="e">
        <f>IF(#REF!&lt;100,"",#REF!-330)</f>
        <v>#REF!</v>
      </c>
      <c r="M285" s="169" t="e">
        <f>IF(#REF!&lt;100,"",#REF!-330)</f>
        <v>#REF!</v>
      </c>
      <c r="N285" s="169" t="e">
        <f>IF(#REF!&lt;100,"",#REF!-330)</f>
        <v>#REF!</v>
      </c>
      <c r="O285" s="169" t="e">
        <f>IF(#REF!&lt;100,"",#REF!-330)</f>
        <v>#REF!</v>
      </c>
      <c r="P285" s="169" t="e">
        <f>IF(#REF!&lt;100,"",#REF!-330)</f>
        <v>#REF!</v>
      </c>
      <c r="Q285" s="169" t="e">
        <f>IF(#REF!&lt;100,"",#REF!-330)</f>
        <v>#REF!</v>
      </c>
      <c r="R285" s="169" t="e">
        <f>IF(#REF!&lt;100,"",#REF!-330)</f>
        <v>#REF!</v>
      </c>
      <c r="S285" s="169" t="e">
        <f>IF(#REF!&lt;100,"",#REF!-330)</f>
        <v>#REF!</v>
      </c>
      <c r="T285" s="169" t="e">
        <f>IF(#REF!&lt;100,"",#REF!-330)</f>
        <v>#REF!</v>
      </c>
      <c r="U285" s="169" t="e">
        <f>IF(#REF!&lt;100,"",#REF!-330)</f>
        <v>#REF!</v>
      </c>
      <c r="V285" s="169" t="e">
        <f>IF(#REF!&lt;100,"",#REF!-330)</f>
        <v>#REF!</v>
      </c>
      <c r="W285" s="169" t="e">
        <f>IF(#REF!&lt;100,"",#REF!-330)</f>
        <v>#REF!</v>
      </c>
      <c r="X285" s="169" t="e">
        <f>IF(#REF!&lt;100,"",#REF!-330)</f>
        <v>#REF!</v>
      </c>
      <c r="Y285" s="169" t="e">
        <f>IF(#REF!&lt;100,"",#REF!-330)</f>
        <v>#REF!</v>
      </c>
      <c r="Z285" s="169" t="e">
        <f>IF(#REF!&lt;100,"",#REF!-330)</f>
        <v>#REF!</v>
      </c>
      <c r="AA285" s="169" t="e">
        <f>IF(#REF!&lt;100,"",#REF!-330)</f>
        <v>#REF!</v>
      </c>
      <c r="AB285" s="169" t="e">
        <f>IF(#REF!&lt;100,"",#REF!-330)</f>
        <v>#REF!</v>
      </c>
      <c r="AC285" s="169" t="e">
        <f>IF(#REF!&lt;100,"",#REF!-330)</f>
        <v>#REF!</v>
      </c>
      <c r="AD285" s="169" t="e">
        <f>IF(#REF!&lt;100,"",#REF!-330)</f>
        <v>#REF!</v>
      </c>
      <c r="AE285" s="169" t="e">
        <f>IF(#REF!&lt;100,"",#REF!-330)</f>
        <v>#REF!</v>
      </c>
      <c r="AF285" s="169" t="e">
        <f>IF(#REF!&lt;100,"",#REF!-330)</f>
        <v>#REF!</v>
      </c>
      <c r="AG285" s="43"/>
      <c r="AH285" s="43"/>
    </row>
    <row r="286" spans="1:34" x14ac:dyDescent="0.25">
      <c r="A286" s="169" t="e">
        <f>#REF!</f>
        <v>#REF!</v>
      </c>
      <c r="B286" s="169" t="e">
        <f>IF(#REF!&lt;100,"",#REF!-1500)</f>
        <v>#REF!</v>
      </c>
      <c r="C286" s="169" t="e">
        <f>IF(#REF!&lt;100,"",#REF!-1500)</f>
        <v>#REF!</v>
      </c>
      <c r="D286" s="169" t="e">
        <f>IF(#REF!&lt;100,"",#REF!-1500)</f>
        <v>#REF!</v>
      </c>
      <c r="E286" s="169" t="e">
        <f>IF(#REF!&lt;100,"",#REF!-1500)</f>
        <v>#REF!</v>
      </c>
      <c r="F286" s="169" t="e">
        <f>IF(#REF!&lt;100,"",#REF!-1500)</f>
        <v>#REF!</v>
      </c>
      <c r="G286" s="169" t="e">
        <f>IF(#REF!&lt;100,"",#REF!-1500)</f>
        <v>#REF!</v>
      </c>
      <c r="H286" s="169" t="e">
        <f>IF(#REF!&lt;100,"",#REF!-1500)</f>
        <v>#REF!</v>
      </c>
      <c r="I286" s="169" t="e">
        <f>IF(#REF!&lt;100,"",#REF!-1500)</f>
        <v>#REF!</v>
      </c>
      <c r="J286" s="169" t="e">
        <f>IF(#REF!&lt;100,"",#REF!-1500)</f>
        <v>#REF!</v>
      </c>
      <c r="K286" s="169" t="e">
        <f>IF(#REF!&lt;100,"",#REF!-1500)</f>
        <v>#REF!</v>
      </c>
      <c r="L286" s="169" t="e">
        <f>IF(#REF!&lt;100,"",#REF!-1500)</f>
        <v>#REF!</v>
      </c>
      <c r="M286" s="169" t="e">
        <f>IF(#REF!&lt;100,"",#REF!-1500)</f>
        <v>#REF!</v>
      </c>
      <c r="N286" s="169" t="e">
        <f>IF(#REF!&lt;100,"",#REF!-1500)</f>
        <v>#REF!</v>
      </c>
      <c r="O286" s="169" t="e">
        <f>IF(#REF!&lt;100,"",#REF!-1500)</f>
        <v>#REF!</v>
      </c>
      <c r="P286" s="169" t="e">
        <f>IF(#REF!&lt;100,"",#REF!-1500)</f>
        <v>#REF!</v>
      </c>
      <c r="Q286" s="169" t="e">
        <f>IF(#REF!&lt;100,"",#REF!-1500)</f>
        <v>#REF!</v>
      </c>
      <c r="R286" s="169" t="e">
        <f>IF(#REF!&lt;100,"",#REF!-1500)</f>
        <v>#REF!</v>
      </c>
      <c r="S286" s="169" t="e">
        <f>IF(#REF!&lt;100,"",#REF!-1500)</f>
        <v>#REF!</v>
      </c>
      <c r="T286" s="169" t="e">
        <f>IF(#REF!&lt;100,"",#REF!-1500)</f>
        <v>#REF!</v>
      </c>
      <c r="U286" s="169" t="e">
        <f>IF(#REF!&lt;100,"",#REF!-1500)</f>
        <v>#REF!</v>
      </c>
      <c r="V286" s="169" t="e">
        <f>IF(#REF!&lt;100,"",#REF!-1500)</f>
        <v>#REF!</v>
      </c>
      <c r="W286" s="169" t="e">
        <f>IF(#REF!&lt;100,"",#REF!-1500)</f>
        <v>#REF!</v>
      </c>
      <c r="X286" s="169" t="e">
        <f>IF(#REF!&lt;100,"",#REF!-1500)</f>
        <v>#REF!</v>
      </c>
      <c r="Y286" s="169" t="e">
        <f>IF(#REF!&lt;100,"",#REF!-1500)</f>
        <v>#REF!</v>
      </c>
      <c r="Z286" s="169" t="e">
        <f>IF(#REF!&lt;100,"",#REF!-1500)</f>
        <v>#REF!</v>
      </c>
      <c r="AA286" s="169" t="e">
        <f>IF(#REF!&lt;100,"",#REF!-1500)</f>
        <v>#REF!</v>
      </c>
      <c r="AB286" s="169" t="e">
        <f>IF(#REF!&lt;100,"",#REF!-1500)</f>
        <v>#REF!</v>
      </c>
      <c r="AC286" s="169" t="e">
        <f>IF(#REF!&lt;100,"",#REF!-1500)</f>
        <v>#REF!</v>
      </c>
      <c r="AD286" s="169" t="e">
        <f>IF(#REF!&lt;100,"",#REF!-1500)</f>
        <v>#REF!</v>
      </c>
      <c r="AE286" s="169" t="e">
        <f>IF(#REF!&lt;100,"",#REF!-1500)</f>
        <v>#REF!</v>
      </c>
      <c r="AF286" s="169" t="e">
        <f>IF(#REF!&lt;100,"",#REF!-1500)</f>
        <v>#REF!</v>
      </c>
      <c r="AG286" s="43"/>
      <c r="AH286" s="43"/>
    </row>
    <row r="287" spans="1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1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2:34" x14ac:dyDescent="0.25"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2:34" x14ac:dyDescent="0.25"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2:34" x14ac:dyDescent="0.25"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2:34" x14ac:dyDescent="0.25"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2:34" x14ac:dyDescent="0.25"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2267" priority="108">
      <formula>$AH11=0</formula>
    </cfRule>
  </conditionalFormatting>
  <conditionalFormatting sqref="A132:A253">
    <cfRule type="expression" dxfId="2266" priority="59">
      <formula>$AH132=0</formula>
    </cfRule>
  </conditionalFormatting>
  <conditionalFormatting sqref="B8 M8 S8 AB8">
    <cfRule type="expression" dxfId="2265" priority="168">
      <formula>AND(C$9&gt;=14/24,C$9&lt;20/24)</formula>
    </cfRule>
    <cfRule type="expression" dxfId="2264" priority="169">
      <formula>AND(C$9&gt;=8/24,C$9&lt;14/24)</formula>
    </cfRule>
    <cfRule type="expression" dxfId="2263" priority="170">
      <formula>C$9&lt;8/24</formula>
    </cfRule>
  </conditionalFormatting>
  <conditionalFormatting sqref="B11:D52 E12:F52 G13:AF52">
    <cfRule type="expression" dxfId="2262" priority="18">
      <formula>B$9&gt;=20/24</formula>
    </cfRule>
    <cfRule type="expression" dxfId="2261" priority="17">
      <formula>B11&gt;$AG11</formula>
    </cfRule>
    <cfRule type="expression" dxfId="2260" priority="19">
      <formula>AND(B$9&gt;=14/24,B$9&lt;20/24)</formula>
    </cfRule>
    <cfRule type="expression" dxfId="2259" priority="20">
      <formula>AND(B$9&gt;=8/24,B$9&lt;14/24)</formula>
    </cfRule>
    <cfRule type="expression" dxfId="2258" priority="21">
      <formula>B$9&lt;8/24</formula>
    </cfRule>
  </conditionalFormatting>
  <conditionalFormatting sqref="B63:G68 H68:K68">
    <cfRule type="expression" dxfId="2257" priority="52">
      <formula>B$9&lt;8/24</formula>
    </cfRule>
    <cfRule type="expression" dxfId="2256" priority="51">
      <formula>AND(B$9&gt;=8/24,B$9&lt;14/24)</formula>
    </cfRule>
    <cfRule type="expression" dxfId="2255" priority="50">
      <formula>AND(B$9&gt;=14/24,B$9&lt;20/24)</formula>
    </cfRule>
    <cfRule type="expression" dxfId="2254" priority="49">
      <formula>B$9&gt;=20/24</formula>
    </cfRule>
  </conditionalFormatting>
  <conditionalFormatting sqref="B63:G74 H68:K74 L69:R74">
    <cfRule type="expression" dxfId="2253" priority="12">
      <formula>B63&gt;$AG63</formula>
    </cfRule>
  </conditionalFormatting>
  <conditionalFormatting sqref="B69:R74">
    <cfRule type="expression" dxfId="2252" priority="48">
      <formula>B$9&lt;8/24</formula>
    </cfRule>
    <cfRule type="expression" dxfId="2251" priority="47">
      <formula>AND(B$9&gt;=8/24,B$9&lt;14/24)</formula>
    </cfRule>
    <cfRule type="expression" dxfId="2250" priority="45">
      <formula>B$9&gt;=20/24</formula>
    </cfRule>
    <cfRule type="expression" dxfId="2249" priority="46">
      <formula>AND(B$9&gt;=14/24,B$9&lt;20/24)</formula>
    </cfRule>
  </conditionalFormatting>
  <conditionalFormatting sqref="B9:AF10 E11:J11 K11:AF12 G12:J12">
    <cfRule type="expression" dxfId="2248" priority="82">
      <formula>B$9&lt;8/24</formula>
    </cfRule>
    <cfRule type="expression" dxfId="2247" priority="81">
      <formula>AND(B$9&gt;=8/24,B$9&lt;14/24)</formula>
    </cfRule>
    <cfRule type="expression" dxfId="2246" priority="80">
      <formula>AND(B$9&gt;=14/24,B$9&lt;20/24)</formula>
    </cfRule>
  </conditionalFormatting>
  <conditionalFormatting sqref="B53:AF54">
    <cfRule type="expression" dxfId="2245" priority="5">
      <formula>B$9&gt;=20/24</formula>
    </cfRule>
    <cfRule type="expression" dxfId="2244" priority="6">
      <formula>AND(B$9&gt;=14/24,B$9&lt;20/24)</formula>
    </cfRule>
    <cfRule type="expression" dxfId="2243" priority="7">
      <formula>AND(B$9&gt;=8/24,B$9&lt;14/24)</formula>
    </cfRule>
  </conditionalFormatting>
  <conditionalFormatting sqref="B53:AF55">
    <cfRule type="expression" dxfId="2242" priority="54">
      <formula>B53&gt;$AG53</formula>
    </cfRule>
  </conditionalFormatting>
  <conditionalFormatting sqref="B53:AF57">
    <cfRule type="expression" dxfId="2241" priority="53">
      <formula>B$9&lt;8/24</formula>
    </cfRule>
  </conditionalFormatting>
  <conditionalFormatting sqref="B55:AF57">
    <cfRule type="expression" dxfId="2240" priority="25">
      <formula>AND(B$9&gt;=8/24,B$9&lt;14/24)</formula>
    </cfRule>
    <cfRule type="expression" dxfId="2239" priority="23">
      <formula>B$9&gt;=20/24</formula>
    </cfRule>
    <cfRule type="expression" dxfId="2238" priority="24">
      <formula>AND(B$9&gt;=14/24,B$9&lt;20/24)</formula>
    </cfRule>
  </conditionalFormatting>
  <conditionalFormatting sqref="B56:AF61">
    <cfRule type="expression" dxfId="2237" priority="22">
      <formula>B56&gt;$AG56</formula>
    </cfRule>
  </conditionalFormatting>
  <conditionalFormatting sqref="B59:AF61">
    <cfRule type="expression" dxfId="2236" priority="31">
      <formula>B$9&gt;=20/24</formula>
    </cfRule>
    <cfRule type="expression" dxfId="2235" priority="32">
      <formula>AND(B$9&gt;=14/24,B$9&lt;20/24)</formula>
    </cfRule>
    <cfRule type="expression" dxfId="2234" priority="33">
      <formula>AND(B$9&gt;=8/24,B$9&lt;14/24)</formula>
    </cfRule>
    <cfRule type="expression" dxfId="2233" priority="34">
      <formula>B$9&lt;8/24</formula>
    </cfRule>
  </conditionalFormatting>
  <conditionalFormatting sqref="B77:AF79">
    <cfRule type="expression" dxfId="2232" priority="36">
      <formula>B$9&gt;=20/24</formula>
    </cfRule>
    <cfRule type="expression" dxfId="2231" priority="37">
      <formula>AND(B$9&gt;=14/24,B$9&lt;20/24)</formula>
    </cfRule>
    <cfRule type="expression" dxfId="2230" priority="38">
      <formula>AND(B$9&gt;=8/24,B$9&lt;14/24)</formula>
    </cfRule>
    <cfRule type="expression" dxfId="2229" priority="35">
      <formula>B77&gt;$AG77</formula>
    </cfRule>
    <cfRule type="expression" dxfId="2228" priority="39">
      <formula>B$9&lt;8/24</formula>
    </cfRule>
  </conditionalFormatting>
  <conditionalFormatting sqref="B81:AF99">
    <cfRule type="expression" dxfId="2227" priority="8">
      <formula>B$9&gt;=20/24</formula>
    </cfRule>
    <cfRule type="expression" dxfId="2226" priority="11">
      <formula>B$9&lt;8/24</formula>
    </cfRule>
    <cfRule type="expression" dxfId="2225" priority="10">
      <formula>AND(B$9&gt;=8/24,B$9&lt;14/24)</formula>
    </cfRule>
    <cfRule type="expression" dxfId="2224" priority="9">
      <formula>AND(B$9&gt;=14/24,B$9&lt;20/24)</formula>
    </cfRule>
  </conditionalFormatting>
  <conditionalFormatting sqref="B101:AF117">
    <cfRule type="expression" dxfId="2223" priority="4">
      <formula>B$9&lt;8/24</formula>
    </cfRule>
    <cfRule type="expression" dxfId="2222" priority="1">
      <formula>B$9&gt;=20/24</formula>
    </cfRule>
    <cfRule type="expression" dxfId="2221" priority="2">
      <formula>AND(B$9&gt;=14/24,B$9&lt;20/24)</formula>
    </cfRule>
    <cfRule type="expression" dxfId="2220" priority="3">
      <formula>AND(B$9&gt;=8/24,B$9&lt;14/24)</formula>
    </cfRule>
  </conditionalFormatting>
  <conditionalFormatting sqref="B119:AF137">
    <cfRule type="expression" dxfId="2219" priority="16">
      <formula>B$9&lt;8/24</formula>
    </cfRule>
    <cfRule type="expression" dxfId="2218" priority="15">
      <formula>AND(B$9&gt;=8/24,B$9&lt;14/24)</formula>
    </cfRule>
    <cfRule type="expression" dxfId="2217" priority="14">
      <formula>AND(B$9&gt;=14/24,B$9&lt;20/24)</formula>
    </cfRule>
    <cfRule type="expression" dxfId="2216" priority="13">
      <formula>B$9&gt;=20/24</formula>
    </cfRule>
  </conditionalFormatting>
  <conditionalFormatting sqref="B244:AF244 B246:B252 D246:AF252 U260:AF260">
    <cfRule type="expression" dxfId="2215" priority="163">
      <formula>AND(B$9&gt;=8/24,B$9&lt;14/24)</formula>
    </cfRule>
    <cfRule type="expression" dxfId="2214" priority="161">
      <formula>B$9&gt;=20/24</formula>
    </cfRule>
    <cfRule type="expression" dxfId="2213" priority="162">
      <formula>AND(B$9&gt;=14/24,B$9&lt;20/24)</formula>
    </cfRule>
    <cfRule type="expression" dxfId="2212" priority="164">
      <formula>B$9&lt;8/24</formula>
    </cfRule>
  </conditionalFormatting>
  <conditionalFormatting sqref="B62:AG62">
    <cfRule type="expression" dxfId="2211" priority="42">
      <formula>AND(B$9&gt;=14/24,B$9&lt;20/24)</formula>
    </cfRule>
    <cfRule type="expression" dxfId="2210" priority="41">
      <formula>B$9&gt;=20/24</formula>
    </cfRule>
    <cfRule type="expression" dxfId="2209" priority="40">
      <formula>B62&gt;$AG62</formula>
    </cfRule>
    <cfRule type="expression" dxfId="2208" priority="44">
      <formula>B$9&lt;8/24</formula>
    </cfRule>
    <cfRule type="expression" dxfId="2207" priority="43">
      <formula>AND(B$9&gt;=8/24,B$9&lt;14/24)</formula>
    </cfRule>
  </conditionalFormatting>
  <conditionalFormatting sqref="B75:AG76 B80:AG80">
    <cfRule type="expression" dxfId="2206" priority="26">
      <formula>B75&gt;$AG75</formula>
    </cfRule>
  </conditionalFormatting>
  <conditionalFormatting sqref="B80:AG80">
    <cfRule type="expression" dxfId="2205" priority="30">
      <formula>B$9&lt;8/24</formula>
    </cfRule>
    <cfRule type="expression" dxfId="2204" priority="29">
      <formula>AND(B$9&gt;=8/24,B$9&lt;14/24)</formula>
    </cfRule>
    <cfRule type="expression" dxfId="2203" priority="28">
      <formula>AND(B$9&gt;=14/24,B$9&lt;20/24)</formula>
    </cfRule>
    <cfRule type="expression" dxfId="2202" priority="27">
      <formula>B$9&gt;=20/24</formula>
    </cfRule>
  </conditionalFormatting>
  <conditionalFormatting sqref="E11:J11 K11:AF12 G12:J12 B9:AF10">
    <cfRule type="expression" dxfId="2201" priority="79">
      <formula>B$9&gt;=20/24</formula>
    </cfRule>
  </conditionalFormatting>
  <conditionalFormatting sqref="E11:J11 K11:AF12 G12:J12">
    <cfRule type="expression" dxfId="2200" priority="78">
      <formula>E11&gt;$AG11</formula>
    </cfRule>
  </conditionalFormatting>
  <conditionalFormatting sqref="H63:I67 J64:J67">
    <cfRule type="expression" dxfId="2199" priority="74">
      <formula>H$9&gt;=20/24</formula>
    </cfRule>
    <cfRule type="expression" dxfId="2198" priority="75">
      <formula>AND(H$9&gt;=14/24,H$9&lt;20/24)</formula>
    </cfRule>
    <cfRule type="expression" dxfId="2197" priority="76">
      <formula>AND(H$9&gt;=8/24,H$9&lt;14/24)</formula>
    </cfRule>
    <cfRule type="expression" dxfId="2196" priority="77">
      <formula>H$9&lt;8/24</formula>
    </cfRule>
  </conditionalFormatting>
  <conditionalFormatting sqref="H63:L65">
    <cfRule type="expression" dxfId="2195" priority="142">
      <formula>H$9&gt;=20/24</formula>
    </cfRule>
    <cfRule type="expression" dxfId="2194" priority="143">
      <formula>AND(H$9&gt;=14/24,H$9&lt;20/24)</formula>
    </cfRule>
    <cfRule type="expression" dxfId="2193" priority="144">
      <formula>AND(H$9&gt;=8/24,H$9&lt;14/24)</formula>
    </cfRule>
    <cfRule type="expression" dxfId="2192" priority="145">
      <formula>H$9&lt;8/24</formula>
    </cfRule>
  </conditionalFormatting>
  <conditionalFormatting sqref="H63:O63 R63:T65 P63:Q68 U63:AF74 H64:M67 N64:O68 R66:R68 S66:T74 L68:M68">
    <cfRule type="expression" dxfId="2191" priority="73">
      <formula>H63&gt;$AG63</formula>
    </cfRule>
  </conditionalFormatting>
  <conditionalFormatting sqref="L68:R68">
    <cfRule type="expression" dxfId="2190" priority="119">
      <formula>L$9&gt;=20/24</formula>
    </cfRule>
    <cfRule type="expression" dxfId="2189" priority="120">
      <formula>AND(L$9&gt;=14/24,L$9&lt;20/24)</formula>
    </cfRule>
    <cfRule type="expression" dxfId="2188" priority="121">
      <formula>AND(L$9&gt;=8/24,L$9&lt;14/24)</formula>
    </cfRule>
    <cfRule type="expression" dxfId="2187" priority="122">
      <formula>L$9&lt;8/24</formula>
    </cfRule>
  </conditionalFormatting>
  <conditionalFormatting sqref="M63:R67">
    <cfRule type="expression" dxfId="2186" priority="149">
      <formula>M$9&lt;8/24</formula>
    </cfRule>
    <cfRule type="expression" dxfId="2185" priority="146">
      <formula>M$9&gt;=20/24</formula>
    </cfRule>
    <cfRule type="expression" dxfId="2184" priority="147">
      <formula>AND(M$9&gt;=14/24,M$9&lt;20/24)</formula>
    </cfRule>
    <cfRule type="expression" dxfId="2183" priority="148">
      <formula>AND(M$9&gt;=8/24,M$9&lt;14/24)</formula>
    </cfRule>
  </conditionalFormatting>
  <conditionalFormatting sqref="O3:P3">
    <cfRule type="iconSet" priority="165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2182" priority="167">
      <formula>C$9&gt;=20/24</formula>
    </cfRule>
  </conditionalFormatting>
  <conditionalFormatting sqref="S8">
    <cfRule type="expression" dxfId="2181" priority="156">
      <formula>AND(U$9&gt;=8/24,U$9&lt;14/24)</formula>
    </cfRule>
    <cfRule type="expression" dxfId="2180" priority="157">
      <formula>U$9&lt;8/24</formula>
    </cfRule>
    <cfRule type="expression" dxfId="2179" priority="155">
      <formula>AND(U$9&gt;=14/24,U$9&lt;20/24)</formula>
    </cfRule>
    <cfRule type="expression" dxfId="2178" priority="154">
      <formula>U$9&gt;=20/24</formula>
    </cfRule>
  </conditionalFormatting>
  <conditionalFormatting sqref="S63:AF74">
    <cfRule type="expression" dxfId="2177" priority="110">
      <formula>AND(S$9&gt;=14/24,S$9&lt;20/24)</formula>
    </cfRule>
    <cfRule type="expression" dxfId="2176" priority="111">
      <formula>AND(S$9&gt;=8/24,S$9&lt;14/24)</formula>
    </cfRule>
    <cfRule type="expression" dxfId="2175" priority="112">
      <formula>S$9&lt;8/24</formula>
    </cfRule>
    <cfRule type="expression" dxfId="2174" priority="109">
      <formula>S$9&gt;=20/24</formula>
    </cfRule>
  </conditionalFormatting>
  <conditionalFormatting sqref="T260">
    <cfRule type="expression" dxfId="2173" priority="181">
      <formula>AND(AX$9&gt;=8/24,AX$9&lt;14/24)</formula>
    </cfRule>
    <cfRule type="expression" dxfId="2172" priority="180">
      <formula>AND(AX$9&gt;=14/24,AX$9&lt;20/24)</formula>
    </cfRule>
    <cfRule type="expression" dxfId="2171" priority="179">
      <formula>AX$9&gt;=20/24</formula>
    </cfRule>
    <cfRule type="expression" dxfId="2170" priority="182">
      <formula>AX$9&lt;8/24</formula>
    </cfRule>
  </conditionalFormatting>
  <conditionalFormatting sqref="V3 AB3">
    <cfRule type="iconSet" priority="166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2169" priority="150">
      <formula>AD$9&gt;=20/24</formula>
    </cfRule>
    <cfRule type="expression" dxfId="2168" priority="151">
      <formula>AND(AD$9&gt;=14/24,AD$9&lt;20/24)</formula>
    </cfRule>
    <cfRule type="expression" dxfId="2167" priority="152">
      <formula>AND(AD$9&gt;=8/24,AD$9&lt;14/24)</formula>
    </cfRule>
    <cfRule type="expression" dxfId="2166" priority="153">
      <formula>AD$9&lt;8/24</formula>
    </cfRule>
  </conditionalFormatting>
  <conditionalFormatting sqref="AG58">
    <cfRule type="expression" dxfId="2165" priority="137">
      <formula>AG58&gt;$AG58</formula>
    </cfRule>
  </conditionalFormatting>
  <conditionalFormatting sqref="AG97">
    <cfRule type="expression" dxfId="2164" priority="138">
      <formula>AG$9&gt;=20/24</formula>
    </cfRule>
    <cfRule type="expression" dxfId="2163" priority="139">
      <formula>AND(AG$9&gt;=14/24,AG$9&lt;20/24)</formula>
    </cfRule>
    <cfRule type="expression" dxfId="2162" priority="140">
      <formula>AND(AG$9&gt;=8/24,AG$9&lt;14/24)</formula>
    </cfRule>
    <cfRule type="expression" dxfId="2161" priority="141">
      <formula>AG$9&lt;8/24</formula>
    </cfRule>
  </conditionalFormatting>
  <conditionalFormatting sqref="AG260">
    <cfRule type="expression" dxfId="2160" priority="171">
      <formula>B$9&gt;=20/24</formula>
    </cfRule>
    <cfRule type="expression" dxfId="2159" priority="174">
      <formula>B$9&lt;8/24</formula>
    </cfRule>
    <cfRule type="expression" dxfId="2158" priority="173">
      <formula>AND(B$9&gt;=8/24,B$9&lt;14/24)</formula>
    </cfRule>
    <cfRule type="expression" dxfId="2157" priority="172">
      <formula>AND(B$9&gt;=14/24,B$9&lt;20/24)</formula>
    </cfRule>
  </conditionalFormatting>
  <conditionalFormatting sqref="AH260:AX260">
    <cfRule type="expression" dxfId="2156" priority="177">
      <formula>AND(AG$9&gt;=8/24,AG$9&lt;14/24)</formula>
    </cfRule>
    <cfRule type="expression" dxfId="2155" priority="175">
      <formula>AG$9&gt;=20/24</formula>
    </cfRule>
    <cfRule type="expression" dxfId="2154" priority="176">
      <formula>AND(AG$9&gt;=14/24,AG$9&lt;20/24)</formula>
    </cfRule>
    <cfRule type="expression" dxfId="2153" priority="178">
      <formula>AG$9&lt;8/24</formula>
    </cfRule>
  </conditionalFormatting>
  <conditionalFormatting sqref="AL4:AL6">
    <cfRule type="iconSet" priority="160">
      <iconSet iconSet="3TrafficLights2" reverse="1">
        <cfvo type="percent" val="0"/>
        <cfvo type="num" val="1"/>
        <cfvo type="num" val="1"/>
      </iconSet>
    </cfRule>
  </conditionalFormatting>
  <conditionalFormatting sqref="AL19:AL20">
    <cfRule type="iconSet" priority="125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35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24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36">
      <iconSet iconSet="3TrafficLights2" reverse="1">
        <cfvo type="percent" val="0"/>
        <cfvo type="num" val="1"/>
        <cfvo type="num" val="1"/>
      </iconSet>
    </cfRule>
  </conditionalFormatting>
  <conditionalFormatting sqref="AL48 AL45:AL46 AL21:AL24 AL7:AL18 AL26:AL37 AL39:AL43 AL54:AL55">
    <cfRule type="iconSet" priority="18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59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58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2152" priority="184">
      <formula>AJ$9&gt;=20/24</formula>
    </cfRule>
    <cfRule type="expression" dxfId="2151" priority="185">
      <formula>AND(AJ$9&gt;=14/24,AJ$9&lt;20/24)</formula>
    </cfRule>
    <cfRule type="expression" dxfId="2150" priority="186">
      <formula>AND(AJ$9&gt;=8/24,AJ$9&lt;14/24)</formula>
    </cfRule>
    <cfRule type="expression" dxfId="2149" priority="187">
      <formula>AJ$9&lt;8/24</formula>
    </cfRule>
  </conditionalFormatting>
  <conditionalFormatting sqref="AL88:AN88 AL94:AN94">
    <cfRule type="expression" dxfId="2148" priority="133">
      <formula>AL$9&lt;8/24</formula>
    </cfRule>
    <cfRule type="expression" dxfId="2147" priority="132">
      <formula>AND(AL$9&gt;=8/24,AL$9&lt;14/24)</formula>
    </cfRule>
    <cfRule type="expression" dxfId="2146" priority="131">
      <formula>AND(AL$9&gt;=14/24,AL$9&lt;20/24)</formula>
    </cfRule>
    <cfRule type="expression" dxfId="2145" priority="130">
      <formula>AL$9&gt;=20/24</formula>
    </cfRule>
  </conditionalFormatting>
  <conditionalFormatting sqref="AN89:AN92">
    <cfRule type="expression" dxfId="2144" priority="126">
      <formula>AN$9&gt;=20/24</formula>
    </cfRule>
    <cfRule type="expression" dxfId="2143" priority="127">
      <formula>AND(AN$9&gt;=14/24,AN$9&lt;20/24)</formula>
    </cfRule>
    <cfRule type="expression" dxfId="2142" priority="128">
      <formula>AND(AN$9&gt;=8/24,AN$9&lt;14/24)</formula>
    </cfRule>
    <cfRule type="expression" dxfId="2141" priority="129">
      <formula>AN$9&lt;8/24</formula>
    </cfRule>
  </conditionalFormatting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8F9ED-161C-414A-A0A5-1CA0DC15DE77}">
  <sheetPr codeName="Sheet9"/>
  <dimension ref="A1:CJ293"/>
  <sheetViews>
    <sheetView zoomScale="115" zoomScaleNormal="115" workbookViewId="0">
      <pane xSplit="1" ySplit="10" topLeftCell="G125" activePane="bottomRight" state="frozen"/>
      <selection activeCell="P118" sqref="P118"/>
      <selection pane="topRight" activeCell="P118" sqref="P118"/>
      <selection pane="bottomLeft" activeCell="P118" sqref="P118"/>
      <selection pane="bottomRight" activeCell="U73" sqref="U73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hidden="1" customHeight="1" thickBot="1" x14ac:dyDescent="0.3">
      <c r="A1" s="275" t="s">
        <v>0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  <c r="AD1" s="275"/>
      <c r="AE1" s="275"/>
      <c r="AF1" s="275"/>
      <c r="AG1" s="276" t="s">
        <v>1</v>
      </c>
      <c r="AH1" s="276"/>
      <c r="AI1" s="276"/>
      <c r="AL1" s="2"/>
    </row>
    <row r="2" spans="1:88" ht="20.25" hidden="1" x14ac:dyDescent="0.25">
      <c r="A2" s="3"/>
      <c r="B2" s="277" t="s">
        <v>2</v>
      </c>
      <c r="C2" s="4"/>
      <c r="D2" s="279" t="s">
        <v>3</v>
      </c>
      <c r="E2" s="4"/>
      <c r="F2" s="279" t="s">
        <v>4</v>
      </c>
      <c r="G2" s="4"/>
      <c r="H2" s="279" t="s">
        <v>5</v>
      </c>
      <c r="I2" s="5"/>
      <c r="J2" s="281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78"/>
      <c r="C3" s="16"/>
      <c r="D3" s="280"/>
      <c r="E3" s="16"/>
      <c r="F3" s="280"/>
      <c r="G3" s="16"/>
      <c r="H3" s="280"/>
      <c r="I3" s="17"/>
      <c r="J3" s="281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21.75" customHeight="1" x14ac:dyDescent="0.25">
      <c r="A4" s="25" t="s">
        <v>11</v>
      </c>
      <c r="B4" s="270" t="str">
        <f ca="1">"2080/"&amp;"10/"&amp;INT(MID(CELL("filename",D6),FIND("]",CELL("filename",D6))+1,200))</f>
        <v>2080/10/8</v>
      </c>
      <c r="C4" s="270"/>
      <c r="D4" s="270"/>
      <c r="E4" s="271" t="str">
        <f ca="1">"2080/"&amp;"10/"&amp;INT(MID(CELL("filename",G6),FIND("]",CELL("filename",G6))+1,200))</f>
        <v>2080/10/8</v>
      </c>
      <c r="F4" s="271"/>
      <c r="G4" s="271"/>
      <c r="H4" s="271" t="str">
        <f ca="1">TEXT(E4,"dddd")</f>
        <v>Tuesday</v>
      </c>
      <c r="I4" s="271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4.5" customHeight="1" x14ac:dyDescent="0.25">
      <c r="A5" s="29"/>
      <c r="B5" s="30">
        <f t="shared" ref="B5:AE5" si="0">C92</f>
        <v>460.2</v>
      </c>
      <c r="C5" s="30">
        <f t="shared" si="0"/>
        <v>448.4</v>
      </c>
      <c r="D5" s="30">
        <f t="shared" si="0"/>
        <v>450.6</v>
      </c>
      <c r="E5" s="30">
        <f t="shared" si="0"/>
        <v>443.8</v>
      </c>
      <c r="F5" s="30">
        <f t="shared" si="0"/>
        <v>467.3</v>
      </c>
      <c r="G5" s="30">
        <f t="shared" si="0"/>
        <v>468.8</v>
      </c>
      <c r="H5" s="30">
        <f t="shared" si="0"/>
        <v>494.8</v>
      </c>
      <c r="I5" s="30">
        <f t="shared" si="0"/>
        <v>396</v>
      </c>
      <c r="J5" s="30">
        <f t="shared" si="0"/>
        <v>257.8</v>
      </c>
      <c r="K5" s="30">
        <f t="shared" si="0"/>
        <v>180.3</v>
      </c>
      <c r="L5" s="30">
        <f t="shared" si="0"/>
        <v>169.10000000000002</v>
      </c>
      <c r="M5" s="30">
        <f t="shared" si="0"/>
        <v>260.8</v>
      </c>
      <c r="N5" s="30">
        <f t="shared" si="0"/>
        <v>369.4</v>
      </c>
      <c r="O5" s="30">
        <f t="shared" si="0"/>
        <v>458.3</v>
      </c>
      <c r="P5" s="30">
        <f t="shared" si="0"/>
        <v>521.30000000000007</v>
      </c>
      <c r="Q5" s="30">
        <f t="shared" si="0"/>
        <v>0</v>
      </c>
      <c r="R5" s="30">
        <f t="shared" si="0"/>
        <v>736.5</v>
      </c>
      <c r="S5" s="30">
        <f t="shared" si="0"/>
        <v>735</v>
      </c>
      <c r="T5" s="30">
        <f t="shared" si="0"/>
        <v>732</v>
      </c>
      <c r="U5" s="30">
        <f t="shared" si="0"/>
        <v>297.8</v>
      </c>
      <c r="V5" s="30">
        <f t="shared" si="0"/>
        <v>263.3</v>
      </c>
      <c r="W5" s="30">
        <f t="shared" si="0"/>
        <v>202.3</v>
      </c>
      <c r="X5" s="30">
        <f t="shared" si="0"/>
        <v>231.89999999999998</v>
      </c>
      <c r="Y5" s="30">
        <f t="shared" si="0"/>
        <v>231.2</v>
      </c>
      <c r="Z5" s="30">
        <f t="shared" si="0"/>
        <v>333.4</v>
      </c>
      <c r="AA5" s="30">
        <f t="shared" si="0"/>
        <v>419.1</v>
      </c>
      <c r="AB5" s="30">
        <f t="shared" si="0"/>
        <v>481.59999999999997</v>
      </c>
      <c r="AC5" s="30">
        <f t="shared" si="0"/>
        <v>459.7</v>
      </c>
      <c r="AD5" s="30">
        <f t="shared" si="0"/>
        <v>524.5</v>
      </c>
      <c r="AE5" s="30">
        <f t="shared" si="0"/>
        <v>482.7</v>
      </c>
      <c r="AF5" s="30">
        <f>B92</f>
        <v>500.5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7.25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1796MW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Load=764</v>
      </c>
      <c r="B7" s="35">
        <f>B100</f>
        <v>1207.6399999999999</v>
      </c>
      <c r="C7" s="35">
        <f t="shared" ref="C7:AF7" si="1">C100</f>
        <v>1163.94</v>
      </c>
      <c r="D7" s="35">
        <f t="shared" si="1"/>
        <v>1154.24</v>
      </c>
      <c r="E7" s="35">
        <f t="shared" si="1"/>
        <v>1156.44</v>
      </c>
      <c r="F7" s="35">
        <f t="shared" si="1"/>
        <v>1149.6400000000001</v>
      </c>
      <c r="G7" s="35">
        <f t="shared" si="1"/>
        <v>1242.3399999999999</v>
      </c>
      <c r="H7" s="35">
        <f t="shared" si="1"/>
        <v>1305.94</v>
      </c>
      <c r="I7" s="35">
        <f t="shared" si="1"/>
        <v>1396.24</v>
      </c>
      <c r="J7" s="35">
        <f t="shared" si="1"/>
        <v>1532.24</v>
      </c>
      <c r="K7" s="35">
        <f t="shared" si="1"/>
        <v>1665.34</v>
      </c>
      <c r="L7" s="35">
        <f t="shared" si="1"/>
        <v>1795.94</v>
      </c>
      <c r="M7" s="35">
        <f t="shared" si="1"/>
        <v>1776.04</v>
      </c>
      <c r="N7" s="35">
        <f t="shared" si="1"/>
        <v>1733.34</v>
      </c>
      <c r="O7" s="35">
        <f t="shared" si="1"/>
        <v>1690.04</v>
      </c>
      <c r="P7" s="35">
        <f t="shared" si="1"/>
        <v>1445.5400000000002</v>
      </c>
      <c r="Q7" s="35">
        <f t="shared" si="1"/>
        <v>1545.94</v>
      </c>
      <c r="R7" s="35">
        <f t="shared" si="1"/>
        <v>763.84</v>
      </c>
      <c r="S7" s="35">
        <f t="shared" si="1"/>
        <v>1541.1399999999999</v>
      </c>
      <c r="T7" s="35">
        <f t="shared" si="1"/>
        <v>1569.1399999999999</v>
      </c>
      <c r="U7" s="35">
        <f t="shared" si="1"/>
        <v>1549.74</v>
      </c>
      <c r="V7" s="35">
        <f t="shared" si="1"/>
        <v>1470.34</v>
      </c>
      <c r="W7" s="35">
        <f t="shared" si="1"/>
        <v>1603.54</v>
      </c>
      <c r="X7" s="35">
        <f t="shared" si="1"/>
        <v>1824.94</v>
      </c>
      <c r="Y7" s="35">
        <f t="shared" si="1"/>
        <v>1911.94</v>
      </c>
      <c r="Z7" s="35">
        <f t="shared" si="1"/>
        <v>1868.14</v>
      </c>
      <c r="AA7" s="35">
        <f t="shared" si="1"/>
        <v>1859.3400000000001</v>
      </c>
      <c r="AB7" s="35">
        <f t="shared" si="1"/>
        <v>1762.94</v>
      </c>
      <c r="AC7" s="35">
        <f t="shared" si="1"/>
        <v>1702.74</v>
      </c>
      <c r="AD7" s="35">
        <f t="shared" si="1"/>
        <v>1618.6399999999999</v>
      </c>
      <c r="AE7" s="35">
        <f t="shared" si="1"/>
        <v>1391.94</v>
      </c>
      <c r="AF7" s="35">
        <f t="shared" si="1"/>
        <v>1258.24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72" t="s">
        <v>14</v>
      </c>
      <c r="C8" s="273"/>
      <c r="D8" s="273"/>
      <c r="E8" s="273"/>
      <c r="F8" s="273"/>
      <c r="G8" s="273"/>
      <c r="H8" s="273"/>
      <c r="I8" s="273"/>
      <c r="J8" s="273"/>
      <c r="K8" s="273"/>
      <c r="L8" s="274"/>
      <c r="M8" s="265" t="s">
        <v>15</v>
      </c>
      <c r="N8" s="266"/>
      <c r="O8" s="266"/>
      <c r="P8" s="266"/>
      <c r="Q8" s="266"/>
      <c r="R8" s="267"/>
      <c r="S8" s="265" t="s">
        <v>16</v>
      </c>
      <c r="T8" s="266"/>
      <c r="U8" s="266"/>
      <c r="V8" s="266"/>
      <c r="W8" s="266"/>
      <c r="X8" s="266"/>
      <c r="Y8" s="266"/>
      <c r="Z8" s="266"/>
      <c r="AA8" s="267"/>
      <c r="AB8" s="265" t="s">
        <v>17</v>
      </c>
      <c r="AC8" s="266"/>
      <c r="AD8" s="266"/>
      <c r="AE8" s="266"/>
      <c r="AF8" s="267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68" t="s">
        <v>18</v>
      </c>
      <c r="B9" s="264">
        <v>0</v>
      </c>
      <c r="C9" s="264">
        <v>4.1666666666666664E-2</v>
      </c>
      <c r="D9" s="264">
        <v>8.3333333333333301E-2</v>
      </c>
      <c r="E9" s="264">
        <v>0.125</v>
      </c>
      <c r="F9" s="264">
        <v>0.16666666666666699</v>
      </c>
      <c r="G9" s="264">
        <v>0.20833333333333301</v>
      </c>
      <c r="H9" s="264">
        <v>0.22916666666666666</v>
      </c>
      <c r="I9" s="264">
        <v>0.25</v>
      </c>
      <c r="J9" s="264">
        <v>0.27083333333333331</v>
      </c>
      <c r="K9" s="264">
        <v>0.29166666666666669</v>
      </c>
      <c r="L9" s="264">
        <v>0.3125</v>
      </c>
      <c r="M9" s="262">
        <v>0.33333333333333331</v>
      </c>
      <c r="N9" s="262">
        <v>0.375</v>
      </c>
      <c r="O9" s="262">
        <v>0.41666666666666702</v>
      </c>
      <c r="P9" s="262">
        <v>0.45833333333333298</v>
      </c>
      <c r="Q9" s="262">
        <v>0.5</v>
      </c>
      <c r="R9" s="262">
        <v>0.54166666666666696</v>
      </c>
      <c r="S9" s="258">
        <v>0.58333333333333304</v>
      </c>
      <c r="T9" s="258">
        <v>0.625</v>
      </c>
      <c r="U9" s="258">
        <v>0.66666666666666696</v>
      </c>
      <c r="V9" s="258">
        <v>0.70833333333333304</v>
      </c>
      <c r="W9" s="258">
        <v>0.72916666666666663</v>
      </c>
      <c r="X9" s="258">
        <v>0.75</v>
      </c>
      <c r="Y9" s="258">
        <v>0.77083333333333337</v>
      </c>
      <c r="Z9" s="258">
        <v>0.79166666666666663</v>
      </c>
      <c r="AA9" s="258">
        <v>0.8125</v>
      </c>
      <c r="AB9" s="258">
        <v>0.83333333333333337</v>
      </c>
      <c r="AC9" s="258">
        <v>0.85416666666666663</v>
      </c>
      <c r="AD9" s="258">
        <v>0.875</v>
      </c>
      <c r="AE9" s="258">
        <v>0.91666666666666696</v>
      </c>
      <c r="AF9" s="258">
        <v>0.95833333333333304</v>
      </c>
      <c r="AG9" s="260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69"/>
      <c r="B10" s="259"/>
      <c r="C10" s="259"/>
      <c r="D10" s="259"/>
      <c r="E10" s="259"/>
      <c r="F10" s="259"/>
      <c r="G10" s="259"/>
      <c r="H10" s="259"/>
      <c r="I10" s="259"/>
      <c r="J10" s="259"/>
      <c r="K10" s="259"/>
      <c r="L10" s="259"/>
      <c r="M10" s="263"/>
      <c r="N10" s="263"/>
      <c r="O10" s="263"/>
      <c r="P10" s="263"/>
      <c r="Q10" s="263"/>
      <c r="R10" s="263"/>
      <c r="S10" s="259"/>
      <c r="T10" s="259"/>
      <c r="U10" s="259"/>
      <c r="V10" s="259"/>
      <c r="W10" s="259"/>
      <c r="X10" s="259"/>
      <c r="Y10" s="259"/>
      <c r="Z10" s="259"/>
      <c r="AA10" s="259"/>
      <c r="AB10" s="259"/>
      <c r="AC10" s="259"/>
      <c r="AD10" s="259"/>
      <c r="AE10" s="259"/>
      <c r="AF10" s="259"/>
      <c r="AG10" s="261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34.299999999999997</v>
      </c>
      <c r="C11" s="45">
        <v>31.8</v>
      </c>
      <c r="D11" s="45">
        <v>32.4</v>
      </c>
      <c r="E11" s="45">
        <v>32.4</v>
      </c>
      <c r="F11" s="45">
        <v>32.4</v>
      </c>
      <c r="G11" s="45">
        <v>32.4</v>
      </c>
      <c r="H11" s="45">
        <v>32.4</v>
      </c>
      <c r="I11" s="45">
        <v>32.4</v>
      </c>
      <c r="J11" s="45">
        <v>32.4</v>
      </c>
      <c r="K11" s="45">
        <v>32.4</v>
      </c>
      <c r="L11" s="45">
        <v>32.4</v>
      </c>
      <c r="M11" s="45">
        <v>32.4</v>
      </c>
      <c r="N11" s="45">
        <v>32.4</v>
      </c>
      <c r="O11" s="45">
        <v>32.4</v>
      </c>
      <c r="P11" s="45">
        <v>30</v>
      </c>
      <c r="Q11" s="45">
        <v>30</v>
      </c>
      <c r="R11" s="45">
        <v>30</v>
      </c>
      <c r="S11" s="45">
        <v>30</v>
      </c>
      <c r="T11" s="45">
        <v>30</v>
      </c>
      <c r="U11" s="45">
        <v>30</v>
      </c>
      <c r="V11" s="45">
        <v>30</v>
      </c>
      <c r="W11" s="45">
        <v>30</v>
      </c>
      <c r="X11" s="45">
        <v>30</v>
      </c>
      <c r="Y11" s="45">
        <v>30</v>
      </c>
      <c r="Z11" s="45">
        <v>30</v>
      </c>
      <c r="AA11" s="45">
        <v>30</v>
      </c>
      <c r="AB11" s="45">
        <v>30</v>
      </c>
      <c r="AC11" s="45">
        <v>30</v>
      </c>
      <c r="AD11" s="45">
        <v>31.8</v>
      </c>
      <c r="AE11" s="45">
        <v>32.299999999999997</v>
      </c>
      <c r="AF11" s="45">
        <v>33</v>
      </c>
      <c r="AG11" s="46">
        <v>86</v>
      </c>
      <c r="AH11" s="47">
        <f t="shared" ref="AH11:AH84" si="2">MAX(B11:AF11)</f>
        <v>34.299999999999997</v>
      </c>
      <c r="AI11" s="48">
        <f t="shared" ref="AI11:AI84" si="3">MIN(B11:AF11)</f>
        <v>30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262</v>
      </c>
      <c r="B12" s="45">
        <v>11.2</v>
      </c>
      <c r="C12" s="45">
        <v>11.2</v>
      </c>
      <c r="D12" s="45">
        <v>11.2</v>
      </c>
      <c r="E12" s="45">
        <v>11.2</v>
      </c>
      <c r="F12" s="45">
        <v>11.2</v>
      </c>
      <c r="G12" s="45">
        <v>11.2</v>
      </c>
      <c r="H12" s="45">
        <v>11.2</v>
      </c>
      <c r="I12" s="45">
        <v>11.2</v>
      </c>
      <c r="J12" s="45">
        <v>11.2</v>
      </c>
      <c r="K12" s="45">
        <v>11.2</v>
      </c>
      <c r="L12" s="45">
        <v>11.2</v>
      </c>
      <c r="M12" s="45">
        <v>11.2</v>
      </c>
      <c r="N12" s="45">
        <v>11.2</v>
      </c>
      <c r="O12" s="45">
        <v>11.2</v>
      </c>
      <c r="P12" s="45">
        <v>11.2</v>
      </c>
      <c r="Q12" s="45">
        <v>11.2</v>
      </c>
      <c r="R12" s="45">
        <v>11.2</v>
      </c>
      <c r="S12" s="45">
        <v>11.2</v>
      </c>
      <c r="T12" s="45">
        <v>11.2</v>
      </c>
      <c r="U12" s="45">
        <v>11.2</v>
      </c>
      <c r="V12" s="45">
        <v>11.2</v>
      </c>
      <c r="W12" s="45">
        <v>11.2</v>
      </c>
      <c r="X12" s="45">
        <v>11.2</v>
      </c>
      <c r="Y12" s="45">
        <v>11.2</v>
      </c>
      <c r="Z12" s="45">
        <v>11.2</v>
      </c>
      <c r="AA12" s="45">
        <v>11.2</v>
      </c>
      <c r="AB12" s="45">
        <v>11.2</v>
      </c>
      <c r="AC12" s="45">
        <v>11.2</v>
      </c>
      <c r="AD12" s="45">
        <v>11.2</v>
      </c>
      <c r="AE12" s="45">
        <v>11.2</v>
      </c>
      <c r="AF12" s="45">
        <v>11.2</v>
      </c>
      <c r="AG12" s="49">
        <v>54</v>
      </c>
      <c r="AH12" s="47">
        <f t="shared" si="2"/>
        <v>11.2</v>
      </c>
      <c r="AI12" s="48">
        <f t="shared" si="3"/>
        <v>11.2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15.5</v>
      </c>
      <c r="C13" s="45">
        <v>15.5</v>
      </c>
      <c r="D13" s="45">
        <v>15.5</v>
      </c>
      <c r="E13" s="45">
        <v>15.5</v>
      </c>
      <c r="F13" s="45">
        <v>15.5</v>
      </c>
      <c r="G13" s="45">
        <v>15.5</v>
      </c>
      <c r="H13" s="45">
        <v>15.5</v>
      </c>
      <c r="I13" s="45">
        <v>15.5</v>
      </c>
      <c r="J13" s="45">
        <v>15.5</v>
      </c>
      <c r="K13" s="45">
        <v>15.5</v>
      </c>
      <c r="L13" s="45">
        <v>15.5</v>
      </c>
      <c r="M13" s="45">
        <v>15.5</v>
      </c>
      <c r="N13" s="45">
        <v>15.5</v>
      </c>
      <c r="O13" s="45">
        <v>15.5</v>
      </c>
      <c r="P13" s="45">
        <v>15.5</v>
      </c>
      <c r="Q13" s="45">
        <v>15.5</v>
      </c>
      <c r="R13" s="45">
        <v>15.5</v>
      </c>
      <c r="S13" s="45">
        <v>15.5</v>
      </c>
      <c r="T13" s="45">
        <v>15.5</v>
      </c>
      <c r="U13" s="45">
        <v>15.5</v>
      </c>
      <c r="V13" s="45">
        <v>15.5</v>
      </c>
      <c r="W13" s="45">
        <v>15.5</v>
      </c>
      <c r="X13" s="45">
        <v>15.5</v>
      </c>
      <c r="Y13" s="45">
        <v>15.5</v>
      </c>
      <c r="Z13" s="45">
        <v>15.5</v>
      </c>
      <c r="AA13" s="45">
        <v>15.5</v>
      </c>
      <c r="AB13" s="45">
        <v>15.5</v>
      </c>
      <c r="AC13" s="45">
        <v>15.5</v>
      </c>
      <c r="AD13" s="45">
        <v>15.5</v>
      </c>
      <c r="AE13" s="45">
        <v>15.5</v>
      </c>
      <c r="AF13" s="45">
        <v>15.5</v>
      </c>
      <c r="AG13" s="49">
        <v>54</v>
      </c>
      <c r="AH13" s="47">
        <f t="shared" si="2"/>
        <v>15.5</v>
      </c>
      <c r="AI13" s="48">
        <f t="shared" si="3"/>
        <v>15.5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15.8</v>
      </c>
      <c r="C14" s="45">
        <v>16.600000000000001</v>
      </c>
      <c r="D14" s="45">
        <v>16.5</v>
      </c>
      <c r="E14" s="45">
        <v>16.5</v>
      </c>
      <c r="F14" s="45">
        <v>16.5</v>
      </c>
      <c r="G14" s="45">
        <v>16.5</v>
      </c>
      <c r="H14" s="45">
        <v>16.5</v>
      </c>
      <c r="I14" s="45">
        <v>16.5</v>
      </c>
      <c r="J14" s="45">
        <v>16.5</v>
      </c>
      <c r="K14" s="45">
        <v>16.5</v>
      </c>
      <c r="L14" s="45">
        <v>16.5</v>
      </c>
      <c r="M14" s="45">
        <v>16.5</v>
      </c>
      <c r="N14" s="45">
        <v>16.5</v>
      </c>
      <c r="O14" s="45">
        <v>16.5</v>
      </c>
      <c r="P14" s="45">
        <v>16.5</v>
      </c>
      <c r="Q14" s="45">
        <v>16.5</v>
      </c>
      <c r="R14" s="45">
        <v>16.5</v>
      </c>
      <c r="S14" s="45">
        <v>16.5</v>
      </c>
      <c r="T14" s="45">
        <v>16.5</v>
      </c>
      <c r="U14" s="45">
        <v>16.5</v>
      </c>
      <c r="V14" s="45">
        <v>16.5</v>
      </c>
      <c r="W14" s="45">
        <v>16.5</v>
      </c>
      <c r="X14" s="45">
        <v>16.5</v>
      </c>
      <c r="Y14" s="45">
        <v>16.5</v>
      </c>
      <c r="Z14" s="45">
        <v>16.5</v>
      </c>
      <c r="AA14" s="45">
        <v>16.5</v>
      </c>
      <c r="AB14" s="45">
        <v>16.5</v>
      </c>
      <c r="AC14" s="45">
        <v>16.5</v>
      </c>
      <c r="AD14" s="45">
        <v>16.5</v>
      </c>
      <c r="AE14" s="45">
        <v>16.5</v>
      </c>
      <c r="AF14" s="45">
        <v>16.5</v>
      </c>
      <c r="AG14" s="46">
        <v>52.4</v>
      </c>
      <c r="AH14" s="47">
        <f t="shared" si="2"/>
        <v>16.600000000000001</v>
      </c>
      <c r="AI14" s="48">
        <f t="shared" si="3"/>
        <v>15.8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51">
        <v>34.1</v>
      </c>
      <c r="C15" s="51">
        <v>33.700000000000003</v>
      </c>
      <c r="D15" s="51">
        <v>34</v>
      </c>
      <c r="E15" s="51">
        <v>34</v>
      </c>
      <c r="F15" s="51">
        <v>34</v>
      </c>
      <c r="G15" s="51">
        <v>34</v>
      </c>
      <c r="H15" s="51">
        <v>34</v>
      </c>
      <c r="I15" s="51">
        <v>34</v>
      </c>
      <c r="J15" s="51">
        <v>34</v>
      </c>
      <c r="K15" s="51">
        <v>34</v>
      </c>
      <c r="L15" s="51">
        <v>34</v>
      </c>
      <c r="M15" s="51">
        <v>34</v>
      </c>
      <c r="N15" s="51">
        <v>34</v>
      </c>
      <c r="O15" s="51">
        <v>34</v>
      </c>
      <c r="P15" s="51">
        <v>34</v>
      </c>
      <c r="Q15" s="51">
        <v>34</v>
      </c>
      <c r="R15" s="51">
        <v>34</v>
      </c>
      <c r="S15" s="51">
        <v>34</v>
      </c>
      <c r="T15" s="51">
        <v>34</v>
      </c>
      <c r="U15" s="51">
        <v>34</v>
      </c>
      <c r="V15" s="51">
        <v>34</v>
      </c>
      <c r="W15" s="51">
        <v>34</v>
      </c>
      <c r="X15" s="51">
        <v>34</v>
      </c>
      <c r="Y15" s="51">
        <v>34</v>
      </c>
      <c r="Z15" s="51">
        <v>34</v>
      </c>
      <c r="AA15" s="51">
        <v>34</v>
      </c>
      <c r="AB15" s="51">
        <v>34</v>
      </c>
      <c r="AC15" s="51">
        <v>34</v>
      </c>
      <c r="AD15" s="51">
        <v>34</v>
      </c>
      <c r="AE15" s="51">
        <v>34</v>
      </c>
      <c r="AF15" s="51">
        <v>34</v>
      </c>
      <c r="AG15" s="49">
        <v>50</v>
      </c>
      <c r="AH15" s="47">
        <f t="shared" si="2"/>
        <v>34.1</v>
      </c>
      <c r="AI15" s="48">
        <f t="shared" si="3"/>
        <v>33.700000000000003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19.5</v>
      </c>
      <c r="C16" s="45">
        <v>18.8</v>
      </c>
      <c r="D16" s="45">
        <v>18.8</v>
      </c>
      <c r="E16" s="45">
        <v>18.8</v>
      </c>
      <c r="F16" s="45">
        <v>18.8</v>
      </c>
      <c r="G16" s="45">
        <v>18.8</v>
      </c>
      <c r="H16" s="45">
        <v>18.8</v>
      </c>
      <c r="I16" s="45">
        <v>18.8</v>
      </c>
      <c r="J16" s="45">
        <v>18.8</v>
      </c>
      <c r="K16" s="45">
        <v>18.8</v>
      </c>
      <c r="L16" s="45">
        <v>18.8</v>
      </c>
      <c r="M16" s="45">
        <v>18.8</v>
      </c>
      <c r="N16" s="45">
        <v>18.8</v>
      </c>
      <c r="O16" s="45">
        <v>18.8</v>
      </c>
      <c r="P16" s="45">
        <v>18.8</v>
      </c>
      <c r="Q16" s="45">
        <v>18.8</v>
      </c>
      <c r="R16" s="45">
        <v>18.8</v>
      </c>
      <c r="S16" s="45">
        <v>18.8</v>
      </c>
      <c r="T16" s="45">
        <v>18.8</v>
      </c>
      <c r="U16" s="45">
        <v>18.8</v>
      </c>
      <c r="V16" s="45">
        <v>18.8</v>
      </c>
      <c r="W16" s="45">
        <v>18.8</v>
      </c>
      <c r="X16" s="45">
        <v>18.8</v>
      </c>
      <c r="Y16" s="45">
        <v>18.8</v>
      </c>
      <c r="Z16" s="45">
        <v>18.8</v>
      </c>
      <c r="AA16" s="45">
        <v>18.8</v>
      </c>
      <c r="AB16" s="45">
        <v>18.8</v>
      </c>
      <c r="AC16" s="45">
        <v>18.8</v>
      </c>
      <c r="AD16" s="45">
        <v>18.8</v>
      </c>
      <c r="AE16" s="45">
        <v>18.8</v>
      </c>
      <c r="AF16" s="45">
        <v>18.8</v>
      </c>
      <c r="AG16" s="49">
        <v>45</v>
      </c>
      <c r="AH16" s="47">
        <f t="shared" si="2"/>
        <v>19.5</v>
      </c>
      <c r="AI16" s="48">
        <f t="shared" si="3"/>
        <v>18.8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16.5</v>
      </c>
      <c r="C17" s="45">
        <v>16.5</v>
      </c>
      <c r="D17" s="45">
        <v>16.5</v>
      </c>
      <c r="E17" s="45">
        <v>16.5</v>
      </c>
      <c r="F17" s="45">
        <v>16.5</v>
      </c>
      <c r="G17" s="45">
        <v>16.5</v>
      </c>
      <c r="H17" s="45">
        <v>16.5</v>
      </c>
      <c r="I17" s="45">
        <v>16.5</v>
      </c>
      <c r="J17" s="45">
        <v>16.5</v>
      </c>
      <c r="K17" s="45">
        <v>16.5</v>
      </c>
      <c r="L17" s="45">
        <v>16.5</v>
      </c>
      <c r="M17" s="45">
        <v>16.5</v>
      </c>
      <c r="N17" s="45">
        <v>16.5</v>
      </c>
      <c r="O17" s="45">
        <v>16.5</v>
      </c>
      <c r="P17" s="45">
        <v>16.5</v>
      </c>
      <c r="Q17" s="45">
        <v>16.5</v>
      </c>
      <c r="R17" s="45">
        <v>16.5</v>
      </c>
      <c r="S17" s="45">
        <v>16.5</v>
      </c>
      <c r="T17" s="45">
        <v>16.5</v>
      </c>
      <c r="U17" s="45">
        <v>16.5</v>
      </c>
      <c r="V17" s="45">
        <v>16.5</v>
      </c>
      <c r="W17" s="45">
        <v>16.5</v>
      </c>
      <c r="X17" s="45">
        <v>16.5</v>
      </c>
      <c r="Y17" s="45">
        <v>16.5</v>
      </c>
      <c r="Z17" s="45">
        <v>16.5</v>
      </c>
      <c r="AA17" s="45">
        <v>16.5</v>
      </c>
      <c r="AB17" s="45">
        <v>16.5</v>
      </c>
      <c r="AC17" s="45">
        <v>16.5</v>
      </c>
      <c r="AD17" s="45">
        <v>16.5</v>
      </c>
      <c r="AE17" s="45">
        <v>16.5</v>
      </c>
      <c r="AF17" s="45">
        <v>16.5</v>
      </c>
      <c r="AG17" s="49">
        <v>44</v>
      </c>
      <c r="AH17" s="47">
        <f>MAX(B17:AG17)</f>
        <v>44</v>
      </c>
      <c r="AI17" s="48">
        <f>MIN(B17:AG17)</f>
        <v>16.5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9.5</v>
      </c>
      <c r="C18" s="45">
        <v>9.5</v>
      </c>
      <c r="D18" s="45">
        <v>9.5</v>
      </c>
      <c r="E18" s="45">
        <v>9.5</v>
      </c>
      <c r="F18" s="45">
        <v>9.5</v>
      </c>
      <c r="G18" s="45">
        <v>9.5</v>
      </c>
      <c r="H18" s="45">
        <v>9.5</v>
      </c>
      <c r="I18" s="45">
        <v>9.5</v>
      </c>
      <c r="J18" s="45">
        <v>9.5</v>
      </c>
      <c r="K18" s="45">
        <v>9.5</v>
      </c>
      <c r="L18" s="45">
        <v>9.5</v>
      </c>
      <c r="M18" s="45">
        <v>9.5</v>
      </c>
      <c r="N18" s="45">
        <v>9.5</v>
      </c>
      <c r="O18" s="45">
        <v>9.5</v>
      </c>
      <c r="P18" s="45">
        <v>9.5</v>
      </c>
      <c r="Q18" s="45">
        <v>9.5</v>
      </c>
      <c r="R18" s="45">
        <v>9.5</v>
      </c>
      <c r="S18" s="45">
        <v>9.5</v>
      </c>
      <c r="T18" s="45">
        <v>9.5</v>
      </c>
      <c r="U18" s="45">
        <v>9.5</v>
      </c>
      <c r="V18" s="45">
        <v>9.5</v>
      </c>
      <c r="W18" s="45">
        <v>9.5</v>
      </c>
      <c r="X18" s="45">
        <v>9.5</v>
      </c>
      <c r="Y18" s="45">
        <v>9.5</v>
      </c>
      <c r="Z18" s="45">
        <v>9.5</v>
      </c>
      <c r="AA18" s="45">
        <v>9.5</v>
      </c>
      <c r="AB18" s="45">
        <v>9.5</v>
      </c>
      <c r="AC18" s="45">
        <v>9.5</v>
      </c>
      <c r="AD18" s="45">
        <v>9.5</v>
      </c>
      <c r="AE18" s="45">
        <v>9.5</v>
      </c>
      <c r="AF18" s="45">
        <v>9.5</v>
      </c>
      <c r="AG18" s="49">
        <v>42</v>
      </c>
      <c r="AH18" s="47">
        <f t="shared" si="2"/>
        <v>9.5</v>
      </c>
      <c r="AI18" s="48">
        <f t="shared" si="3"/>
        <v>9.5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263</v>
      </c>
      <c r="B19" s="45">
        <v>15.4</v>
      </c>
      <c r="C19" s="45">
        <v>15.4</v>
      </c>
      <c r="D19" s="45">
        <v>15.4</v>
      </c>
      <c r="E19" s="45">
        <v>15.4</v>
      </c>
      <c r="F19" s="45">
        <v>15.4</v>
      </c>
      <c r="G19" s="45">
        <v>15.4</v>
      </c>
      <c r="H19" s="45">
        <v>15.4</v>
      </c>
      <c r="I19" s="45">
        <v>15.4</v>
      </c>
      <c r="J19" s="45">
        <v>15.4</v>
      </c>
      <c r="K19" s="45">
        <v>15.4</v>
      </c>
      <c r="L19" s="45">
        <v>15.4</v>
      </c>
      <c r="M19" s="45">
        <v>15.4</v>
      </c>
      <c r="N19" s="45">
        <v>15.4</v>
      </c>
      <c r="O19" s="45">
        <v>15.4</v>
      </c>
      <c r="P19" s="45">
        <v>15.4</v>
      </c>
      <c r="Q19" s="45">
        <v>15.4</v>
      </c>
      <c r="R19" s="45">
        <v>15.4</v>
      </c>
      <c r="S19" s="45">
        <v>15.4</v>
      </c>
      <c r="T19" s="45">
        <v>15.4</v>
      </c>
      <c r="U19" s="45">
        <v>15.4</v>
      </c>
      <c r="V19" s="45">
        <v>15.4</v>
      </c>
      <c r="W19" s="45">
        <v>15.4</v>
      </c>
      <c r="X19" s="45">
        <v>15.4</v>
      </c>
      <c r="Y19" s="45">
        <v>15.4</v>
      </c>
      <c r="Z19" s="45">
        <v>15.4</v>
      </c>
      <c r="AA19" s="45">
        <v>15.4</v>
      </c>
      <c r="AB19" s="45">
        <v>15.4</v>
      </c>
      <c r="AC19" s="45">
        <v>15.4</v>
      </c>
      <c r="AD19" s="45">
        <v>15.4</v>
      </c>
      <c r="AE19" s="45">
        <v>15.4</v>
      </c>
      <c r="AF19" s="45">
        <v>15.4</v>
      </c>
      <c r="AG19" s="49">
        <v>38.46</v>
      </c>
      <c r="AH19" s="47">
        <f t="shared" si="2"/>
        <v>15.4</v>
      </c>
      <c r="AI19" s="48">
        <f t="shared" si="3"/>
        <v>15.4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10.199999999999999</v>
      </c>
      <c r="C20" s="45">
        <v>10.199999999999999</v>
      </c>
      <c r="D20" s="45">
        <v>10.199999999999999</v>
      </c>
      <c r="E20" s="45">
        <v>10.199999999999999</v>
      </c>
      <c r="F20" s="45">
        <v>10.199999999999999</v>
      </c>
      <c r="G20" s="45">
        <v>10.199999999999999</v>
      </c>
      <c r="H20" s="45">
        <v>10.199999999999999</v>
      </c>
      <c r="I20" s="45">
        <v>10.199999999999999</v>
      </c>
      <c r="J20" s="45">
        <v>10.199999999999999</v>
      </c>
      <c r="K20" s="45">
        <v>10.199999999999999</v>
      </c>
      <c r="L20" s="45">
        <v>10.199999999999999</v>
      </c>
      <c r="M20" s="45">
        <v>10.199999999999999</v>
      </c>
      <c r="N20" s="45">
        <v>10.199999999999999</v>
      </c>
      <c r="O20" s="45">
        <v>10.199999999999999</v>
      </c>
      <c r="P20" s="45">
        <v>10.199999999999999</v>
      </c>
      <c r="Q20" s="45">
        <v>10.199999999999999</v>
      </c>
      <c r="R20" s="45">
        <v>10.199999999999999</v>
      </c>
      <c r="S20" s="45">
        <v>10.199999999999999</v>
      </c>
      <c r="T20" s="45">
        <v>10.199999999999999</v>
      </c>
      <c r="U20" s="45">
        <v>10.199999999999999</v>
      </c>
      <c r="V20" s="45">
        <v>10.199999999999999</v>
      </c>
      <c r="W20" s="45">
        <v>10.199999999999999</v>
      </c>
      <c r="X20" s="45">
        <v>10.199999999999999</v>
      </c>
      <c r="Y20" s="45">
        <v>10.199999999999999</v>
      </c>
      <c r="Z20" s="45">
        <v>10.199999999999999</v>
      </c>
      <c r="AA20" s="45">
        <v>10.199999999999999</v>
      </c>
      <c r="AB20" s="45">
        <v>10.199999999999999</v>
      </c>
      <c r="AC20" s="45">
        <v>10.199999999999999</v>
      </c>
      <c r="AD20" s="45">
        <v>10.199999999999999</v>
      </c>
      <c r="AE20" s="45">
        <v>10.199999999999999</v>
      </c>
      <c r="AF20" s="45">
        <v>10.199999999999999</v>
      </c>
      <c r="AG20" s="49">
        <v>38.46</v>
      </c>
      <c r="AH20" s="47">
        <f t="shared" si="2"/>
        <v>10.199999999999999</v>
      </c>
      <c r="AI20" s="48">
        <f t="shared" si="3"/>
        <v>10.199999999999999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13.6</v>
      </c>
      <c r="C21" s="45">
        <v>13.6</v>
      </c>
      <c r="D21" s="45">
        <v>13.6</v>
      </c>
      <c r="E21" s="45">
        <v>13.6</v>
      </c>
      <c r="F21" s="45">
        <v>13.6</v>
      </c>
      <c r="G21" s="45">
        <v>13.6</v>
      </c>
      <c r="H21" s="45">
        <v>13.6</v>
      </c>
      <c r="I21" s="45">
        <v>13.6</v>
      </c>
      <c r="J21" s="45">
        <v>13.6</v>
      </c>
      <c r="K21" s="45">
        <v>13.6</v>
      </c>
      <c r="L21" s="45">
        <v>13.6</v>
      </c>
      <c r="M21" s="45">
        <v>13.6</v>
      </c>
      <c r="N21" s="45">
        <v>13.6</v>
      </c>
      <c r="O21" s="45">
        <v>13.6</v>
      </c>
      <c r="P21" s="45">
        <v>13.6</v>
      </c>
      <c r="Q21" s="45">
        <v>13.6</v>
      </c>
      <c r="R21" s="45">
        <v>13.6</v>
      </c>
      <c r="S21" s="45">
        <v>13.6</v>
      </c>
      <c r="T21" s="45">
        <v>13.6</v>
      </c>
      <c r="U21" s="45">
        <v>13.6</v>
      </c>
      <c r="V21" s="45">
        <v>13.6</v>
      </c>
      <c r="W21" s="45">
        <v>13.6</v>
      </c>
      <c r="X21" s="45">
        <v>13.6</v>
      </c>
      <c r="Y21" s="45">
        <v>13.6</v>
      </c>
      <c r="Z21" s="45">
        <v>13.6</v>
      </c>
      <c r="AA21" s="45">
        <v>13.6</v>
      </c>
      <c r="AB21" s="45">
        <v>13.6</v>
      </c>
      <c r="AC21" s="45">
        <v>13.6</v>
      </c>
      <c r="AD21" s="45">
        <v>13.6</v>
      </c>
      <c r="AE21" s="45">
        <v>13.6</v>
      </c>
      <c r="AF21" s="45">
        <v>13.6</v>
      </c>
      <c r="AG21" s="49">
        <v>36</v>
      </c>
      <c r="AH21" s="47">
        <f t="shared" si="2"/>
        <v>13.6</v>
      </c>
      <c r="AI21" s="48">
        <f t="shared" si="3"/>
        <v>13.6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9.1</v>
      </c>
      <c r="C22" s="45">
        <v>9.1</v>
      </c>
      <c r="D22" s="45">
        <v>9.3000000000000007</v>
      </c>
      <c r="E22" s="45">
        <v>9.3000000000000007</v>
      </c>
      <c r="F22" s="45">
        <v>9.3000000000000007</v>
      </c>
      <c r="G22" s="45">
        <v>9.3000000000000007</v>
      </c>
      <c r="H22" s="45">
        <v>9.3000000000000007</v>
      </c>
      <c r="I22" s="45">
        <v>9.3000000000000007</v>
      </c>
      <c r="J22" s="45">
        <v>9.3000000000000007</v>
      </c>
      <c r="K22" s="45">
        <v>9.3000000000000007</v>
      </c>
      <c r="L22" s="45">
        <v>9.3000000000000007</v>
      </c>
      <c r="M22" s="45">
        <v>9.3000000000000007</v>
      </c>
      <c r="N22" s="45">
        <v>9.3000000000000007</v>
      </c>
      <c r="O22" s="45">
        <v>9.3000000000000007</v>
      </c>
      <c r="P22" s="45">
        <v>9.3000000000000007</v>
      </c>
      <c r="Q22" s="45">
        <v>9.3000000000000007</v>
      </c>
      <c r="R22" s="45">
        <v>9.3000000000000007</v>
      </c>
      <c r="S22" s="45">
        <v>9.3000000000000007</v>
      </c>
      <c r="T22" s="45">
        <v>9.3000000000000007</v>
      </c>
      <c r="U22" s="45">
        <v>9.3000000000000007</v>
      </c>
      <c r="V22" s="45">
        <v>9.3000000000000007</v>
      </c>
      <c r="W22" s="45">
        <v>9.3000000000000007</v>
      </c>
      <c r="X22" s="45">
        <v>9.3000000000000007</v>
      </c>
      <c r="Y22" s="45">
        <v>9.3000000000000007</v>
      </c>
      <c r="Z22" s="45">
        <v>9.3000000000000007</v>
      </c>
      <c r="AA22" s="45">
        <v>9.3000000000000007</v>
      </c>
      <c r="AB22" s="45">
        <v>9.3000000000000007</v>
      </c>
      <c r="AC22" s="45">
        <v>9.3000000000000007</v>
      </c>
      <c r="AD22" s="45">
        <v>9.3000000000000007</v>
      </c>
      <c r="AE22" s="45">
        <v>9.3000000000000007</v>
      </c>
      <c r="AF22" s="45">
        <v>9.3000000000000007</v>
      </c>
      <c r="AG22" s="52">
        <v>30</v>
      </c>
      <c r="AH22" s="47">
        <f t="shared" si="2"/>
        <v>9.3000000000000007</v>
      </c>
      <c r="AI22" s="48">
        <f t="shared" si="3"/>
        <v>9.1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9</v>
      </c>
      <c r="C23" s="45">
        <v>9</v>
      </c>
      <c r="D23" s="45">
        <v>9</v>
      </c>
      <c r="E23" s="45">
        <v>9</v>
      </c>
      <c r="F23" s="45">
        <v>9</v>
      </c>
      <c r="G23" s="45">
        <v>9</v>
      </c>
      <c r="H23" s="45">
        <v>9</v>
      </c>
      <c r="I23" s="45">
        <v>9</v>
      </c>
      <c r="J23" s="45">
        <v>9</v>
      </c>
      <c r="K23" s="45">
        <v>9</v>
      </c>
      <c r="L23" s="45">
        <v>9</v>
      </c>
      <c r="M23" s="45">
        <v>9</v>
      </c>
      <c r="N23" s="45">
        <v>9</v>
      </c>
      <c r="O23" s="45">
        <v>9</v>
      </c>
      <c r="P23" s="45">
        <v>9</v>
      </c>
      <c r="Q23" s="45">
        <v>9</v>
      </c>
      <c r="R23" s="45">
        <v>9</v>
      </c>
      <c r="S23" s="45">
        <v>9</v>
      </c>
      <c r="T23" s="45">
        <v>9</v>
      </c>
      <c r="U23" s="45">
        <v>9</v>
      </c>
      <c r="V23" s="45">
        <v>9</v>
      </c>
      <c r="W23" s="45">
        <v>9</v>
      </c>
      <c r="X23" s="45">
        <v>9</v>
      </c>
      <c r="Y23" s="45">
        <v>9</v>
      </c>
      <c r="Z23" s="45">
        <v>9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9</v>
      </c>
      <c r="AG23" s="49">
        <v>24.2</v>
      </c>
      <c r="AH23" s="47">
        <f t="shared" si="2"/>
        <v>9</v>
      </c>
      <c r="AI23" s="48">
        <f t="shared" si="3"/>
        <v>9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9.6</v>
      </c>
      <c r="C24" s="45">
        <v>9.6999999999999993</v>
      </c>
      <c r="D24" s="45">
        <v>9.6999999999999993</v>
      </c>
      <c r="E24" s="45">
        <v>9.6999999999999993</v>
      </c>
      <c r="F24" s="45">
        <v>9.6999999999999993</v>
      </c>
      <c r="G24" s="45">
        <v>9.6999999999999993</v>
      </c>
      <c r="H24" s="45">
        <v>9.6999999999999993</v>
      </c>
      <c r="I24" s="45">
        <v>9.6999999999999993</v>
      </c>
      <c r="J24" s="45">
        <v>9.6999999999999993</v>
      </c>
      <c r="K24" s="45">
        <v>9.6999999999999993</v>
      </c>
      <c r="L24" s="45">
        <v>9.6999999999999993</v>
      </c>
      <c r="M24" s="45">
        <v>9.6999999999999993</v>
      </c>
      <c r="N24" s="45">
        <v>9.6999999999999993</v>
      </c>
      <c r="O24" s="45">
        <v>9.6999999999999993</v>
      </c>
      <c r="P24" s="45">
        <v>9.6999999999999993</v>
      </c>
      <c r="Q24" s="45">
        <v>9.6999999999999993</v>
      </c>
      <c r="R24" s="45">
        <v>9.6999999999999993</v>
      </c>
      <c r="S24" s="45">
        <v>9.6999999999999993</v>
      </c>
      <c r="T24" s="45">
        <v>9.6999999999999993</v>
      </c>
      <c r="U24" s="45">
        <v>9.6999999999999993</v>
      </c>
      <c r="V24" s="45">
        <v>9.6999999999999993</v>
      </c>
      <c r="W24" s="45">
        <v>9.6999999999999993</v>
      </c>
      <c r="X24" s="45">
        <v>9.6999999999999993</v>
      </c>
      <c r="Y24" s="45">
        <v>9.6999999999999993</v>
      </c>
      <c r="Z24" s="45">
        <v>9.6999999999999993</v>
      </c>
      <c r="AA24" s="45">
        <v>9.6999999999999993</v>
      </c>
      <c r="AB24" s="45">
        <v>9.6999999999999993</v>
      </c>
      <c r="AC24" s="45">
        <v>9.6999999999999993</v>
      </c>
      <c r="AD24" s="45">
        <v>9.6999999999999993</v>
      </c>
      <c r="AE24" s="45">
        <v>9.6999999999999993</v>
      </c>
      <c r="AF24" s="45">
        <v>9.6999999999999993</v>
      </c>
      <c r="AG24" s="49">
        <v>28</v>
      </c>
      <c r="AH24" s="47">
        <f t="shared" si="2"/>
        <v>9.6999999999999993</v>
      </c>
      <c r="AI24" s="48">
        <f t="shared" si="3"/>
        <v>9.6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8.1999999999999993</v>
      </c>
      <c r="C25" s="45">
        <v>8.1999999999999993</v>
      </c>
      <c r="D25" s="45">
        <v>8.1999999999999993</v>
      </c>
      <c r="E25" s="45">
        <v>8.1999999999999993</v>
      </c>
      <c r="F25" s="45">
        <v>8.1999999999999993</v>
      </c>
      <c r="G25" s="45">
        <v>8.1999999999999993</v>
      </c>
      <c r="H25" s="45">
        <v>8.1999999999999993</v>
      </c>
      <c r="I25" s="45">
        <v>8.1999999999999993</v>
      </c>
      <c r="J25" s="45">
        <v>8.1999999999999993</v>
      </c>
      <c r="K25" s="45">
        <v>8.1999999999999993</v>
      </c>
      <c r="L25" s="45">
        <v>8.1999999999999993</v>
      </c>
      <c r="M25" s="45">
        <v>8.1999999999999993</v>
      </c>
      <c r="N25" s="45">
        <v>8.1999999999999993</v>
      </c>
      <c r="O25" s="45">
        <v>8.1999999999999993</v>
      </c>
      <c r="P25" s="45">
        <v>8.1999999999999993</v>
      </c>
      <c r="Q25" s="45">
        <v>8.1999999999999993</v>
      </c>
      <c r="R25" s="45">
        <v>8.1999999999999993</v>
      </c>
      <c r="S25" s="45">
        <v>8.1999999999999993</v>
      </c>
      <c r="T25" s="45">
        <v>8.1999999999999993</v>
      </c>
      <c r="U25" s="45">
        <v>8.1999999999999993</v>
      </c>
      <c r="V25" s="45">
        <v>8.1999999999999993</v>
      </c>
      <c r="W25" s="45">
        <v>8.1999999999999993</v>
      </c>
      <c r="X25" s="45">
        <v>8.1999999999999993</v>
      </c>
      <c r="Y25" s="45">
        <v>8.1999999999999993</v>
      </c>
      <c r="Z25" s="45">
        <v>8.1999999999999993</v>
      </c>
      <c r="AA25" s="45">
        <v>8.1999999999999993</v>
      </c>
      <c r="AB25" s="45">
        <v>8.1999999999999993</v>
      </c>
      <c r="AC25" s="45">
        <v>8.1999999999999993</v>
      </c>
      <c r="AD25" s="45">
        <v>8.1999999999999993</v>
      </c>
      <c r="AE25" s="45">
        <v>8.1999999999999993</v>
      </c>
      <c r="AF25" s="45">
        <v>8.1999999999999993</v>
      </c>
      <c r="AG25" s="52">
        <v>30</v>
      </c>
      <c r="AH25" s="47">
        <f t="shared" si="2"/>
        <v>8.1999999999999993</v>
      </c>
      <c r="AI25" s="48">
        <f t="shared" si="3"/>
        <v>8.1999999999999993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9.6</v>
      </c>
      <c r="C26" s="45">
        <v>9.6</v>
      </c>
      <c r="D26" s="45">
        <v>9.6</v>
      </c>
      <c r="E26" s="45">
        <v>9.6</v>
      </c>
      <c r="F26" s="45">
        <v>9.6</v>
      </c>
      <c r="G26" s="45">
        <v>9.6</v>
      </c>
      <c r="H26" s="45">
        <v>9.6</v>
      </c>
      <c r="I26" s="45">
        <v>9.6</v>
      </c>
      <c r="J26" s="45">
        <v>9.6</v>
      </c>
      <c r="K26" s="45">
        <v>9.6</v>
      </c>
      <c r="L26" s="45">
        <v>9.6</v>
      </c>
      <c r="M26" s="45">
        <v>9.6</v>
      </c>
      <c r="N26" s="45">
        <v>9.6</v>
      </c>
      <c r="O26" s="45">
        <v>9.6</v>
      </c>
      <c r="P26" s="45">
        <v>9.6</v>
      </c>
      <c r="Q26" s="45">
        <v>9.6</v>
      </c>
      <c r="R26" s="45">
        <v>9.6</v>
      </c>
      <c r="S26" s="45">
        <v>9.6</v>
      </c>
      <c r="T26" s="45">
        <v>9.6</v>
      </c>
      <c r="U26" s="45">
        <v>9.6</v>
      </c>
      <c r="V26" s="45">
        <v>9.6</v>
      </c>
      <c r="W26" s="45">
        <v>9.6</v>
      </c>
      <c r="X26" s="45">
        <v>9.6</v>
      </c>
      <c r="Y26" s="45">
        <v>9.6</v>
      </c>
      <c r="Z26" s="45">
        <v>9.6</v>
      </c>
      <c r="AA26" s="45">
        <v>9.6</v>
      </c>
      <c r="AB26" s="45">
        <v>9.6</v>
      </c>
      <c r="AC26" s="45">
        <v>9.6</v>
      </c>
      <c r="AD26" s="45">
        <v>9.6</v>
      </c>
      <c r="AE26" s="45">
        <v>9.6</v>
      </c>
      <c r="AF26" s="45">
        <v>9.6</v>
      </c>
      <c r="AG26" s="49">
        <v>25</v>
      </c>
      <c r="AH26" s="47">
        <f t="shared" si="2"/>
        <v>9.6</v>
      </c>
      <c r="AI26" s="48">
        <f t="shared" si="3"/>
        <v>9.6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0</v>
      </c>
      <c r="C27" s="45">
        <v>0</v>
      </c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9">
        <v>25</v>
      </c>
      <c r="AH27" s="47">
        <f t="shared" si="2"/>
        <v>0</v>
      </c>
      <c r="AI27" s="48">
        <f t="shared" si="3"/>
        <v>0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7.5</v>
      </c>
      <c r="C28" s="45">
        <v>7.5</v>
      </c>
      <c r="D28" s="45">
        <v>7.5</v>
      </c>
      <c r="E28" s="45">
        <v>7.5</v>
      </c>
      <c r="F28" s="45">
        <v>7.5</v>
      </c>
      <c r="G28" s="45">
        <v>7.5</v>
      </c>
      <c r="H28" s="45">
        <v>7.5</v>
      </c>
      <c r="I28" s="45">
        <v>7.5</v>
      </c>
      <c r="J28" s="45">
        <v>7.5</v>
      </c>
      <c r="K28" s="45">
        <v>7.5</v>
      </c>
      <c r="L28" s="45">
        <v>7.5</v>
      </c>
      <c r="M28" s="45">
        <v>7.5</v>
      </c>
      <c r="N28" s="45">
        <v>7.5</v>
      </c>
      <c r="O28" s="45">
        <v>7.5</v>
      </c>
      <c r="P28" s="45">
        <v>7.5</v>
      </c>
      <c r="Q28" s="45">
        <v>7.5</v>
      </c>
      <c r="R28" s="45">
        <v>7.5</v>
      </c>
      <c r="S28" s="45">
        <v>7.5</v>
      </c>
      <c r="T28" s="45">
        <v>7.5</v>
      </c>
      <c r="U28" s="45">
        <v>7.5</v>
      </c>
      <c r="V28" s="45">
        <v>7.5</v>
      </c>
      <c r="W28" s="45">
        <v>7.5</v>
      </c>
      <c r="X28" s="45">
        <v>7.5</v>
      </c>
      <c r="Y28" s="45">
        <v>7.5</v>
      </c>
      <c r="Z28" s="45">
        <v>7.5</v>
      </c>
      <c r="AA28" s="45">
        <v>7.5</v>
      </c>
      <c r="AB28" s="45">
        <v>7.5</v>
      </c>
      <c r="AC28" s="45">
        <v>7.5</v>
      </c>
      <c r="AD28" s="45">
        <v>7.5</v>
      </c>
      <c r="AE28" s="45">
        <v>7.5</v>
      </c>
      <c r="AF28" s="45">
        <v>7.5</v>
      </c>
      <c r="AG28" s="49">
        <v>25</v>
      </c>
      <c r="AH28" s="47">
        <f t="shared" si="2"/>
        <v>7.5</v>
      </c>
      <c r="AI28" s="48">
        <f t="shared" si="3"/>
        <v>7.5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8.8000000000000007</v>
      </c>
      <c r="C29" s="45">
        <v>9</v>
      </c>
      <c r="D29" s="45">
        <v>9.1</v>
      </c>
      <c r="E29" s="45">
        <v>9.1</v>
      </c>
      <c r="F29" s="45">
        <v>9.1</v>
      </c>
      <c r="G29" s="45">
        <v>9.1</v>
      </c>
      <c r="H29" s="45">
        <v>9.1</v>
      </c>
      <c r="I29" s="45">
        <v>9.1</v>
      </c>
      <c r="J29" s="45">
        <v>9.1</v>
      </c>
      <c r="K29" s="45">
        <v>9.1</v>
      </c>
      <c r="L29" s="45">
        <v>9.1</v>
      </c>
      <c r="M29" s="45">
        <v>9.1</v>
      </c>
      <c r="N29" s="45">
        <v>9.1</v>
      </c>
      <c r="O29" s="45">
        <v>9.1</v>
      </c>
      <c r="P29" s="45">
        <v>9.1</v>
      </c>
      <c r="Q29" s="45">
        <v>9.1</v>
      </c>
      <c r="R29" s="45">
        <v>9.1</v>
      </c>
      <c r="S29" s="45">
        <v>9.1</v>
      </c>
      <c r="T29" s="45">
        <v>9.1</v>
      </c>
      <c r="U29" s="45">
        <v>9.1</v>
      </c>
      <c r="V29" s="45">
        <v>9.1</v>
      </c>
      <c r="W29" s="45">
        <v>9.1</v>
      </c>
      <c r="X29" s="45">
        <v>9.1</v>
      </c>
      <c r="Y29" s="45">
        <v>9.1</v>
      </c>
      <c r="Z29" s="45">
        <v>9.1</v>
      </c>
      <c r="AA29" s="45">
        <v>9.1</v>
      </c>
      <c r="AB29" s="45">
        <v>9.1</v>
      </c>
      <c r="AC29" s="45">
        <v>9.1</v>
      </c>
      <c r="AD29" s="45">
        <v>9.1</v>
      </c>
      <c r="AE29" s="45">
        <v>9.1</v>
      </c>
      <c r="AF29" s="45">
        <v>9.1</v>
      </c>
      <c r="AG29" s="49">
        <v>25</v>
      </c>
      <c r="AH29" s="47">
        <f t="shared" si="2"/>
        <v>9.1</v>
      </c>
      <c r="AI29" s="48">
        <f t="shared" si="3"/>
        <v>8.8000000000000007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8.8000000000000007</v>
      </c>
      <c r="C30" s="45">
        <v>9.1</v>
      </c>
      <c r="D30" s="45">
        <v>9.1</v>
      </c>
      <c r="E30" s="45">
        <v>9.1</v>
      </c>
      <c r="F30" s="45">
        <v>9.1</v>
      </c>
      <c r="G30" s="45">
        <v>9.1</v>
      </c>
      <c r="H30" s="45">
        <v>9.1</v>
      </c>
      <c r="I30" s="45">
        <v>9.1</v>
      </c>
      <c r="J30" s="45">
        <v>9.1</v>
      </c>
      <c r="K30" s="45">
        <v>9.1</v>
      </c>
      <c r="L30" s="45">
        <v>9.1</v>
      </c>
      <c r="M30" s="45">
        <v>9.1</v>
      </c>
      <c r="N30" s="45">
        <v>9.1</v>
      </c>
      <c r="O30" s="45">
        <v>9.1</v>
      </c>
      <c r="P30" s="45">
        <v>9.1</v>
      </c>
      <c r="Q30" s="45">
        <v>9.1</v>
      </c>
      <c r="R30" s="45">
        <v>9.1</v>
      </c>
      <c r="S30" s="45">
        <v>9.1</v>
      </c>
      <c r="T30" s="45">
        <v>9.1</v>
      </c>
      <c r="U30" s="45">
        <v>9.1</v>
      </c>
      <c r="V30" s="45">
        <v>9.1</v>
      </c>
      <c r="W30" s="45">
        <v>9.1</v>
      </c>
      <c r="X30" s="45">
        <v>9.1</v>
      </c>
      <c r="Y30" s="45">
        <v>9.1</v>
      </c>
      <c r="Z30" s="45">
        <v>9.1</v>
      </c>
      <c r="AA30" s="45">
        <v>9.1</v>
      </c>
      <c r="AB30" s="45">
        <v>9.1</v>
      </c>
      <c r="AC30" s="45">
        <v>9.1</v>
      </c>
      <c r="AD30" s="45">
        <v>9.1</v>
      </c>
      <c r="AE30" s="45">
        <v>9.1</v>
      </c>
      <c r="AF30" s="45">
        <v>9.1</v>
      </c>
      <c r="AG30" s="49">
        <v>23.5</v>
      </c>
      <c r="AH30" s="47">
        <f t="shared" si="2"/>
        <v>9.1</v>
      </c>
      <c r="AI30" s="48">
        <f t="shared" si="3"/>
        <v>8.8000000000000007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4.5</v>
      </c>
      <c r="C31" s="45">
        <v>4.5</v>
      </c>
      <c r="D31" s="45">
        <v>4.5</v>
      </c>
      <c r="E31" s="45">
        <v>4.5</v>
      </c>
      <c r="F31" s="45">
        <v>4.5</v>
      </c>
      <c r="G31" s="45">
        <v>4.5</v>
      </c>
      <c r="H31" s="45">
        <v>4.5</v>
      </c>
      <c r="I31" s="45">
        <v>4.5</v>
      </c>
      <c r="J31" s="45">
        <v>4.5</v>
      </c>
      <c r="K31" s="45">
        <v>4.5</v>
      </c>
      <c r="L31" s="45">
        <v>4.5</v>
      </c>
      <c r="M31" s="45">
        <v>4.5</v>
      </c>
      <c r="N31" s="45">
        <v>4.5</v>
      </c>
      <c r="O31" s="45">
        <v>4.5</v>
      </c>
      <c r="P31" s="45">
        <v>4.5</v>
      </c>
      <c r="Q31" s="45">
        <v>4.5</v>
      </c>
      <c r="R31" s="45">
        <v>4.5</v>
      </c>
      <c r="S31" s="45">
        <v>4.5</v>
      </c>
      <c r="T31" s="45">
        <v>4.5</v>
      </c>
      <c r="U31" s="45">
        <v>4.5</v>
      </c>
      <c r="V31" s="45">
        <v>4.5</v>
      </c>
      <c r="W31" s="45">
        <v>4.5</v>
      </c>
      <c r="X31" s="45">
        <v>4.5</v>
      </c>
      <c r="Y31" s="45">
        <v>4.5</v>
      </c>
      <c r="Z31" s="45">
        <v>4.5</v>
      </c>
      <c r="AA31" s="45">
        <v>4.5</v>
      </c>
      <c r="AB31" s="45">
        <v>4.5</v>
      </c>
      <c r="AC31" s="45">
        <v>4.5</v>
      </c>
      <c r="AD31" s="45">
        <v>4.5</v>
      </c>
      <c r="AE31" s="45">
        <v>4.5</v>
      </c>
      <c r="AF31" s="45">
        <v>4.5</v>
      </c>
      <c r="AG31" s="49">
        <v>22.2</v>
      </c>
      <c r="AH31" s="47">
        <f t="shared" si="2"/>
        <v>4.5</v>
      </c>
      <c r="AI31" s="48">
        <f t="shared" si="3"/>
        <v>4.5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>
        <v>5.5</v>
      </c>
      <c r="N32" s="45">
        <v>5.5</v>
      </c>
      <c r="O32" s="45">
        <v>5.5</v>
      </c>
      <c r="P32" s="45">
        <v>5.5</v>
      </c>
      <c r="Q32" s="45">
        <v>5.5</v>
      </c>
      <c r="R32" s="45">
        <v>5.5</v>
      </c>
      <c r="S32" s="45">
        <v>5.5</v>
      </c>
      <c r="T32" s="45">
        <v>5.5</v>
      </c>
      <c r="U32" s="45">
        <v>5.5</v>
      </c>
      <c r="V32" s="45">
        <v>5.5</v>
      </c>
      <c r="W32" s="45">
        <v>5.5</v>
      </c>
      <c r="X32" s="45">
        <v>5.5</v>
      </c>
      <c r="Y32" s="45">
        <v>5.5</v>
      </c>
      <c r="Z32" s="45">
        <v>5.5</v>
      </c>
      <c r="AA32" s="45">
        <v>5.5</v>
      </c>
      <c r="AB32" s="45">
        <v>5.5</v>
      </c>
      <c r="AC32" s="45">
        <v>5.5</v>
      </c>
      <c r="AD32" s="45">
        <v>5.5</v>
      </c>
      <c r="AE32" s="45">
        <v>5.5</v>
      </c>
      <c r="AF32" s="45">
        <v>5.5</v>
      </c>
      <c r="AG32" s="49">
        <v>22.1</v>
      </c>
      <c r="AH32" s="47">
        <f t="shared" si="2"/>
        <v>5.5</v>
      </c>
      <c r="AI32" s="48">
        <f t="shared" si="3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22</v>
      </c>
      <c r="AH33" s="47">
        <f t="shared" si="2"/>
        <v>6</v>
      </c>
      <c r="AI33" s="48">
        <f t="shared" si="3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11.5</v>
      </c>
      <c r="C34" s="45">
        <v>12</v>
      </c>
      <c r="D34" s="45">
        <v>11.7</v>
      </c>
      <c r="E34" s="45">
        <v>11.7</v>
      </c>
      <c r="F34" s="45">
        <v>11.7</v>
      </c>
      <c r="G34" s="45">
        <v>11.7</v>
      </c>
      <c r="H34" s="45">
        <v>11.7</v>
      </c>
      <c r="I34" s="45">
        <v>11.7</v>
      </c>
      <c r="J34" s="45">
        <v>11.7</v>
      </c>
      <c r="K34" s="45">
        <v>11.7</v>
      </c>
      <c r="L34" s="45">
        <v>11.7</v>
      </c>
      <c r="M34" s="45">
        <v>11.7</v>
      </c>
      <c r="N34" s="45">
        <v>11.7</v>
      </c>
      <c r="O34" s="45">
        <v>11.7</v>
      </c>
      <c r="P34" s="45">
        <v>11.7</v>
      </c>
      <c r="Q34" s="45">
        <v>11.7</v>
      </c>
      <c r="R34" s="45">
        <v>11.7</v>
      </c>
      <c r="S34" s="45">
        <v>11.7</v>
      </c>
      <c r="T34" s="45">
        <v>11.7</v>
      </c>
      <c r="U34" s="45">
        <v>11.7</v>
      </c>
      <c r="V34" s="45">
        <v>11.7</v>
      </c>
      <c r="W34" s="45">
        <v>11.7</v>
      </c>
      <c r="X34" s="45">
        <v>11.7</v>
      </c>
      <c r="Y34" s="45">
        <v>11.7</v>
      </c>
      <c r="Z34" s="45">
        <v>11.7</v>
      </c>
      <c r="AA34" s="45">
        <v>11.7</v>
      </c>
      <c r="AB34" s="45">
        <v>11.7</v>
      </c>
      <c r="AC34" s="45">
        <v>11.7</v>
      </c>
      <c r="AD34" s="45">
        <v>11.7</v>
      </c>
      <c r="AE34" s="45">
        <v>11.7</v>
      </c>
      <c r="AF34" s="45">
        <v>11.7</v>
      </c>
      <c r="AG34" s="49">
        <v>22</v>
      </c>
      <c r="AH34" s="47">
        <f t="shared" si="2"/>
        <v>12</v>
      </c>
      <c r="AI34" s="48">
        <f t="shared" si="3"/>
        <v>11.5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6.5</v>
      </c>
      <c r="C35" s="45">
        <v>6.5</v>
      </c>
      <c r="D35" s="45">
        <v>6.5</v>
      </c>
      <c r="E35" s="45">
        <v>6.5</v>
      </c>
      <c r="F35" s="45">
        <v>6.5</v>
      </c>
      <c r="G35" s="45">
        <v>6.5</v>
      </c>
      <c r="H35" s="45">
        <v>6.5</v>
      </c>
      <c r="I35" s="45">
        <v>6.5</v>
      </c>
      <c r="J35" s="45">
        <v>6.5</v>
      </c>
      <c r="K35" s="45">
        <v>6.5</v>
      </c>
      <c r="L35" s="45">
        <v>6.5</v>
      </c>
      <c r="M35" s="45">
        <v>6.5</v>
      </c>
      <c r="N35" s="45">
        <v>6.5</v>
      </c>
      <c r="O35" s="45">
        <v>6.5</v>
      </c>
      <c r="P35" s="45">
        <v>6.5</v>
      </c>
      <c r="Q35" s="45">
        <v>6.5</v>
      </c>
      <c r="R35" s="45">
        <v>6.5</v>
      </c>
      <c r="S35" s="45">
        <v>6.5</v>
      </c>
      <c r="T35" s="45">
        <v>6.5</v>
      </c>
      <c r="U35" s="45">
        <v>6.5</v>
      </c>
      <c r="V35" s="45">
        <v>6.5</v>
      </c>
      <c r="W35" s="45">
        <v>6.5</v>
      </c>
      <c r="X35" s="45">
        <v>6.5</v>
      </c>
      <c r="Y35" s="45">
        <v>6.5</v>
      </c>
      <c r="Z35" s="45">
        <v>6.5</v>
      </c>
      <c r="AA35" s="45">
        <v>6.5</v>
      </c>
      <c r="AB35" s="45">
        <v>6.5</v>
      </c>
      <c r="AC35" s="45">
        <v>6.5</v>
      </c>
      <c r="AD35" s="45">
        <v>6.5</v>
      </c>
      <c r="AE35" s="45">
        <v>6.5</v>
      </c>
      <c r="AF35" s="45">
        <v>6.5</v>
      </c>
      <c r="AG35" s="49">
        <v>20</v>
      </c>
      <c r="AH35" s="47">
        <f t="shared" si="2"/>
        <v>6.5</v>
      </c>
      <c r="AI35" s="48">
        <f t="shared" si="3"/>
        <v>6.5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264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2"/>
        <v>4</v>
      </c>
      <c r="AI36" s="48">
        <f t="shared" si="3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5.5</v>
      </c>
      <c r="C37" s="45">
        <v>5.5</v>
      </c>
      <c r="D37" s="45">
        <v>5.5</v>
      </c>
      <c r="E37" s="45">
        <v>5.5</v>
      </c>
      <c r="F37" s="45">
        <v>5.5</v>
      </c>
      <c r="G37" s="45">
        <v>5.5</v>
      </c>
      <c r="H37" s="45">
        <v>5.5</v>
      </c>
      <c r="I37" s="45">
        <v>5.5</v>
      </c>
      <c r="J37" s="45">
        <v>5.5</v>
      </c>
      <c r="K37" s="45">
        <v>5.5</v>
      </c>
      <c r="L37" s="45">
        <v>5.5</v>
      </c>
      <c r="M37" s="45">
        <v>5.5</v>
      </c>
      <c r="N37" s="45">
        <v>5.5</v>
      </c>
      <c r="O37" s="45">
        <v>5.5</v>
      </c>
      <c r="P37" s="45">
        <v>5.5</v>
      </c>
      <c r="Q37" s="45">
        <v>5.5</v>
      </c>
      <c r="R37" s="45">
        <v>5.5</v>
      </c>
      <c r="S37" s="45">
        <v>5.5</v>
      </c>
      <c r="T37" s="45">
        <v>5.5</v>
      </c>
      <c r="U37" s="45">
        <v>5.5</v>
      </c>
      <c r="V37" s="45">
        <v>5.5</v>
      </c>
      <c r="W37" s="45">
        <v>5.5</v>
      </c>
      <c r="X37" s="45">
        <v>5.5</v>
      </c>
      <c r="Y37" s="45">
        <v>5.5</v>
      </c>
      <c r="Z37" s="45">
        <v>5.5</v>
      </c>
      <c r="AA37" s="45">
        <v>5.5</v>
      </c>
      <c r="AB37" s="45">
        <v>5.5</v>
      </c>
      <c r="AC37" s="45">
        <v>5.5</v>
      </c>
      <c r="AD37" s="45">
        <v>5.5</v>
      </c>
      <c r="AE37" s="45">
        <v>5.5</v>
      </c>
      <c r="AF37" s="45">
        <v>5.5</v>
      </c>
      <c r="AG37" s="49">
        <v>18</v>
      </c>
      <c r="AH37" s="47">
        <f t="shared" si="2"/>
        <v>5.5</v>
      </c>
      <c r="AI37" s="48">
        <f t="shared" si="3"/>
        <v>5.5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>
        <v>7.2</v>
      </c>
      <c r="N38" s="45">
        <v>7.2</v>
      </c>
      <c r="O38" s="45">
        <v>7.2</v>
      </c>
      <c r="P38" s="45">
        <v>7.2</v>
      </c>
      <c r="Q38" s="45">
        <v>7.2</v>
      </c>
      <c r="R38" s="45">
        <v>7.2</v>
      </c>
      <c r="S38" s="45">
        <v>7.2</v>
      </c>
      <c r="T38" s="45">
        <v>7.2</v>
      </c>
      <c r="U38" s="45">
        <v>7.2</v>
      </c>
      <c r="V38" s="45">
        <v>7.2</v>
      </c>
      <c r="W38" s="45">
        <v>7.2</v>
      </c>
      <c r="X38" s="45">
        <v>7.2</v>
      </c>
      <c r="Y38" s="45">
        <v>7.2</v>
      </c>
      <c r="Z38" s="45">
        <v>7.2</v>
      </c>
      <c r="AA38" s="45">
        <v>7.2</v>
      </c>
      <c r="AB38" s="45">
        <v>7.2</v>
      </c>
      <c r="AC38" s="45">
        <v>7.2</v>
      </c>
      <c r="AD38" s="45">
        <v>7.2</v>
      </c>
      <c r="AE38" s="45">
        <v>7.2</v>
      </c>
      <c r="AF38" s="45">
        <v>7.2</v>
      </c>
      <c r="AG38" s="49">
        <v>14.9</v>
      </c>
      <c r="AH38" s="47">
        <f t="shared" si="2"/>
        <v>7.2</v>
      </c>
      <c r="AI38" s="48">
        <f t="shared" si="3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265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2"/>
        <v>5</v>
      </c>
      <c r="AI40" s="48">
        <f t="shared" si="3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266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>
        <v>4</v>
      </c>
      <c r="N41" s="45">
        <v>4</v>
      </c>
      <c r="O41" s="45">
        <v>4</v>
      </c>
      <c r="P41" s="45">
        <v>4</v>
      </c>
      <c r="Q41" s="45">
        <v>4</v>
      </c>
      <c r="R41" s="45">
        <v>4</v>
      </c>
      <c r="S41" s="45">
        <v>4</v>
      </c>
      <c r="T41" s="45">
        <v>4</v>
      </c>
      <c r="U41" s="45">
        <v>4</v>
      </c>
      <c r="V41" s="45">
        <v>4</v>
      </c>
      <c r="W41" s="45">
        <v>4</v>
      </c>
      <c r="X41" s="45">
        <v>4</v>
      </c>
      <c r="Y41" s="45">
        <v>4</v>
      </c>
      <c r="Z41" s="45">
        <v>4</v>
      </c>
      <c r="AA41" s="45">
        <v>4</v>
      </c>
      <c r="AB41" s="45">
        <v>4</v>
      </c>
      <c r="AC41" s="45">
        <v>4</v>
      </c>
      <c r="AD41" s="45">
        <v>4</v>
      </c>
      <c r="AE41" s="45">
        <v>4</v>
      </c>
      <c r="AF41" s="45">
        <v>4</v>
      </c>
      <c r="AG41" s="49">
        <v>14.9</v>
      </c>
      <c r="AH41" s="47">
        <f t="shared" si="2"/>
        <v>4</v>
      </c>
      <c r="AI41" s="48">
        <f t="shared" si="3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2"/>
        <v>1.8</v>
      </c>
      <c r="AI42" s="48">
        <f t="shared" si="3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2"/>
        <v>3.8</v>
      </c>
      <c r="AI43" s="48">
        <f t="shared" si="3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4</v>
      </c>
      <c r="C44" s="45">
        <v>4</v>
      </c>
      <c r="D44" s="45">
        <v>4</v>
      </c>
      <c r="E44" s="45">
        <v>4</v>
      </c>
      <c r="F44" s="45">
        <v>4</v>
      </c>
      <c r="G44" s="45">
        <v>4</v>
      </c>
      <c r="H44" s="45">
        <v>4</v>
      </c>
      <c r="I44" s="45">
        <v>4</v>
      </c>
      <c r="J44" s="45">
        <v>4</v>
      </c>
      <c r="K44" s="45">
        <v>4</v>
      </c>
      <c r="L44" s="45">
        <v>4</v>
      </c>
      <c r="M44" s="45">
        <v>4</v>
      </c>
      <c r="N44" s="45">
        <v>4</v>
      </c>
      <c r="O44" s="45">
        <v>4</v>
      </c>
      <c r="P44" s="45">
        <v>4</v>
      </c>
      <c r="Q44" s="45">
        <v>4</v>
      </c>
      <c r="R44" s="45">
        <v>4</v>
      </c>
      <c r="S44" s="45">
        <v>4</v>
      </c>
      <c r="T44" s="45">
        <v>4</v>
      </c>
      <c r="U44" s="45">
        <v>4</v>
      </c>
      <c r="V44" s="45">
        <v>4</v>
      </c>
      <c r="W44" s="45">
        <v>4</v>
      </c>
      <c r="X44" s="45">
        <v>4</v>
      </c>
      <c r="Y44" s="45">
        <v>4</v>
      </c>
      <c r="Z44" s="45">
        <v>4</v>
      </c>
      <c r="AA44" s="45">
        <v>4</v>
      </c>
      <c r="AB44" s="45">
        <v>4</v>
      </c>
      <c r="AC44" s="45">
        <v>4</v>
      </c>
      <c r="AD44" s="45">
        <v>4</v>
      </c>
      <c r="AE44" s="45">
        <v>4</v>
      </c>
      <c r="AF44" s="45">
        <v>4</v>
      </c>
      <c r="AG44" s="49">
        <v>12</v>
      </c>
      <c r="AH44" s="47">
        <f t="shared" si="2"/>
        <v>4</v>
      </c>
      <c r="AI44" s="48">
        <f t="shared" si="3"/>
        <v>4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49">
        <v>12</v>
      </c>
      <c r="AH45" s="47">
        <f t="shared" si="2"/>
        <v>9</v>
      </c>
      <c r="AI45" s="48">
        <f t="shared" si="3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2"/>
        <v>3</v>
      </c>
      <c r="AI46" s="48">
        <f t="shared" si="3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2"/>
        <v>3.5</v>
      </c>
      <c r="AI47" s="48">
        <f t="shared" si="3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>
        <v>5</v>
      </c>
      <c r="N48" s="45">
        <v>5</v>
      </c>
      <c r="O48" s="45">
        <v>5</v>
      </c>
      <c r="P48" s="45">
        <v>5</v>
      </c>
      <c r="Q48" s="45">
        <v>5</v>
      </c>
      <c r="R48" s="45">
        <v>5</v>
      </c>
      <c r="S48" s="45">
        <v>5</v>
      </c>
      <c r="T48" s="45">
        <v>5</v>
      </c>
      <c r="U48" s="45">
        <v>5</v>
      </c>
      <c r="V48" s="45">
        <v>5</v>
      </c>
      <c r="W48" s="45">
        <v>5</v>
      </c>
      <c r="X48" s="45">
        <v>5</v>
      </c>
      <c r="Y48" s="45">
        <v>5</v>
      </c>
      <c r="Z48" s="45">
        <v>5</v>
      </c>
      <c r="AA48" s="45">
        <v>5</v>
      </c>
      <c r="AB48" s="45">
        <v>5</v>
      </c>
      <c r="AC48" s="45">
        <v>5</v>
      </c>
      <c r="AD48" s="45">
        <v>5</v>
      </c>
      <c r="AE48" s="45">
        <v>5</v>
      </c>
      <c r="AF48" s="45">
        <v>5</v>
      </c>
      <c r="AG48" s="52">
        <v>11.88</v>
      </c>
      <c r="AH48" s="47">
        <f t="shared" si="2"/>
        <v>5</v>
      </c>
      <c r="AI48" s="48">
        <f t="shared" si="3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>
        <v>3</v>
      </c>
      <c r="N49" s="45">
        <v>3</v>
      </c>
      <c r="O49" s="45">
        <v>3</v>
      </c>
      <c r="P49" s="45">
        <v>3</v>
      </c>
      <c r="Q49" s="45">
        <v>3</v>
      </c>
      <c r="R49" s="45">
        <v>3</v>
      </c>
      <c r="S49" s="45">
        <v>3</v>
      </c>
      <c r="T49" s="45">
        <v>3</v>
      </c>
      <c r="U49" s="45">
        <v>3</v>
      </c>
      <c r="V49" s="45">
        <v>3</v>
      </c>
      <c r="W49" s="45">
        <v>3</v>
      </c>
      <c r="X49" s="45">
        <v>3</v>
      </c>
      <c r="Y49" s="45">
        <v>3</v>
      </c>
      <c r="Z49" s="45">
        <v>3</v>
      </c>
      <c r="AA49" s="45">
        <v>3</v>
      </c>
      <c r="AB49" s="45">
        <v>3</v>
      </c>
      <c r="AC49" s="45">
        <v>3</v>
      </c>
      <c r="AD49" s="45">
        <v>3</v>
      </c>
      <c r="AE49" s="45">
        <v>3</v>
      </c>
      <c r="AF49" s="45">
        <v>3</v>
      </c>
      <c r="AG49" s="55">
        <v>11</v>
      </c>
      <c r="AH49" s="47">
        <f t="shared" si="2"/>
        <v>3</v>
      </c>
      <c r="AI49" s="48">
        <f t="shared" si="3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267</v>
      </c>
      <c r="B50" s="45">
        <v>3.3</v>
      </c>
      <c r="C50" s="45">
        <v>3.3</v>
      </c>
      <c r="D50" s="45">
        <v>3.3</v>
      </c>
      <c r="E50" s="45">
        <v>3.3</v>
      </c>
      <c r="F50" s="45">
        <v>3.3</v>
      </c>
      <c r="G50" s="45">
        <v>3.3</v>
      </c>
      <c r="H50" s="45">
        <v>3.3</v>
      </c>
      <c r="I50" s="45">
        <v>3.3</v>
      </c>
      <c r="J50" s="45">
        <v>3.3</v>
      </c>
      <c r="K50" s="45">
        <v>3.3</v>
      </c>
      <c r="L50" s="45">
        <v>3.3</v>
      </c>
      <c r="M50" s="45">
        <v>3.3</v>
      </c>
      <c r="N50" s="45">
        <v>3.3</v>
      </c>
      <c r="O50" s="45">
        <v>3.3</v>
      </c>
      <c r="P50" s="45">
        <v>3.3</v>
      </c>
      <c r="Q50" s="45">
        <v>3.3</v>
      </c>
      <c r="R50" s="45">
        <v>3.3</v>
      </c>
      <c r="S50" s="45">
        <v>3.3</v>
      </c>
      <c r="T50" s="45">
        <v>3.3</v>
      </c>
      <c r="U50" s="45">
        <v>3.3</v>
      </c>
      <c r="V50" s="45">
        <v>3.3</v>
      </c>
      <c r="W50" s="45">
        <v>3.3</v>
      </c>
      <c r="X50" s="45">
        <v>3.3</v>
      </c>
      <c r="Y50" s="45">
        <v>3.3</v>
      </c>
      <c r="Z50" s="45">
        <v>3.3</v>
      </c>
      <c r="AA50" s="45">
        <v>3.3</v>
      </c>
      <c r="AB50" s="45">
        <v>3.3</v>
      </c>
      <c r="AC50" s="45">
        <v>3.3</v>
      </c>
      <c r="AD50" s="45">
        <v>3.3</v>
      </c>
      <c r="AE50" s="45">
        <v>3.3</v>
      </c>
      <c r="AF50" s="45">
        <v>3.3</v>
      </c>
      <c r="AG50" s="55">
        <v>11</v>
      </c>
      <c r="AH50" s="47">
        <f t="shared" si="2"/>
        <v>3.3</v>
      </c>
      <c r="AI50" s="48">
        <f t="shared" si="3"/>
        <v>3.3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268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"/>
        <v>3</v>
      </c>
      <c r="AI51" s="48">
        <f t="shared" si="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2"/>
        <v>4</v>
      </c>
      <c r="AI52" s="48">
        <f t="shared" si="3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"/>
        <v>4.5</v>
      </c>
      <c r="AI53" s="48">
        <f t="shared" si="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269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"/>
        <v>0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175</v>
      </c>
      <c r="C56" s="57">
        <v>175</v>
      </c>
      <c r="D56" s="57">
        <v>175</v>
      </c>
      <c r="E56" s="57">
        <v>175</v>
      </c>
      <c r="F56" s="57">
        <v>175</v>
      </c>
      <c r="G56" s="57">
        <v>175</v>
      </c>
      <c r="H56" s="57">
        <v>175</v>
      </c>
      <c r="I56" s="57">
        <v>175</v>
      </c>
      <c r="J56" s="57">
        <v>175</v>
      </c>
      <c r="K56" s="57">
        <v>175</v>
      </c>
      <c r="L56" s="57">
        <v>175</v>
      </c>
      <c r="M56" s="57">
        <v>175</v>
      </c>
      <c r="N56" s="57">
        <v>175</v>
      </c>
      <c r="O56" s="57">
        <v>175</v>
      </c>
      <c r="P56" s="57">
        <v>175</v>
      </c>
      <c r="Q56" s="57">
        <v>175</v>
      </c>
      <c r="R56" s="57">
        <v>175</v>
      </c>
      <c r="S56" s="57">
        <v>175</v>
      </c>
      <c r="T56" s="57">
        <v>175</v>
      </c>
      <c r="U56" s="57">
        <v>175</v>
      </c>
      <c r="V56" s="57">
        <v>175</v>
      </c>
      <c r="W56" s="57">
        <v>175</v>
      </c>
      <c r="X56" s="57">
        <v>175</v>
      </c>
      <c r="Y56" s="57">
        <v>175</v>
      </c>
      <c r="Z56" s="57">
        <v>175</v>
      </c>
      <c r="AA56" s="57">
        <v>175</v>
      </c>
      <c r="AB56" s="57">
        <v>175</v>
      </c>
      <c r="AC56" s="57">
        <v>175</v>
      </c>
      <c r="AD56" s="57">
        <v>175</v>
      </c>
      <c r="AE56" s="57">
        <v>175</v>
      </c>
      <c r="AF56" s="57">
        <v>175</v>
      </c>
      <c r="AG56" s="55">
        <v>85</v>
      </c>
      <c r="AH56" s="47">
        <f t="shared" si="2"/>
        <v>175</v>
      </c>
      <c r="AI56" s="48">
        <f t="shared" si="3"/>
        <v>175</v>
      </c>
      <c r="AK56" s="50"/>
    </row>
    <row r="57" spans="1:88" ht="15.75" thickBot="1" x14ac:dyDescent="0.3">
      <c r="A57" s="58" t="s">
        <v>57</v>
      </c>
      <c r="B57" s="57">
        <f>5.9+18.4</f>
        <v>24.299999999999997</v>
      </c>
      <c r="C57" s="57">
        <f>8.3+22.3</f>
        <v>30.6</v>
      </c>
      <c r="D57" s="57">
        <f>7.9+21.7</f>
        <v>29.6</v>
      </c>
      <c r="E57" s="57">
        <v>29.2</v>
      </c>
      <c r="F57" s="57">
        <v>29.2</v>
      </c>
      <c r="G57" s="57">
        <v>29.2</v>
      </c>
      <c r="H57" s="57">
        <v>29.2</v>
      </c>
      <c r="I57" s="57">
        <v>26.3</v>
      </c>
      <c r="J57" s="57">
        <v>26.3</v>
      </c>
      <c r="K57" s="57">
        <v>26.3</v>
      </c>
      <c r="L57" s="57">
        <v>24.6</v>
      </c>
      <c r="M57" s="57">
        <v>24.6</v>
      </c>
      <c r="N57" s="57">
        <v>24.6</v>
      </c>
      <c r="O57" s="57">
        <v>24.6</v>
      </c>
      <c r="P57" s="57">
        <v>24.6</v>
      </c>
      <c r="Q57" s="57">
        <v>24.6</v>
      </c>
      <c r="R57" s="57">
        <v>24.6</v>
      </c>
      <c r="S57" s="57">
        <v>24.6</v>
      </c>
      <c r="T57" s="57">
        <v>24.6</v>
      </c>
      <c r="U57" s="57">
        <v>24.6</v>
      </c>
      <c r="V57" s="57">
        <v>24.6</v>
      </c>
      <c r="W57" s="57">
        <v>24.6</v>
      </c>
      <c r="X57" s="57">
        <v>24.6</v>
      </c>
      <c r="Y57" s="57">
        <v>24.6</v>
      </c>
      <c r="Z57" s="57">
        <f>4.6+15.3</f>
        <v>19.899999999999999</v>
      </c>
      <c r="AA57" s="57">
        <f>4.6+15.3</f>
        <v>19.899999999999999</v>
      </c>
      <c r="AB57" s="57">
        <v>20.7</v>
      </c>
      <c r="AC57" s="57">
        <v>20.7</v>
      </c>
      <c r="AD57" s="57">
        <f>5.8+18</f>
        <v>23.8</v>
      </c>
      <c r="AE57" s="57">
        <f>5.8+18</f>
        <v>23.8</v>
      </c>
      <c r="AF57" s="57">
        <f>5.8+18</f>
        <v>23.8</v>
      </c>
      <c r="AG57" s="55">
        <v>240</v>
      </c>
      <c r="AH57" s="47">
        <f t="shared" si="2"/>
        <v>30.6</v>
      </c>
      <c r="AI57" s="48">
        <f t="shared" si="3"/>
        <v>19.899999999999999</v>
      </c>
      <c r="AK57" s="50"/>
    </row>
    <row r="58" spans="1:88" ht="15.75" thickBot="1" x14ac:dyDescent="0.3">
      <c r="A58" s="59" t="s">
        <v>58</v>
      </c>
      <c r="B58" s="60">
        <f t="shared" ref="B58:C58" si="4">SUM(B11:B56)</f>
        <v>548.79999999999995</v>
      </c>
      <c r="C58" s="60">
        <f t="shared" si="4"/>
        <v>547.09999999999991</v>
      </c>
      <c r="D58" s="60">
        <f t="shared" ref="D58" si="5">SUM(D11:D56)</f>
        <v>547.9</v>
      </c>
      <c r="E58" s="60">
        <f t="shared" ref="E58:AF58" si="6">SUM(E11:E56)</f>
        <v>547.9</v>
      </c>
      <c r="F58" s="60">
        <f t="shared" si="6"/>
        <v>547.9</v>
      </c>
      <c r="G58" s="60">
        <f t="shared" si="6"/>
        <v>547.9</v>
      </c>
      <c r="H58" s="60">
        <f t="shared" si="6"/>
        <v>547.9</v>
      </c>
      <c r="I58" s="60">
        <f t="shared" si="6"/>
        <v>547.9</v>
      </c>
      <c r="J58" s="60">
        <f t="shared" si="6"/>
        <v>547.9</v>
      </c>
      <c r="K58" s="60">
        <f t="shared" si="6"/>
        <v>547.9</v>
      </c>
      <c r="L58" s="60">
        <f t="shared" si="6"/>
        <v>547.9</v>
      </c>
      <c r="M58" s="60">
        <f t="shared" si="6"/>
        <v>547.9</v>
      </c>
      <c r="N58" s="60">
        <f t="shared" si="6"/>
        <v>547.9</v>
      </c>
      <c r="O58" s="60">
        <f t="shared" si="6"/>
        <v>547.9</v>
      </c>
      <c r="P58" s="60">
        <f t="shared" si="6"/>
        <v>545.5</v>
      </c>
      <c r="Q58" s="60">
        <f t="shared" ref="Q58" si="7">SUM(Q11:Q56)</f>
        <v>545.5</v>
      </c>
      <c r="R58" s="60">
        <f t="shared" si="6"/>
        <v>545.5</v>
      </c>
      <c r="S58" s="60">
        <f t="shared" ref="S58:T58" si="8">SUM(S11:S56)</f>
        <v>545.5</v>
      </c>
      <c r="T58" s="60">
        <f t="shared" si="8"/>
        <v>545.5</v>
      </c>
      <c r="U58" s="60">
        <f t="shared" ref="U58:V58" si="9">SUM(U11:U56)</f>
        <v>545.5</v>
      </c>
      <c r="V58" s="60">
        <f t="shared" si="9"/>
        <v>545.5</v>
      </c>
      <c r="W58" s="60">
        <f t="shared" ref="W58:Y58" si="10">SUM(W11:W56)</f>
        <v>545.5</v>
      </c>
      <c r="X58" s="60">
        <f t="shared" si="10"/>
        <v>545.5</v>
      </c>
      <c r="Y58" s="60">
        <f t="shared" si="10"/>
        <v>545.5</v>
      </c>
      <c r="Z58" s="60">
        <f t="shared" si="6"/>
        <v>545.5</v>
      </c>
      <c r="AA58" s="60">
        <f t="shared" ref="AA58" si="11">SUM(AA11:AA56)</f>
        <v>545.5</v>
      </c>
      <c r="AB58" s="60">
        <f t="shared" si="6"/>
        <v>545.5</v>
      </c>
      <c r="AC58" s="60">
        <f t="shared" si="6"/>
        <v>545.5</v>
      </c>
      <c r="AD58" s="60">
        <f t="shared" si="6"/>
        <v>547.29999999999995</v>
      </c>
      <c r="AE58" s="60">
        <f t="shared" si="6"/>
        <v>547.79999999999995</v>
      </c>
      <c r="AF58" s="60">
        <f t="shared" si="6"/>
        <v>548.5</v>
      </c>
      <c r="AG58" s="61">
        <f>SUM(AG14:AG56)</f>
        <v>1042.4000000000001</v>
      </c>
      <c r="AH58" s="47">
        <f t="shared" si="2"/>
        <v>548.79999999999995</v>
      </c>
      <c r="AI58" s="48">
        <f t="shared" si="3"/>
        <v>545.5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15</v>
      </c>
      <c r="J59" s="45">
        <v>152</v>
      </c>
      <c r="K59" s="45">
        <v>200</v>
      </c>
      <c r="L59" s="45">
        <v>370</v>
      </c>
      <c r="M59" s="45">
        <v>370</v>
      </c>
      <c r="N59" s="63">
        <v>300</v>
      </c>
      <c r="O59" s="63">
        <v>80</v>
      </c>
      <c r="P59" s="63">
        <v>80</v>
      </c>
      <c r="Q59" s="63">
        <v>80</v>
      </c>
      <c r="R59" s="63">
        <v>0</v>
      </c>
      <c r="S59" s="63">
        <v>0</v>
      </c>
      <c r="T59" s="63">
        <v>0</v>
      </c>
      <c r="U59" s="63">
        <v>0</v>
      </c>
      <c r="V59" s="63">
        <v>70</v>
      </c>
      <c r="W59" s="63">
        <v>120</v>
      </c>
      <c r="X59" s="63">
        <v>290</v>
      </c>
      <c r="Y59" s="45">
        <v>360</v>
      </c>
      <c r="Z59" s="45">
        <v>300</v>
      </c>
      <c r="AA59" s="45">
        <v>190</v>
      </c>
      <c r="AB59" s="45">
        <v>150</v>
      </c>
      <c r="AC59" s="45">
        <v>100</v>
      </c>
      <c r="AD59" s="45">
        <v>100</v>
      </c>
      <c r="AE59" s="45">
        <v>15</v>
      </c>
      <c r="AF59" s="45">
        <v>0</v>
      </c>
      <c r="AG59" s="52">
        <v>456</v>
      </c>
      <c r="AH59" s="47">
        <f t="shared" si="2"/>
        <v>370</v>
      </c>
      <c r="AI59" s="48">
        <f t="shared" si="3"/>
        <v>0</v>
      </c>
      <c r="AK59" s="50"/>
    </row>
    <row r="60" spans="1:88" x14ac:dyDescent="0.25">
      <c r="A60" s="64" t="s">
        <v>60</v>
      </c>
      <c r="B60" s="65">
        <v>36.5</v>
      </c>
      <c r="C60" s="65">
        <v>36.5</v>
      </c>
      <c r="D60" s="65">
        <v>36.5</v>
      </c>
      <c r="E60" s="65">
        <v>36.5</v>
      </c>
      <c r="F60" s="65">
        <v>36.5</v>
      </c>
      <c r="G60" s="65">
        <v>36.5</v>
      </c>
      <c r="H60" s="65">
        <v>36.5</v>
      </c>
      <c r="I60" s="65">
        <v>36.5</v>
      </c>
      <c r="J60" s="65">
        <v>36.5</v>
      </c>
      <c r="K60" s="65">
        <v>36.5</v>
      </c>
      <c r="L60" s="65">
        <v>36.5</v>
      </c>
      <c r="M60" s="65">
        <v>36.5</v>
      </c>
      <c r="N60" s="65">
        <v>36</v>
      </c>
      <c r="O60" s="65">
        <v>36</v>
      </c>
      <c r="P60" s="65">
        <v>36</v>
      </c>
      <c r="Q60" s="65">
        <v>36</v>
      </c>
      <c r="R60" s="65">
        <v>36</v>
      </c>
      <c r="S60" s="65">
        <v>36</v>
      </c>
      <c r="T60" s="65">
        <v>36</v>
      </c>
      <c r="U60" s="65">
        <v>36</v>
      </c>
      <c r="V60" s="65">
        <v>36</v>
      </c>
      <c r="W60" s="65">
        <v>36</v>
      </c>
      <c r="X60" s="65">
        <v>36</v>
      </c>
      <c r="Y60" s="65">
        <v>36</v>
      </c>
      <c r="Z60" s="65">
        <v>36</v>
      </c>
      <c r="AA60" s="65">
        <v>36</v>
      </c>
      <c r="AB60" s="65">
        <v>36</v>
      </c>
      <c r="AC60" s="65">
        <v>36</v>
      </c>
      <c r="AD60" s="65">
        <v>36</v>
      </c>
      <c r="AE60" s="65">
        <v>36</v>
      </c>
      <c r="AF60" s="65">
        <v>36</v>
      </c>
      <c r="AG60" s="55">
        <v>60</v>
      </c>
      <c r="AH60" s="47">
        <f t="shared" si="2"/>
        <v>36.5</v>
      </c>
      <c r="AI60" s="48">
        <f t="shared" si="3"/>
        <v>36</v>
      </c>
      <c r="AK60" s="50"/>
    </row>
    <row r="61" spans="1:88" ht="15.75" thickBot="1" x14ac:dyDescent="0.3">
      <c r="A61" s="66" t="s">
        <v>61</v>
      </c>
      <c r="B61" s="67">
        <v>11.2</v>
      </c>
      <c r="C61" s="67">
        <v>11.2</v>
      </c>
      <c r="D61" s="67">
        <v>11.2</v>
      </c>
      <c r="E61" s="67">
        <v>11.2</v>
      </c>
      <c r="F61" s="67">
        <v>11.2</v>
      </c>
      <c r="G61" s="67">
        <v>11.2</v>
      </c>
      <c r="H61" s="67">
        <v>11.2</v>
      </c>
      <c r="I61" s="67">
        <v>11.2</v>
      </c>
      <c r="J61" s="67">
        <v>11.2</v>
      </c>
      <c r="K61" s="67">
        <v>11.2</v>
      </c>
      <c r="L61" s="67">
        <v>11.2</v>
      </c>
      <c r="M61" s="67">
        <v>11.2</v>
      </c>
      <c r="N61" s="67">
        <v>10.199999999999999</v>
      </c>
      <c r="O61" s="67">
        <v>10.199999999999999</v>
      </c>
      <c r="P61" s="67">
        <v>10.199999999999999</v>
      </c>
      <c r="Q61" s="67">
        <v>10.199999999999999</v>
      </c>
      <c r="R61" s="67">
        <v>10.199999999999999</v>
      </c>
      <c r="S61" s="67">
        <v>10.199999999999999</v>
      </c>
      <c r="T61" s="67">
        <v>10.199999999999999</v>
      </c>
      <c r="U61" s="67">
        <v>10.199999999999999</v>
      </c>
      <c r="V61" s="67">
        <v>10.199999999999999</v>
      </c>
      <c r="W61" s="67">
        <v>10.199999999999999</v>
      </c>
      <c r="X61" s="67">
        <v>10.199999999999999</v>
      </c>
      <c r="Y61" s="67">
        <v>10.199999999999999</v>
      </c>
      <c r="Z61" s="67">
        <v>18.100000000000001</v>
      </c>
      <c r="AA61" s="67">
        <v>18.100000000000001</v>
      </c>
      <c r="AB61" s="67">
        <v>18.100000000000001</v>
      </c>
      <c r="AC61" s="67">
        <v>18.100000000000001</v>
      </c>
      <c r="AD61" s="67">
        <v>11.2</v>
      </c>
      <c r="AE61" s="67">
        <v>11.2</v>
      </c>
      <c r="AF61" s="67">
        <v>11.2</v>
      </c>
      <c r="AG61" s="68">
        <v>22.1</v>
      </c>
      <c r="AH61" s="47">
        <f t="shared" si="2"/>
        <v>18.100000000000001</v>
      </c>
      <c r="AI61" s="48">
        <f t="shared" si="3"/>
        <v>10.199999999999999</v>
      </c>
      <c r="AK61" s="50"/>
    </row>
    <row r="62" spans="1:88" ht="15.75" thickBot="1" x14ac:dyDescent="0.3">
      <c r="A62" s="69" t="s">
        <v>62</v>
      </c>
      <c r="B62" s="60">
        <f t="shared" ref="B62:C62" si="12">SUM(B59:B61)</f>
        <v>47.7</v>
      </c>
      <c r="C62" s="60">
        <f t="shared" si="12"/>
        <v>47.7</v>
      </c>
      <c r="D62" s="60">
        <f t="shared" ref="D62" si="13">SUM(D59:D61)</f>
        <v>47.7</v>
      </c>
      <c r="E62" s="60">
        <f t="shared" ref="E62:AG62" si="14">SUM(E59:E61)</f>
        <v>47.7</v>
      </c>
      <c r="F62" s="60">
        <f t="shared" si="14"/>
        <v>47.7</v>
      </c>
      <c r="G62" s="60">
        <f t="shared" si="14"/>
        <v>47.7</v>
      </c>
      <c r="H62" s="60">
        <f t="shared" si="14"/>
        <v>47.7</v>
      </c>
      <c r="I62" s="60">
        <f t="shared" si="14"/>
        <v>62.7</v>
      </c>
      <c r="J62" s="60">
        <f t="shared" si="14"/>
        <v>199.7</v>
      </c>
      <c r="K62" s="60">
        <f t="shared" si="14"/>
        <v>247.7</v>
      </c>
      <c r="L62" s="60">
        <f t="shared" si="14"/>
        <v>417.7</v>
      </c>
      <c r="M62" s="60">
        <f t="shared" si="14"/>
        <v>417.7</v>
      </c>
      <c r="N62" s="60">
        <f t="shared" si="14"/>
        <v>346.2</v>
      </c>
      <c r="O62" s="60">
        <f t="shared" si="14"/>
        <v>126.2</v>
      </c>
      <c r="P62" s="60">
        <f t="shared" si="14"/>
        <v>126.2</v>
      </c>
      <c r="Q62" s="60">
        <f t="shared" si="14"/>
        <v>126.2</v>
      </c>
      <c r="R62" s="60">
        <f t="shared" si="14"/>
        <v>46.2</v>
      </c>
      <c r="S62" s="60">
        <f t="shared" ref="S62:T62" si="15">SUM(S59:S61)</f>
        <v>46.2</v>
      </c>
      <c r="T62" s="60">
        <f t="shared" si="15"/>
        <v>46.2</v>
      </c>
      <c r="U62" s="60">
        <f t="shared" ref="U62:V62" si="16">SUM(U59:U61)</f>
        <v>46.2</v>
      </c>
      <c r="V62" s="60">
        <f t="shared" si="16"/>
        <v>116.2</v>
      </c>
      <c r="W62" s="60">
        <f t="shared" ref="W62:Y62" si="17">SUM(W59:W61)</f>
        <v>166.2</v>
      </c>
      <c r="X62" s="60">
        <f t="shared" si="17"/>
        <v>336.2</v>
      </c>
      <c r="Y62" s="60">
        <f t="shared" si="17"/>
        <v>406.2</v>
      </c>
      <c r="Z62" s="60">
        <f t="shared" si="14"/>
        <v>354.1</v>
      </c>
      <c r="AA62" s="60">
        <f t="shared" ref="AA62" si="18">SUM(AA59:AA61)</f>
        <v>244.1</v>
      </c>
      <c r="AB62" s="60">
        <f t="shared" si="14"/>
        <v>204.1</v>
      </c>
      <c r="AC62" s="60">
        <f t="shared" si="14"/>
        <v>154.1</v>
      </c>
      <c r="AD62" s="60">
        <f t="shared" si="14"/>
        <v>147.19999999999999</v>
      </c>
      <c r="AE62" s="60">
        <f t="shared" si="14"/>
        <v>62.2</v>
      </c>
      <c r="AF62" s="60">
        <f t="shared" si="14"/>
        <v>47.2</v>
      </c>
      <c r="AG62" s="61">
        <f t="shared" si="14"/>
        <v>538.1</v>
      </c>
      <c r="AH62" s="47">
        <f t="shared" si="2"/>
        <v>417.7</v>
      </c>
      <c r="AI62" s="48">
        <f t="shared" si="3"/>
        <v>46.2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31.6</v>
      </c>
      <c r="H63" s="45">
        <v>48.9</v>
      </c>
      <c r="I63" s="45">
        <v>71.3</v>
      </c>
      <c r="J63" s="45">
        <v>141.6</v>
      </c>
      <c r="K63" s="45">
        <v>141.6</v>
      </c>
      <c r="L63" s="45">
        <v>141.6</v>
      </c>
      <c r="M63" s="45">
        <v>131</v>
      </c>
      <c r="N63" s="45">
        <v>122</v>
      </c>
      <c r="O63" s="45">
        <v>122</v>
      </c>
      <c r="P63" s="45">
        <v>85</v>
      </c>
      <c r="Q63" s="45">
        <v>96</v>
      </c>
      <c r="R63" s="45">
        <v>30</v>
      </c>
      <c r="S63" s="45">
        <v>0</v>
      </c>
      <c r="T63" s="45">
        <v>0</v>
      </c>
      <c r="U63" s="45">
        <v>0</v>
      </c>
      <c r="V63" s="45">
        <v>106.9</v>
      </c>
      <c r="W63" s="45">
        <v>135.19999999999999</v>
      </c>
      <c r="X63" s="45">
        <v>141.30000000000001</v>
      </c>
      <c r="Y63" s="45">
        <v>141.30000000000001</v>
      </c>
      <c r="Z63" s="45">
        <v>141.30000000000001</v>
      </c>
      <c r="AA63" s="45">
        <v>141.30000000000001</v>
      </c>
      <c r="AB63" s="45">
        <v>71.8</v>
      </c>
      <c r="AC63" s="45">
        <v>44.3</v>
      </c>
      <c r="AD63" s="45">
        <v>30.7</v>
      </c>
      <c r="AE63" s="45">
        <v>0</v>
      </c>
      <c r="AF63" s="45">
        <v>0</v>
      </c>
      <c r="AG63" s="52">
        <v>144</v>
      </c>
      <c r="AH63" s="47">
        <f t="shared" si="2"/>
        <v>141.6</v>
      </c>
      <c r="AI63" s="48">
        <f t="shared" si="3"/>
        <v>0</v>
      </c>
      <c r="AK63" s="50"/>
    </row>
    <row r="64" spans="1:88" x14ac:dyDescent="0.25">
      <c r="A64" s="54" t="s">
        <v>64</v>
      </c>
      <c r="B64" s="45">
        <v>0</v>
      </c>
      <c r="C64" s="45">
        <v>0</v>
      </c>
      <c r="D64" s="45">
        <v>0</v>
      </c>
      <c r="E64" s="45">
        <v>0</v>
      </c>
      <c r="F64" s="45">
        <v>0</v>
      </c>
      <c r="G64" s="45">
        <v>22.5</v>
      </c>
      <c r="H64" s="65">
        <v>47.1</v>
      </c>
      <c r="I64" s="65">
        <v>69</v>
      </c>
      <c r="J64" s="65">
        <v>69</v>
      </c>
      <c r="K64" s="65">
        <v>69</v>
      </c>
      <c r="L64" s="65">
        <v>69</v>
      </c>
      <c r="M64" s="65">
        <v>69</v>
      </c>
      <c r="N64" s="65">
        <v>68.599999999999994</v>
      </c>
      <c r="O64" s="65">
        <v>60</v>
      </c>
      <c r="P64" s="65">
        <v>28</v>
      </c>
      <c r="Q64" s="65">
        <v>34.9</v>
      </c>
      <c r="R64" s="65">
        <v>0</v>
      </c>
      <c r="S64" s="65">
        <v>0</v>
      </c>
      <c r="T64" s="65">
        <v>0</v>
      </c>
      <c r="U64" s="65">
        <v>0</v>
      </c>
      <c r="V64" s="65">
        <v>64.599999999999994</v>
      </c>
      <c r="W64" s="65">
        <v>68.900000000000006</v>
      </c>
      <c r="X64" s="65">
        <v>68.900000000000006</v>
      </c>
      <c r="Y64" s="45">
        <v>68.900000000000006</v>
      </c>
      <c r="Z64" s="45">
        <v>68.900000000000006</v>
      </c>
      <c r="AA64" s="45">
        <v>68.900000000000006</v>
      </c>
      <c r="AB64" s="45">
        <v>29.8</v>
      </c>
      <c r="AC64" s="45">
        <v>29.7</v>
      </c>
      <c r="AD64" s="65">
        <v>23.5</v>
      </c>
      <c r="AE64" s="45">
        <v>23.1</v>
      </c>
      <c r="AF64" s="45">
        <v>24.6</v>
      </c>
      <c r="AG64" s="55">
        <v>70</v>
      </c>
      <c r="AH64" s="47">
        <f t="shared" si="2"/>
        <v>69</v>
      </c>
      <c r="AI64" s="48">
        <f t="shared" si="3"/>
        <v>0</v>
      </c>
      <c r="AK64" s="50"/>
    </row>
    <row r="65" spans="1:41" x14ac:dyDescent="0.25">
      <c r="A65" s="54" t="s">
        <v>65</v>
      </c>
      <c r="B65" s="45">
        <v>16.7</v>
      </c>
      <c r="C65" s="45">
        <v>16.600000000000001</v>
      </c>
      <c r="D65" s="45">
        <v>16.600000000000001</v>
      </c>
      <c r="E65" s="45">
        <v>16.600000000000001</v>
      </c>
      <c r="F65" s="45">
        <v>16.600000000000001</v>
      </c>
      <c r="G65" s="45">
        <v>21.7</v>
      </c>
      <c r="H65" s="65">
        <v>44.1</v>
      </c>
      <c r="I65" s="65">
        <v>44.1</v>
      </c>
      <c r="J65" s="65">
        <v>63.6</v>
      </c>
      <c r="K65" s="65">
        <v>63.6</v>
      </c>
      <c r="L65" s="65">
        <v>63.6</v>
      </c>
      <c r="M65" s="65">
        <v>66.8</v>
      </c>
      <c r="N65" s="65">
        <v>38</v>
      </c>
      <c r="O65" s="65">
        <v>38</v>
      </c>
      <c r="P65" s="65">
        <v>16</v>
      </c>
      <c r="Q65" s="65">
        <v>16.3</v>
      </c>
      <c r="R65" s="65">
        <v>16</v>
      </c>
      <c r="S65" s="65">
        <v>0</v>
      </c>
      <c r="T65" s="65">
        <v>17.899999999999999</v>
      </c>
      <c r="U65" s="65">
        <v>15.9</v>
      </c>
      <c r="V65" s="65">
        <v>61.8</v>
      </c>
      <c r="W65" s="65">
        <v>70.3</v>
      </c>
      <c r="X65" s="65">
        <v>70.3</v>
      </c>
      <c r="Y65" s="45">
        <v>70.3</v>
      </c>
      <c r="Z65" s="45">
        <v>70.3</v>
      </c>
      <c r="AA65" s="45">
        <v>70.3</v>
      </c>
      <c r="AB65" s="45">
        <v>67.7</v>
      </c>
      <c r="AC65" s="45">
        <v>67.5</v>
      </c>
      <c r="AD65" s="65">
        <v>60.6</v>
      </c>
      <c r="AE65" s="45">
        <v>32.299999999999997</v>
      </c>
      <c r="AF65" s="45">
        <v>34</v>
      </c>
      <c r="AG65" s="55">
        <v>69</v>
      </c>
      <c r="AH65" s="47">
        <f t="shared" si="2"/>
        <v>70.3</v>
      </c>
      <c r="AI65" s="48">
        <f t="shared" si="3"/>
        <v>0</v>
      </c>
      <c r="AK65" s="50"/>
    </row>
    <row r="66" spans="1:41" x14ac:dyDescent="0.25">
      <c r="A66" s="54" t="s">
        <v>66</v>
      </c>
      <c r="B66" s="45">
        <v>48.9</v>
      </c>
      <c r="C66" s="45">
        <v>47.4</v>
      </c>
      <c r="D66" s="45">
        <v>48.3</v>
      </c>
      <c r="E66" s="45">
        <v>48.3</v>
      </c>
      <c r="F66" s="45">
        <v>48.3</v>
      </c>
      <c r="G66" s="45">
        <v>48.3</v>
      </c>
      <c r="H66" s="65">
        <v>46.1</v>
      </c>
      <c r="I66" s="65">
        <v>46.1</v>
      </c>
      <c r="J66" s="65">
        <v>46.1</v>
      </c>
      <c r="K66" s="65">
        <v>46.1</v>
      </c>
      <c r="L66" s="65">
        <v>46.1</v>
      </c>
      <c r="M66" s="65">
        <v>46.1</v>
      </c>
      <c r="N66" s="65">
        <v>48</v>
      </c>
      <c r="O66" s="65">
        <v>48</v>
      </c>
      <c r="P66" s="65">
        <v>47</v>
      </c>
      <c r="Q66" s="65">
        <v>46.1</v>
      </c>
      <c r="R66" s="65">
        <v>43</v>
      </c>
      <c r="S66" s="65">
        <v>43.3</v>
      </c>
      <c r="T66" s="65">
        <v>43.3</v>
      </c>
      <c r="U66" s="65">
        <v>43.3</v>
      </c>
      <c r="V66" s="65">
        <v>43.3</v>
      </c>
      <c r="W66" s="65">
        <v>43.3</v>
      </c>
      <c r="X66" s="65">
        <v>44.6</v>
      </c>
      <c r="Y66" s="45">
        <v>44.6</v>
      </c>
      <c r="Z66" s="45">
        <v>44.6</v>
      </c>
      <c r="AA66" s="45">
        <v>44.6</v>
      </c>
      <c r="AB66" s="45">
        <v>46.4</v>
      </c>
      <c r="AC66" s="45">
        <v>47.4</v>
      </c>
      <c r="AD66" s="45">
        <v>47.4</v>
      </c>
      <c r="AE66" s="45">
        <v>50.4</v>
      </c>
      <c r="AF66" s="45">
        <v>52.4</v>
      </c>
      <c r="AG66" s="55">
        <v>60</v>
      </c>
      <c r="AH66" s="47">
        <f t="shared" si="2"/>
        <v>52.4</v>
      </c>
      <c r="AI66" s="48">
        <f t="shared" si="3"/>
        <v>43</v>
      </c>
      <c r="AK66" s="50"/>
    </row>
    <row r="67" spans="1:41" x14ac:dyDescent="0.25">
      <c r="A67" s="54" t="s">
        <v>67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10</v>
      </c>
      <c r="H67" s="45">
        <v>10</v>
      </c>
      <c r="I67" s="45">
        <v>15</v>
      </c>
      <c r="J67" s="45">
        <v>23</v>
      </c>
      <c r="K67" s="45">
        <v>23</v>
      </c>
      <c r="L67" s="45">
        <v>23</v>
      </c>
      <c r="M67" s="65">
        <v>23</v>
      </c>
      <c r="N67" s="65">
        <v>23</v>
      </c>
      <c r="O67" s="65">
        <v>23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15</v>
      </c>
      <c r="W67" s="65">
        <v>23</v>
      </c>
      <c r="X67" s="65">
        <v>29</v>
      </c>
      <c r="Y67" s="45">
        <v>29</v>
      </c>
      <c r="Z67" s="45">
        <v>29</v>
      </c>
      <c r="AA67" s="45">
        <v>29</v>
      </c>
      <c r="AB67" s="45">
        <v>14</v>
      </c>
      <c r="AC67" s="45">
        <v>10</v>
      </c>
      <c r="AD67" s="45">
        <v>10</v>
      </c>
      <c r="AE67" s="45">
        <v>10</v>
      </c>
      <c r="AF67" s="45">
        <v>0</v>
      </c>
      <c r="AG67" s="55">
        <v>30</v>
      </c>
      <c r="AH67" s="47">
        <f t="shared" si="2"/>
        <v>29</v>
      </c>
      <c r="AI67" s="48">
        <f t="shared" si="3"/>
        <v>0</v>
      </c>
      <c r="AK67" s="50"/>
    </row>
    <row r="68" spans="1:41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</v>
      </c>
      <c r="M68" s="45">
        <v>0</v>
      </c>
      <c r="N68" s="45">
        <v>12</v>
      </c>
      <c r="O68" s="45">
        <v>12.6</v>
      </c>
      <c r="P68" s="45">
        <v>15</v>
      </c>
      <c r="Q68" s="65">
        <v>15.3</v>
      </c>
      <c r="R68" s="65">
        <v>15.3</v>
      </c>
      <c r="S68" s="65">
        <v>11.5</v>
      </c>
      <c r="T68" s="65">
        <v>11.5</v>
      </c>
      <c r="U68" s="65">
        <v>3.4</v>
      </c>
      <c r="V68" s="65">
        <v>0.4</v>
      </c>
      <c r="W68" s="65">
        <v>0</v>
      </c>
      <c r="X68" s="65">
        <v>0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55">
        <v>25</v>
      </c>
      <c r="AH68" s="47">
        <f t="shared" si="2"/>
        <v>15.3</v>
      </c>
      <c r="AI68" s="48">
        <f t="shared" si="3"/>
        <v>0</v>
      </c>
      <c r="AK68" s="50"/>
    </row>
    <row r="69" spans="1:41" x14ac:dyDescent="0.25">
      <c r="A69" s="54" t="s">
        <v>69</v>
      </c>
      <c r="B69" s="65">
        <v>15</v>
      </c>
      <c r="C69" s="65">
        <v>15</v>
      </c>
      <c r="D69" s="65">
        <v>15</v>
      </c>
      <c r="E69" s="65">
        <v>15</v>
      </c>
      <c r="F69" s="65">
        <v>15</v>
      </c>
      <c r="G69" s="65">
        <v>15</v>
      </c>
      <c r="H69" s="65">
        <v>15</v>
      </c>
      <c r="I69" s="65">
        <v>15</v>
      </c>
      <c r="J69" s="65">
        <v>15</v>
      </c>
      <c r="K69" s="65">
        <v>15</v>
      </c>
      <c r="L69" s="65">
        <v>15</v>
      </c>
      <c r="M69" s="65">
        <v>15</v>
      </c>
      <c r="N69" s="65">
        <v>15</v>
      </c>
      <c r="O69" s="65">
        <v>15</v>
      </c>
      <c r="P69" s="65">
        <v>15</v>
      </c>
      <c r="Q69" s="65">
        <v>15</v>
      </c>
      <c r="R69" s="65">
        <v>15</v>
      </c>
      <c r="S69" s="65">
        <v>15</v>
      </c>
      <c r="T69" s="65">
        <v>15</v>
      </c>
      <c r="U69" s="65">
        <v>15</v>
      </c>
      <c r="V69" s="65">
        <v>15</v>
      </c>
      <c r="W69" s="65">
        <v>15</v>
      </c>
      <c r="X69" s="65">
        <v>15</v>
      </c>
      <c r="Y69" s="65">
        <v>15</v>
      </c>
      <c r="Z69" s="65">
        <v>15</v>
      </c>
      <c r="AA69" s="65">
        <v>15</v>
      </c>
      <c r="AB69" s="65">
        <v>15</v>
      </c>
      <c r="AC69" s="65">
        <v>15</v>
      </c>
      <c r="AD69" s="65">
        <v>15</v>
      </c>
      <c r="AE69" s="65">
        <v>15</v>
      </c>
      <c r="AF69" s="65">
        <v>15</v>
      </c>
      <c r="AG69" s="55">
        <v>24</v>
      </c>
      <c r="AH69" s="47">
        <f t="shared" si="2"/>
        <v>15</v>
      </c>
      <c r="AI69" s="48">
        <f t="shared" si="3"/>
        <v>15</v>
      </c>
      <c r="AK69" s="50"/>
    </row>
    <row r="70" spans="1:41" x14ac:dyDescent="0.25">
      <c r="A70" s="54" t="s">
        <v>70</v>
      </c>
      <c r="B70" s="65">
        <v>4.5</v>
      </c>
      <c r="C70" s="65">
        <v>4.5</v>
      </c>
      <c r="D70" s="65">
        <v>4.5</v>
      </c>
      <c r="E70" s="65">
        <v>4.5</v>
      </c>
      <c r="F70" s="65">
        <v>4.5</v>
      </c>
      <c r="G70" s="65">
        <v>4.5</v>
      </c>
      <c r="H70" s="65">
        <v>4.5</v>
      </c>
      <c r="I70" s="65">
        <v>4.5</v>
      </c>
      <c r="J70" s="65">
        <v>4.5</v>
      </c>
      <c r="K70" s="65">
        <v>4.5</v>
      </c>
      <c r="L70" s="65">
        <v>4.5</v>
      </c>
      <c r="M70" s="65">
        <v>4.5</v>
      </c>
      <c r="N70" s="65">
        <v>4.5</v>
      </c>
      <c r="O70" s="65">
        <v>4.5</v>
      </c>
      <c r="P70" s="65">
        <v>4.5</v>
      </c>
      <c r="Q70" s="65">
        <v>4.5</v>
      </c>
      <c r="R70" s="65">
        <v>4.5</v>
      </c>
      <c r="S70" s="65">
        <v>4.5</v>
      </c>
      <c r="T70" s="65">
        <v>4.5</v>
      </c>
      <c r="U70" s="65">
        <v>4.5</v>
      </c>
      <c r="V70" s="65">
        <v>4.5</v>
      </c>
      <c r="W70" s="65">
        <v>4.5</v>
      </c>
      <c r="X70" s="65">
        <v>4.5</v>
      </c>
      <c r="Y70" s="65">
        <v>4.5</v>
      </c>
      <c r="Z70" s="65">
        <v>4.5</v>
      </c>
      <c r="AA70" s="65">
        <v>4.5</v>
      </c>
      <c r="AB70" s="65">
        <v>4.5</v>
      </c>
      <c r="AC70" s="65">
        <v>4</v>
      </c>
      <c r="AD70" s="65">
        <v>4</v>
      </c>
      <c r="AE70" s="65">
        <v>4</v>
      </c>
      <c r="AF70" s="65">
        <v>4</v>
      </c>
      <c r="AG70" s="55">
        <v>15</v>
      </c>
      <c r="AH70" s="47">
        <f t="shared" si="2"/>
        <v>4.5</v>
      </c>
      <c r="AI70" s="48">
        <f t="shared" si="3"/>
        <v>4</v>
      </c>
      <c r="AK70" s="50"/>
      <c r="AL70" s="70"/>
      <c r="AO70" s="70"/>
    </row>
    <row r="71" spans="1:41" s="70" customFormat="1" x14ac:dyDescent="0.25">
      <c r="A71" s="54" t="s">
        <v>71</v>
      </c>
      <c r="B71" s="65">
        <v>9.8000000000000007</v>
      </c>
      <c r="C71" s="65">
        <v>9.8000000000000007</v>
      </c>
      <c r="D71" s="65">
        <v>9.8000000000000007</v>
      </c>
      <c r="E71" s="65">
        <v>9.8000000000000007</v>
      </c>
      <c r="F71" s="65">
        <v>9.8000000000000007</v>
      </c>
      <c r="G71" s="65">
        <v>9.8000000000000007</v>
      </c>
      <c r="H71" s="65">
        <v>9.8000000000000007</v>
      </c>
      <c r="I71" s="65">
        <v>9.8000000000000007</v>
      </c>
      <c r="J71" s="65">
        <v>9.8000000000000007</v>
      </c>
      <c r="K71" s="65">
        <v>9.8000000000000007</v>
      </c>
      <c r="L71" s="65">
        <v>9.8000000000000007</v>
      </c>
      <c r="M71" s="65">
        <v>9.8000000000000007</v>
      </c>
      <c r="N71" s="65">
        <v>9.8000000000000007</v>
      </c>
      <c r="O71" s="65">
        <v>9.8000000000000007</v>
      </c>
      <c r="P71" s="65">
        <v>9.8000000000000007</v>
      </c>
      <c r="Q71" s="65">
        <v>9.8000000000000007</v>
      </c>
      <c r="R71" s="65">
        <v>9.8000000000000007</v>
      </c>
      <c r="S71" s="65">
        <v>9.8000000000000007</v>
      </c>
      <c r="T71" s="65">
        <v>9.8000000000000007</v>
      </c>
      <c r="U71" s="65">
        <v>9.8000000000000007</v>
      </c>
      <c r="V71" s="65">
        <v>9.8000000000000007</v>
      </c>
      <c r="W71" s="65">
        <v>9.8000000000000007</v>
      </c>
      <c r="X71" s="65">
        <v>9.8000000000000007</v>
      </c>
      <c r="Y71" s="65">
        <v>9.8000000000000007</v>
      </c>
      <c r="Z71" s="65">
        <v>9.8000000000000007</v>
      </c>
      <c r="AA71" s="65">
        <v>9.8000000000000007</v>
      </c>
      <c r="AB71" s="65">
        <v>9.8000000000000007</v>
      </c>
      <c r="AC71" s="65">
        <v>9.8000000000000007</v>
      </c>
      <c r="AD71" s="65">
        <v>9.8000000000000007</v>
      </c>
      <c r="AE71" s="65">
        <v>9.8000000000000007</v>
      </c>
      <c r="AF71" s="65">
        <v>9.8000000000000007</v>
      </c>
      <c r="AG71" s="55">
        <v>14.1</v>
      </c>
      <c r="AH71" s="47">
        <f t="shared" si="2"/>
        <v>9.8000000000000007</v>
      </c>
      <c r="AI71" s="48">
        <f t="shared" si="3"/>
        <v>9.8000000000000007</v>
      </c>
      <c r="AJ71" s="1"/>
      <c r="AK71" s="50"/>
      <c r="AL71" s="1"/>
      <c r="AM71" s="1"/>
      <c r="AN71" s="1"/>
      <c r="AO71" s="1"/>
    </row>
    <row r="72" spans="1:41" x14ac:dyDescent="0.25">
      <c r="A72" s="71" t="s">
        <v>72</v>
      </c>
      <c r="B72" s="65">
        <v>4.7</v>
      </c>
      <c r="C72" s="65">
        <v>4.5999999999999996</v>
      </c>
      <c r="D72" s="65">
        <v>5</v>
      </c>
      <c r="E72" s="65">
        <v>5</v>
      </c>
      <c r="F72" s="65">
        <v>5</v>
      </c>
      <c r="G72" s="65">
        <v>5</v>
      </c>
      <c r="H72" s="65">
        <v>5</v>
      </c>
      <c r="I72" s="65">
        <v>5</v>
      </c>
      <c r="J72" s="65">
        <v>5</v>
      </c>
      <c r="K72" s="65">
        <v>5</v>
      </c>
      <c r="L72" s="65">
        <v>5</v>
      </c>
      <c r="M72" s="65">
        <v>5</v>
      </c>
      <c r="N72" s="65">
        <v>5</v>
      </c>
      <c r="O72" s="65">
        <v>5</v>
      </c>
      <c r="P72" s="65">
        <v>5</v>
      </c>
      <c r="Q72" s="65">
        <v>5</v>
      </c>
      <c r="R72" s="65">
        <v>5</v>
      </c>
      <c r="S72" s="65">
        <v>5</v>
      </c>
      <c r="T72" s="65">
        <v>5</v>
      </c>
      <c r="U72" s="65">
        <v>5</v>
      </c>
      <c r="V72" s="65">
        <v>5</v>
      </c>
      <c r="W72" s="65">
        <v>5</v>
      </c>
      <c r="X72" s="65">
        <v>5</v>
      </c>
      <c r="Y72" s="65">
        <v>5</v>
      </c>
      <c r="Z72" s="65">
        <v>5</v>
      </c>
      <c r="AA72" s="65">
        <v>5</v>
      </c>
      <c r="AB72" s="65">
        <v>5</v>
      </c>
      <c r="AC72" s="65">
        <v>3.6</v>
      </c>
      <c r="AD72" s="65">
        <v>3.6</v>
      </c>
      <c r="AE72" s="65">
        <v>3.5</v>
      </c>
      <c r="AF72" s="65">
        <v>3.5</v>
      </c>
      <c r="AG72" s="55">
        <v>14</v>
      </c>
      <c r="AH72" s="47">
        <f t="shared" si="2"/>
        <v>5</v>
      </c>
      <c r="AI72" s="48">
        <f t="shared" si="3"/>
        <v>3.5</v>
      </c>
      <c r="AK72" s="50"/>
    </row>
    <row r="73" spans="1:41" x14ac:dyDescent="0.25">
      <c r="A73" s="54" t="s">
        <v>73</v>
      </c>
      <c r="B73" s="65">
        <v>4.5</v>
      </c>
      <c r="C73" s="65">
        <v>4.5</v>
      </c>
      <c r="D73" s="65">
        <v>4.5</v>
      </c>
      <c r="E73" s="65">
        <v>4.5</v>
      </c>
      <c r="F73" s="65">
        <v>4.5</v>
      </c>
      <c r="G73" s="65">
        <v>4.5</v>
      </c>
      <c r="H73" s="65">
        <v>4.5</v>
      </c>
      <c r="I73" s="65">
        <v>4.5</v>
      </c>
      <c r="J73" s="65">
        <v>4.5</v>
      </c>
      <c r="K73" s="65">
        <v>4.5</v>
      </c>
      <c r="L73" s="65">
        <v>4.5</v>
      </c>
      <c r="M73" s="65">
        <v>4.5</v>
      </c>
      <c r="N73" s="65">
        <v>4.5</v>
      </c>
      <c r="O73" s="65">
        <v>4.5</v>
      </c>
      <c r="P73" s="65">
        <v>4.5</v>
      </c>
      <c r="Q73" s="65">
        <v>4.5</v>
      </c>
      <c r="R73" s="65">
        <v>4.5</v>
      </c>
      <c r="S73" s="65">
        <v>4.5</v>
      </c>
      <c r="T73" s="65">
        <v>4.5</v>
      </c>
      <c r="U73" s="65">
        <v>4.5</v>
      </c>
      <c r="V73" s="65">
        <v>4.5</v>
      </c>
      <c r="W73" s="65">
        <v>4.5</v>
      </c>
      <c r="X73" s="65">
        <v>4.5</v>
      </c>
      <c r="Y73" s="65">
        <v>4.5</v>
      </c>
      <c r="Z73" s="65">
        <v>4.5</v>
      </c>
      <c r="AA73" s="65">
        <v>4.5</v>
      </c>
      <c r="AB73" s="65">
        <v>4.5</v>
      </c>
      <c r="AC73" s="65">
        <v>4.5</v>
      </c>
      <c r="AD73" s="65">
        <v>4.5</v>
      </c>
      <c r="AE73" s="65">
        <v>4.5</v>
      </c>
      <c r="AF73" s="65">
        <v>4.5</v>
      </c>
      <c r="AG73" s="55">
        <v>10.050000000000001</v>
      </c>
      <c r="AH73" s="47">
        <f t="shared" si="2"/>
        <v>4.5</v>
      </c>
      <c r="AI73" s="48">
        <f t="shared" si="3"/>
        <v>4.5</v>
      </c>
      <c r="AK73" s="50"/>
    </row>
    <row r="74" spans="1:41" x14ac:dyDescent="0.25">
      <c r="A74" s="54" t="s">
        <v>74</v>
      </c>
      <c r="B74" s="65">
        <v>3</v>
      </c>
      <c r="C74" s="65">
        <v>3</v>
      </c>
      <c r="D74" s="65">
        <v>3</v>
      </c>
      <c r="E74" s="65">
        <v>3</v>
      </c>
      <c r="F74" s="65">
        <v>3</v>
      </c>
      <c r="G74" s="65">
        <v>3</v>
      </c>
      <c r="H74" s="65">
        <v>3</v>
      </c>
      <c r="I74" s="65">
        <v>3</v>
      </c>
      <c r="J74" s="65">
        <v>3</v>
      </c>
      <c r="K74" s="65">
        <v>3</v>
      </c>
      <c r="L74" s="65">
        <v>3</v>
      </c>
      <c r="M74" s="65">
        <v>3</v>
      </c>
      <c r="N74" s="65">
        <v>3</v>
      </c>
      <c r="O74" s="65">
        <v>3</v>
      </c>
      <c r="P74" s="65">
        <v>3</v>
      </c>
      <c r="Q74" s="65">
        <v>3</v>
      </c>
      <c r="R74" s="65">
        <v>3</v>
      </c>
      <c r="S74" s="65">
        <v>3</v>
      </c>
      <c r="T74" s="65">
        <v>3</v>
      </c>
      <c r="U74" s="65">
        <v>3</v>
      </c>
      <c r="V74" s="65">
        <v>3</v>
      </c>
      <c r="W74" s="65">
        <v>3</v>
      </c>
      <c r="X74" s="65">
        <v>3</v>
      </c>
      <c r="Y74" s="65">
        <v>3</v>
      </c>
      <c r="Z74" s="65">
        <v>3</v>
      </c>
      <c r="AA74" s="65">
        <v>3</v>
      </c>
      <c r="AB74" s="65">
        <v>3</v>
      </c>
      <c r="AC74" s="65">
        <v>3</v>
      </c>
      <c r="AD74" s="65">
        <v>3</v>
      </c>
      <c r="AE74" s="65">
        <v>3</v>
      </c>
      <c r="AF74" s="65">
        <v>3</v>
      </c>
      <c r="AG74" s="55">
        <v>6.2</v>
      </c>
      <c r="AH74" s="47">
        <f t="shared" si="2"/>
        <v>3</v>
      </c>
      <c r="AI74" s="48">
        <f t="shared" si="3"/>
        <v>3</v>
      </c>
      <c r="AK74" s="50"/>
    </row>
    <row r="75" spans="1:41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3.54</v>
      </c>
      <c r="Z75" s="72">
        <v>3.54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2"/>
        <v>3.54</v>
      </c>
      <c r="AI75" s="48">
        <f t="shared" si="3"/>
        <v>3.54</v>
      </c>
      <c r="AK75" s="50"/>
    </row>
    <row r="76" spans="1:41" ht="15.75" thickBot="1" x14ac:dyDescent="0.3">
      <c r="A76" s="74" t="s">
        <v>76</v>
      </c>
      <c r="B76" s="60">
        <f t="shared" ref="B76:C76" si="19">SUM(B63:B75)</f>
        <v>110.64</v>
      </c>
      <c r="C76" s="60">
        <f t="shared" si="19"/>
        <v>108.94</v>
      </c>
      <c r="D76" s="60">
        <f t="shared" ref="D76" si="20">SUM(D63:D75)</f>
        <v>110.24000000000001</v>
      </c>
      <c r="E76" s="60">
        <f t="shared" ref="E76:AG76" si="21">SUM(E63:E75)</f>
        <v>110.24000000000001</v>
      </c>
      <c r="F76" s="60">
        <f t="shared" si="21"/>
        <v>110.24000000000001</v>
      </c>
      <c r="G76" s="60">
        <f t="shared" si="21"/>
        <v>179.44</v>
      </c>
      <c r="H76" s="60">
        <f t="shared" si="21"/>
        <v>241.54</v>
      </c>
      <c r="I76" s="60">
        <f t="shared" si="21"/>
        <v>290.84000000000003</v>
      </c>
      <c r="J76" s="60">
        <f t="shared" si="21"/>
        <v>388.64000000000004</v>
      </c>
      <c r="K76" s="60">
        <f t="shared" si="21"/>
        <v>388.64000000000004</v>
      </c>
      <c r="L76" s="60">
        <f t="shared" si="21"/>
        <v>388.64000000000004</v>
      </c>
      <c r="M76" s="60">
        <f t="shared" si="21"/>
        <v>381.24000000000007</v>
      </c>
      <c r="N76" s="60">
        <f t="shared" si="21"/>
        <v>356.94000000000005</v>
      </c>
      <c r="O76" s="60">
        <f t="shared" si="21"/>
        <v>348.94000000000005</v>
      </c>
      <c r="P76" s="60">
        <f t="shared" si="21"/>
        <v>236.34</v>
      </c>
      <c r="Q76" s="60">
        <f t="shared" si="21"/>
        <v>253.94000000000003</v>
      </c>
      <c r="R76" s="60">
        <f t="shared" si="21"/>
        <v>149.63999999999999</v>
      </c>
      <c r="S76" s="60">
        <f t="shared" ref="S76:T76" si="22">SUM(S63:S75)</f>
        <v>100.14</v>
      </c>
      <c r="T76" s="60">
        <f t="shared" si="22"/>
        <v>118.03999999999999</v>
      </c>
      <c r="U76" s="60">
        <f t="shared" ref="U76:V76" si="23">SUM(U63:U75)</f>
        <v>107.94</v>
      </c>
      <c r="V76" s="60">
        <f t="shared" si="23"/>
        <v>337.34000000000003</v>
      </c>
      <c r="W76" s="60">
        <f t="shared" ref="W76:Y76" si="24">SUM(W63:W75)</f>
        <v>386.04</v>
      </c>
      <c r="X76" s="60">
        <f t="shared" si="24"/>
        <v>399.44000000000005</v>
      </c>
      <c r="Y76" s="60">
        <f t="shared" si="24"/>
        <v>399.44000000000005</v>
      </c>
      <c r="Z76" s="60">
        <f t="shared" si="21"/>
        <v>399.44000000000005</v>
      </c>
      <c r="AA76" s="60">
        <f t="shared" ref="AA76" si="25">SUM(AA63:AA75)</f>
        <v>399.44000000000005</v>
      </c>
      <c r="AB76" s="60">
        <f t="shared" si="21"/>
        <v>275.04000000000002</v>
      </c>
      <c r="AC76" s="60">
        <f t="shared" si="21"/>
        <v>242.34</v>
      </c>
      <c r="AD76" s="60">
        <f t="shared" si="21"/>
        <v>215.64000000000001</v>
      </c>
      <c r="AE76" s="60">
        <f t="shared" si="21"/>
        <v>159.14000000000001</v>
      </c>
      <c r="AF76" s="60">
        <f t="shared" si="21"/>
        <v>154.34</v>
      </c>
      <c r="AG76" s="61">
        <f t="shared" si="21"/>
        <v>489.91</v>
      </c>
      <c r="AH76" s="47">
        <f t="shared" si="2"/>
        <v>399.44000000000005</v>
      </c>
      <c r="AI76" s="48">
        <f t="shared" si="3"/>
        <v>100.14</v>
      </c>
      <c r="AK76" s="50"/>
    </row>
    <row r="77" spans="1:41" x14ac:dyDescent="0.25">
      <c r="A77" s="44" t="s">
        <v>77</v>
      </c>
      <c r="B77" s="45">
        <v>0</v>
      </c>
      <c r="C77" s="45">
        <v>0</v>
      </c>
      <c r="D77" s="4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40.299999999999997</v>
      </c>
      <c r="L77" s="45">
        <v>39</v>
      </c>
      <c r="M77" s="45">
        <v>40</v>
      </c>
      <c r="N77" s="45">
        <v>14</v>
      </c>
      <c r="O77" s="45">
        <v>58</v>
      </c>
      <c r="P77" s="45">
        <v>50</v>
      </c>
      <c r="Q77" s="45">
        <v>60</v>
      </c>
      <c r="R77" s="45">
        <v>14</v>
      </c>
      <c r="S77" s="45">
        <v>25.9</v>
      </c>
      <c r="T77" s="45">
        <v>29.8</v>
      </c>
      <c r="U77" s="45">
        <v>25</v>
      </c>
      <c r="V77" s="45">
        <v>59.8</v>
      </c>
      <c r="W77" s="45">
        <v>59.8</v>
      </c>
      <c r="X77" s="45">
        <v>59.8</v>
      </c>
      <c r="Y77" s="45">
        <v>54.6</v>
      </c>
      <c r="Z77" s="45">
        <v>54.6</v>
      </c>
      <c r="AA77" s="45">
        <v>54.6</v>
      </c>
      <c r="AB77" s="45">
        <v>60.2</v>
      </c>
      <c r="AC77" s="45">
        <v>60.2</v>
      </c>
      <c r="AD77" s="45">
        <v>59.9</v>
      </c>
      <c r="AE77" s="45">
        <v>60.2</v>
      </c>
      <c r="AF77" s="45">
        <v>15</v>
      </c>
      <c r="AG77" s="52">
        <v>60</v>
      </c>
      <c r="AH77" s="47">
        <f t="shared" si="2"/>
        <v>60.2</v>
      </c>
      <c r="AI77" s="48">
        <f t="shared" si="3"/>
        <v>0</v>
      </c>
      <c r="AK77" s="50"/>
    </row>
    <row r="78" spans="1:41" x14ac:dyDescent="0.25">
      <c r="A78" s="54" t="s">
        <v>78</v>
      </c>
      <c r="B78" s="65">
        <v>0</v>
      </c>
      <c r="C78" s="65">
        <v>0</v>
      </c>
      <c r="D78" s="65">
        <v>0</v>
      </c>
      <c r="E78" s="65">
        <v>0</v>
      </c>
      <c r="F78" s="65">
        <v>0</v>
      </c>
      <c r="G78" s="65">
        <v>0</v>
      </c>
      <c r="H78" s="65">
        <v>0</v>
      </c>
      <c r="I78" s="65">
        <v>0</v>
      </c>
      <c r="J78" s="65">
        <v>0</v>
      </c>
      <c r="K78" s="65">
        <v>24.2</v>
      </c>
      <c r="L78" s="65">
        <v>16.399999999999999</v>
      </c>
      <c r="M78" s="65">
        <v>14.7</v>
      </c>
      <c r="N78" s="65">
        <v>5.5</v>
      </c>
      <c r="O78" s="65">
        <v>29</v>
      </c>
      <c r="P78" s="65">
        <v>21.4</v>
      </c>
      <c r="Q78" s="65">
        <v>28.6</v>
      </c>
      <c r="R78" s="65">
        <v>6</v>
      </c>
      <c r="S78" s="65">
        <v>5.8</v>
      </c>
      <c r="T78" s="65">
        <v>12.2</v>
      </c>
      <c r="U78" s="65">
        <v>11.8</v>
      </c>
      <c r="V78" s="65">
        <v>27.6</v>
      </c>
      <c r="W78" s="65">
        <v>27.6</v>
      </c>
      <c r="X78" s="65">
        <v>27.6</v>
      </c>
      <c r="Y78" s="65">
        <v>24.4</v>
      </c>
      <c r="Z78" s="65">
        <v>24.4</v>
      </c>
      <c r="AA78" s="65">
        <v>24.4</v>
      </c>
      <c r="AB78" s="65">
        <v>28.6</v>
      </c>
      <c r="AC78" s="65">
        <v>28.6</v>
      </c>
      <c r="AD78" s="65">
        <v>28.5</v>
      </c>
      <c r="AE78" s="65">
        <v>27.9</v>
      </c>
      <c r="AF78" s="65">
        <v>7.7</v>
      </c>
      <c r="AG78" s="55">
        <v>32</v>
      </c>
      <c r="AH78" s="47">
        <f t="shared" si="2"/>
        <v>29</v>
      </c>
      <c r="AI78" s="48">
        <f t="shared" si="3"/>
        <v>0</v>
      </c>
      <c r="AK78" s="50"/>
    </row>
    <row r="79" spans="1:41" ht="15.75" thickBot="1" x14ac:dyDescent="0.3">
      <c r="A79" s="71" t="s">
        <v>79</v>
      </c>
      <c r="B79" s="67">
        <v>0</v>
      </c>
      <c r="C79" s="67">
        <v>0</v>
      </c>
      <c r="D79" s="67">
        <v>0</v>
      </c>
      <c r="E79" s="67">
        <v>0</v>
      </c>
      <c r="F79" s="67">
        <v>0</v>
      </c>
      <c r="G79" s="67">
        <v>0</v>
      </c>
      <c r="H79" s="67">
        <v>0</v>
      </c>
      <c r="I79" s="67">
        <v>0</v>
      </c>
      <c r="J79" s="67">
        <v>0</v>
      </c>
      <c r="K79" s="67">
        <v>8.8000000000000007</v>
      </c>
      <c r="L79" s="67">
        <v>6</v>
      </c>
      <c r="M79" s="67">
        <v>5.4</v>
      </c>
      <c r="N79" s="67">
        <v>2</v>
      </c>
      <c r="O79" s="67">
        <v>10.6</v>
      </c>
      <c r="P79" s="67">
        <v>7.8</v>
      </c>
      <c r="Q79" s="67">
        <v>10.4</v>
      </c>
      <c r="R79" s="67">
        <v>2.5</v>
      </c>
      <c r="S79" s="67">
        <v>2.1</v>
      </c>
      <c r="T79" s="67">
        <v>4.4000000000000004</v>
      </c>
      <c r="U79" s="67">
        <v>4.3</v>
      </c>
      <c r="V79" s="67">
        <v>10.1</v>
      </c>
      <c r="W79" s="67">
        <v>10.1</v>
      </c>
      <c r="X79" s="67">
        <v>10.1</v>
      </c>
      <c r="Y79" s="67">
        <v>8.9</v>
      </c>
      <c r="Z79" s="67">
        <v>8.9</v>
      </c>
      <c r="AA79" s="67">
        <v>8.9</v>
      </c>
      <c r="AB79" s="67">
        <v>10.4</v>
      </c>
      <c r="AC79" s="67">
        <v>10.4</v>
      </c>
      <c r="AD79" s="67">
        <v>10.4</v>
      </c>
      <c r="AE79" s="67">
        <v>10.199999999999999</v>
      </c>
      <c r="AF79" s="67">
        <v>2.8</v>
      </c>
      <c r="AG79" s="68">
        <v>14</v>
      </c>
      <c r="AH79" s="47">
        <f t="shared" si="2"/>
        <v>10.6</v>
      </c>
      <c r="AI79" s="48">
        <f t="shared" si="3"/>
        <v>0</v>
      </c>
      <c r="AK79" s="50"/>
    </row>
    <row r="80" spans="1:41" ht="15.75" thickBot="1" x14ac:dyDescent="0.3">
      <c r="A80" s="74" t="s">
        <v>80</v>
      </c>
      <c r="B80" s="60">
        <f t="shared" ref="B80:C80" si="26">B77+B78+B79</f>
        <v>0</v>
      </c>
      <c r="C80" s="60">
        <f t="shared" si="26"/>
        <v>0</v>
      </c>
      <c r="D80" s="60">
        <f t="shared" ref="D80" si="27">D77+D78+D79</f>
        <v>0</v>
      </c>
      <c r="E80" s="60">
        <f t="shared" ref="E80:AF80" si="28">E77+E78+E79</f>
        <v>0</v>
      </c>
      <c r="F80" s="60">
        <f t="shared" si="28"/>
        <v>0</v>
      </c>
      <c r="G80" s="60">
        <f t="shared" si="28"/>
        <v>0</v>
      </c>
      <c r="H80" s="60">
        <f t="shared" si="28"/>
        <v>0</v>
      </c>
      <c r="I80" s="60">
        <f t="shared" si="28"/>
        <v>0</v>
      </c>
      <c r="J80" s="60">
        <f t="shared" si="28"/>
        <v>0</v>
      </c>
      <c r="K80" s="60">
        <f t="shared" si="28"/>
        <v>73.3</v>
      </c>
      <c r="L80" s="60">
        <f t="shared" si="28"/>
        <v>61.4</v>
      </c>
      <c r="M80" s="60">
        <f t="shared" si="28"/>
        <v>60.1</v>
      </c>
      <c r="N80" s="60">
        <f t="shared" si="28"/>
        <v>21.5</v>
      </c>
      <c r="O80" s="60">
        <f t="shared" si="28"/>
        <v>97.6</v>
      </c>
      <c r="P80" s="60">
        <f t="shared" si="28"/>
        <v>79.2</v>
      </c>
      <c r="Q80" s="60">
        <f t="shared" si="28"/>
        <v>99</v>
      </c>
      <c r="R80" s="60">
        <f t="shared" si="28"/>
        <v>22.5</v>
      </c>
      <c r="S80" s="60">
        <f t="shared" ref="S80:T80" si="29">S77+S78+S79</f>
        <v>33.799999999999997</v>
      </c>
      <c r="T80" s="60">
        <f t="shared" si="29"/>
        <v>46.4</v>
      </c>
      <c r="U80" s="60">
        <f t="shared" ref="U80:V80" si="30">U77+U78+U79</f>
        <v>41.099999999999994</v>
      </c>
      <c r="V80" s="60">
        <f t="shared" si="30"/>
        <v>97.5</v>
      </c>
      <c r="W80" s="60">
        <f t="shared" ref="W80:Y80" si="31">W77+W78+W79</f>
        <v>97.5</v>
      </c>
      <c r="X80" s="60">
        <f t="shared" si="31"/>
        <v>97.5</v>
      </c>
      <c r="Y80" s="60">
        <f t="shared" si="31"/>
        <v>87.9</v>
      </c>
      <c r="Z80" s="60">
        <f t="shared" si="28"/>
        <v>87.9</v>
      </c>
      <c r="AA80" s="60">
        <f t="shared" ref="AA80" si="32">AA77+AA78+AA79</f>
        <v>87.9</v>
      </c>
      <c r="AB80" s="60">
        <f t="shared" si="28"/>
        <v>99.200000000000017</v>
      </c>
      <c r="AC80" s="60">
        <f t="shared" si="28"/>
        <v>99.200000000000017</v>
      </c>
      <c r="AD80" s="60">
        <f t="shared" si="28"/>
        <v>98.800000000000011</v>
      </c>
      <c r="AE80" s="60">
        <f t="shared" si="28"/>
        <v>98.3</v>
      </c>
      <c r="AF80" s="60">
        <f t="shared" si="28"/>
        <v>25.5</v>
      </c>
      <c r="AG80" s="61">
        <f>SUM(AG77:AG79)</f>
        <v>106</v>
      </c>
      <c r="AH80" s="47">
        <f t="shared" si="2"/>
        <v>99.200000000000017</v>
      </c>
      <c r="AI80" s="48">
        <f t="shared" si="3"/>
        <v>0</v>
      </c>
      <c r="AK80" s="50"/>
    </row>
    <row r="81" spans="1:40" x14ac:dyDescent="0.25">
      <c r="A81" s="44" t="s">
        <v>81</v>
      </c>
      <c r="B81" s="45">
        <v>67.8</v>
      </c>
      <c r="C81" s="45">
        <v>61.8</v>
      </c>
      <c r="D81" s="45">
        <v>62.9</v>
      </c>
      <c r="E81" s="45">
        <v>65.099999999999994</v>
      </c>
      <c r="F81" s="45">
        <v>65.8</v>
      </c>
      <c r="G81" s="45">
        <v>66.3</v>
      </c>
      <c r="H81" s="45">
        <v>71.8</v>
      </c>
      <c r="I81" s="45">
        <v>73.8</v>
      </c>
      <c r="J81" s="45">
        <v>53</v>
      </c>
      <c r="K81" s="45">
        <v>69.8</v>
      </c>
      <c r="L81" s="45">
        <v>67</v>
      </c>
      <c r="M81" s="45">
        <v>69</v>
      </c>
      <c r="N81" s="45">
        <v>58</v>
      </c>
      <c r="O81" s="45">
        <v>54.7</v>
      </c>
      <c r="P81" s="45">
        <v>69.3</v>
      </c>
      <c r="Q81" s="45">
        <v>68.599999999999994</v>
      </c>
      <c r="R81" s="45"/>
      <c r="S81" s="45">
        <v>59</v>
      </c>
      <c r="T81" s="45">
        <v>58.4</v>
      </c>
      <c r="U81" s="45">
        <v>58.8</v>
      </c>
      <c r="V81" s="45">
        <v>48.4</v>
      </c>
      <c r="W81" s="45">
        <v>37.1</v>
      </c>
      <c r="X81" s="45">
        <v>44.1</v>
      </c>
      <c r="Y81" s="45">
        <v>60.4</v>
      </c>
      <c r="Z81" s="45">
        <v>58.5</v>
      </c>
      <c r="AA81" s="45">
        <v>56.8</v>
      </c>
      <c r="AB81" s="45">
        <v>70</v>
      </c>
      <c r="AC81" s="45">
        <v>69.7</v>
      </c>
      <c r="AD81" s="45">
        <v>60</v>
      </c>
      <c r="AE81" s="45">
        <v>63.4</v>
      </c>
      <c r="AF81" s="45">
        <v>57</v>
      </c>
      <c r="AG81" s="52"/>
      <c r="AH81" s="47">
        <f t="shared" si="2"/>
        <v>73.8</v>
      </c>
      <c r="AI81" s="48">
        <f t="shared" si="3"/>
        <v>37.1</v>
      </c>
      <c r="AK81" s="50"/>
    </row>
    <row r="82" spans="1:40" x14ac:dyDescent="0.25">
      <c r="A82" s="54" t="s">
        <v>82</v>
      </c>
      <c r="B82" s="65">
        <v>0</v>
      </c>
      <c r="C82" s="65">
        <v>0</v>
      </c>
      <c r="D82" s="65">
        <v>0</v>
      </c>
      <c r="E82" s="65">
        <v>0</v>
      </c>
      <c r="F82" s="65">
        <v>0</v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  <c r="O82" s="65">
        <v>0</v>
      </c>
      <c r="P82" s="65">
        <v>0</v>
      </c>
      <c r="Q82" s="65">
        <v>0</v>
      </c>
      <c r="R82" s="65">
        <v>0</v>
      </c>
      <c r="S82" s="65">
        <v>0</v>
      </c>
      <c r="T82" s="65">
        <v>0</v>
      </c>
      <c r="U82" s="65">
        <v>0</v>
      </c>
      <c r="V82" s="65">
        <v>0</v>
      </c>
      <c r="W82" s="65">
        <v>0</v>
      </c>
      <c r="X82" s="65">
        <v>0</v>
      </c>
      <c r="Y82" s="65">
        <v>0</v>
      </c>
      <c r="Z82" s="65">
        <v>0</v>
      </c>
      <c r="AA82" s="65">
        <v>0</v>
      </c>
      <c r="AB82" s="65">
        <v>0</v>
      </c>
      <c r="AC82" s="65">
        <v>0</v>
      </c>
      <c r="AD82" s="65">
        <v>0</v>
      </c>
      <c r="AE82" s="65">
        <v>0</v>
      </c>
      <c r="AF82" s="65">
        <v>0</v>
      </c>
      <c r="AG82" s="55"/>
      <c r="AH82" s="47">
        <f t="shared" si="2"/>
        <v>0</v>
      </c>
      <c r="AI82" s="48">
        <f t="shared" si="3"/>
        <v>0</v>
      </c>
      <c r="AK82" s="50"/>
    </row>
    <row r="83" spans="1:40" x14ac:dyDescent="0.25">
      <c r="A83" s="54" t="s">
        <v>83</v>
      </c>
      <c r="B83" s="65">
        <v>368.2</v>
      </c>
      <c r="C83" s="65">
        <v>398.4</v>
      </c>
      <c r="D83" s="65">
        <v>385.5</v>
      </c>
      <c r="E83" s="65">
        <v>385.5</v>
      </c>
      <c r="F83" s="65">
        <v>378</v>
      </c>
      <c r="G83" s="65">
        <v>401</v>
      </c>
      <c r="H83" s="65">
        <v>397</v>
      </c>
      <c r="I83" s="65">
        <v>421</v>
      </c>
      <c r="J83" s="65">
        <v>343</v>
      </c>
      <c r="K83" s="65">
        <v>188</v>
      </c>
      <c r="L83" s="65">
        <v>76</v>
      </c>
      <c r="M83" s="65">
        <v>62.3</v>
      </c>
      <c r="N83" s="65">
        <v>165</v>
      </c>
      <c r="O83" s="65">
        <v>276</v>
      </c>
      <c r="P83" s="65">
        <v>344</v>
      </c>
      <c r="Q83" s="65">
        <v>408</v>
      </c>
      <c r="R83" s="65"/>
      <c r="S83" s="65">
        <v>491.9</v>
      </c>
      <c r="T83" s="65">
        <v>476.6</v>
      </c>
      <c r="U83" s="65">
        <v>470.7</v>
      </c>
      <c r="V83" s="65">
        <v>210.3</v>
      </c>
      <c r="W83" s="65">
        <v>184.6</v>
      </c>
      <c r="X83" s="65">
        <v>114.3</v>
      </c>
      <c r="Y83" s="65">
        <v>125.2</v>
      </c>
      <c r="Z83" s="65">
        <v>126.5</v>
      </c>
      <c r="AA83" s="65">
        <v>230.4</v>
      </c>
      <c r="AB83" s="65">
        <v>310</v>
      </c>
      <c r="AC83" s="65">
        <v>365.9</v>
      </c>
      <c r="AD83" s="65">
        <v>354.7</v>
      </c>
      <c r="AE83" s="65">
        <v>414.1</v>
      </c>
      <c r="AF83" s="65">
        <v>380.7</v>
      </c>
      <c r="AG83" s="75"/>
      <c r="AH83" s="47">
        <f t="shared" si="2"/>
        <v>491.9</v>
      </c>
      <c r="AI83" s="48">
        <f t="shared" si="3"/>
        <v>62.3</v>
      </c>
      <c r="AK83" s="50"/>
    </row>
    <row r="84" spans="1:40" x14ac:dyDescent="0.25">
      <c r="A84" s="54" t="s">
        <v>84</v>
      </c>
      <c r="B84" s="76">
        <v>0</v>
      </c>
      <c r="C84" s="76">
        <v>0</v>
      </c>
      <c r="D84" s="76">
        <v>0</v>
      </c>
      <c r="E84" s="76">
        <v>0</v>
      </c>
      <c r="F84" s="76">
        <v>0</v>
      </c>
      <c r="G84" s="76">
        <v>0</v>
      </c>
      <c r="H84" s="76">
        <v>0</v>
      </c>
      <c r="I84" s="76">
        <v>0</v>
      </c>
      <c r="J84" s="76">
        <v>0</v>
      </c>
      <c r="K84" s="76">
        <v>0</v>
      </c>
      <c r="L84" s="76">
        <v>0</v>
      </c>
      <c r="M84" s="76"/>
      <c r="N84" s="76"/>
      <c r="O84" s="76"/>
      <c r="P84" s="76"/>
      <c r="Q84" s="76"/>
      <c r="R84" s="76"/>
      <c r="S84" s="76">
        <v>40</v>
      </c>
      <c r="T84" s="76">
        <v>41.9</v>
      </c>
      <c r="U84" s="76">
        <v>43.7</v>
      </c>
      <c r="V84" s="76">
        <v>0</v>
      </c>
      <c r="W84" s="76">
        <v>0</v>
      </c>
      <c r="X84" s="76">
        <v>0</v>
      </c>
      <c r="Y84" s="76">
        <v>0</v>
      </c>
      <c r="Z84" s="76">
        <v>0</v>
      </c>
      <c r="AA84" s="76">
        <v>0</v>
      </c>
      <c r="AB84" s="76">
        <v>0</v>
      </c>
      <c r="AC84" s="76">
        <v>0</v>
      </c>
      <c r="AD84" s="65">
        <v>0</v>
      </c>
      <c r="AE84" s="76">
        <v>0</v>
      </c>
      <c r="AF84" s="76">
        <v>0</v>
      </c>
      <c r="AG84" s="75"/>
      <c r="AH84" s="47">
        <f t="shared" si="2"/>
        <v>43.7</v>
      </c>
      <c r="AI84" s="48">
        <f t="shared" si="3"/>
        <v>0</v>
      </c>
      <c r="AK84" s="50"/>
    </row>
    <row r="85" spans="1:40" x14ac:dyDescent="0.25">
      <c r="A85" s="54" t="s">
        <v>85</v>
      </c>
      <c r="B85" s="45">
        <v>11.5</v>
      </c>
      <c r="C85" s="45">
        <v>0</v>
      </c>
      <c r="D85" s="45">
        <v>0</v>
      </c>
      <c r="E85" s="45">
        <v>0</v>
      </c>
      <c r="F85" s="45">
        <v>0</v>
      </c>
      <c r="G85" s="45">
        <v>0</v>
      </c>
      <c r="H85" s="45">
        <v>0</v>
      </c>
      <c r="I85" s="45">
        <v>0</v>
      </c>
      <c r="J85" s="45">
        <v>0</v>
      </c>
      <c r="K85" s="45">
        <v>0</v>
      </c>
      <c r="L85" s="45">
        <v>0</v>
      </c>
      <c r="M85" s="45"/>
      <c r="N85" s="45"/>
      <c r="O85" s="45"/>
      <c r="P85" s="45"/>
      <c r="Q85" s="45"/>
      <c r="R85" s="45"/>
      <c r="S85" s="45">
        <f>50.2*2</f>
        <v>100.4</v>
      </c>
      <c r="T85" s="45">
        <f>56.2*2</f>
        <v>112.4</v>
      </c>
      <c r="U85" s="45">
        <f>56.2*2</f>
        <v>112.4</v>
      </c>
      <c r="V85" s="45">
        <v>0</v>
      </c>
      <c r="W85" s="45">
        <v>0</v>
      </c>
      <c r="X85" s="45">
        <v>0</v>
      </c>
      <c r="Y85" s="45">
        <v>0</v>
      </c>
      <c r="Z85" s="45">
        <v>0</v>
      </c>
      <c r="AA85" s="45">
        <v>0</v>
      </c>
      <c r="AB85" s="45">
        <v>0</v>
      </c>
      <c r="AC85" s="45">
        <v>0</v>
      </c>
      <c r="AD85" s="45">
        <v>0</v>
      </c>
      <c r="AE85" s="45">
        <v>0</v>
      </c>
      <c r="AF85" s="45">
        <v>0</v>
      </c>
      <c r="AG85" s="75"/>
      <c r="AH85" s="47">
        <f t="shared" ref="AH85:AH130" si="33">MAX(B85:AF85)</f>
        <v>112.4</v>
      </c>
      <c r="AI85" s="48">
        <f t="shared" ref="AI85:AI130" si="34">MIN(B85:AF85)</f>
        <v>0</v>
      </c>
      <c r="AK85" s="50"/>
    </row>
    <row r="86" spans="1:40" x14ac:dyDescent="0.25">
      <c r="A86" s="54" t="s">
        <v>86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>
        <v>0</v>
      </c>
      <c r="AD86" s="77">
        <v>0</v>
      </c>
      <c r="AE86" s="77">
        <v>0</v>
      </c>
      <c r="AF86" s="77">
        <v>0</v>
      </c>
      <c r="AG86" s="75"/>
      <c r="AH86" s="47">
        <f t="shared" si="33"/>
        <v>0</v>
      </c>
      <c r="AI86" s="48">
        <f t="shared" si="34"/>
        <v>0</v>
      </c>
      <c r="AK86" s="50"/>
    </row>
    <row r="87" spans="1:40" ht="15.75" thickBot="1" x14ac:dyDescent="0.3">
      <c r="A87" s="54" t="s">
        <v>87</v>
      </c>
      <c r="B87" s="77">
        <v>0</v>
      </c>
      <c r="C87" s="77">
        <v>0</v>
      </c>
      <c r="D87" s="77">
        <v>0</v>
      </c>
      <c r="E87" s="77">
        <v>0</v>
      </c>
      <c r="F87" s="77">
        <v>0</v>
      </c>
      <c r="G87" s="77">
        <v>0</v>
      </c>
      <c r="H87" s="77">
        <v>0</v>
      </c>
      <c r="I87" s="77">
        <v>0</v>
      </c>
      <c r="J87" s="77">
        <v>0</v>
      </c>
      <c r="K87" s="77">
        <v>0</v>
      </c>
      <c r="L87" s="77">
        <v>0</v>
      </c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>
        <v>0</v>
      </c>
      <c r="AD87" s="77">
        <v>0</v>
      </c>
      <c r="AE87" s="77">
        <v>0</v>
      </c>
      <c r="AF87" s="77">
        <v>0</v>
      </c>
      <c r="AG87" s="75"/>
      <c r="AH87" s="47">
        <f t="shared" si="33"/>
        <v>0</v>
      </c>
      <c r="AI87" s="48">
        <f t="shared" si="34"/>
        <v>0</v>
      </c>
      <c r="AK87" s="50"/>
      <c r="AL87" s="78" t="s">
        <v>88</v>
      </c>
      <c r="AM87" s="78"/>
    </row>
    <row r="88" spans="1:40" x14ac:dyDescent="0.25">
      <c r="A88" s="54" t="s">
        <v>89</v>
      </c>
      <c r="B88" s="77">
        <v>0</v>
      </c>
      <c r="C88" s="77">
        <v>0</v>
      </c>
      <c r="D88" s="77">
        <v>0</v>
      </c>
      <c r="E88" s="77">
        <v>0</v>
      </c>
      <c r="F88" s="77">
        <v>0</v>
      </c>
      <c r="G88" s="77">
        <v>0</v>
      </c>
      <c r="H88" s="77">
        <v>0</v>
      </c>
      <c r="I88" s="77">
        <v>0</v>
      </c>
      <c r="J88" s="77">
        <v>0</v>
      </c>
      <c r="K88" s="77">
        <v>0</v>
      </c>
      <c r="L88" s="77">
        <v>0</v>
      </c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>
        <v>0</v>
      </c>
      <c r="AD88" s="77">
        <v>0</v>
      </c>
      <c r="AE88" s="77">
        <v>0</v>
      </c>
      <c r="AF88" s="77">
        <v>0</v>
      </c>
      <c r="AG88" s="75"/>
      <c r="AH88" s="47">
        <f t="shared" si="33"/>
        <v>0</v>
      </c>
      <c r="AI88" s="48">
        <f t="shared" si="34"/>
        <v>0</v>
      </c>
      <c r="AK88" s="79"/>
      <c r="AL88" s="80"/>
      <c r="AM88" s="80"/>
      <c r="AN88" s="81"/>
    </row>
    <row r="89" spans="1:40" x14ac:dyDescent="0.25">
      <c r="A89" s="54" t="s">
        <v>90</v>
      </c>
      <c r="B89" s="77">
        <v>0</v>
      </c>
      <c r="C89" s="77">
        <v>0</v>
      </c>
      <c r="D89" s="77">
        <v>0</v>
      </c>
      <c r="E89" s="77">
        <v>0</v>
      </c>
      <c r="F89" s="77">
        <v>0</v>
      </c>
      <c r="G89" s="77">
        <v>0</v>
      </c>
      <c r="H89" s="77">
        <v>0</v>
      </c>
      <c r="I89" s="77">
        <v>0</v>
      </c>
      <c r="J89" s="77">
        <v>0</v>
      </c>
      <c r="K89" s="77">
        <v>0</v>
      </c>
      <c r="L89" s="77">
        <v>0</v>
      </c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>
        <v>0</v>
      </c>
      <c r="AD89" s="77">
        <v>0</v>
      </c>
      <c r="AE89" s="77">
        <v>0</v>
      </c>
      <c r="AF89" s="77">
        <v>0</v>
      </c>
      <c r="AG89" s="75"/>
      <c r="AH89" s="47">
        <f t="shared" si="33"/>
        <v>0</v>
      </c>
      <c r="AI89" s="48">
        <f t="shared" si="34"/>
        <v>0</v>
      </c>
      <c r="AK89" s="82" t="s">
        <v>91</v>
      </c>
      <c r="AL89" s="65"/>
      <c r="AM89" s="76"/>
      <c r="AN89" s="83"/>
    </row>
    <row r="90" spans="1:40" x14ac:dyDescent="0.25">
      <c r="A90" s="84" t="s">
        <v>92</v>
      </c>
      <c r="B90" s="77">
        <v>0</v>
      </c>
      <c r="C90" s="77">
        <v>0</v>
      </c>
      <c r="D90" s="77">
        <v>0</v>
      </c>
      <c r="E90" s="77">
        <v>0</v>
      </c>
      <c r="F90" s="77">
        <v>0</v>
      </c>
      <c r="G90" s="77">
        <v>0</v>
      </c>
      <c r="H90" s="77">
        <v>0</v>
      </c>
      <c r="I90" s="77">
        <v>0</v>
      </c>
      <c r="J90" s="77">
        <v>0</v>
      </c>
      <c r="K90" s="77">
        <v>0</v>
      </c>
      <c r="L90" s="77">
        <v>0</v>
      </c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>
        <v>0</v>
      </c>
      <c r="AD90" s="77">
        <v>0</v>
      </c>
      <c r="AE90" s="77">
        <v>0</v>
      </c>
      <c r="AF90" s="77">
        <v>0</v>
      </c>
      <c r="AG90" s="85"/>
      <c r="AH90" s="47">
        <f t="shared" si="33"/>
        <v>0</v>
      </c>
      <c r="AI90" s="48">
        <f t="shared" si="34"/>
        <v>0</v>
      </c>
      <c r="AK90" s="82" t="s">
        <v>93</v>
      </c>
      <c r="AL90" s="76"/>
      <c r="AM90" s="76"/>
      <c r="AN90" s="83"/>
    </row>
    <row r="91" spans="1:40" ht="15.75" thickBot="1" x14ac:dyDescent="0.3">
      <c r="A91" s="84" t="s">
        <v>421</v>
      </c>
      <c r="B91" s="77">
        <v>53</v>
      </c>
      <c r="C91" s="77">
        <v>0</v>
      </c>
      <c r="D91" s="77">
        <v>0</v>
      </c>
      <c r="E91" s="77">
        <v>0</v>
      </c>
      <c r="F91" s="77">
        <v>0</v>
      </c>
      <c r="G91" s="77">
        <v>0</v>
      </c>
      <c r="H91" s="77">
        <v>0</v>
      </c>
      <c r="I91" s="77">
        <v>0</v>
      </c>
      <c r="J91" s="77">
        <v>0</v>
      </c>
      <c r="K91" s="77">
        <v>0</v>
      </c>
      <c r="L91" s="77">
        <v>37.299999999999997</v>
      </c>
      <c r="M91" s="77">
        <v>37.799999999999997</v>
      </c>
      <c r="N91" s="77">
        <v>37.799999999999997</v>
      </c>
      <c r="O91" s="77">
        <v>38.700000000000003</v>
      </c>
      <c r="P91" s="77">
        <v>45</v>
      </c>
      <c r="Q91" s="77">
        <v>44.7</v>
      </c>
      <c r="R91" s="77"/>
      <c r="S91" s="77">
        <f>37.2+8</f>
        <v>45.2</v>
      </c>
      <c r="T91" s="77">
        <f>37.7+8</f>
        <v>45.7</v>
      </c>
      <c r="U91" s="77">
        <f>38.4+8</f>
        <v>46.4</v>
      </c>
      <c r="V91" s="77">
        <f>31.1+8</f>
        <v>39.1</v>
      </c>
      <c r="W91" s="77">
        <f>33.6+8</f>
        <v>41.6</v>
      </c>
      <c r="X91" s="77">
        <f>35.9+8</f>
        <v>43.9</v>
      </c>
      <c r="Y91" s="77">
        <f>38.3+8</f>
        <v>46.3</v>
      </c>
      <c r="Z91" s="77">
        <v>46.2</v>
      </c>
      <c r="AA91" s="77">
        <f>38.2+8</f>
        <v>46.2</v>
      </c>
      <c r="AB91" s="77">
        <v>39.1</v>
      </c>
      <c r="AC91" s="77">
        <v>46</v>
      </c>
      <c r="AD91" s="77">
        <v>45</v>
      </c>
      <c r="AE91" s="77">
        <v>47</v>
      </c>
      <c r="AF91" s="77">
        <v>45</v>
      </c>
      <c r="AG91" s="85"/>
      <c r="AH91" s="47">
        <f t="shared" si="33"/>
        <v>53</v>
      </c>
      <c r="AI91" s="48">
        <f t="shared" si="34"/>
        <v>0</v>
      </c>
      <c r="AK91" s="86"/>
      <c r="AL91" s="45"/>
      <c r="AM91" s="45"/>
      <c r="AN91" s="87"/>
    </row>
    <row r="92" spans="1:40" ht="15.75" thickBot="1" x14ac:dyDescent="0.3">
      <c r="A92" s="74" t="s">
        <v>95</v>
      </c>
      <c r="B92" s="60">
        <f t="shared" ref="B92:C92" si="35">SUMIF(B81:B91,"&gt;0")</f>
        <v>500.5</v>
      </c>
      <c r="C92" s="60">
        <f t="shared" si="35"/>
        <v>460.2</v>
      </c>
      <c r="D92" s="60">
        <f t="shared" ref="D92" si="36">SUMIF(D81:D91,"&gt;0")</f>
        <v>448.4</v>
      </c>
      <c r="E92" s="60">
        <f t="shared" ref="E92:AF92" si="37">SUMIF(E81:E91,"&gt;0")</f>
        <v>450.6</v>
      </c>
      <c r="F92" s="60">
        <f t="shared" si="37"/>
        <v>443.8</v>
      </c>
      <c r="G92" s="60">
        <f t="shared" si="37"/>
        <v>467.3</v>
      </c>
      <c r="H92" s="60">
        <f t="shared" si="37"/>
        <v>468.8</v>
      </c>
      <c r="I92" s="60">
        <f t="shared" si="37"/>
        <v>494.8</v>
      </c>
      <c r="J92" s="60">
        <f t="shared" si="37"/>
        <v>396</v>
      </c>
      <c r="K92" s="60">
        <f t="shared" si="37"/>
        <v>257.8</v>
      </c>
      <c r="L92" s="60">
        <f t="shared" si="37"/>
        <v>180.3</v>
      </c>
      <c r="M92" s="60">
        <f t="shared" si="37"/>
        <v>169.10000000000002</v>
      </c>
      <c r="N92" s="60">
        <f t="shared" si="37"/>
        <v>260.8</v>
      </c>
      <c r="O92" s="60">
        <f t="shared" si="37"/>
        <v>369.4</v>
      </c>
      <c r="P92" s="60">
        <f t="shared" si="37"/>
        <v>458.3</v>
      </c>
      <c r="Q92" s="60">
        <f t="shared" si="37"/>
        <v>521.30000000000007</v>
      </c>
      <c r="R92" s="60">
        <f t="shared" si="37"/>
        <v>0</v>
      </c>
      <c r="S92" s="60">
        <f t="shared" ref="S92:T92" si="38">SUMIF(S81:S91,"&gt;0")</f>
        <v>736.5</v>
      </c>
      <c r="T92" s="60">
        <f t="shared" si="38"/>
        <v>735</v>
      </c>
      <c r="U92" s="60">
        <f t="shared" ref="U92:V92" si="39">SUMIF(U81:U91,"&gt;0")</f>
        <v>732</v>
      </c>
      <c r="V92" s="60">
        <f t="shared" si="39"/>
        <v>297.8</v>
      </c>
      <c r="W92" s="60">
        <f t="shared" ref="W92:Y92" si="40">SUMIF(W81:W91,"&gt;0")</f>
        <v>263.3</v>
      </c>
      <c r="X92" s="60">
        <f t="shared" si="40"/>
        <v>202.3</v>
      </c>
      <c r="Y92" s="60">
        <f t="shared" si="40"/>
        <v>231.89999999999998</v>
      </c>
      <c r="Z92" s="60">
        <f t="shared" si="37"/>
        <v>231.2</v>
      </c>
      <c r="AA92" s="60">
        <f t="shared" ref="AA92" si="41">SUMIF(AA81:AA91,"&gt;0")</f>
        <v>333.4</v>
      </c>
      <c r="AB92" s="60">
        <f t="shared" si="37"/>
        <v>419.1</v>
      </c>
      <c r="AC92" s="60">
        <f t="shared" si="37"/>
        <v>481.59999999999997</v>
      </c>
      <c r="AD92" s="60">
        <f t="shared" si="37"/>
        <v>459.7</v>
      </c>
      <c r="AE92" s="60">
        <f t="shared" si="37"/>
        <v>524.5</v>
      </c>
      <c r="AF92" s="60">
        <f t="shared" si="37"/>
        <v>482.7</v>
      </c>
      <c r="AG92" s="88">
        <f>SUM(AG81:AG91)</f>
        <v>0</v>
      </c>
      <c r="AH92" s="47">
        <f t="shared" si="33"/>
        <v>736.5</v>
      </c>
      <c r="AI92" s="48">
        <f t="shared" si="34"/>
        <v>0</v>
      </c>
      <c r="AK92" s="86"/>
      <c r="AL92" s="77"/>
      <c r="AM92" s="89"/>
      <c r="AN92" s="255"/>
    </row>
    <row r="93" spans="1:40" x14ac:dyDescent="0.25">
      <c r="A93" s="44" t="s">
        <v>96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33"/>
        <v>0</v>
      </c>
      <c r="AI93" s="48">
        <f t="shared" si="34"/>
        <v>0</v>
      </c>
      <c r="AK93" s="86"/>
      <c r="AL93" s="77"/>
      <c r="AM93" s="77"/>
      <c r="AN93" s="256"/>
    </row>
    <row r="94" spans="1:40" ht="15.75" thickBot="1" x14ac:dyDescent="0.3">
      <c r="A94" s="54" t="s">
        <v>97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33"/>
        <v>0</v>
      </c>
      <c r="AI94" s="48">
        <f t="shared" si="34"/>
        <v>0</v>
      </c>
      <c r="AK94" s="91"/>
      <c r="AL94" s="92"/>
      <c r="AM94" s="92"/>
      <c r="AN94" s="93"/>
    </row>
    <row r="95" spans="1:40" ht="15.75" thickBot="1" x14ac:dyDescent="0.3">
      <c r="A95" s="84" t="s">
        <v>98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33"/>
        <v>0</v>
      </c>
      <c r="AI95" s="48">
        <f t="shared" si="34"/>
        <v>0</v>
      </c>
    </row>
    <row r="96" spans="1:40" ht="15.75" thickBot="1" x14ac:dyDescent="0.3">
      <c r="A96" s="74" t="s">
        <v>99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33"/>
        <v>0</v>
      </c>
      <c r="AI96" s="48">
        <f t="shared" si="34"/>
        <v>0</v>
      </c>
    </row>
    <row r="97" spans="1:37" ht="15.75" thickBot="1" x14ac:dyDescent="0.3">
      <c r="A97" s="74" t="s">
        <v>100</v>
      </c>
      <c r="B97" s="95">
        <f t="shared" ref="B97:C97" si="42">B58+B62+B80+B76+B92+B96</f>
        <v>1207.6399999999999</v>
      </c>
      <c r="C97" s="95">
        <f t="shared" si="42"/>
        <v>1163.94</v>
      </c>
      <c r="D97" s="95">
        <f t="shared" ref="D97" si="43">D58+D62+D80+D76+D92+D96</f>
        <v>1154.24</v>
      </c>
      <c r="E97" s="95">
        <f t="shared" ref="E97:AG97" si="44">E58+E62+E80+E76+E92+E96</f>
        <v>1156.44</v>
      </c>
      <c r="F97" s="95">
        <f t="shared" si="44"/>
        <v>1149.6400000000001</v>
      </c>
      <c r="G97" s="95">
        <f t="shared" si="44"/>
        <v>1242.3399999999999</v>
      </c>
      <c r="H97" s="95">
        <f t="shared" si="44"/>
        <v>1305.94</v>
      </c>
      <c r="I97" s="95">
        <f t="shared" si="44"/>
        <v>1396.24</v>
      </c>
      <c r="J97" s="95">
        <f t="shared" si="44"/>
        <v>1532.24</v>
      </c>
      <c r="K97" s="95">
        <f t="shared" si="44"/>
        <v>1515.34</v>
      </c>
      <c r="L97" s="95">
        <f t="shared" si="44"/>
        <v>1595.94</v>
      </c>
      <c r="M97" s="95">
        <f t="shared" si="44"/>
        <v>1576.04</v>
      </c>
      <c r="N97" s="95">
        <f t="shared" si="44"/>
        <v>1533.34</v>
      </c>
      <c r="O97" s="95">
        <f t="shared" si="44"/>
        <v>1490.04</v>
      </c>
      <c r="P97" s="95">
        <f t="shared" si="44"/>
        <v>1445.5400000000002</v>
      </c>
      <c r="Q97" s="95">
        <f t="shared" si="44"/>
        <v>1545.94</v>
      </c>
      <c r="R97" s="95">
        <f t="shared" si="44"/>
        <v>763.84</v>
      </c>
      <c r="S97" s="95">
        <f t="shared" ref="S97:T97" si="45">S58+S62+S80+S76+S92+S96</f>
        <v>1462.1399999999999</v>
      </c>
      <c r="T97" s="95">
        <f t="shared" si="45"/>
        <v>1491.1399999999999</v>
      </c>
      <c r="U97" s="95">
        <f t="shared" ref="U97:V97" si="46">U58+U62+U80+U76+U92+U96</f>
        <v>1472.74</v>
      </c>
      <c r="V97" s="95">
        <f t="shared" si="46"/>
        <v>1394.34</v>
      </c>
      <c r="W97" s="95">
        <f t="shared" ref="W97:Y97" si="47">W58+W62+W80+W76+W92+W96</f>
        <v>1458.54</v>
      </c>
      <c r="X97" s="95">
        <f t="shared" si="47"/>
        <v>1580.94</v>
      </c>
      <c r="Y97" s="95">
        <f t="shared" si="47"/>
        <v>1670.94</v>
      </c>
      <c r="Z97" s="95">
        <f t="shared" si="44"/>
        <v>1618.14</v>
      </c>
      <c r="AA97" s="95">
        <f t="shared" ref="AA97" si="48">AA58+AA62+AA80+AA76+AA92+AA96</f>
        <v>1610.3400000000001</v>
      </c>
      <c r="AB97" s="95">
        <f t="shared" si="44"/>
        <v>1542.94</v>
      </c>
      <c r="AC97" s="95">
        <f t="shared" si="44"/>
        <v>1522.74</v>
      </c>
      <c r="AD97" s="95">
        <f t="shared" si="44"/>
        <v>1468.6399999999999</v>
      </c>
      <c r="AE97" s="95">
        <f t="shared" si="44"/>
        <v>1391.94</v>
      </c>
      <c r="AF97" s="95">
        <f t="shared" si="44"/>
        <v>1258.24</v>
      </c>
      <c r="AG97" s="61">
        <f t="shared" si="44"/>
        <v>2231.81</v>
      </c>
      <c r="AH97" s="47">
        <f t="shared" si="33"/>
        <v>1670.94</v>
      </c>
      <c r="AI97" s="48">
        <f t="shared" si="34"/>
        <v>763.84</v>
      </c>
    </row>
    <row r="98" spans="1:37" ht="15.75" thickBot="1" x14ac:dyDescent="0.3">
      <c r="A98" s="96" t="s">
        <v>101</v>
      </c>
      <c r="B98" s="97"/>
      <c r="C98" s="97"/>
      <c r="D98" s="97"/>
      <c r="E98" s="97"/>
      <c r="F98" s="97"/>
      <c r="G98" s="97"/>
      <c r="H98" s="97"/>
      <c r="I98" s="97"/>
      <c r="J98" s="97"/>
      <c r="K98" s="97">
        <v>150</v>
      </c>
      <c r="L98" s="97">
        <v>200</v>
      </c>
      <c r="M98" s="97">
        <v>200</v>
      </c>
      <c r="N98" s="97">
        <v>200</v>
      </c>
      <c r="O98" s="97">
        <v>200</v>
      </c>
      <c r="P98" s="97"/>
      <c r="Q98" s="97"/>
      <c r="R98" s="97"/>
      <c r="S98" s="97">
        <v>80</v>
      </c>
      <c r="T98" s="97">
        <v>80</v>
      </c>
      <c r="U98" s="97">
        <v>80</v>
      </c>
      <c r="V98" s="97">
        <v>80</v>
      </c>
      <c r="W98" s="97">
        <v>150</v>
      </c>
      <c r="X98" s="97">
        <v>250</v>
      </c>
      <c r="Y98" s="97">
        <v>250</v>
      </c>
      <c r="Z98" s="97">
        <v>250</v>
      </c>
      <c r="AA98" s="97">
        <v>250</v>
      </c>
      <c r="AB98" s="97">
        <v>220</v>
      </c>
      <c r="AC98" s="97">
        <v>180</v>
      </c>
      <c r="AD98" s="97">
        <v>150</v>
      </c>
      <c r="AE98" s="97"/>
      <c r="AF98" s="97"/>
      <c r="AG98" s="88"/>
      <c r="AH98" s="47">
        <f t="shared" si="33"/>
        <v>250</v>
      </c>
      <c r="AI98" s="48">
        <f t="shared" si="34"/>
        <v>80</v>
      </c>
    </row>
    <row r="99" spans="1:37" ht="15.75" thickBot="1" x14ac:dyDescent="0.3">
      <c r="A99" s="74" t="s">
        <v>102</v>
      </c>
      <c r="B99" s="95">
        <f t="shared" ref="B99:C99" si="49">B97+B98</f>
        <v>1207.6399999999999</v>
      </c>
      <c r="C99" s="95">
        <f t="shared" si="49"/>
        <v>1163.94</v>
      </c>
      <c r="D99" s="95">
        <f t="shared" ref="D99" si="50">D97+D98</f>
        <v>1154.24</v>
      </c>
      <c r="E99" s="95">
        <f t="shared" ref="E99:AF99" si="51">E97+E98</f>
        <v>1156.44</v>
      </c>
      <c r="F99" s="95">
        <f t="shared" si="51"/>
        <v>1149.6400000000001</v>
      </c>
      <c r="G99" s="95">
        <f t="shared" si="51"/>
        <v>1242.3399999999999</v>
      </c>
      <c r="H99" s="95">
        <f t="shared" si="51"/>
        <v>1305.94</v>
      </c>
      <c r="I99" s="95">
        <f t="shared" si="51"/>
        <v>1396.24</v>
      </c>
      <c r="J99" s="95">
        <f t="shared" si="51"/>
        <v>1532.24</v>
      </c>
      <c r="K99" s="95">
        <f t="shared" si="51"/>
        <v>1665.34</v>
      </c>
      <c r="L99" s="95">
        <f t="shared" si="51"/>
        <v>1795.94</v>
      </c>
      <c r="M99" s="95">
        <f t="shared" si="51"/>
        <v>1776.04</v>
      </c>
      <c r="N99" s="95">
        <f t="shared" si="51"/>
        <v>1733.34</v>
      </c>
      <c r="O99" s="95">
        <f t="shared" si="51"/>
        <v>1690.04</v>
      </c>
      <c r="P99" s="95">
        <f t="shared" si="51"/>
        <v>1445.5400000000002</v>
      </c>
      <c r="Q99" s="95">
        <f t="shared" si="51"/>
        <v>1545.94</v>
      </c>
      <c r="R99" s="95">
        <f t="shared" si="51"/>
        <v>763.84</v>
      </c>
      <c r="S99" s="95">
        <f t="shared" ref="S99:T99" si="52">S97+S98</f>
        <v>1542.1399999999999</v>
      </c>
      <c r="T99" s="95">
        <f t="shared" si="52"/>
        <v>1571.1399999999999</v>
      </c>
      <c r="U99" s="95">
        <f t="shared" ref="U99:V99" si="53">U97+U98</f>
        <v>1552.74</v>
      </c>
      <c r="V99" s="95">
        <f t="shared" si="53"/>
        <v>1474.34</v>
      </c>
      <c r="W99" s="95">
        <f t="shared" ref="W99:Y99" si="54">W97+W98</f>
        <v>1608.54</v>
      </c>
      <c r="X99" s="95">
        <f t="shared" si="54"/>
        <v>1830.94</v>
      </c>
      <c r="Y99" s="95">
        <f t="shared" si="54"/>
        <v>1920.94</v>
      </c>
      <c r="Z99" s="95">
        <f t="shared" si="51"/>
        <v>1868.14</v>
      </c>
      <c r="AA99" s="95">
        <f t="shared" ref="AA99" si="55">AA97+AA98</f>
        <v>1860.3400000000001</v>
      </c>
      <c r="AB99" s="95">
        <f t="shared" si="51"/>
        <v>1762.94</v>
      </c>
      <c r="AC99" s="95">
        <f t="shared" si="51"/>
        <v>1702.74</v>
      </c>
      <c r="AD99" s="95">
        <f t="shared" si="51"/>
        <v>1618.6399999999999</v>
      </c>
      <c r="AE99" s="95">
        <f t="shared" si="51"/>
        <v>1391.94</v>
      </c>
      <c r="AF99" s="95">
        <f t="shared" si="51"/>
        <v>1258.24</v>
      </c>
      <c r="AG99" s="88">
        <f>AG96+AG92+AG80+AG76+AG58+AG98</f>
        <v>1693.71</v>
      </c>
      <c r="AH99" s="47">
        <f t="shared" si="33"/>
        <v>1920.94</v>
      </c>
      <c r="AI99" s="48">
        <f t="shared" si="34"/>
        <v>763.84</v>
      </c>
    </row>
    <row r="100" spans="1:37" ht="15.75" thickBot="1" x14ac:dyDescent="0.3">
      <c r="A100" s="74" t="s">
        <v>103</v>
      </c>
      <c r="B100" s="95">
        <f t="shared" ref="B100:C100" si="56">B99-(B107)</f>
        <v>1207.6399999999999</v>
      </c>
      <c r="C100" s="95">
        <f t="shared" si="56"/>
        <v>1163.94</v>
      </c>
      <c r="D100" s="95">
        <f t="shared" ref="D100" si="57">D99-(D107)</f>
        <v>1154.24</v>
      </c>
      <c r="E100" s="95">
        <f t="shared" ref="E100:M100" si="58">E99-(E107)</f>
        <v>1156.44</v>
      </c>
      <c r="F100" s="95">
        <f t="shared" si="58"/>
        <v>1149.6400000000001</v>
      </c>
      <c r="G100" s="95">
        <f t="shared" si="58"/>
        <v>1242.3399999999999</v>
      </c>
      <c r="H100" s="95">
        <f t="shared" si="58"/>
        <v>1305.94</v>
      </c>
      <c r="I100" s="95">
        <f t="shared" si="58"/>
        <v>1396.24</v>
      </c>
      <c r="J100" s="95">
        <f t="shared" si="58"/>
        <v>1532.24</v>
      </c>
      <c r="K100" s="95">
        <f t="shared" si="58"/>
        <v>1665.34</v>
      </c>
      <c r="L100" s="95">
        <f t="shared" si="58"/>
        <v>1795.94</v>
      </c>
      <c r="M100" s="95">
        <f t="shared" si="58"/>
        <v>1776.04</v>
      </c>
      <c r="N100" s="95">
        <f>N99-(N107)</f>
        <v>1733.34</v>
      </c>
      <c r="O100" s="95">
        <f t="shared" ref="O100:AF100" si="59">O99-(O107)</f>
        <v>1690.04</v>
      </c>
      <c r="P100" s="95">
        <f t="shared" si="59"/>
        <v>1445.5400000000002</v>
      </c>
      <c r="Q100" s="95">
        <f t="shared" si="59"/>
        <v>1545.94</v>
      </c>
      <c r="R100" s="95">
        <f t="shared" si="59"/>
        <v>763.84</v>
      </c>
      <c r="S100" s="95">
        <f t="shared" ref="S100:T100" si="60">S99-(S107)</f>
        <v>1541.1399999999999</v>
      </c>
      <c r="T100" s="95">
        <f t="shared" si="60"/>
        <v>1569.1399999999999</v>
      </c>
      <c r="U100" s="95">
        <f t="shared" ref="U100:V100" si="61">U99-(U107)</f>
        <v>1549.74</v>
      </c>
      <c r="V100" s="95">
        <f t="shared" si="61"/>
        <v>1470.34</v>
      </c>
      <c r="W100" s="95">
        <f t="shared" ref="W100:Y100" si="62">W99-(W107)</f>
        <v>1603.54</v>
      </c>
      <c r="X100" s="95">
        <f t="shared" si="62"/>
        <v>1824.94</v>
      </c>
      <c r="Y100" s="95">
        <f t="shared" si="62"/>
        <v>1911.94</v>
      </c>
      <c r="Z100" s="95">
        <f t="shared" si="59"/>
        <v>1868.14</v>
      </c>
      <c r="AA100" s="95">
        <f t="shared" ref="AA100" si="63">AA99-(AA107)</f>
        <v>1859.3400000000001</v>
      </c>
      <c r="AB100" s="95">
        <f t="shared" si="59"/>
        <v>1762.94</v>
      </c>
      <c r="AC100" s="95">
        <f t="shared" si="59"/>
        <v>1702.74</v>
      </c>
      <c r="AD100" s="95">
        <f t="shared" si="59"/>
        <v>1618.6399999999999</v>
      </c>
      <c r="AE100" s="95">
        <f t="shared" si="59"/>
        <v>1391.94</v>
      </c>
      <c r="AF100" s="95">
        <f t="shared" si="59"/>
        <v>1258.24</v>
      </c>
      <c r="AG100" s="88"/>
      <c r="AH100" s="47">
        <f t="shared" si="33"/>
        <v>1911.94</v>
      </c>
      <c r="AI100" s="48">
        <f t="shared" si="34"/>
        <v>763.84</v>
      </c>
    </row>
    <row r="101" spans="1:37" x14ac:dyDescent="0.25">
      <c r="A101" s="44" t="s">
        <v>84</v>
      </c>
      <c r="B101" s="76">
        <f t="shared" ref="B101:C101" si="64">IF(B84&lt;0,B84*-1,0)</f>
        <v>0</v>
      </c>
      <c r="C101" s="76">
        <f t="shared" si="64"/>
        <v>0</v>
      </c>
      <c r="D101" s="76">
        <f t="shared" ref="D101" si="65">IF(D84&lt;0,D84*-1,0)</f>
        <v>0</v>
      </c>
      <c r="E101" s="76">
        <f t="shared" ref="E101:AF101" si="66">IF(E84&lt;0,E84*-1,0)</f>
        <v>0</v>
      </c>
      <c r="F101" s="76">
        <f t="shared" si="66"/>
        <v>0</v>
      </c>
      <c r="G101" s="76">
        <f t="shared" si="66"/>
        <v>0</v>
      </c>
      <c r="H101" s="76">
        <f t="shared" si="66"/>
        <v>0</v>
      </c>
      <c r="I101" s="76">
        <f t="shared" si="66"/>
        <v>0</v>
      </c>
      <c r="J101" s="76">
        <f t="shared" si="66"/>
        <v>0</v>
      </c>
      <c r="K101" s="76">
        <f t="shared" si="66"/>
        <v>0</v>
      </c>
      <c r="L101" s="76">
        <f t="shared" si="66"/>
        <v>0</v>
      </c>
      <c r="M101" s="76">
        <f t="shared" si="66"/>
        <v>0</v>
      </c>
      <c r="N101" s="76">
        <f t="shared" si="66"/>
        <v>0</v>
      </c>
      <c r="O101" s="76">
        <f t="shared" si="66"/>
        <v>0</v>
      </c>
      <c r="P101" s="76">
        <f t="shared" si="66"/>
        <v>0</v>
      </c>
      <c r="Q101" s="76">
        <f t="shared" si="66"/>
        <v>0</v>
      </c>
      <c r="R101" s="76">
        <f t="shared" si="66"/>
        <v>0</v>
      </c>
      <c r="S101" s="76">
        <f t="shared" ref="S101:T101" si="67">IF(S84&lt;0,S84*-1,0)</f>
        <v>0</v>
      </c>
      <c r="T101" s="76">
        <f t="shared" si="67"/>
        <v>0</v>
      </c>
      <c r="U101" s="76">
        <f t="shared" ref="U101:V101" si="68">IF(U84&lt;0,U84*-1,0)</f>
        <v>0</v>
      </c>
      <c r="V101" s="76">
        <f t="shared" si="68"/>
        <v>0</v>
      </c>
      <c r="W101" s="76">
        <f t="shared" ref="W101:Y101" si="69">IF(W84&lt;0,W84*-1,0)</f>
        <v>0</v>
      </c>
      <c r="X101" s="76">
        <f t="shared" si="69"/>
        <v>0</v>
      </c>
      <c r="Y101" s="76">
        <f t="shared" si="69"/>
        <v>0</v>
      </c>
      <c r="Z101" s="76">
        <f t="shared" si="66"/>
        <v>0</v>
      </c>
      <c r="AA101" s="76">
        <f t="shared" ref="AA101" si="70">IF(AA84&lt;0,AA84*-1,0)</f>
        <v>0</v>
      </c>
      <c r="AB101" s="76">
        <f t="shared" si="66"/>
        <v>0</v>
      </c>
      <c r="AC101" s="76">
        <f t="shared" si="66"/>
        <v>0</v>
      </c>
      <c r="AD101" s="76">
        <f t="shared" si="66"/>
        <v>0</v>
      </c>
      <c r="AE101" s="76">
        <f t="shared" si="66"/>
        <v>0</v>
      </c>
      <c r="AF101" s="76">
        <f t="shared" si="66"/>
        <v>0</v>
      </c>
      <c r="AG101" s="52"/>
      <c r="AH101" s="47">
        <f t="shared" si="33"/>
        <v>0</v>
      </c>
      <c r="AI101" s="48">
        <f t="shared" si="34"/>
        <v>0</v>
      </c>
    </row>
    <row r="102" spans="1:37" x14ac:dyDescent="0.25">
      <c r="A102" s="54" t="s">
        <v>82</v>
      </c>
      <c r="B102" s="76">
        <f t="shared" ref="B102:C102" si="71">IF(B82&lt;0,B82*-1,0)</f>
        <v>0</v>
      </c>
      <c r="C102" s="76">
        <f t="shared" si="71"/>
        <v>0</v>
      </c>
      <c r="D102" s="76">
        <f t="shared" ref="D102" si="72">IF(D82&lt;0,D82*-1,0)</f>
        <v>0</v>
      </c>
      <c r="E102" s="76">
        <f t="shared" ref="E102:AF102" si="73">IF(E82&lt;0,E82*-1,0)</f>
        <v>0</v>
      </c>
      <c r="F102" s="76">
        <f t="shared" si="73"/>
        <v>0</v>
      </c>
      <c r="G102" s="76">
        <f t="shared" si="73"/>
        <v>0</v>
      </c>
      <c r="H102" s="76">
        <f t="shared" si="73"/>
        <v>0</v>
      </c>
      <c r="I102" s="76">
        <f t="shared" si="73"/>
        <v>0</v>
      </c>
      <c r="J102" s="76">
        <f t="shared" si="73"/>
        <v>0</v>
      </c>
      <c r="K102" s="76">
        <f t="shared" si="73"/>
        <v>0</v>
      </c>
      <c r="L102" s="76">
        <f t="shared" si="73"/>
        <v>0</v>
      </c>
      <c r="M102" s="76">
        <f t="shared" si="73"/>
        <v>0</v>
      </c>
      <c r="N102" s="76">
        <f t="shared" si="73"/>
        <v>0</v>
      </c>
      <c r="O102" s="76">
        <f t="shared" si="73"/>
        <v>0</v>
      </c>
      <c r="P102" s="76">
        <f t="shared" si="73"/>
        <v>0</v>
      </c>
      <c r="Q102" s="76">
        <f t="shared" si="73"/>
        <v>0</v>
      </c>
      <c r="R102" s="76">
        <f t="shared" si="73"/>
        <v>0</v>
      </c>
      <c r="S102" s="76">
        <f t="shared" ref="S102:T102" si="74">IF(S82&lt;0,S82*-1,0)</f>
        <v>0</v>
      </c>
      <c r="T102" s="76">
        <f t="shared" si="74"/>
        <v>0</v>
      </c>
      <c r="U102" s="76">
        <f t="shared" ref="U102:V102" si="75">IF(U82&lt;0,U82*-1,0)</f>
        <v>0</v>
      </c>
      <c r="V102" s="76">
        <f t="shared" si="75"/>
        <v>0</v>
      </c>
      <c r="W102" s="76">
        <f t="shared" ref="W102:Y102" si="76">IF(W82&lt;0,W82*-1,0)</f>
        <v>0</v>
      </c>
      <c r="X102" s="76">
        <f t="shared" si="76"/>
        <v>0</v>
      </c>
      <c r="Y102" s="76">
        <f t="shared" si="76"/>
        <v>0</v>
      </c>
      <c r="Z102" s="76">
        <f t="shared" si="73"/>
        <v>0</v>
      </c>
      <c r="AA102" s="76">
        <f t="shared" ref="AA102" si="77">IF(AA82&lt;0,AA82*-1,0)</f>
        <v>0</v>
      </c>
      <c r="AB102" s="76">
        <f t="shared" si="73"/>
        <v>0</v>
      </c>
      <c r="AC102" s="76">
        <f t="shared" si="73"/>
        <v>0</v>
      </c>
      <c r="AD102" s="76">
        <f t="shared" si="73"/>
        <v>0</v>
      </c>
      <c r="AE102" s="76">
        <f t="shared" si="73"/>
        <v>0</v>
      </c>
      <c r="AF102" s="76">
        <f t="shared" si="73"/>
        <v>0</v>
      </c>
      <c r="AG102" s="55"/>
      <c r="AH102" s="47">
        <f t="shared" si="33"/>
        <v>0</v>
      </c>
      <c r="AI102" s="48">
        <f t="shared" si="34"/>
        <v>0</v>
      </c>
    </row>
    <row r="103" spans="1:37" x14ac:dyDescent="0.25">
      <c r="A103" s="84" t="s">
        <v>104</v>
      </c>
      <c r="B103" s="76">
        <f t="shared" ref="B103:C103" si="78">IF(B85&lt;0,B85*-1,0)</f>
        <v>0</v>
      </c>
      <c r="C103" s="76">
        <f t="shared" si="78"/>
        <v>0</v>
      </c>
      <c r="D103" s="76">
        <f t="shared" ref="D103" si="79">IF(D85&lt;0,D85*-1,0)</f>
        <v>0</v>
      </c>
      <c r="E103" s="76">
        <f t="shared" ref="E103:AF103" si="80">IF(E85&lt;0,E85*-1,0)</f>
        <v>0</v>
      </c>
      <c r="F103" s="76">
        <f t="shared" si="80"/>
        <v>0</v>
      </c>
      <c r="G103" s="76">
        <f t="shared" si="80"/>
        <v>0</v>
      </c>
      <c r="H103" s="76">
        <f t="shared" si="80"/>
        <v>0</v>
      </c>
      <c r="I103" s="76">
        <f t="shared" si="80"/>
        <v>0</v>
      </c>
      <c r="J103" s="76">
        <f t="shared" si="80"/>
        <v>0</v>
      </c>
      <c r="K103" s="76">
        <f t="shared" si="80"/>
        <v>0</v>
      </c>
      <c r="L103" s="76">
        <f t="shared" si="80"/>
        <v>0</v>
      </c>
      <c r="M103" s="76">
        <f t="shared" si="80"/>
        <v>0</v>
      </c>
      <c r="N103" s="76">
        <f t="shared" si="80"/>
        <v>0</v>
      </c>
      <c r="O103" s="76">
        <f t="shared" si="80"/>
        <v>0</v>
      </c>
      <c r="P103" s="76">
        <f t="shared" si="80"/>
        <v>0</v>
      </c>
      <c r="Q103" s="76">
        <f t="shared" si="80"/>
        <v>0</v>
      </c>
      <c r="R103" s="76">
        <f t="shared" si="80"/>
        <v>0</v>
      </c>
      <c r="S103" s="76">
        <f t="shared" ref="S103:T103" si="81">IF(S85&lt;0,S85*-1,0)</f>
        <v>0</v>
      </c>
      <c r="T103" s="76">
        <f t="shared" si="81"/>
        <v>0</v>
      </c>
      <c r="U103" s="76">
        <f t="shared" ref="U103:V103" si="82">IF(U85&lt;0,U85*-1,0)</f>
        <v>0</v>
      </c>
      <c r="V103" s="76">
        <f t="shared" si="82"/>
        <v>0</v>
      </c>
      <c r="W103" s="76">
        <f t="shared" ref="W103:Y103" si="83">IF(W85&lt;0,W85*-1,0)</f>
        <v>0</v>
      </c>
      <c r="X103" s="76">
        <f t="shared" si="83"/>
        <v>0</v>
      </c>
      <c r="Y103" s="76">
        <f t="shared" si="83"/>
        <v>0</v>
      </c>
      <c r="Z103" s="76">
        <f t="shared" si="80"/>
        <v>0</v>
      </c>
      <c r="AA103" s="76">
        <f t="shared" ref="AA103" si="84">IF(AA85&lt;0,AA85*-1,0)</f>
        <v>0</v>
      </c>
      <c r="AB103" s="76">
        <f t="shared" si="80"/>
        <v>0</v>
      </c>
      <c r="AC103" s="76">
        <f t="shared" si="80"/>
        <v>0</v>
      </c>
      <c r="AD103" s="76">
        <f t="shared" si="80"/>
        <v>0</v>
      </c>
      <c r="AE103" s="76">
        <f t="shared" si="80"/>
        <v>0</v>
      </c>
      <c r="AF103" s="76">
        <f t="shared" si="80"/>
        <v>0</v>
      </c>
      <c r="AG103" s="98"/>
      <c r="AH103" s="47">
        <f t="shared" si="33"/>
        <v>0</v>
      </c>
      <c r="AI103" s="48">
        <f t="shared" si="34"/>
        <v>0</v>
      </c>
    </row>
    <row r="104" spans="1:37" x14ac:dyDescent="0.25">
      <c r="A104" s="84" t="s">
        <v>105</v>
      </c>
      <c r="B104" s="76">
        <f t="shared" ref="B104:C104" si="85">IF(B83&lt;0,B83*-1,0)</f>
        <v>0</v>
      </c>
      <c r="C104" s="76">
        <f t="shared" si="85"/>
        <v>0</v>
      </c>
      <c r="D104" s="76">
        <f t="shared" ref="D104" si="86">IF(D83&lt;0,D83*-1,0)</f>
        <v>0</v>
      </c>
      <c r="E104" s="76">
        <f t="shared" ref="E104:AF104" si="87">IF(E83&lt;0,E83*-1,0)</f>
        <v>0</v>
      </c>
      <c r="F104" s="76">
        <f t="shared" si="87"/>
        <v>0</v>
      </c>
      <c r="G104" s="76">
        <f t="shared" si="87"/>
        <v>0</v>
      </c>
      <c r="H104" s="76">
        <f t="shared" si="87"/>
        <v>0</v>
      </c>
      <c r="I104" s="76">
        <f t="shared" si="87"/>
        <v>0</v>
      </c>
      <c r="J104" s="76">
        <f t="shared" si="87"/>
        <v>0</v>
      </c>
      <c r="K104" s="76">
        <f t="shared" si="87"/>
        <v>0</v>
      </c>
      <c r="L104" s="76">
        <f t="shared" si="87"/>
        <v>0</v>
      </c>
      <c r="M104" s="76">
        <f t="shared" si="87"/>
        <v>0</v>
      </c>
      <c r="N104" s="76">
        <f t="shared" si="87"/>
        <v>0</v>
      </c>
      <c r="O104" s="76">
        <f t="shared" si="87"/>
        <v>0</v>
      </c>
      <c r="P104" s="76">
        <f t="shared" si="87"/>
        <v>0</v>
      </c>
      <c r="Q104" s="76">
        <f t="shared" si="87"/>
        <v>0</v>
      </c>
      <c r="R104" s="76">
        <f t="shared" si="87"/>
        <v>0</v>
      </c>
      <c r="S104" s="76">
        <f t="shared" ref="S104:T104" si="88">IF(S83&lt;0,S83*-1,0)</f>
        <v>0</v>
      </c>
      <c r="T104" s="76">
        <f t="shared" si="88"/>
        <v>0</v>
      </c>
      <c r="U104" s="76">
        <f t="shared" ref="U104:V104" si="89">IF(U83&lt;0,U83*-1,0)</f>
        <v>0</v>
      </c>
      <c r="V104" s="76">
        <f t="shared" si="89"/>
        <v>0</v>
      </c>
      <c r="W104" s="76">
        <f t="shared" ref="W104:Y104" si="90">IF(W83&lt;0,W83*-1,0)</f>
        <v>0</v>
      </c>
      <c r="X104" s="76">
        <f t="shared" si="90"/>
        <v>0</v>
      </c>
      <c r="Y104" s="76">
        <f t="shared" si="90"/>
        <v>0</v>
      </c>
      <c r="Z104" s="76">
        <f t="shared" si="87"/>
        <v>0</v>
      </c>
      <c r="AA104" s="76">
        <f t="shared" ref="AA104" si="91">IF(AA83&lt;0,AA83*-1,0)</f>
        <v>0</v>
      </c>
      <c r="AB104" s="76">
        <f t="shared" si="87"/>
        <v>0</v>
      </c>
      <c r="AC104" s="76">
        <f t="shared" si="87"/>
        <v>0</v>
      </c>
      <c r="AD104" s="76">
        <f t="shared" si="87"/>
        <v>0</v>
      </c>
      <c r="AE104" s="76">
        <f t="shared" si="87"/>
        <v>0</v>
      </c>
      <c r="AF104" s="76">
        <f t="shared" si="87"/>
        <v>0</v>
      </c>
      <c r="AG104" s="98"/>
      <c r="AH104" s="47">
        <f t="shared" si="33"/>
        <v>0</v>
      </c>
      <c r="AI104" s="48">
        <f t="shared" si="34"/>
        <v>0</v>
      </c>
    </row>
    <row r="105" spans="1:37" x14ac:dyDescent="0.25">
      <c r="A105" s="84" t="s">
        <v>81</v>
      </c>
      <c r="B105" s="76">
        <f t="shared" ref="B105:C105" si="92">IF(B81&lt;0,B81*-1,0)</f>
        <v>0</v>
      </c>
      <c r="C105" s="76">
        <f t="shared" si="92"/>
        <v>0</v>
      </c>
      <c r="D105" s="76">
        <f t="shared" ref="D105" si="93">IF(D81&lt;0,D81*-1,0)</f>
        <v>0</v>
      </c>
      <c r="E105" s="76">
        <f t="shared" ref="E105:AF105" si="94">IF(E81&lt;0,E81*-1,0)</f>
        <v>0</v>
      </c>
      <c r="F105" s="76">
        <f t="shared" si="94"/>
        <v>0</v>
      </c>
      <c r="G105" s="76">
        <f t="shared" si="94"/>
        <v>0</v>
      </c>
      <c r="H105" s="76">
        <f t="shared" si="94"/>
        <v>0</v>
      </c>
      <c r="I105" s="76">
        <f t="shared" si="94"/>
        <v>0</v>
      </c>
      <c r="J105" s="76">
        <f t="shared" si="94"/>
        <v>0</v>
      </c>
      <c r="K105" s="76">
        <f t="shared" si="94"/>
        <v>0</v>
      </c>
      <c r="L105" s="76">
        <f t="shared" si="94"/>
        <v>0</v>
      </c>
      <c r="M105" s="76">
        <f t="shared" si="94"/>
        <v>0</v>
      </c>
      <c r="N105" s="76">
        <f t="shared" si="94"/>
        <v>0</v>
      </c>
      <c r="O105" s="76">
        <f t="shared" si="94"/>
        <v>0</v>
      </c>
      <c r="P105" s="76">
        <f t="shared" si="94"/>
        <v>0</v>
      </c>
      <c r="Q105" s="76">
        <f t="shared" si="94"/>
        <v>0</v>
      </c>
      <c r="R105" s="76">
        <f t="shared" si="94"/>
        <v>0</v>
      </c>
      <c r="S105" s="76">
        <f t="shared" ref="S105:T105" si="95">IF(S81&lt;0,S81*-1,0)</f>
        <v>0</v>
      </c>
      <c r="T105" s="76">
        <f t="shared" si="95"/>
        <v>0</v>
      </c>
      <c r="U105" s="76">
        <f t="shared" ref="U105:V105" si="96">IF(U81&lt;0,U81*-1,0)</f>
        <v>0</v>
      </c>
      <c r="V105" s="76">
        <f t="shared" si="96"/>
        <v>0</v>
      </c>
      <c r="W105" s="76">
        <f t="shared" ref="W105:Y105" si="97">IF(W81&lt;0,W81*-1,0)</f>
        <v>0</v>
      </c>
      <c r="X105" s="76">
        <f t="shared" si="97"/>
        <v>0</v>
      </c>
      <c r="Y105" s="76">
        <f t="shared" si="97"/>
        <v>0</v>
      </c>
      <c r="Z105" s="76">
        <f t="shared" si="94"/>
        <v>0</v>
      </c>
      <c r="AA105" s="76">
        <f t="shared" ref="AA105" si="98">IF(AA81&lt;0,AA81*-1,0)</f>
        <v>0</v>
      </c>
      <c r="AB105" s="76">
        <f t="shared" si="94"/>
        <v>0</v>
      </c>
      <c r="AC105" s="76">
        <f t="shared" si="94"/>
        <v>0</v>
      </c>
      <c r="AD105" s="76">
        <f t="shared" si="94"/>
        <v>0</v>
      </c>
      <c r="AE105" s="76">
        <f t="shared" si="94"/>
        <v>0</v>
      </c>
      <c r="AF105" s="76">
        <f t="shared" si="94"/>
        <v>0</v>
      </c>
      <c r="AG105" s="98"/>
      <c r="AH105" s="47">
        <f t="shared" si="33"/>
        <v>0</v>
      </c>
      <c r="AI105" s="48">
        <f t="shared" si="34"/>
        <v>0</v>
      </c>
    </row>
    <row r="106" spans="1:37" ht="15.75" thickBot="1" x14ac:dyDescent="0.3">
      <c r="A106" s="84" t="s">
        <v>106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1</v>
      </c>
      <c r="T106" s="94">
        <v>2</v>
      </c>
      <c r="U106" s="94">
        <v>3</v>
      </c>
      <c r="V106" s="94">
        <v>4</v>
      </c>
      <c r="W106" s="94">
        <v>5</v>
      </c>
      <c r="X106" s="94">
        <v>6</v>
      </c>
      <c r="Y106" s="94">
        <v>9</v>
      </c>
      <c r="Z106" s="94">
        <v>0</v>
      </c>
      <c r="AA106" s="94">
        <v>1</v>
      </c>
      <c r="AB106" s="94">
        <v>0</v>
      </c>
      <c r="AC106" s="94">
        <v>0</v>
      </c>
      <c r="AD106" s="94">
        <v>0</v>
      </c>
      <c r="AE106" s="94">
        <v>0</v>
      </c>
      <c r="AF106" s="94">
        <v>0</v>
      </c>
      <c r="AG106" s="85"/>
      <c r="AH106" s="47">
        <f t="shared" si="33"/>
        <v>9</v>
      </c>
      <c r="AI106" s="48">
        <f t="shared" si="34"/>
        <v>0</v>
      </c>
    </row>
    <row r="107" spans="1:37" ht="15.75" thickBot="1" x14ac:dyDescent="0.3">
      <c r="A107" s="99" t="s">
        <v>107</v>
      </c>
      <c r="B107" s="60">
        <f t="shared" ref="B107" si="99">SUM(B101:B106)</f>
        <v>0</v>
      </c>
      <c r="C107" s="60">
        <v>0</v>
      </c>
      <c r="D107" s="60">
        <v>0</v>
      </c>
      <c r="E107" s="60">
        <f t="shared" ref="E107:AF107" si="100">SUM(E101:E106)</f>
        <v>0</v>
      </c>
      <c r="F107" s="60">
        <f t="shared" si="100"/>
        <v>0</v>
      </c>
      <c r="G107" s="60">
        <f t="shared" si="100"/>
        <v>0</v>
      </c>
      <c r="H107" s="60">
        <f t="shared" si="100"/>
        <v>0</v>
      </c>
      <c r="I107" s="60">
        <f t="shared" si="100"/>
        <v>0</v>
      </c>
      <c r="J107" s="60">
        <f t="shared" si="100"/>
        <v>0</v>
      </c>
      <c r="K107" s="60">
        <f t="shared" si="100"/>
        <v>0</v>
      </c>
      <c r="L107" s="60">
        <f t="shared" si="100"/>
        <v>0</v>
      </c>
      <c r="M107" s="60">
        <f t="shared" si="100"/>
        <v>0</v>
      </c>
      <c r="N107" s="60">
        <f t="shared" si="100"/>
        <v>0</v>
      </c>
      <c r="O107" s="60">
        <f t="shared" si="100"/>
        <v>0</v>
      </c>
      <c r="P107" s="60">
        <f t="shared" si="100"/>
        <v>0</v>
      </c>
      <c r="Q107" s="60">
        <f t="shared" si="100"/>
        <v>0</v>
      </c>
      <c r="R107" s="60">
        <f t="shared" si="100"/>
        <v>0</v>
      </c>
      <c r="S107" s="60">
        <f t="shared" ref="S107:T107" si="101">SUM(S101:S106)</f>
        <v>1</v>
      </c>
      <c r="T107" s="60">
        <f t="shared" si="101"/>
        <v>2</v>
      </c>
      <c r="U107" s="60">
        <f t="shared" ref="U107:V107" si="102">SUM(U101:U106)</f>
        <v>3</v>
      </c>
      <c r="V107" s="60">
        <f t="shared" si="102"/>
        <v>4</v>
      </c>
      <c r="W107" s="60">
        <f t="shared" ref="W107:Y107" si="103">SUM(W101:W106)</f>
        <v>5</v>
      </c>
      <c r="X107" s="60">
        <f t="shared" si="103"/>
        <v>6</v>
      </c>
      <c r="Y107" s="60">
        <f t="shared" si="103"/>
        <v>9</v>
      </c>
      <c r="Z107" s="60">
        <f t="shared" si="100"/>
        <v>0</v>
      </c>
      <c r="AA107" s="60">
        <f t="shared" ref="AA107" si="104">SUM(AA101:AA106)</f>
        <v>1</v>
      </c>
      <c r="AB107" s="60">
        <f t="shared" si="100"/>
        <v>0</v>
      </c>
      <c r="AC107" s="60">
        <f t="shared" si="100"/>
        <v>0</v>
      </c>
      <c r="AD107" s="60">
        <f t="shared" si="100"/>
        <v>0</v>
      </c>
      <c r="AE107" s="60">
        <f t="shared" si="100"/>
        <v>0</v>
      </c>
      <c r="AF107" s="60">
        <f t="shared" si="100"/>
        <v>0</v>
      </c>
      <c r="AG107" s="88"/>
      <c r="AH107" s="47">
        <f t="shared" si="33"/>
        <v>9</v>
      </c>
      <c r="AI107" s="48">
        <f t="shared" si="34"/>
        <v>0</v>
      </c>
      <c r="AK107" s="50"/>
    </row>
    <row r="108" spans="1:37" ht="15.75" thickBot="1" x14ac:dyDescent="0.3">
      <c r="A108" s="74" t="s">
        <v>108</v>
      </c>
      <c r="B108" s="60">
        <f t="shared" ref="B108:C108" si="105">B92-B107</f>
        <v>500.5</v>
      </c>
      <c r="C108" s="60">
        <f t="shared" si="105"/>
        <v>460.2</v>
      </c>
      <c r="D108" s="60">
        <f t="shared" ref="D108" si="106">D92-D107</f>
        <v>448.4</v>
      </c>
      <c r="E108" s="60">
        <f t="shared" ref="E108:AF108" si="107">E92-E107</f>
        <v>450.6</v>
      </c>
      <c r="F108" s="60">
        <f t="shared" si="107"/>
        <v>443.8</v>
      </c>
      <c r="G108" s="60">
        <f t="shared" si="107"/>
        <v>467.3</v>
      </c>
      <c r="H108" s="60">
        <f t="shared" si="107"/>
        <v>468.8</v>
      </c>
      <c r="I108" s="60">
        <f t="shared" si="107"/>
        <v>494.8</v>
      </c>
      <c r="J108" s="60">
        <f t="shared" si="107"/>
        <v>396</v>
      </c>
      <c r="K108" s="60">
        <f t="shared" si="107"/>
        <v>257.8</v>
      </c>
      <c r="L108" s="60">
        <f t="shared" si="107"/>
        <v>180.3</v>
      </c>
      <c r="M108" s="60">
        <f t="shared" si="107"/>
        <v>169.10000000000002</v>
      </c>
      <c r="N108" s="60">
        <f t="shared" si="107"/>
        <v>260.8</v>
      </c>
      <c r="O108" s="60">
        <f t="shared" si="107"/>
        <v>369.4</v>
      </c>
      <c r="P108" s="60">
        <f t="shared" si="107"/>
        <v>458.3</v>
      </c>
      <c r="Q108" s="60">
        <f t="shared" si="107"/>
        <v>521.30000000000007</v>
      </c>
      <c r="R108" s="60">
        <f t="shared" si="107"/>
        <v>0</v>
      </c>
      <c r="S108" s="60">
        <f t="shared" ref="S108:T108" si="108">S92-S107</f>
        <v>735.5</v>
      </c>
      <c r="T108" s="60">
        <f t="shared" si="108"/>
        <v>733</v>
      </c>
      <c r="U108" s="60">
        <f t="shared" ref="U108:V108" si="109">U92-U107</f>
        <v>729</v>
      </c>
      <c r="V108" s="60">
        <f t="shared" si="109"/>
        <v>293.8</v>
      </c>
      <c r="W108" s="60">
        <f t="shared" ref="W108:Y108" si="110">W92-W107</f>
        <v>258.3</v>
      </c>
      <c r="X108" s="60">
        <f t="shared" si="110"/>
        <v>196.3</v>
      </c>
      <c r="Y108" s="60">
        <f t="shared" si="110"/>
        <v>222.89999999999998</v>
      </c>
      <c r="Z108" s="60">
        <f t="shared" si="107"/>
        <v>231.2</v>
      </c>
      <c r="AA108" s="60">
        <f t="shared" ref="AA108" si="111">AA92-AA107</f>
        <v>332.4</v>
      </c>
      <c r="AB108" s="60">
        <f t="shared" si="107"/>
        <v>419.1</v>
      </c>
      <c r="AC108" s="60">
        <f t="shared" si="107"/>
        <v>481.59999999999997</v>
      </c>
      <c r="AD108" s="60">
        <f t="shared" si="107"/>
        <v>459.7</v>
      </c>
      <c r="AE108" s="60">
        <f t="shared" si="107"/>
        <v>524.5</v>
      </c>
      <c r="AF108" s="60">
        <f t="shared" si="107"/>
        <v>482.7</v>
      </c>
      <c r="AG108" s="88"/>
      <c r="AH108" s="47">
        <f t="shared" si="33"/>
        <v>735.5</v>
      </c>
      <c r="AI108" s="48">
        <f t="shared" si="34"/>
        <v>0</v>
      </c>
    </row>
    <row r="109" spans="1:37" x14ac:dyDescent="0.25">
      <c r="A109" s="100" t="s">
        <v>109</v>
      </c>
      <c r="B109" s="101">
        <v>50.01</v>
      </c>
      <c r="C109" s="101">
        <v>50.02</v>
      </c>
      <c r="D109" s="101">
        <v>50.02</v>
      </c>
      <c r="E109" s="101">
        <v>50.031999999999996</v>
      </c>
      <c r="F109" s="101">
        <v>49.936</v>
      </c>
      <c r="G109" s="101">
        <v>49.95</v>
      </c>
      <c r="H109" s="101">
        <v>50.012999999999998</v>
      </c>
      <c r="I109" s="101">
        <v>49.99</v>
      </c>
      <c r="J109" s="101">
        <v>49.988999999999997</v>
      </c>
      <c r="K109" s="101">
        <v>49.957000000000001</v>
      </c>
      <c r="L109" s="101">
        <v>49.938000000000002</v>
      </c>
      <c r="M109" s="101">
        <v>50.017000000000003</v>
      </c>
      <c r="N109" s="101">
        <v>50.03</v>
      </c>
      <c r="O109" s="101">
        <v>49.942999999999998</v>
      </c>
      <c r="P109" s="101">
        <v>50.088000000000001</v>
      </c>
      <c r="Q109" s="101">
        <v>50</v>
      </c>
      <c r="R109" s="101">
        <v>50.069000000000003</v>
      </c>
      <c r="S109" s="101">
        <v>50.01</v>
      </c>
      <c r="T109" s="101">
        <v>49.94</v>
      </c>
      <c r="U109" s="101">
        <v>49.94</v>
      </c>
      <c r="V109" s="101">
        <v>49.89</v>
      </c>
      <c r="W109" s="101">
        <v>50.08</v>
      </c>
      <c r="X109" s="101">
        <v>50.02</v>
      </c>
      <c r="Y109" s="101">
        <v>49.97</v>
      </c>
      <c r="Z109" s="101">
        <v>50.011000000000003</v>
      </c>
      <c r="AA109" s="101">
        <v>49.95</v>
      </c>
      <c r="AB109" s="101">
        <v>50.064999999999998</v>
      </c>
      <c r="AC109" s="101">
        <v>50.012</v>
      </c>
      <c r="AD109" s="101">
        <v>50.04</v>
      </c>
      <c r="AE109" s="101">
        <v>50.027000000000001</v>
      </c>
      <c r="AF109" s="101">
        <v>50.024999999999999</v>
      </c>
      <c r="AG109" s="102"/>
      <c r="AH109" s="47">
        <f t="shared" si="33"/>
        <v>50.088000000000001</v>
      </c>
      <c r="AI109" s="48">
        <f t="shared" si="34"/>
        <v>49.89</v>
      </c>
    </row>
    <row r="110" spans="1:37" x14ac:dyDescent="0.25">
      <c r="A110" s="103" t="s">
        <v>110</v>
      </c>
      <c r="B110" s="65">
        <v>128.6</v>
      </c>
      <c r="C110" s="65">
        <v>126.4</v>
      </c>
      <c r="D110" s="65">
        <v>127.3</v>
      </c>
      <c r="E110" s="65">
        <v>127.7</v>
      </c>
      <c r="F110" s="65">
        <v>126.1</v>
      </c>
      <c r="G110" s="65">
        <v>125.9</v>
      </c>
      <c r="H110" s="65">
        <v>126.2</v>
      </c>
      <c r="I110" s="65"/>
      <c r="J110" s="65">
        <v>123.6</v>
      </c>
      <c r="K110" s="65">
        <v>128.5</v>
      </c>
      <c r="L110" s="65">
        <v>126.1</v>
      </c>
      <c r="M110" s="65">
        <v>125.1</v>
      </c>
      <c r="N110" s="65">
        <v>123.7</v>
      </c>
      <c r="O110" s="65">
        <v>127.3</v>
      </c>
      <c r="P110" s="65">
        <v>125</v>
      </c>
      <c r="Q110" s="65">
        <v>126</v>
      </c>
      <c r="R110" s="65">
        <v>121.4</v>
      </c>
      <c r="S110" s="65">
        <v>122.7</v>
      </c>
      <c r="T110" s="65">
        <v>123.6</v>
      </c>
      <c r="U110" s="65">
        <v>123.2</v>
      </c>
      <c r="V110" s="65">
        <v>131</v>
      </c>
      <c r="W110" s="65">
        <v>129.9</v>
      </c>
      <c r="X110" s="65">
        <v>129.9</v>
      </c>
      <c r="Y110" s="65">
        <v>126.3</v>
      </c>
      <c r="Z110" s="65">
        <v>127.7</v>
      </c>
      <c r="AA110" s="65">
        <v>128.69999999999999</v>
      </c>
      <c r="AB110" s="65">
        <v>128.6</v>
      </c>
      <c r="AC110" s="65">
        <v>128.80000000000001</v>
      </c>
      <c r="AD110" s="65">
        <v>128.69999999999999</v>
      </c>
      <c r="AE110" s="65">
        <v>128</v>
      </c>
      <c r="AF110" s="65">
        <v>127.5</v>
      </c>
      <c r="AG110" s="104"/>
      <c r="AH110" s="47">
        <f t="shared" si="33"/>
        <v>131</v>
      </c>
      <c r="AI110" s="48">
        <f t="shared" si="34"/>
        <v>121.4</v>
      </c>
    </row>
    <row r="111" spans="1:37" x14ac:dyDescent="0.25">
      <c r="A111" s="103" t="s">
        <v>111</v>
      </c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104"/>
      <c r="AH111" s="47">
        <f t="shared" si="33"/>
        <v>0</v>
      </c>
      <c r="AI111" s="48">
        <f t="shared" si="34"/>
        <v>0</v>
      </c>
    </row>
    <row r="112" spans="1:37" x14ac:dyDescent="0.25">
      <c r="A112" s="103" t="s">
        <v>112</v>
      </c>
      <c r="B112" s="65">
        <v>130.19999999999999</v>
      </c>
      <c r="C112" s="65">
        <v>129.69999999999999</v>
      </c>
      <c r="D112" s="65">
        <v>131.1</v>
      </c>
      <c r="E112" s="65">
        <v>130</v>
      </c>
      <c r="F112" s="65">
        <v>129</v>
      </c>
      <c r="G112" s="65">
        <v>127.7</v>
      </c>
      <c r="H112" s="65">
        <v>127</v>
      </c>
      <c r="I112" s="65"/>
      <c r="J112" s="65">
        <v>126</v>
      </c>
      <c r="K112" s="65">
        <v>129.6</v>
      </c>
      <c r="L112" s="65">
        <v>127.7</v>
      </c>
      <c r="M112" s="65">
        <v>127.6</v>
      </c>
      <c r="N112" s="65">
        <v>130.30000000000001</v>
      </c>
      <c r="O112" s="65">
        <v>131.9</v>
      </c>
      <c r="P112" s="65">
        <v>126.1</v>
      </c>
      <c r="Q112" s="65">
        <v>127.3</v>
      </c>
      <c r="R112" s="65">
        <v>125.3</v>
      </c>
      <c r="S112" s="65">
        <v>126.3</v>
      </c>
      <c r="T112" s="65">
        <v>129</v>
      </c>
      <c r="U112" s="65">
        <v>129</v>
      </c>
      <c r="V112" s="65">
        <v>131.19999999999999</v>
      </c>
      <c r="W112" s="65">
        <v>132.9</v>
      </c>
      <c r="X112" s="65">
        <v>132.9</v>
      </c>
      <c r="Y112" s="65">
        <v>128.5</v>
      </c>
      <c r="Z112" s="65">
        <v>130.6</v>
      </c>
      <c r="AA112" s="65">
        <v>130.6</v>
      </c>
      <c r="AB112" s="65">
        <v>132</v>
      </c>
      <c r="AC112" s="65">
        <v>131.6</v>
      </c>
      <c r="AD112" s="65">
        <v>128.30000000000001</v>
      </c>
      <c r="AE112" s="65">
        <v>129.30000000000001</v>
      </c>
      <c r="AF112" s="65">
        <v>130.5</v>
      </c>
      <c r="AG112" s="104"/>
      <c r="AH112" s="47">
        <f t="shared" si="33"/>
        <v>132.9</v>
      </c>
      <c r="AI112" s="48">
        <f t="shared" si="34"/>
        <v>125.3</v>
      </c>
    </row>
    <row r="113" spans="1:35" x14ac:dyDescent="0.25">
      <c r="A113" s="105" t="s">
        <v>113</v>
      </c>
      <c r="B113" s="65">
        <v>132.9</v>
      </c>
      <c r="C113" s="65">
        <v>132.6</v>
      </c>
      <c r="D113" s="65">
        <v>133.6</v>
      </c>
      <c r="E113" s="65">
        <v>132.6</v>
      </c>
      <c r="F113" s="65">
        <v>131.69999999999999</v>
      </c>
      <c r="G113" s="65">
        <v>131.9</v>
      </c>
      <c r="H113" s="65">
        <v>131</v>
      </c>
      <c r="I113" s="65"/>
      <c r="J113" s="65">
        <v>129.69999999999999</v>
      </c>
      <c r="K113" s="65">
        <v>131.4</v>
      </c>
      <c r="L113" s="65">
        <v>128.6</v>
      </c>
      <c r="M113" s="65">
        <v>129.1</v>
      </c>
      <c r="N113" s="65">
        <v>130.5</v>
      </c>
      <c r="O113" s="65">
        <v>132.80000000000001</v>
      </c>
      <c r="P113" s="65">
        <v>128</v>
      </c>
      <c r="Q113" s="65">
        <v>129.80000000000001</v>
      </c>
      <c r="R113" s="65">
        <v>128.4</v>
      </c>
      <c r="S113" s="65">
        <v>129.1</v>
      </c>
      <c r="T113" s="65">
        <v>131</v>
      </c>
      <c r="U113" s="65">
        <v>131</v>
      </c>
      <c r="V113" s="65">
        <v>132.19999999999999</v>
      </c>
      <c r="W113" s="65">
        <v>133.30000000000001</v>
      </c>
      <c r="X113" s="65">
        <v>133.30000000000001</v>
      </c>
      <c r="Y113" s="65">
        <v>128.5</v>
      </c>
      <c r="Z113" s="65">
        <v>131.80000000000001</v>
      </c>
      <c r="AA113" s="65">
        <v>131.80000000000001</v>
      </c>
      <c r="AB113" s="65">
        <v>134</v>
      </c>
      <c r="AC113" s="65">
        <v>133.9</v>
      </c>
      <c r="AD113" s="65">
        <v>129.9</v>
      </c>
      <c r="AE113" s="65">
        <v>131.69999999999999</v>
      </c>
      <c r="AF113" s="65">
        <v>133.4</v>
      </c>
      <c r="AG113" s="104"/>
      <c r="AH113" s="47">
        <f t="shared" si="33"/>
        <v>134</v>
      </c>
      <c r="AI113" s="48">
        <f t="shared" si="34"/>
        <v>128</v>
      </c>
    </row>
    <row r="114" spans="1:35" x14ac:dyDescent="0.25">
      <c r="A114" s="105" t="s">
        <v>114</v>
      </c>
      <c r="B114" s="106">
        <v>132.5</v>
      </c>
      <c r="C114" s="106">
        <v>129.1</v>
      </c>
      <c r="D114" s="106">
        <v>130.19999999999999</v>
      </c>
      <c r="E114" s="106">
        <v>130.19999999999999</v>
      </c>
      <c r="F114" s="106">
        <v>129.6</v>
      </c>
      <c r="G114" s="106">
        <v>130</v>
      </c>
      <c r="H114" s="106">
        <v>130.69999999999999</v>
      </c>
      <c r="I114" s="106"/>
      <c r="J114" s="106">
        <v>127.9</v>
      </c>
      <c r="K114" s="106">
        <v>135.19999999999999</v>
      </c>
      <c r="L114" s="106">
        <v>134.30000000000001</v>
      </c>
      <c r="M114" s="106">
        <v>131.1</v>
      </c>
      <c r="N114" s="106">
        <v>132.30000000000001</v>
      </c>
      <c r="O114" s="106">
        <v>133.1</v>
      </c>
      <c r="P114" s="106">
        <v>132.30000000000001</v>
      </c>
      <c r="Q114" s="106">
        <v>133.6</v>
      </c>
      <c r="R114" s="106">
        <v>126.8</v>
      </c>
      <c r="S114" s="106">
        <v>132.1</v>
      </c>
      <c r="T114" s="106">
        <v>131.9</v>
      </c>
      <c r="U114" s="106">
        <v>131.9</v>
      </c>
      <c r="V114" s="106">
        <v>135.4</v>
      </c>
      <c r="W114" s="106">
        <v>135.4</v>
      </c>
      <c r="X114" s="106">
        <v>135.4</v>
      </c>
      <c r="Y114" s="106">
        <v>131.1</v>
      </c>
      <c r="Z114" s="106">
        <v>132.6</v>
      </c>
      <c r="AA114" s="106">
        <v>132.6</v>
      </c>
      <c r="AB114" s="106">
        <v>134</v>
      </c>
      <c r="AC114" s="106">
        <v>134.1</v>
      </c>
      <c r="AD114" s="106">
        <v>134.6</v>
      </c>
      <c r="AE114" s="106">
        <v>133.80000000000001</v>
      </c>
      <c r="AF114" s="106">
        <v>133.30000000000001</v>
      </c>
      <c r="AG114" s="107"/>
      <c r="AH114" s="47">
        <f t="shared" si="33"/>
        <v>135.4</v>
      </c>
      <c r="AI114" s="48">
        <f t="shared" si="34"/>
        <v>126.8</v>
      </c>
    </row>
    <row r="115" spans="1:35" x14ac:dyDescent="0.25">
      <c r="A115" s="103" t="s">
        <v>115</v>
      </c>
      <c r="B115" s="65">
        <v>137.19999999999999</v>
      </c>
      <c r="C115" s="65">
        <v>132.19999999999999</v>
      </c>
      <c r="D115" s="65">
        <v>131.1</v>
      </c>
      <c r="E115" s="65">
        <v>135.30000000000001</v>
      </c>
      <c r="F115" s="65">
        <v>133.4</v>
      </c>
      <c r="G115" s="65">
        <v>130.69999999999999</v>
      </c>
      <c r="H115" s="65">
        <v>125.4</v>
      </c>
      <c r="I115" s="65"/>
      <c r="J115" s="65">
        <v>135.9</v>
      </c>
      <c r="K115" s="65">
        <v>129.69999999999999</v>
      </c>
      <c r="L115" s="65">
        <v>124.1</v>
      </c>
      <c r="M115" s="65">
        <v>128.34</v>
      </c>
      <c r="N115" s="65">
        <v>129.30000000000001</v>
      </c>
      <c r="O115" s="65">
        <v>130.4</v>
      </c>
      <c r="P115" s="65">
        <v>131.5</v>
      </c>
      <c r="Q115" s="65">
        <v>129.80000000000001</v>
      </c>
      <c r="R115" s="65">
        <v>131.69999999999999</v>
      </c>
      <c r="S115" s="65">
        <v>132.5</v>
      </c>
      <c r="T115" s="65">
        <v>135.80000000000001</v>
      </c>
      <c r="U115" s="65">
        <v>135.80000000000001</v>
      </c>
      <c r="V115" s="65">
        <v>134.19999999999999</v>
      </c>
      <c r="W115" s="65">
        <v>134.19999999999999</v>
      </c>
      <c r="X115" s="65">
        <v>134.19999999999999</v>
      </c>
      <c r="Y115" s="65">
        <v>133.5</v>
      </c>
      <c r="Z115" s="65">
        <v>131</v>
      </c>
      <c r="AA115" s="65">
        <v>131</v>
      </c>
      <c r="AB115" s="65">
        <v>133</v>
      </c>
      <c r="AC115" s="65">
        <v>135.4</v>
      </c>
      <c r="AD115" s="65">
        <v>132</v>
      </c>
      <c r="AE115" s="65">
        <v>133.1</v>
      </c>
      <c r="AF115" s="65">
        <v>136.19999999999999</v>
      </c>
      <c r="AG115" s="104"/>
      <c r="AH115" s="47">
        <f t="shared" si="33"/>
        <v>137.19999999999999</v>
      </c>
      <c r="AI115" s="48">
        <f t="shared" si="34"/>
        <v>124.1</v>
      </c>
    </row>
    <row r="116" spans="1:35" ht="15.75" thickBot="1" x14ac:dyDescent="0.3">
      <c r="A116" s="103" t="s">
        <v>116</v>
      </c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108"/>
      <c r="AH116" s="47">
        <f t="shared" si="33"/>
        <v>0</v>
      </c>
      <c r="AI116" s="48">
        <f t="shared" si="34"/>
        <v>0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33"/>
        <v>0</v>
      </c>
      <c r="AI117" s="48">
        <f t="shared" si="34"/>
        <v>0</v>
      </c>
    </row>
    <row r="118" spans="1:35" ht="15.75" thickBot="1" x14ac:dyDescent="0.3">
      <c r="A118" s="110" t="s">
        <v>118</v>
      </c>
      <c r="B118" s="111">
        <f>SUM(B22,B28,B31:B32,B66,B68:B69,B71,B73,B119:B123,B155,B161,B167,B176,B178,B190,B197,B200:B201,B208,B210,B212,B216:B218,B220:B222,B227,B233:B234,B236:B238,B246,B251)</f>
        <v>163.38</v>
      </c>
      <c r="C118" s="111">
        <f>SUM(C22,C28,C31:C32,C66,C68:C69,C71,C73,C119:C123,C155,C161,C167,C176,C178,C190,C197,C200:C201,C208,C210,C212,C216:C218,C220:C222,C227,C233:C234,C236:C238,C246,C251)</f>
        <v>143.72</v>
      </c>
      <c r="D118" s="111">
        <f>SUM(D22,D28,D31:D32,D66,D68:D69,D71,D73,D119:D123,D155,D161,D167,D176,D178,D190,D197,D200:D201,D208,D210,D212,D216:D218,D220:D222,D227,D233:D234,D236:D238,D246,D251)</f>
        <v>146.38</v>
      </c>
      <c r="E118" s="111">
        <f t="shared" ref="E118:O118" si="112">SUM(E22,E28,E31:E32,E66,E68:E69,E71,E73,E119:E123,E155,E161,E167,E176,E178,E190,E197,E200:E201,E208,E210,E212,E216:E218,E220:E222,E227,E233:E234,E236:E238,E246,E251)</f>
        <v>135.54000000000002</v>
      </c>
      <c r="F118" s="111">
        <f t="shared" si="112"/>
        <v>149.84</v>
      </c>
      <c r="G118" s="111">
        <f t="shared" si="112"/>
        <v>182.24</v>
      </c>
      <c r="H118" s="111">
        <f t="shared" si="112"/>
        <v>206.44</v>
      </c>
      <c r="I118" s="111">
        <f t="shared" si="112"/>
        <v>103.14</v>
      </c>
      <c r="J118" s="111">
        <f t="shared" si="112"/>
        <v>293.04000000000002</v>
      </c>
      <c r="K118" s="111">
        <f t="shared" si="112"/>
        <v>329.64</v>
      </c>
      <c r="L118" s="111">
        <f t="shared" si="112"/>
        <v>374.56</v>
      </c>
      <c r="M118" s="111">
        <f t="shared" si="112"/>
        <v>408.108</v>
      </c>
      <c r="N118" s="111">
        <f t="shared" si="112"/>
        <v>225.74</v>
      </c>
      <c r="O118" s="111">
        <f t="shared" si="112"/>
        <v>248.94</v>
      </c>
      <c r="P118" s="111">
        <v>42</v>
      </c>
      <c r="Q118" s="111">
        <f t="shared" ref="Q118:AC118" si="113">SUM(Q22,Q28,Q31:Q32,Q66,Q68:Q69,Q71,Q73,Q119:Q123,Q155,Q161,Q167,Q176,Q178,Q190,Q197,Q200:Q201,Q208,Q210,Q212,Q216:Q218,Q220:Q222,Q227,Q233:Q234,Q236:Q238,Q246,Q251)</f>
        <v>322.16399999999993</v>
      </c>
      <c r="R118" s="111">
        <f t="shared" si="113"/>
        <v>144.33999999999997</v>
      </c>
      <c r="S118" s="111">
        <f t="shared" ref="S118:T118" si="114">SUM(S22,S28,S31:S32,S66,S68:S69,S71,S73,S119:S123,S155,S161,S167,S176,S178,S190,S197,S200:S201,S208,S210,S212,S216:S218,S220:S222,S227,S233:S234,S236:S238,S246,S251)</f>
        <v>275.42</v>
      </c>
      <c r="T118" s="111">
        <f t="shared" si="114"/>
        <v>275.42</v>
      </c>
      <c r="U118" s="111">
        <f t="shared" ref="U118:V118" si="115">SUM(U22,U28,U31:U32,U66,U68:U69,U71,U73,U119:U123,U155,U161,U167,U176,U178,U190,U197,U200:U201,U208,U210,U212,U216:U218,U220:U222,U227,U233:U234,U236:U238,U246,U251)</f>
        <v>280.44</v>
      </c>
      <c r="V118" s="111">
        <f t="shared" si="115"/>
        <v>271.28000000000003</v>
      </c>
      <c r="W118" s="111">
        <f t="shared" ref="W118:Y118" si="116">SUM(W22,W28,W31:W32,W66,W68:W69,W71,W73,W119:W123,W155,W161,W167,W176,W178,W190,W197,W200:W201,W208,W210,W212,W216:W218,W220:W222,W227,W233:W234,W236:W238,W246,W251)</f>
        <v>303.65999999999997</v>
      </c>
      <c r="X118" s="111">
        <f t="shared" si="116"/>
        <v>359.14</v>
      </c>
      <c r="Y118" s="111">
        <f t="shared" si="116"/>
        <v>390.7</v>
      </c>
      <c r="Z118" s="111">
        <f t="shared" si="113"/>
        <v>405.54300000000001</v>
      </c>
      <c r="AA118" s="111">
        <f t="shared" ref="AA118" si="117">SUM(AA22,AA28,AA31:AA32,AA66,AA68:AA69,AA71,AA73,AA119:AA123,AA155,AA161,AA167,AA176,AA178,AA190,AA197,AA200:AA201,AA208,AA210,AA212,AA216:AA218,AA220:AA222,AA227,AA233:AA234,AA236:AA238,AA246,AA251)</f>
        <v>366.48</v>
      </c>
      <c r="AB118" s="111">
        <f t="shared" si="113"/>
        <v>315.14</v>
      </c>
      <c r="AC118" s="111">
        <f t="shared" si="113"/>
        <v>313.62600000000003</v>
      </c>
      <c r="AD118" s="111"/>
      <c r="AE118" s="111">
        <f>SUM(AE22,AE28,AE31:AE32,AE66,AE68:AE69,AE71,AE73,AE119:AE123,AE155,AE161,AE167,AE176,AE178,AE190,AE197,AE200:AE201,AE208,AE210,AE212,AE216:AE218,AE220:AE222,AE227,AE233:AE234,AE236:AE238,AE246,AE251)</f>
        <v>197.40199999999999</v>
      </c>
      <c r="AF118" s="111">
        <f>SUM(AF22,AF28,AF31:AF32,AF66,AF68:AF69,AF71,AF73,AF119:AF123,AF155,AF161,AF167,AF176,AF178,AF190,AF197,AF200:AF201,AF208,AF210,AF212,AF216:AF218,AF220:AF222,AF227,AF233:AF234,AF236:AF238,AF246,AF251)</f>
        <v>180.33299999999997</v>
      </c>
      <c r="AG118" s="112"/>
      <c r="AH118" s="47">
        <f t="shared" si="33"/>
        <v>408.108</v>
      </c>
      <c r="AI118" s="48">
        <f t="shared" si="34"/>
        <v>42</v>
      </c>
    </row>
    <row r="119" spans="1:35" x14ac:dyDescent="0.25">
      <c r="A119" s="172" t="s">
        <v>119</v>
      </c>
      <c r="B119" s="113">
        <v>8.9</v>
      </c>
      <c r="C119" s="113">
        <v>3</v>
      </c>
      <c r="D119" s="113">
        <v>-2</v>
      </c>
      <c r="E119" s="113">
        <v>-3.3</v>
      </c>
      <c r="F119" s="113">
        <v>1.9</v>
      </c>
      <c r="G119" s="113">
        <v>13.2</v>
      </c>
      <c r="H119" s="113">
        <v>29.2</v>
      </c>
      <c r="I119" s="113"/>
      <c r="J119" s="113">
        <v>42.5</v>
      </c>
      <c r="K119" s="113">
        <v>46.8</v>
      </c>
      <c r="L119" s="113">
        <v>43.6</v>
      </c>
      <c r="M119" s="113">
        <v>43.3</v>
      </c>
      <c r="N119" s="113">
        <v>34.700000000000003</v>
      </c>
      <c r="O119" s="113">
        <v>40.6</v>
      </c>
      <c r="P119" s="113">
        <v>17</v>
      </c>
      <c r="Q119" s="113">
        <v>20.7</v>
      </c>
      <c r="R119" s="113">
        <v>6</v>
      </c>
      <c r="S119" s="113">
        <v>-0.2</v>
      </c>
      <c r="T119" s="113">
        <v>-0.2</v>
      </c>
      <c r="U119" s="113">
        <v>10.199999999999999</v>
      </c>
      <c r="V119" s="113">
        <v>57</v>
      </c>
      <c r="W119" s="113">
        <v>64</v>
      </c>
      <c r="X119" s="113">
        <v>60</v>
      </c>
      <c r="Y119" s="113">
        <v>51.5</v>
      </c>
      <c r="Z119" s="113">
        <v>57.2</v>
      </c>
      <c r="AA119" s="113">
        <v>57.9</v>
      </c>
      <c r="AB119" s="113">
        <v>31.2</v>
      </c>
      <c r="AC119" s="113">
        <v>25.1</v>
      </c>
      <c r="AD119" s="113">
        <v>21.8</v>
      </c>
      <c r="AE119" s="113">
        <v>10.7</v>
      </c>
      <c r="AF119" s="113">
        <v>19.5</v>
      </c>
      <c r="AG119" s="114">
        <v>75</v>
      </c>
      <c r="AH119" s="47">
        <f t="shared" si="33"/>
        <v>64</v>
      </c>
      <c r="AI119" s="48">
        <f t="shared" si="34"/>
        <v>-3.3</v>
      </c>
    </row>
    <row r="120" spans="1:35" x14ac:dyDescent="0.25">
      <c r="A120" s="173" t="s">
        <v>120</v>
      </c>
      <c r="B120" s="115">
        <v>11</v>
      </c>
      <c r="C120" s="115">
        <v>3.5</v>
      </c>
      <c r="D120" s="115">
        <v>-2.2999999999999998</v>
      </c>
      <c r="E120" s="115">
        <v>-4.0999999999999996</v>
      </c>
      <c r="F120" s="115">
        <v>0.8</v>
      </c>
      <c r="G120" s="115">
        <v>17.3</v>
      </c>
      <c r="H120" s="115">
        <v>38.4</v>
      </c>
      <c r="I120" s="115"/>
      <c r="J120" s="115">
        <v>56.8</v>
      </c>
      <c r="K120" s="115">
        <v>60.1</v>
      </c>
      <c r="L120" s="115">
        <v>60.3</v>
      </c>
      <c r="M120" s="115">
        <v>59.8</v>
      </c>
      <c r="N120" s="115">
        <v>50</v>
      </c>
      <c r="O120" s="115">
        <v>58.7</v>
      </c>
      <c r="P120" s="115">
        <v>25</v>
      </c>
      <c r="Q120" s="115">
        <v>31.4</v>
      </c>
      <c r="R120" s="115">
        <v>9</v>
      </c>
      <c r="S120" s="115">
        <v>1.9</v>
      </c>
      <c r="T120" s="115">
        <v>1.9</v>
      </c>
      <c r="U120" s="115">
        <v>15</v>
      </c>
      <c r="V120" s="115">
        <v>77.900000000000006</v>
      </c>
      <c r="W120" s="115">
        <v>88.6</v>
      </c>
      <c r="X120" s="115">
        <v>81.900000000000006</v>
      </c>
      <c r="Y120" s="115">
        <v>69</v>
      </c>
      <c r="Z120" s="115">
        <v>77.400000000000006</v>
      </c>
      <c r="AA120" s="115">
        <v>78.900000000000006</v>
      </c>
      <c r="AB120" s="115">
        <v>39.5</v>
      </c>
      <c r="AC120" s="115">
        <v>30.8</v>
      </c>
      <c r="AD120" s="115">
        <v>27.2</v>
      </c>
      <c r="AE120" s="115">
        <v>15.6</v>
      </c>
      <c r="AF120" s="115">
        <v>24.7</v>
      </c>
      <c r="AG120" s="114">
        <v>240</v>
      </c>
      <c r="AH120" s="47">
        <f t="shared" si="33"/>
        <v>88.6</v>
      </c>
      <c r="AI120" s="48">
        <f t="shared" si="34"/>
        <v>-4.0999999999999996</v>
      </c>
    </row>
    <row r="121" spans="1:35" x14ac:dyDescent="0.25">
      <c r="A121" s="173" t="s">
        <v>121</v>
      </c>
      <c r="B121" s="115">
        <f>-24.3-26.6</f>
        <v>-50.900000000000006</v>
      </c>
      <c r="C121" s="115">
        <f>-29.5-31.6</f>
        <v>-61.1</v>
      </c>
      <c r="D121" s="115">
        <f>-28.3-29.4</f>
        <v>-57.7</v>
      </c>
      <c r="E121" s="115">
        <v>-60</v>
      </c>
      <c r="F121" s="115">
        <v>-59</v>
      </c>
      <c r="G121" s="115">
        <v>-56</v>
      </c>
      <c r="H121" s="115">
        <v>-60.3</v>
      </c>
      <c r="I121" s="115"/>
      <c r="J121" s="115">
        <v>-39</v>
      </c>
      <c r="K121" s="115">
        <v>6</v>
      </c>
      <c r="L121" s="115">
        <v>28</v>
      </c>
      <c r="M121" s="115">
        <v>3.3</v>
      </c>
      <c r="N121" s="115">
        <v>24</v>
      </c>
      <c r="O121" s="115">
        <v>32</v>
      </c>
      <c r="P121" s="115">
        <v>30</v>
      </c>
      <c r="Q121" s="115">
        <v>-31.3</v>
      </c>
      <c r="R121" s="115">
        <v>14</v>
      </c>
      <c r="S121" s="115">
        <v>7</v>
      </c>
      <c r="T121" s="115">
        <v>7</v>
      </c>
      <c r="U121" s="115">
        <v>9</v>
      </c>
      <c r="V121" s="115">
        <v>-21</v>
      </c>
      <c r="W121" s="115">
        <v>-16</v>
      </c>
      <c r="X121" s="115">
        <v>2</v>
      </c>
      <c r="Y121" s="115">
        <v>18</v>
      </c>
      <c r="Z121" s="115">
        <v>42</v>
      </c>
      <c r="AA121" s="115">
        <v>9</v>
      </c>
      <c r="AB121" s="115">
        <v>11</v>
      </c>
      <c r="AC121" s="115">
        <v>10</v>
      </c>
      <c r="AD121" s="115">
        <v>-10</v>
      </c>
      <c r="AE121" s="115">
        <v>-50.9</v>
      </c>
      <c r="AF121" s="115">
        <v>-70</v>
      </c>
      <c r="AG121" s="114">
        <v>240</v>
      </c>
      <c r="AH121" s="47">
        <f t="shared" si="33"/>
        <v>42</v>
      </c>
      <c r="AI121" s="48">
        <f t="shared" si="34"/>
        <v>-70</v>
      </c>
    </row>
    <row r="122" spans="1:35" ht="15.75" thickBot="1" x14ac:dyDescent="0.3">
      <c r="A122" s="173" t="s">
        <v>122</v>
      </c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>
        <v>49</v>
      </c>
      <c r="N122" s="115"/>
      <c r="O122" s="115"/>
      <c r="P122" s="115"/>
      <c r="Q122" s="115">
        <v>45</v>
      </c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15"/>
      <c r="AF122" s="115"/>
      <c r="AG122" s="114">
        <v>60</v>
      </c>
      <c r="AH122" s="47">
        <f t="shared" si="33"/>
        <v>49</v>
      </c>
      <c r="AI122" s="48">
        <f t="shared" si="34"/>
        <v>45</v>
      </c>
    </row>
    <row r="123" spans="1:35" x14ac:dyDescent="0.25">
      <c r="A123" s="172" t="s">
        <v>260</v>
      </c>
      <c r="B123" s="117">
        <f>55.4*1.6</f>
        <v>88.64</v>
      </c>
      <c r="C123" s="117">
        <f>58.8*1.6</f>
        <v>94.08</v>
      </c>
      <c r="D123" s="117">
        <f>64.4*1.6</f>
        <v>103.04000000000002</v>
      </c>
      <c r="E123" s="117">
        <f>61*1.6</f>
        <v>97.600000000000009</v>
      </c>
      <c r="F123" s="117">
        <f>63*1.6</f>
        <v>100.80000000000001</v>
      </c>
      <c r="G123" s="117">
        <f>64*1.6</f>
        <v>102.4</v>
      </c>
      <c r="H123" s="117">
        <f>60*1.6</f>
        <v>96</v>
      </c>
      <c r="I123" s="117"/>
      <c r="J123" s="117">
        <f>81*1.6</f>
        <v>129.6</v>
      </c>
      <c r="K123" s="117">
        <f>71*1.6</f>
        <v>113.60000000000001</v>
      </c>
      <c r="L123" s="117">
        <f>87.2*1.6</f>
        <v>139.52000000000001</v>
      </c>
      <c r="M123" s="117">
        <f>1.64*91.2</f>
        <v>149.56799999999998</v>
      </c>
      <c r="N123" s="117"/>
      <c r="O123" s="117"/>
      <c r="P123" s="117"/>
      <c r="Q123" s="117">
        <f>1.64*84.1</f>
        <v>137.92399999999998</v>
      </c>
      <c r="R123" s="117"/>
      <c r="S123" s="117">
        <f>96.8*1.6</f>
        <v>154.88</v>
      </c>
      <c r="T123" s="117">
        <f>96.8*1.6</f>
        <v>154.88</v>
      </c>
      <c r="U123" s="117">
        <f>95*1.5</f>
        <v>142.5</v>
      </c>
      <c r="V123" s="117">
        <f>35.4*1.6</f>
        <v>56.64</v>
      </c>
      <c r="W123" s="117">
        <f>41.7*1.6</f>
        <v>66.720000000000013</v>
      </c>
      <c r="X123" s="117">
        <f>71*1.6</f>
        <v>113.60000000000001</v>
      </c>
      <c r="Y123" s="117">
        <f>94.1*1.6</f>
        <v>150.56</v>
      </c>
      <c r="Z123" s="117">
        <f>78.1*1.63</f>
        <v>127.30299999999998</v>
      </c>
      <c r="AA123" s="117">
        <f>74.4*1.6</f>
        <v>119.04000000000002</v>
      </c>
      <c r="AB123" s="117">
        <v>130</v>
      </c>
      <c r="AC123" s="117">
        <f>85.8*1.67</f>
        <v>143.286</v>
      </c>
      <c r="AD123" s="117">
        <f>81.7*1.67</f>
        <v>136.43899999999999</v>
      </c>
      <c r="AE123" s="117">
        <f>68.6*1.67</f>
        <v>114.56199999999998</v>
      </c>
      <c r="AF123" s="117">
        <f>57.9*1.67</f>
        <v>96.692999999999998</v>
      </c>
      <c r="AG123" s="118">
        <v>120</v>
      </c>
      <c r="AH123" s="47">
        <f t="shared" si="33"/>
        <v>154.88</v>
      </c>
      <c r="AI123" s="48">
        <f t="shared" si="34"/>
        <v>56.64</v>
      </c>
    </row>
    <row r="124" spans="1:35" x14ac:dyDescent="0.25">
      <c r="A124" s="173" t="s">
        <v>259</v>
      </c>
      <c r="B124" s="117">
        <v>73.7</v>
      </c>
      <c r="C124" s="117">
        <v>77.2</v>
      </c>
      <c r="D124" s="117">
        <v>81.7</v>
      </c>
      <c r="E124" s="117">
        <v>78.3</v>
      </c>
      <c r="F124" s="117">
        <v>81</v>
      </c>
      <c r="G124" s="117">
        <v>81</v>
      </c>
      <c r="H124" s="117">
        <v>78</v>
      </c>
      <c r="I124" s="117"/>
      <c r="J124" s="117">
        <v>92</v>
      </c>
      <c r="K124" s="117">
        <v>84</v>
      </c>
      <c r="L124" s="117">
        <v>98</v>
      </c>
      <c r="M124" s="117">
        <v>109.2</v>
      </c>
      <c r="N124" s="117">
        <v>105</v>
      </c>
      <c r="O124" s="117">
        <v>78</v>
      </c>
      <c r="P124" s="117">
        <v>91</v>
      </c>
      <c r="Q124" s="117">
        <v>95</v>
      </c>
      <c r="R124" s="117">
        <v>107</v>
      </c>
      <c r="S124" s="117">
        <v>104.4</v>
      </c>
      <c r="T124" s="117">
        <v>104.4</v>
      </c>
      <c r="U124" s="117">
        <v>106.3</v>
      </c>
      <c r="V124" s="117">
        <v>55.5</v>
      </c>
      <c r="W124" s="117">
        <v>61</v>
      </c>
      <c r="X124" s="117">
        <v>84.7</v>
      </c>
      <c r="Y124" s="117">
        <v>102.8</v>
      </c>
      <c r="Z124" s="117">
        <v>91</v>
      </c>
      <c r="AA124" s="117">
        <v>86.9</v>
      </c>
      <c r="AB124" s="117">
        <v>87.5</v>
      </c>
      <c r="AC124" s="117">
        <v>98.7</v>
      </c>
      <c r="AD124" s="117">
        <v>95.6</v>
      </c>
      <c r="AE124" s="117">
        <v>85.8</v>
      </c>
      <c r="AF124" s="117">
        <v>76.2</v>
      </c>
      <c r="AG124" s="118"/>
      <c r="AH124" s="47"/>
      <c r="AI124" s="48"/>
    </row>
    <row r="125" spans="1:35" x14ac:dyDescent="0.25">
      <c r="A125" s="173" t="s">
        <v>256</v>
      </c>
      <c r="B125" s="117">
        <v>61.8</v>
      </c>
      <c r="C125" s="117">
        <v>80</v>
      </c>
      <c r="D125" s="117">
        <v>72.599999999999994</v>
      </c>
      <c r="E125" s="117">
        <v>67</v>
      </c>
      <c r="F125" s="117">
        <v>71.400000000000006</v>
      </c>
      <c r="G125" s="117">
        <v>43</v>
      </c>
      <c r="H125" s="117">
        <v>34.1</v>
      </c>
      <c r="I125" s="117"/>
      <c r="J125" s="117">
        <v>9</v>
      </c>
      <c r="K125" s="117">
        <v>-26</v>
      </c>
      <c r="L125" s="117">
        <v>-30</v>
      </c>
      <c r="M125" s="117">
        <v>24.4</v>
      </c>
      <c r="N125" s="117">
        <v>-10</v>
      </c>
      <c r="O125" s="117">
        <v>-38</v>
      </c>
      <c r="P125" s="117">
        <v>9</v>
      </c>
      <c r="Q125" s="117">
        <v>19.8</v>
      </c>
      <c r="R125" s="117">
        <v>42.5</v>
      </c>
      <c r="S125" s="117">
        <v>44.1</v>
      </c>
      <c r="T125" s="117">
        <v>44.1</v>
      </c>
      <c r="U125" s="117">
        <v>31.6</v>
      </c>
      <c r="V125" s="117">
        <v>-59.2</v>
      </c>
      <c r="W125" s="117">
        <v>-69.3</v>
      </c>
      <c r="X125" s="117">
        <v>-57.6</v>
      </c>
      <c r="Y125" s="117">
        <v>-43.1</v>
      </c>
      <c r="Z125" s="117">
        <v>-52.1</v>
      </c>
      <c r="AA125" s="117">
        <v>-59.9</v>
      </c>
      <c r="AB125" s="117">
        <v>-19.600000000000001</v>
      </c>
      <c r="AC125" s="117">
        <v>-13.6</v>
      </c>
      <c r="AD125" s="117">
        <v>-1.7</v>
      </c>
      <c r="AE125" s="117">
        <v>30.7</v>
      </c>
      <c r="AF125" s="117">
        <v>46.9</v>
      </c>
      <c r="AG125" s="118"/>
      <c r="AH125" s="47"/>
      <c r="AI125" s="48"/>
    </row>
    <row r="126" spans="1:35" ht="15.75" thickBot="1" x14ac:dyDescent="0.3">
      <c r="A126" s="173" t="s">
        <v>255</v>
      </c>
      <c r="B126" s="117">
        <v>92.5</v>
      </c>
      <c r="C126" s="117">
        <v>102.6</v>
      </c>
      <c r="D126" s="117">
        <v>106.6</v>
      </c>
      <c r="E126" s="117">
        <v>100</v>
      </c>
      <c r="F126" s="117">
        <v>108</v>
      </c>
      <c r="G126" s="117">
        <v>102</v>
      </c>
      <c r="H126" s="117">
        <v>100</v>
      </c>
      <c r="I126" s="117"/>
      <c r="J126" s="117">
        <v>95</v>
      </c>
      <c r="K126" s="117">
        <v>78</v>
      </c>
      <c r="L126" s="117">
        <v>83</v>
      </c>
      <c r="M126" s="117">
        <v>85.9</v>
      </c>
      <c r="N126" s="117">
        <v>101</v>
      </c>
      <c r="O126" s="117">
        <v>72</v>
      </c>
      <c r="P126" s="117">
        <v>94</v>
      </c>
      <c r="Q126" s="117">
        <v>113</v>
      </c>
      <c r="R126" s="117">
        <v>103</v>
      </c>
      <c r="S126" s="117">
        <v>94.2</v>
      </c>
      <c r="T126" s="117">
        <v>94.2</v>
      </c>
      <c r="U126" s="117">
        <v>94</v>
      </c>
      <c r="V126" s="117">
        <v>-64.2</v>
      </c>
      <c r="W126" s="117">
        <v>40.4</v>
      </c>
      <c r="X126" s="117">
        <v>60.4</v>
      </c>
      <c r="Y126" s="117">
        <v>79.3</v>
      </c>
      <c r="Z126" s="117">
        <v>71.5</v>
      </c>
      <c r="AA126" s="117">
        <v>69.5</v>
      </c>
      <c r="AB126" s="117">
        <v>91.2</v>
      </c>
      <c r="AC126" s="117">
        <v>89.4</v>
      </c>
      <c r="AD126" s="117">
        <v>91.9</v>
      </c>
      <c r="AE126" s="117">
        <v>97</v>
      </c>
      <c r="AF126" s="117">
        <v>96.9</v>
      </c>
      <c r="AG126" s="114"/>
      <c r="AH126" s="47">
        <f t="shared" si="33"/>
        <v>113</v>
      </c>
      <c r="AI126" s="48">
        <f t="shared" si="34"/>
        <v>-64.2</v>
      </c>
    </row>
    <row r="127" spans="1:35" x14ac:dyDescent="0.25">
      <c r="A127" s="172" t="s">
        <v>257</v>
      </c>
      <c r="B127" s="106">
        <v>13.8</v>
      </c>
      <c r="C127" s="106">
        <v>21.4</v>
      </c>
      <c r="D127" s="106">
        <v>23.4</v>
      </c>
      <c r="E127" s="117">
        <v>25</v>
      </c>
      <c r="F127" s="117">
        <v>23.1</v>
      </c>
      <c r="G127" s="117">
        <v>15</v>
      </c>
      <c r="H127" s="117">
        <v>7</v>
      </c>
      <c r="I127" s="117"/>
      <c r="J127" s="117">
        <v>-6</v>
      </c>
      <c r="K127" s="117">
        <v>-3</v>
      </c>
      <c r="L127" s="117">
        <v>-7.2</v>
      </c>
      <c r="M127" s="117">
        <v>-1.3</v>
      </c>
      <c r="N127" s="117">
        <v>1</v>
      </c>
      <c r="O127" s="117">
        <v>-2.5</v>
      </c>
      <c r="P127" s="117">
        <v>2</v>
      </c>
      <c r="Q127" s="117">
        <v>5.2</v>
      </c>
      <c r="R127" s="117">
        <v>42.6</v>
      </c>
      <c r="S127" s="117">
        <v>41.6</v>
      </c>
      <c r="T127" s="117">
        <v>41.6</v>
      </c>
      <c r="U127" s="117">
        <v>31.9</v>
      </c>
      <c r="V127" s="117">
        <v>-7.4</v>
      </c>
      <c r="W127" s="117">
        <v>-27.4</v>
      </c>
      <c r="X127" s="117">
        <v>-20.5</v>
      </c>
      <c r="Y127" s="117">
        <v>-11.1</v>
      </c>
      <c r="Z127" s="117">
        <v>-16.7</v>
      </c>
      <c r="AA127" s="117">
        <v>-16.8</v>
      </c>
      <c r="AB127" s="117">
        <v>12.4</v>
      </c>
      <c r="AC127" s="117">
        <v>20.5</v>
      </c>
      <c r="AD127" s="117">
        <v>22.1</v>
      </c>
      <c r="AE127" s="117">
        <v>21.9</v>
      </c>
      <c r="AF127" s="106">
        <v>10.8</v>
      </c>
      <c r="AG127" s="114"/>
      <c r="AH127" s="47">
        <f t="shared" si="33"/>
        <v>42.6</v>
      </c>
      <c r="AI127" s="48">
        <f t="shared" si="34"/>
        <v>-27.4</v>
      </c>
    </row>
    <row r="128" spans="1:35" x14ac:dyDescent="0.25">
      <c r="A128" s="173" t="s">
        <v>124</v>
      </c>
      <c r="B128" s="106">
        <v>-6.9</v>
      </c>
      <c r="C128" s="106">
        <v>1.8</v>
      </c>
      <c r="D128" s="106">
        <v>0</v>
      </c>
      <c r="E128" s="106">
        <v>1.3</v>
      </c>
      <c r="F128" s="106">
        <v>1.7</v>
      </c>
      <c r="G128" s="106">
        <v>-5</v>
      </c>
      <c r="H128" s="106">
        <v>-9</v>
      </c>
      <c r="I128" s="106"/>
      <c r="J128" s="106">
        <v>-27.1</v>
      </c>
      <c r="K128" s="106">
        <v>-34</v>
      </c>
      <c r="L128" s="106">
        <v>-39.1</v>
      </c>
      <c r="M128" s="106">
        <v>-39</v>
      </c>
      <c r="N128" s="106">
        <v>-32</v>
      </c>
      <c r="O128" s="106">
        <v>-21</v>
      </c>
      <c r="P128" s="106">
        <v>-14</v>
      </c>
      <c r="Q128" s="106">
        <v>-13.2</v>
      </c>
      <c r="R128" s="106">
        <v>-10</v>
      </c>
      <c r="S128" s="106">
        <v>-13.4</v>
      </c>
      <c r="T128" s="106">
        <v>-13.4</v>
      </c>
      <c r="U128" s="106">
        <v>-16.3</v>
      </c>
      <c r="V128" s="106">
        <v>-30.7</v>
      </c>
      <c r="W128" s="106">
        <v>-39.299999999999997</v>
      </c>
      <c r="X128" s="106">
        <v>-48.5</v>
      </c>
      <c r="Y128" s="106">
        <v>-51.6</v>
      </c>
      <c r="Z128" s="106">
        <v>-42.8</v>
      </c>
      <c r="AA128" s="106">
        <v>-40.1</v>
      </c>
      <c r="AB128" s="106">
        <v>-35.200000000000003</v>
      </c>
      <c r="AC128" s="106">
        <v>-30.9</v>
      </c>
      <c r="AD128" s="106">
        <v>-22.2</v>
      </c>
      <c r="AE128" s="106">
        <v>-15.2</v>
      </c>
      <c r="AF128" s="106">
        <v>-7.3</v>
      </c>
      <c r="AG128" s="114"/>
      <c r="AH128" s="47">
        <f t="shared" si="33"/>
        <v>1.8</v>
      </c>
      <c r="AI128" s="48">
        <f t="shared" si="34"/>
        <v>-51.6</v>
      </c>
    </row>
    <row r="129" spans="1:37" x14ac:dyDescent="0.25">
      <c r="A129" s="173" t="s">
        <v>261</v>
      </c>
      <c r="B129" s="106">
        <v>3.4</v>
      </c>
      <c r="C129" s="106">
        <v>4.4000000000000004</v>
      </c>
      <c r="D129" s="106">
        <v>4.5999999999999996</v>
      </c>
      <c r="E129" s="106">
        <v>6.3</v>
      </c>
      <c r="F129" s="106">
        <v>6.4</v>
      </c>
      <c r="G129" s="106">
        <v>9</v>
      </c>
      <c r="H129" s="106">
        <v>16</v>
      </c>
      <c r="I129" s="106"/>
      <c r="J129" s="106">
        <v>18</v>
      </c>
      <c r="K129" s="106">
        <v>4.2</v>
      </c>
      <c r="L129" s="106">
        <v>-9</v>
      </c>
      <c r="M129" s="106">
        <v>-10.8</v>
      </c>
      <c r="N129" s="106">
        <v>-23</v>
      </c>
      <c r="O129" s="106">
        <v>-1.3</v>
      </c>
      <c r="P129" s="106">
        <v>-3.6</v>
      </c>
      <c r="Q129" s="106">
        <v>17.5</v>
      </c>
      <c r="R129" s="106">
        <v>18</v>
      </c>
      <c r="S129" s="106">
        <v>18.8</v>
      </c>
      <c r="T129" s="106">
        <v>18.8</v>
      </c>
      <c r="U129" s="106">
        <v>19.100000000000001</v>
      </c>
      <c r="V129" s="106">
        <v>10.9</v>
      </c>
      <c r="W129" s="106">
        <v>11.9</v>
      </c>
      <c r="X129" s="106">
        <v>12</v>
      </c>
      <c r="Y129" s="106">
        <v>12.2</v>
      </c>
      <c r="Z129" s="106">
        <v>11.2</v>
      </c>
      <c r="AA129" s="106">
        <v>11</v>
      </c>
      <c r="AB129" s="106">
        <v>10.1</v>
      </c>
      <c r="AC129" s="106">
        <v>9.3000000000000007</v>
      </c>
      <c r="AD129" s="106">
        <v>8.5</v>
      </c>
      <c r="AE129" s="106">
        <v>21.2</v>
      </c>
      <c r="AF129" s="106">
        <v>22</v>
      </c>
      <c r="AG129" s="114"/>
      <c r="AH129" s="47">
        <f t="shared" si="33"/>
        <v>22</v>
      </c>
      <c r="AI129" s="48">
        <f t="shared" si="34"/>
        <v>-23</v>
      </c>
    </row>
    <row r="130" spans="1:37" ht="15.75" thickBot="1" x14ac:dyDescent="0.3">
      <c r="A130" s="173" t="s">
        <v>258</v>
      </c>
      <c r="B130" s="106">
        <v>87.1</v>
      </c>
      <c r="C130" s="106">
        <v>84.2</v>
      </c>
      <c r="D130" s="106">
        <v>83.7</v>
      </c>
      <c r="E130" s="106">
        <v>80</v>
      </c>
      <c r="F130" s="106">
        <v>82</v>
      </c>
      <c r="G130" s="106">
        <v>87</v>
      </c>
      <c r="H130" s="106">
        <v>92.4</v>
      </c>
      <c r="I130" s="106"/>
      <c r="J130" s="106">
        <v>110</v>
      </c>
      <c r="K130" s="106">
        <v>100</v>
      </c>
      <c r="L130" s="106">
        <v>100</v>
      </c>
      <c r="M130" s="106">
        <v>96.9</v>
      </c>
      <c r="N130" s="106">
        <v>92</v>
      </c>
      <c r="O130" s="106">
        <v>82.6</v>
      </c>
      <c r="P130" s="106">
        <v>91.8</v>
      </c>
      <c r="Q130" s="106">
        <v>97.5</v>
      </c>
      <c r="R130" s="106">
        <v>96</v>
      </c>
      <c r="S130" s="106">
        <v>99.1</v>
      </c>
      <c r="T130" s="106">
        <v>99.1</v>
      </c>
      <c r="U130" s="106">
        <v>99.1</v>
      </c>
      <c r="V130" s="106">
        <v>92.2</v>
      </c>
      <c r="W130" s="106">
        <v>93.6</v>
      </c>
      <c r="X130" s="106">
        <v>108.1</v>
      </c>
      <c r="Y130" s="106">
        <v>111.3</v>
      </c>
      <c r="Z130" s="106">
        <v>103</v>
      </c>
      <c r="AA130" s="106">
        <v>103.2</v>
      </c>
      <c r="AB130" s="106">
        <v>96.8</v>
      </c>
      <c r="AC130" s="106">
        <v>91.5</v>
      </c>
      <c r="AD130" s="106">
        <v>91.5</v>
      </c>
      <c r="AE130" s="106">
        <v>100</v>
      </c>
      <c r="AF130" s="106">
        <v>81.2</v>
      </c>
      <c r="AG130" s="114"/>
      <c r="AH130" s="47">
        <f t="shared" si="33"/>
        <v>111.3</v>
      </c>
      <c r="AI130" s="48">
        <f t="shared" si="34"/>
        <v>80</v>
      </c>
    </row>
    <row r="131" spans="1:37" x14ac:dyDescent="0.25">
      <c r="A131" s="144" t="s">
        <v>238</v>
      </c>
      <c r="B131" s="146"/>
      <c r="C131" s="146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6"/>
      <c r="AG131" s="43"/>
      <c r="AH131" s="47"/>
      <c r="AI131" s="48"/>
    </row>
    <row r="132" spans="1:37" x14ac:dyDescent="0.25">
      <c r="A132" s="189" t="s">
        <v>368</v>
      </c>
      <c r="B132" s="148">
        <v>1983.2</v>
      </c>
      <c r="C132" s="148">
        <v>1983.54</v>
      </c>
      <c r="D132" s="147">
        <v>1983.87</v>
      </c>
      <c r="E132" s="147">
        <v>1984.15</v>
      </c>
      <c r="F132" s="147">
        <v>1984.42</v>
      </c>
      <c r="G132" s="147">
        <v>1984.7</v>
      </c>
      <c r="H132" s="147">
        <v>1984.8</v>
      </c>
      <c r="I132" s="147">
        <v>1984.92</v>
      </c>
      <c r="J132" s="147">
        <v>1985.02</v>
      </c>
      <c r="K132" s="147">
        <v>1984.95</v>
      </c>
      <c r="L132" s="147">
        <v>1984.6</v>
      </c>
      <c r="M132" s="147">
        <v>1984.15</v>
      </c>
      <c r="N132" s="147">
        <v>1982.9</v>
      </c>
      <c r="O132" s="147">
        <v>1982.65</v>
      </c>
      <c r="P132" s="147">
        <v>1982.68</v>
      </c>
      <c r="Q132" s="147">
        <v>1982.7</v>
      </c>
      <c r="R132" s="147">
        <v>1982.85</v>
      </c>
      <c r="S132" s="147">
        <v>1983.1</v>
      </c>
      <c r="T132" s="147">
        <v>1983.47</v>
      </c>
      <c r="U132" s="147">
        <v>1983.74</v>
      </c>
      <c r="V132" s="147">
        <v>1983.74</v>
      </c>
      <c r="W132" s="147">
        <v>1983.74</v>
      </c>
      <c r="X132" s="147">
        <v>1983.74</v>
      </c>
      <c r="Y132" s="147"/>
      <c r="Z132" s="147">
        <v>1983</v>
      </c>
      <c r="AA132" s="147">
        <v>1983</v>
      </c>
      <c r="AB132" s="147">
        <v>1982.53</v>
      </c>
      <c r="AC132" s="147"/>
      <c r="AD132" s="147">
        <v>1982.62</v>
      </c>
      <c r="AE132" s="147">
        <v>1982.74</v>
      </c>
      <c r="AF132" s="148">
        <v>1983.1</v>
      </c>
      <c r="AG132" s="149"/>
      <c r="AH132" s="47"/>
      <c r="AI132" s="48"/>
    </row>
    <row r="133" spans="1:37" x14ac:dyDescent="0.25">
      <c r="A133" s="189" t="s">
        <v>239</v>
      </c>
      <c r="B133" s="151">
        <v>519.94000000000005</v>
      </c>
      <c r="C133" s="151">
        <v>520.4</v>
      </c>
      <c r="D133" s="150">
        <v>520.82000000000005</v>
      </c>
      <c r="E133" s="150">
        <v>521.20000000000005</v>
      </c>
      <c r="F133" s="150">
        <v>521.6</v>
      </c>
      <c r="G133" s="150">
        <v>521.9</v>
      </c>
      <c r="H133" s="150">
        <v>521.98</v>
      </c>
      <c r="I133" s="150">
        <v>521.98</v>
      </c>
      <c r="J133" s="150"/>
      <c r="K133" s="150">
        <v>521.64</v>
      </c>
      <c r="L133" s="150">
        <v>521.1</v>
      </c>
      <c r="M133" s="150">
        <v>521.1</v>
      </c>
      <c r="N133" s="150">
        <v>520.65</v>
      </c>
      <c r="O133" s="150">
        <v>520.24</v>
      </c>
      <c r="P133" s="150">
        <v>519.85</v>
      </c>
      <c r="Q133" s="150">
        <v>519.63</v>
      </c>
      <c r="R133" s="150">
        <v>519.33000000000004</v>
      </c>
      <c r="S133" s="150">
        <v>519.23</v>
      </c>
      <c r="T133" s="150">
        <v>519.79999999999995</v>
      </c>
      <c r="U133" s="150">
        <v>520.22</v>
      </c>
      <c r="V133" s="150">
        <v>520.22</v>
      </c>
      <c r="W133" s="150">
        <v>520.22</v>
      </c>
      <c r="X133" s="150">
        <v>520.22</v>
      </c>
      <c r="Y133" s="150"/>
      <c r="Z133" s="150">
        <v>519.42999999999995</v>
      </c>
      <c r="AA133" s="150">
        <v>519.42999999999995</v>
      </c>
      <c r="AB133" s="150">
        <v>518.79999999999995</v>
      </c>
      <c r="AC133" s="150"/>
      <c r="AD133" s="150">
        <v>518.9</v>
      </c>
      <c r="AE133" s="150">
        <v>519.22</v>
      </c>
      <c r="AF133" s="151">
        <v>519.67999999999995</v>
      </c>
      <c r="AG133" s="149"/>
      <c r="AH133" s="47"/>
      <c r="AI133" s="48"/>
    </row>
    <row r="134" spans="1:37" x14ac:dyDescent="0.25">
      <c r="A134" s="189" t="s">
        <v>240</v>
      </c>
      <c r="B134" s="151">
        <v>622.54999999999995</v>
      </c>
      <c r="C134" s="151">
        <v>623.07000000000005</v>
      </c>
      <c r="D134" s="150">
        <v>623.54999999999995</v>
      </c>
      <c r="E134" s="150">
        <v>623.91999999999996</v>
      </c>
      <c r="F134" s="150">
        <v>624.34</v>
      </c>
      <c r="G134" s="150">
        <v>624.6</v>
      </c>
      <c r="H134" s="150">
        <v>624.6</v>
      </c>
      <c r="I134" s="150">
        <v>624.42999999999995</v>
      </c>
      <c r="J134" s="150">
        <v>624.16999999999996</v>
      </c>
      <c r="K134" s="150">
        <v>624</v>
      </c>
      <c r="L134" s="150">
        <v>623.41</v>
      </c>
      <c r="M134" s="150">
        <v>623.41</v>
      </c>
      <c r="N134" s="150">
        <v>623.36</v>
      </c>
      <c r="O134" s="150">
        <v>622.07000000000005</v>
      </c>
      <c r="P134" s="150">
        <v>621.51</v>
      </c>
      <c r="Q134" s="150">
        <v>621.47</v>
      </c>
      <c r="R134" s="150"/>
      <c r="S134" s="150">
        <v>621.89</v>
      </c>
      <c r="T134" s="150">
        <v>622.09</v>
      </c>
      <c r="U134" s="150">
        <v>623.19000000000005</v>
      </c>
      <c r="V134" s="150">
        <v>623.19000000000005</v>
      </c>
      <c r="W134" s="150">
        <v>623.19000000000005</v>
      </c>
      <c r="X134" s="150">
        <v>623.19000000000005</v>
      </c>
      <c r="Y134" s="150"/>
      <c r="Z134" s="150">
        <v>622.16</v>
      </c>
      <c r="AA134" s="150">
        <v>622.16</v>
      </c>
      <c r="AB134" s="150">
        <v>621.41</v>
      </c>
      <c r="AC134" s="150"/>
      <c r="AD134" s="150">
        <v>621.6</v>
      </c>
      <c r="AE134" s="150">
        <v>621.82000000000005</v>
      </c>
      <c r="AF134" s="151">
        <v>622</v>
      </c>
      <c r="AG134" s="149"/>
      <c r="AH134" s="47"/>
      <c r="AI134" s="48"/>
    </row>
    <row r="135" spans="1:37" x14ac:dyDescent="0.25">
      <c r="A135" s="189" t="s">
        <v>241</v>
      </c>
      <c r="B135" s="151">
        <v>334.5</v>
      </c>
      <c r="C135" s="151">
        <v>334.98</v>
      </c>
      <c r="D135" s="150">
        <v>335.15</v>
      </c>
      <c r="E135" s="150">
        <v>335.47</v>
      </c>
      <c r="F135" s="150">
        <v>335.75</v>
      </c>
      <c r="G135" s="150">
        <v>335.89</v>
      </c>
      <c r="H135" s="150">
        <v>335.91</v>
      </c>
      <c r="I135" s="150">
        <v>335.84</v>
      </c>
      <c r="J135" s="150">
        <v>335.7</v>
      </c>
      <c r="K135" s="150">
        <v>335.51</v>
      </c>
      <c r="L135" s="150">
        <v>334.86</v>
      </c>
      <c r="M135" s="150">
        <v>334.84</v>
      </c>
      <c r="N135" s="150">
        <v>334.43</v>
      </c>
      <c r="O135" s="150">
        <v>334.11</v>
      </c>
      <c r="P135" s="150">
        <v>333.98</v>
      </c>
      <c r="Q135" s="150">
        <v>334.22</v>
      </c>
      <c r="R135" s="150">
        <v>334.93</v>
      </c>
      <c r="S135" s="150">
        <v>335.52</v>
      </c>
      <c r="T135" s="150">
        <v>336.03</v>
      </c>
      <c r="U135" s="150">
        <v>336.46</v>
      </c>
      <c r="V135" s="150">
        <v>336.46</v>
      </c>
      <c r="W135" s="150">
        <v>336.46</v>
      </c>
      <c r="X135" s="150">
        <v>336.46</v>
      </c>
      <c r="Y135" s="150"/>
      <c r="Z135" s="150">
        <v>336.07</v>
      </c>
      <c r="AA135" s="150">
        <v>336.07</v>
      </c>
      <c r="AB135" s="150">
        <v>335.62</v>
      </c>
      <c r="AC135" s="150"/>
      <c r="AD135" s="150">
        <v>335.16</v>
      </c>
      <c r="AE135" s="150">
        <v>334.73</v>
      </c>
      <c r="AF135" s="151">
        <v>334.47</v>
      </c>
      <c r="AG135" s="149"/>
      <c r="AH135" s="47"/>
      <c r="AI135" s="48"/>
    </row>
    <row r="136" spans="1:37" x14ac:dyDescent="0.25">
      <c r="A136" s="189" t="s">
        <v>407</v>
      </c>
      <c r="B136" s="151">
        <v>883.4</v>
      </c>
      <c r="C136" s="151">
        <v>883.4</v>
      </c>
      <c r="D136" s="150">
        <v>885.1</v>
      </c>
      <c r="E136" s="150">
        <v>885.7</v>
      </c>
      <c r="F136" s="150">
        <v>886.3</v>
      </c>
      <c r="G136" s="150">
        <v>886.6</v>
      </c>
      <c r="H136" s="150">
        <v>886.6</v>
      </c>
      <c r="I136" s="150">
        <v>886.5</v>
      </c>
      <c r="J136" s="150"/>
      <c r="K136" s="150">
        <v>885.8</v>
      </c>
      <c r="L136" s="150">
        <v>884.9</v>
      </c>
      <c r="M136" s="150">
        <v>884.9</v>
      </c>
      <c r="N136" s="150">
        <v>883.9</v>
      </c>
      <c r="O136" s="150">
        <v>882.4</v>
      </c>
      <c r="P136" s="150">
        <v>882.27</v>
      </c>
      <c r="Q136" s="150">
        <v>883</v>
      </c>
      <c r="R136" s="150">
        <v>883.8</v>
      </c>
      <c r="S136" s="150">
        <v>884.4</v>
      </c>
      <c r="T136" s="150">
        <v>885.2</v>
      </c>
      <c r="U136" s="150">
        <v>885.7</v>
      </c>
      <c r="V136" s="150">
        <v>885.7</v>
      </c>
      <c r="W136" s="150">
        <v>885.7</v>
      </c>
      <c r="X136" s="150">
        <v>885.7</v>
      </c>
      <c r="Y136" s="150"/>
      <c r="Z136" s="150">
        <v>884</v>
      </c>
      <c r="AA136" s="150">
        <v>884</v>
      </c>
      <c r="AB136" s="150">
        <v>882.1</v>
      </c>
      <c r="AC136" s="150"/>
      <c r="AD136" s="150">
        <v>881.9</v>
      </c>
      <c r="AE136" s="150"/>
      <c r="AF136" s="151">
        <v>882.7</v>
      </c>
      <c r="AG136" s="149"/>
      <c r="AH136" s="47"/>
      <c r="AI136" s="48"/>
    </row>
    <row r="137" spans="1:37" ht="15.75" thickBot="1" x14ac:dyDescent="0.3">
      <c r="A137" s="189" t="s">
        <v>242</v>
      </c>
      <c r="B137" s="153">
        <v>1520.97</v>
      </c>
      <c r="C137" s="153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>
        <v>1520.76</v>
      </c>
      <c r="AC137" s="152"/>
      <c r="AD137" s="152"/>
      <c r="AE137" s="152"/>
      <c r="AF137" s="153"/>
      <c r="AG137" s="149"/>
      <c r="AH137" s="47"/>
      <c r="AI137" s="48"/>
    </row>
    <row r="138" spans="1:37" ht="15.75" thickBot="1" x14ac:dyDescent="0.3">
      <c r="A138" s="120" t="s">
        <v>125</v>
      </c>
      <c r="B138" s="121"/>
      <c r="C138" s="121"/>
      <c r="D138" s="121"/>
      <c r="E138" s="121"/>
      <c r="F138" s="170" t="s">
        <v>254</v>
      </c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74"/>
      <c r="AH138" s="47"/>
      <c r="AI138" s="48"/>
      <c r="AK138" s="50"/>
    </row>
    <row r="139" spans="1:37" x14ac:dyDescent="0.25">
      <c r="A139" s="122" t="s">
        <v>126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5">
        <v>9.94</v>
      </c>
      <c r="AH139" s="47"/>
      <c r="AI139" s="48"/>
      <c r="AK139" s="50"/>
    </row>
    <row r="140" spans="1:37" x14ac:dyDescent="0.25">
      <c r="A140" s="103" t="s">
        <v>127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5"/>
      <c r="AH140" s="47"/>
      <c r="AI140" s="48"/>
      <c r="AK140" s="50"/>
    </row>
    <row r="141" spans="1:37" x14ac:dyDescent="0.25">
      <c r="A141" s="103" t="s">
        <v>128</v>
      </c>
      <c r="B141" s="123"/>
      <c r="C141" s="124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5"/>
      <c r="AH141" s="47"/>
      <c r="AI141" s="48"/>
      <c r="AK141" s="50"/>
    </row>
    <row r="142" spans="1:37" x14ac:dyDescent="0.25">
      <c r="A142" s="103" t="s">
        <v>129</v>
      </c>
      <c r="B142" s="123"/>
      <c r="C142" s="124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5"/>
      <c r="AH142" s="47"/>
      <c r="AI142" s="48"/>
      <c r="AK142" s="50"/>
    </row>
    <row r="143" spans="1:37" x14ac:dyDescent="0.25">
      <c r="A143" s="103" t="s">
        <v>130</v>
      </c>
      <c r="B143" s="123"/>
      <c r="C143" s="124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5"/>
      <c r="AH143" s="47"/>
      <c r="AI143" s="48"/>
      <c r="AK143" s="50"/>
    </row>
    <row r="144" spans="1:37" x14ac:dyDescent="0.25">
      <c r="A144" s="103" t="s">
        <v>131</v>
      </c>
      <c r="B144" s="123"/>
      <c r="C144" s="124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5"/>
      <c r="AH144" s="47"/>
      <c r="AI144" s="48"/>
      <c r="AK144" s="50"/>
    </row>
    <row r="145" spans="1:37" x14ac:dyDescent="0.25">
      <c r="A145" s="103" t="s">
        <v>132</v>
      </c>
      <c r="B145" s="123"/>
      <c r="C145" s="124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>
        <f>1.2/7.27</f>
        <v>0.16506189821182943</v>
      </c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5"/>
      <c r="AH145" s="47"/>
      <c r="AI145" s="48"/>
      <c r="AK145" s="50"/>
    </row>
    <row r="146" spans="1:37" x14ac:dyDescent="0.25">
      <c r="A146" s="103" t="s">
        <v>133</v>
      </c>
      <c r="B146" s="123"/>
      <c r="C146" s="124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5"/>
      <c r="AH146" s="47"/>
      <c r="AI146" s="48"/>
      <c r="AK146" s="50"/>
    </row>
    <row r="147" spans="1:37" x14ac:dyDescent="0.25">
      <c r="A147" s="103" t="s">
        <v>134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5"/>
      <c r="AH147" s="47"/>
      <c r="AI147" s="48"/>
      <c r="AK147" s="50"/>
    </row>
    <row r="148" spans="1:37" x14ac:dyDescent="0.25">
      <c r="A148" s="103" t="s">
        <v>135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5"/>
      <c r="AH148" s="47"/>
      <c r="AI148" s="48"/>
      <c r="AK148" s="50"/>
    </row>
    <row r="149" spans="1:37" x14ac:dyDescent="0.25">
      <c r="A149" s="103" t="s">
        <v>136</v>
      </c>
      <c r="B149" s="123"/>
      <c r="C149" s="124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5"/>
      <c r="AH149" s="47"/>
      <c r="AI149" s="48"/>
      <c r="AK149" s="50"/>
    </row>
    <row r="150" spans="1:37" x14ac:dyDescent="0.25">
      <c r="A150" s="103" t="s">
        <v>137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5"/>
      <c r="AH150" s="47"/>
      <c r="AI150" s="48"/>
      <c r="AK150" s="50"/>
    </row>
    <row r="151" spans="1:37" x14ac:dyDescent="0.25">
      <c r="A151" s="103" t="s">
        <v>138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5"/>
      <c r="AH151" s="47"/>
      <c r="AI151" s="48"/>
      <c r="AK151" s="50"/>
    </row>
    <row r="152" spans="1:37" x14ac:dyDescent="0.25">
      <c r="A152" s="103" t="s">
        <v>139</v>
      </c>
      <c r="B152" s="123"/>
      <c r="C152" s="124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5"/>
      <c r="AH152" s="47"/>
      <c r="AI152" s="48"/>
      <c r="AK152" s="50"/>
    </row>
    <row r="153" spans="1:37" x14ac:dyDescent="0.25">
      <c r="A153" s="103" t="s">
        <v>140</v>
      </c>
      <c r="B153" s="123"/>
      <c r="C153" s="124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5"/>
      <c r="AH153" s="47"/>
      <c r="AI153" s="48"/>
      <c r="AK153" s="50"/>
    </row>
    <row r="154" spans="1:37" x14ac:dyDescent="0.25">
      <c r="A154" s="103" t="s">
        <v>141</v>
      </c>
      <c r="B154" s="123"/>
      <c r="C154" s="124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5"/>
      <c r="AH154" s="47"/>
      <c r="AI154" s="48"/>
      <c r="AK154" s="50"/>
    </row>
    <row r="155" spans="1:37" x14ac:dyDescent="0.25">
      <c r="A155" s="103" t="s">
        <v>142</v>
      </c>
      <c r="B155" s="126"/>
      <c r="C155" s="127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8">
        <v>9.9</v>
      </c>
      <c r="AH155" s="47"/>
      <c r="AI155" s="48"/>
      <c r="AK155" s="50"/>
    </row>
    <row r="156" spans="1:37" x14ac:dyDescent="0.25">
      <c r="A156" s="116" t="s">
        <v>143</v>
      </c>
      <c r="B156" s="126"/>
      <c r="C156" s="127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9">
        <v>9.6579999999999995</v>
      </c>
      <c r="AH156" s="47"/>
      <c r="AI156" s="48"/>
      <c r="AK156" s="50"/>
    </row>
    <row r="157" spans="1:37" x14ac:dyDescent="0.25">
      <c r="A157" s="116" t="s">
        <v>144</v>
      </c>
      <c r="B157" s="126"/>
      <c r="C157" s="127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9">
        <v>9.6</v>
      </c>
      <c r="AH157" s="47"/>
      <c r="AI157" s="48"/>
      <c r="AK157" s="50"/>
    </row>
    <row r="158" spans="1:37" x14ac:dyDescent="0.25">
      <c r="A158" s="116" t="s">
        <v>145</v>
      </c>
      <c r="B158" s="126"/>
      <c r="C158" s="127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9">
        <v>9.51</v>
      </c>
      <c r="AH158" s="47"/>
      <c r="AI158" s="48"/>
      <c r="AK158" s="50"/>
    </row>
    <row r="159" spans="1:37" x14ac:dyDescent="0.25">
      <c r="A159" s="116" t="s">
        <v>146</v>
      </c>
      <c r="B159" s="126"/>
      <c r="C159" s="127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9">
        <v>9.4</v>
      </c>
      <c r="AH159" s="47"/>
      <c r="AI159" s="48"/>
      <c r="AK159" s="50"/>
    </row>
    <row r="160" spans="1:37" x14ac:dyDescent="0.25">
      <c r="A160" s="116" t="s">
        <v>147</v>
      </c>
      <c r="B160" s="126"/>
      <c r="C160" s="127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9">
        <v>8.8000000000000007</v>
      </c>
      <c r="AH160" s="47"/>
      <c r="AI160" s="48"/>
      <c r="AK160" s="50"/>
    </row>
    <row r="161" spans="1:37" x14ac:dyDescent="0.25">
      <c r="A161" s="116" t="s">
        <v>148</v>
      </c>
      <c r="B161" s="126"/>
      <c r="C161" s="127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9">
        <v>8.5</v>
      </c>
      <c r="AH161" s="47"/>
      <c r="AI161" s="48"/>
      <c r="AK161" s="50"/>
    </row>
    <row r="162" spans="1:37" x14ac:dyDescent="0.25">
      <c r="A162" s="116" t="s">
        <v>149</v>
      </c>
      <c r="B162" s="126"/>
      <c r="C162" s="127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9">
        <v>8.5</v>
      </c>
      <c r="AH162" s="47"/>
      <c r="AI162" s="48"/>
      <c r="AK162" s="50"/>
    </row>
    <row r="163" spans="1:37" x14ac:dyDescent="0.25">
      <c r="A163" s="116" t="s">
        <v>150</v>
      </c>
      <c r="B163" s="126"/>
      <c r="C163" s="127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9">
        <v>8.4</v>
      </c>
      <c r="AH163" s="47"/>
      <c r="AI163" s="48"/>
      <c r="AK163" s="50"/>
    </row>
    <row r="164" spans="1:37" ht="13.5" customHeight="1" x14ac:dyDescent="0.25">
      <c r="A164" s="116" t="s">
        <v>151</v>
      </c>
      <c r="B164" s="126"/>
      <c r="C164" s="127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9">
        <v>8</v>
      </c>
      <c r="AH164" s="47"/>
      <c r="AI164" s="48"/>
      <c r="AK164" s="50"/>
    </row>
    <row r="165" spans="1:37" x14ac:dyDescent="0.25">
      <c r="A165" s="116" t="s">
        <v>152</v>
      </c>
      <c r="B165" s="126"/>
      <c r="C165" s="127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9">
        <v>8</v>
      </c>
      <c r="AH165" s="47"/>
      <c r="AI165" s="48"/>
      <c r="AK165" s="50"/>
    </row>
    <row r="166" spans="1:37" x14ac:dyDescent="0.25">
      <c r="A166" s="116" t="s">
        <v>153</v>
      </c>
      <c r="B166" s="126"/>
      <c r="C166" s="127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9">
        <v>8</v>
      </c>
      <c r="AH166" s="47"/>
      <c r="AI166" s="48"/>
      <c r="AK166" s="50"/>
    </row>
    <row r="167" spans="1:37" x14ac:dyDescent="0.25">
      <c r="A167" s="116" t="s">
        <v>154</v>
      </c>
      <c r="B167" s="126"/>
      <c r="C167" s="127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9">
        <v>7.8</v>
      </c>
      <c r="AH167" s="47"/>
      <c r="AI167" s="48"/>
      <c r="AK167" s="50"/>
    </row>
    <row r="168" spans="1:37" x14ac:dyDescent="0.25">
      <c r="A168" s="116" t="s">
        <v>155</v>
      </c>
      <c r="B168" s="126"/>
      <c r="C168" s="127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9">
        <v>7.6</v>
      </c>
      <c r="AH168" s="47"/>
      <c r="AI168" s="48"/>
      <c r="AK168" s="50"/>
    </row>
    <row r="169" spans="1:37" x14ac:dyDescent="0.25">
      <c r="A169" s="116" t="s">
        <v>156</v>
      </c>
      <c r="B169" s="126"/>
      <c r="C169" s="127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9">
        <v>7.5</v>
      </c>
      <c r="AH169" s="47"/>
      <c r="AI169" s="48"/>
      <c r="AK169" s="50"/>
    </row>
    <row r="170" spans="1:37" x14ac:dyDescent="0.25">
      <c r="A170" s="116" t="s">
        <v>157</v>
      </c>
      <c r="B170" s="126"/>
      <c r="C170" s="127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9">
        <v>7.5</v>
      </c>
      <c r="AH170" s="47"/>
      <c r="AI170" s="48"/>
      <c r="AK170" s="50"/>
    </row>
    <row r="171" spans="1:37" x14ac:dyDescent="0.25">
      <c r="A171" s="116" t="s">
        <v>158</v>
      </c>
      <c r="B171" s="126"/>
      <c r="C171" s="127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9">
        <v>7</v>
      </c>
      <c r="AH171" s="47"/>
      <c r="AI171" s="48"/>
      <c r="AK171" s="50"/>
    </row>
    <row r="172" spans="1:37" x14ac:dyDescent="0.25">
      <c r="A172" s="116" t="s">
        <v>159</v>
      </c>
      <c r="B172" s="126"/>
      <c r="C172" s="127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9">
        <v>7</v>
      </c>
      <c r="AH172" s="47"/>
      <c r="AI172" s="48"/>
      <c r="AK172" s="50"/>
    </row>
    <row r="173" spans="1:37" x14ac:dyDescent="0.25">
      <c r="A173" s="116" t="s">
        <v>160</v>
      </c>
      <c r="B173" s="126"/>
      <c r="C173" s="127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9">
        <v>7</v>
      </c>
      <c r="AH173" s="47"/>
      <c r="AI173" s="48"/>
      <c r="AK173" s="50"/>
    </row>
    <row r="174" spans="1:37" x14ac:dyDescent="0.25">
      <c r="A174" s="116" t="s">
        <v>161</v>
      </c>
      <c r="B174" s="126"/>
      <c r="C174" s="127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9">
        <v>7</v>
      </c>
      <c r="AH174" s="47"/>
      <c r="AI174" s="48"/>
      <c r="AK174" s="50"/>
    </row>
    <row r="175" spans="1:37" x14ac:dyDescent="0.25">
      <c r="A175" s="116" t="s">
        <v>162</v>
      </c>
      <c r="B175" s="126"/>
      <c r="C175" s="127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9">
        <v>6.6</v>
      </c>
      <c r="AH175" s="47"/>
      <c r="AI175" s="48"/>
      <c r="AK175" s="50"/>
    </row>
    <row r="176" spans="1:37" x14ac:dyDescent="0.25">
      <c r="A176" s="116" t="s">
        <v>163</v>
      </c>
      <c r="B176" s="126"/>
      <c r="C176" s="127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9">
        <v>6.6</v>
      </c>
      <c r="AH176" s="47"/>
      <c r="AI176" s="48"/>
      <c r="AK176" s="50"/>
    </row>
    <row r="177" spans="1:37" x14ac:dyDescent="0.25">
      <c r="A177" s="116" t="s">
        <v>164</v>
      </c>
      <c r="B177" s="126"/>
      <c r="C177" s="127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9">
        <v>6.4</v>
      </c>
      <c r="AH177" s="47"/>
      <c r="AI177" s="48"/>
      <c r="AK177" s="50"/>
    </row>
    <row r="178" spans="1:37" x14ac:dyDescent="0.25">
      <c r="A178" s="116" t="s">
        <v>165</v>
      </c>
      <c r="B178" s="126"/>
      <c r="C178" s="127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9">
        <v>6</v>
      </c>
      <c r="AH178" s="47"/>
      <c r="AI178" s="48"/>
      <c r="AK178" s="50"/>
    </row>
    <row r="179" spans="1:37" x14ac:dyDescent="0.25">
      <c r="A179" s="116" t="s">
        <v>166</v>
      </c>
      <c r="B179" s="126"/>
      <c r="C179" s="127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9">
        <v>5.0999999999999996</v>
      </c>
      <c r="AH179" s="47"/>
      <c r="AI179" s="48"/>
      <c r="AK179" s="50"/>
    </row>
    <row r="180" spans="1:37" x14ac:dyDescent="0.25">
      <c r="A180" s="116" t="s">
        <v>167</v>
      </c>
      <c r="B180" s="126"/>
      <c r="C180" s="127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9">
        <v>5</v>
      </c>
      <c r="AH180" s="47"/>
      <c r="AI180" s="48"/>
      <c r="AK180" s="50"/>
    </row>
    <row r="181" spans="1:37" x14ac:dyDescent="0.25">
      <c r="A181" s="103" t="s">
        <v>168</v>
      </c>
      <c r="B181" s="126"/>
      <c r="C181" s="127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8">
        <v>5</v>
      </c>
      <c r="AH181" s="47"/>
      <c r="AI181" s="48"/>
      <c r="AK181" s="50"/>
    </row>
    <row r="182" spans="1:37" x14ac:dyDescent="0.25">
      <c r="A182" s="116" t="s">
        <v>169</v>
      </c>
      <c r="B182" s="126"/>
      <c r="C182" s="127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9">
        <v>5</v>
      </c>
      <c r="AH182" s="47"/>
      <c r="AI182" s="48"/>
      <c r="AK182" s="50"/>
    </row>
    <row r="183" spans="1:37" x14ac:dyDescent="0.25">
      <c r="A183" s="116" t="s">
        <v>170</v>
      </c>
      <c r="B183" s="126"/>
      <c r="C183" s="127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9">
        <v>5</v>
      </c>
      <c r="AH183" s="47"/>
      <c r="AI183" s="48"/>
      <c r="AK183" s="50"/>
    </row>
    <row r="184" spans="1:37" x14ac:dyDescent="0.25">
      <c r="A184" s="116" t="s">
        <v>171</v>
      </c>
      <c r="B184" s="126"/>
      <c r="C184" s="127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9">
        <v>5</v>
      </c>
      <c r="AH184" s="47"/>
      <c r="AI184" s="48"/>
      <c r="AK184" s="50"/>
    </row>
    <row r="185" spans="1:37" x14ac:dyDescent="0.25">
      <c r="A185" s="116" t="s">
        <v>172</v>
      </c>
      <c r="B185" s="126"/>
      <c r="C185" s="127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9">
        <v>5</v>
      </c>
      <c r="AH185" s="47"/>
      <c r="AI185" s="48"/>
      <c r="AK185" s="50"/>
    </row>
    <row r="186" spans="1:37" x14ac:dyDescent="0.25">
      <c r="A186" s="116" t="s">
        <v>173</v>
      </c>
      <c r="B186" s="126"/>
      <c r="C186" s="127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9">
        <v>5</v>
      </c>
      <c r="AH186" s="47"/>
      <c r="AI186" s="48"/>
      <c r="AK186" s="50"/>
    </row>
    <row r="187" spans="1:37" x14ac:dyDescent="0.25">
      <c r="A187" s="116" t="s">
        <v>174</v>
      </c>
      <c r="B187" s="126"/>
      <c r="C187" s="127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9">
        <v>4.9930000000000003</v>
      </c>
      <c r="AH187" s="47"/>
      <c r="AI187" s="48"/>
      <c r="AK187" s="50"/>
    </row>
    <row r="188" spans="1:37" x14ac:dyDescent="0.25">
      <c r="A188" s="116" t="s">
        <v>175</v>
      </c>
      <c r="B188" s="126"/>
      <c r="C188" s="127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9">
        <v>4.9800000000000004</v>
      </c>
      <c r="AH188" s="47"/>
      <c r="AI188" s="48"/>
      <c r="AK188" s="50"/>
    </row>
    <row r="189" spans="1:37" x14ac:dyDescent="0.25">
      <c r="A189" s="116" t="s">
        <v>176</v>
      </c>
      <c r="B189" s="126"/>
      <c r="C189" s="127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9">
        <v>4.95</v>
      </c>
      <c r="AH189" s="47"/>
      <c r="AI189" s="48"/>
      <c r="AK189" s="50"/>
    </row>
    <row r="190" spans="1:37" x14ac:dyDescent="0.25">
      <c r="A190" s="116" t="s">
        <v>177</v>
      </c>
      <c r="B190" s="126"/>
      <c r="C190" s="127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9">
        <v>4.95</v>
      </c>
      <c r="AH190" s="47"/>
      <c r="AI190" s="48"/>
      <c r="AK190" s="50"/>
    </row>
    <row r="191" spans="1:37" x14ac:dyDescent="0.25">
      <c r="A191" s="116" t="s">
        <v>178</v>
      </c>
      <c r="B191" s="126"/>
      <c r="C191" s="127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9">
        <v>4.8</v>
      </c>
      <c r="AH191" s="47"/>
      <c r="AI191" s="48"/>
      <c r="AK191" s="50"/>
    </row>
    <row r="192" spans="1:37" x14ac:dyDescent="0.25">
      <c r="A192" s="116" t="s">
        <v>179</v>
      </c>
      <c r="B192" s="126"/>
      <c r="C192" s="127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9">
        <v>4.8</v>
      </c>
      <c r="AH192" s="47"/>
      <c r="AI192" s="48"/>
      <c r="AK192" s="50"/>
    </row>
    <row r="193" spans="1:37" x14ac:dyDescent="0.25">
      <c r="A193" s="116" t="s">
        <v>180</v>
      </c>
      <c r="B193" s="126"/>
      <c r="C193" s="127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9">
        <v>4.8</v>
      </c>
      <c r="AH193" s="47"/>
      <c r="AI193" s="48"/>
      <c r="AK193" s="50"/>
    </row>
    <row r="194" spans="1:37" x14ac:dyDescent="0.25">
      <c r="A194" s="116" t="s">
        <v>181</v>
      </c>
      <c r="B194" s="126"/>
      <c r="C194" s="127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9">
        <v>4.5</v>
      </c>
      <c r="AH194" s="47"/>
      <c r="AI194" s="48"/>
      <c r="AK194" s="50"/>
    </row>
    <row r="195" spans="1:37" x14ac:dyDescent="0.25">
      <c r="A195" s="116" t="s">
        <v>182</v>
      </c>
      <c r="B195" s="126"/>
      <c r="C195" s="127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9">
        <v>4.5</v>
      </c>
      <c r="AH195" s="47"/>
      <c r="AI195" s="48"/>
      <c r="AK195" s="50"/>
    </row>
    <row r="196" spans="1:37" x14ac:dyDescent="0.25">
      <c r="A196" s="116" t="s">
        <v>183</v>
      </c>
      <c r="B196" s="126"/>
      <c r="C196" s="127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9">
        <v>4.4550000000000001</v>
      </c>
      <c r="AH196" s="47"/>
      <c r="AI196" s="48"/>
      <c r="AK196" s="50"/>
    </row>
    <row r="197" spans="1:37" x14ac:dyDescent="0.25">
      <c r="A197" s="116" t="s">
        <v>184</v>
      </c>
      <c r="B197" s="126"/>
      <c r="C197" s="127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9">
        <v>4.41</v>
      </c>
      <c r="AH197" s="47"/>
      <c r="AI197" s="48"/>
      <c r="AK197" s="50"/>
    </row>
    <row r="198" spans="1:37" x14ac:dyDescent="0.25">
      <c r="A198" s="116" t="s">
        <v>185</v>
      </c>
      <c r="B198" s="126"/>
      <c r="C198" s="127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9">
        <v>4.4000000000000004</v>
      </c>
      <c r="AH198" s="47"/>
      <c r="AI198" s="48"/>
      <c r="AK198" s="50"/>
    </row>
    <row r="199" spans="1:37" x14ac:dyDescent="0.25">
      <c r="A199" s="116" t="s">
        <v>186</v>
      </c>
      <c r="B199" s="126"/>
      <c r="C199" s="127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9">
        <v>4.3600000000000003</v>
      </c>
      <c r="AH199" s="47"/>
      <c r="AI199" s="48"/>
      <c r="AK199" s="50"/>
    </row>
    <row r="200" spans="1:37" x14ac:dyDescent="0.25">
      <c r="A200" s="116" t="s">
        <v>187</v>
      </c>
      <c r="B200" s="126"/>
      <c r="C200" s="127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9">
        <v>4.2</v>
      </c>
      <c r="AH200" s="47"/>
      <c r="AI200" s="48"/>
      <c r="AK200" s="50"/>
    </row>
    <row r="201" spans="1:37" x14ac:dyDescent="0.25">
      <c r="A201" s="116" t="s">
        <v>188</v>
      </c>
      <c r="B201" s="126"/>
      <c r="C201" s="127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9">
        <v>4</v>
      </c>
      <c r="AH201" s="47"/>
      <c r="AI201" s="48"/>
      <c r="AK201" s="50"/>
    </row>
    <row r="202" spans="1:37" x14ac:dyDescent="0.25">
      <c r="A202" s="116" t="s">
        <v>189</v>
      </c>
      <c r="B202" s="126"/>
      <c r="C202" s="127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9">
        <v>4</v>
      </c>
      <c r="AH202" s="47"/>
      <c r="AI202" s="48"/>
      <c r="AK202" s="50"/>
    </row>
    <row r="203" spans="1:37" x14ac:dyDescent="0.25">
      <c r="A203" s="116" t="s">
        <v>190</v>
      </c>
      <c r="B203" s="126"/>
      <c r="C203" s="127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9">
        <v>4</v>
      </c>
      <c r="AH203" s="47"/>
      <c r="AI203" s="48"/>
      <c r="AK203" s="50"/>
    </row>
    <row r="204" spans="1:37" x14ac:dyDescent="0.25">
      <c r="A204" s="116" t="s">
        <v>191</v>
      </c>
      <c r="B204" s="126"/>
      <c r="C204" s="127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9">
        <v>4</v>
      </c>
      <c r="AH204" s="47"/>
      <c r="AI204" s="48"/>
      <c r="AK204" s="50"/>
    </row>
    <row r="205" spans="1:37" x14ac:dyDescent="0.25">
      <c r="A205" s="116" t="s">
        <v>192</v>
      </c>
      <c r="B205" s="126"/>
      <c r="C205" s="127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9">
        <v>4</v>
      </c>
      <c r="AH205" s="47"/>
      <c r="AI205" s="48"/>
      <c r="AK205" s="50"/>
    </row>
    <row r="206" spans="1:37" x14ac:dyDescent="0.25">
      <c r="A206" s="116" t="s">
        <v>193</v>
      </c>
      <c r="B206" s="126"/>
      <c r="C206" s="127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9">
        <v>4</v>
      </c>
      <c r="AH206" s="47"/>
      <c r="AI206" s="48"/>
      <c r="AK206" s="50"/>
    </row>
    <row r="207" spans="1:37" x14ac:dyDescent="0.25">
      <c r="A207" s="116" t="s">
        <v>194</v>
      </c>
      <c r="B207" s="126"/>
      <c r="C207" s="127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9">
        <v>4</v>
      </c>
      <c r="AH207" s="47"/>
      <c r="AI207" s="48"/>
      <c r="AK207" s="50"/>
    </row>
    <row r="208" spans="1:37" x14ac:dyDescent="0.25">
      <c r="A208" s="116" t="s">
        <v>195</v>
      </c>
      <c r="B208" s="126"/>
      <c r="C208" s="127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9">
        <v>4</v>
      </c>
      <c r="AH208" s="47"/>
      <c r="AI208" s="48"/>
      <c r="AK208" s="50"/>
    </row>
    <row r="209" spans="1:37" x14ac:dyDescent="0.25">
      <c r="A209" s="116" t="s">
        <v>196</v>
      </c>
      <c r="B209" s="126"/>
      <c r="C209" s="127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9">
        <v>3.75</v>
      </c>
      <c r="AH209" s="47"/>
      <c r="AI209" s="48"/>
      <c r="AK209" s="50"/>
    </row>
    <row r="210" spans="1:37" x14ac:dyDescent="0.25">
      <c r="A210" s="116" t="s">
        <v>197</v>
      </c>
      <c r="B210" s="126"/>
      <c r="C210" s="127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9">
        <v>3.52</v>
      </c>
      <c r="AH210" s="47"/>
      <c r="AI210" s="48"/>
      <c r="AK210" s="50"/>
    </row>
    <row r="211" spans="1:37" x14ac:dyDescent="0.25">
      <c r="A211" s="116" t="s">
        <v>198</v>
      </c>
      <c r="B211" s="126"/>
      <c r="C211" s="127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9">
        <v>3.33</v>
      </c>
      <c r="AH211" s="47"/>
      <c r="AI211" s="48"/>
      <c r="AK211" s="50"/>
    </row>
    <row r="212" spans="1:37" x14ac:dyDescent="0.25">
      <c r="A212" s="116" t="s">
        <v>199</v>
      </c>
      <c r="B212" s="126"/>
      <c r="C212" s="127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9">
        <v>3.2</v>
      </c>
      <c r="AH212" s="47"/>
      <c r="AI212" s="48"/>
      <c r="AK212" s="50"/>
    </row>
    <row r="213" spans="1:37" x14ac:dyDescent="0.25">
      <c r="A213" s="116" t="s">
        <v>200</v>
      </c>
      <c r="B213" s="126"/>
      <c r="C213" s="127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9">
        <v>3</v>
      </c>
      <c r="AH213" s="47"/>
      <c r="AI213" s="48"/>
      <c r="AK213" s="50"/>
    </row>
    <row r="214" spans="1:37" x14ac:dyDescent="0.25">
      <c r="A214" s="116" t="s">
        <v>201</v>
      </c>
      <c r="B214" s="126"/>
      <c r="C214" s="127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9">
        <v>3</v>
      </c>
      <c r="AH214" s="47"/>
      <c r="AI214" s="48"/>
      <c r="AK214" s="50"/>
    </row>
    <row r="215" spans="1:37" x14ac:dyDescent="0.25">
      <c r="A215" s="116" t="s">
        <v>202</v>
      </c>
      <c r="B215" s="126"/>
      <c r="C215" s="127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9">
        <v>3</v>
      </c>
      <c r="AH215" s="47"/>
      <c r="AI215" s="48"/>
      <c r="AK215" s="50"/>
    </row>
    <row r="216" spans="1:37" x14ac:dyDescent="0.25">
      <c r="A216" s="116" t="s">
        <v>203</v>
      </c>
      <c r="B216" s="126"/>
      <c r="C216" s="127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9">
        <v>3</v>
      </c>
      <c r="AH216" s="47"/>
      <c r="AI216" s="48"/>
      <c r="AK216" s="50"/>
    </row>
    <row r="217" spans="1:37" x14ac:dyDescent="0.25">
      <c r="A217" s="116" t="s">
        <v>204</v>
      </c>
      <c r="B217" s="126"/>
      <c r="C217" s="127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9">
        <v>3</v>
      </c>
      <c r="AH217" s="47"/>
      <c r="AI217" s="48"/>
      <c r="AK217" s="50"/>
    </row>
    <row r="218" spans="1:37" x14ac:dyDescent="0.25">
      <c r="A218" s="116" t="s">
        <v>205</v>
      </c>
      <c r="B218" s="126"/>
      <c r="C218" s="127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9">
        <v>3</v>
      </c>
      <c r="AH218" s="47"/>
      <c r="AI218" s="48"/>
      <c r="AK218" s="50"/>
    </row>
    <row r="219" spans="1:37" x14ac:dyDescent="0.25">
      <c r="A219" s="116" t="s">
        <v>206</v>
      </c>
      <c r="B219" s="126"/>
      <c r="C219" s="127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9">
        <v>3</v>
      </c>
      <c r="AH219" s="47"/>
      <c r="AI219" s="48"/>
      <c r="AK219" s="50"/>
    </row>
    <row r="220" spans="1:37" x14ac:dyDescent="0.25">
      <c r="A220" s="116" t="s">
        <v>207</v>
      </c>
      <c r="B220" s="126"/>
      <c r="C220" s="127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9">
        <v>3</v>
      </c>
      <c r="AH220" s="47"/>
      <c r="AI220" s="48"/>
      <c r="AK220" s="50"/>
    </row>
    <row r="221" spans="1:37" x14ac:dyDescent="0.25">
      <c r="A221" s="116" t="s">
        <v>208</v>
      </c>
      <c r="B221" s="126"/>
      <c r="C221" s="127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9">
        <v>2.83</v>
      </c>
      <c r="AH221" s="47"/>
      <c r="AI221" s="48"/>
      <c r="AK221" s="50"/>
    </row>
    <row r="222" spans="1:37" x14ac:dyDescent="0.25">
      <c r="A222" s="116" t="s">
        <v>209</v>
      </c>
      <c r="B222" s="126"/>
      <c r="C222" s="127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9">
        <v>2.5</v>
      </c>
      <c r="AH222" s="47"/>
      <c r="AI222" s="48"/>
      <c r="AK222" s="50"/>
    </row>
    <row r="223" spans="1:37" x14ac:dyDescent="0.25">
      <c r="A223" s="116" t="s">
        <v>210</v>
      </c>
      <c r="B223" s="126"/>
      <c r="C223" s="127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9">
        <v>2.5</v>
      </c>
      <c r="AH223" s="47"/>
      <c r="AI223" s="48"/>
      <c r="AK223" s="50"/>
    </row>
    <row r="224" spans="1:37" x14ac:dyDescent="0.25">
      <c r="A224" s="116" t="s">
        <v>211</v>
      </c>
      <c r="B224" s="126"/>
      <c r="C224" s="127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9">
        <v>2.4</v>
      </c>
      <c r="AH224" s="47"/>
      <c r="AI224" s="48"/>
      <c r="AK224" s="50"/>
    </row>
    <row r="225" spans="1:37" x14ac:dyDescent="0.25">
      <c r="A225" s="116" t="s">
        <v>212</v>
      </c>
      <c r="B225" s="126"/>
      <c r="C225" s="127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9">
        <v>2.4</v>
      </c>
      <c r="AH225" s="47"/>
      <c r="AI225" s="48"/>
      <c r="AK225" s="50"/>
    </row>
    <row r="226" spans="1:37" x14ac:dyDescent="0.25">
      <c r="A226" s="116" t="s">
        <v>213</v>
      </c>
      <c r="B226" s="126"/>
      <c r="C226" s="127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9">
        <v>2.2000000000000002</v>
      </c>
      <c r="AH226" s="47"/>
      <c r="AI226" s="48"/>
      <c r="AK226" s="50"/>
    </row>
    <row r="227" spans="1:37" x14ac:dyDescent="0.25">
      <c r="A227" s="116" t="s">
        <v>214</v>
      </c>
      <c r="B227" s="126"/>
      <c r="C227" s="127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9">
        <v>2</v>
      </c>
      <c r="AH227" s="47"/>
      <c r="AI227" s="48"/>
      <c r="AK227" s="50"/>
    </row>
    <row r="228" spans="1:37" x14ac:dyDescent="0.25">
      <c r="A228" s="116" t="s">
        <v>215</v>
      </c>
      <c r="B228" s="126"/>
      <c r="C228" s="127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9">
        <v>2</v>
      </c>
      <c r="AH228" s="47"/>
      <c r="AI228" s="48"/>
      <c r="AK228" s="50"/>
    </row>
    <row r="229" spans="1:37" x14ac:dyDescent="0.25">
      <c r="A229" s="116" t="s">
        <v>216</v>
      </c>
      <c r="B229" s="126"/>
      <c r="C229" s="127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9">
        <v>2</v>
      </c>
      <c r="AH229" s="47"/>
      <c r="AI229" s="48"/>
      <c r="AK229" s="50"/>
    </row>
    <row r="230" spans="1:37" x14ac:dyDescent="0.25">
      <c r="A230" s="116" t="s">
        <v>217</v>
      </c>
      <c r="B230" s="126"/>
      <c r="C230" s="127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9">
        <v>1.8</v>
      </c>
      <c r="AH230" s="47"/>
      <c r="AI230" s="48"/>
      <c r="AK230" s="50"/>
    </row>
    <row r="231" spans="1:37" x14ac:dyDescent="0.25">
      <c r="A231" s="116" t="s">
        <v>218</v>
      </c>
      <c r="B231" s="126"/>
      <c r="C231" s="127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9">
        <v>1.8</v>
      </c>
      <c r="AH231" s="47"/>
      <c r="AI231" s="48"/>
      <c r="AK231" s="50"/>
    </row>
    <row r="232" spans="1:37" x14ac:dyDescent="0.25">
      <c r="A232" s="116" t="s">
        <v>219</v>
      </c>
      <c r="B232" s="126"/>
      <c r="C232" s="127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9">
        <v>1.65</v>
      </c>
      <c r="AH232" s="47"/>
      <c r="AI232" s="48"/>
      <c r="AK232" s="50"/>
    </row>
    <row r="233" spans="1:37" x14ac:dyDescent="0.25">
      <c r="A233" s="116" t="s">
        <v>220</v>
      </c>
      <c r="B233" s="126"/>
      <c r="C233" s="127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9">
        <v>1.5</v>
      </c>
      <c r="AH233" s="47"/>
      <c r="AI233" s="48"/>
      <c r="AK233" s="50"/>
    </row>
    <row r="234" spans="1:37" x14ac:dyDescent="0.25">
      <c r="A234" s="116" t="s">
        <v>221</v>
      </c>
      <c r="B234" s="126"/>
      <c r="C234" s="127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9">
        <v>0.998</v>
      </c>
      <c r="AH234" s="47"/>
      <c r="AI234" s="48"/>
      <c r="AK234" s="50"/>
    </row>
    <row r="235" spans="1:37" x14ac:dyDescent="0.25">
      <c r="A235" s="116" t="s">
        <v>222</v>
      </c>
      <c r="B235" s="126"/>
      <c r="C235" s="127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9">
        <v>0.997</v>
      </c>
      <c r="AH235" s="47"/>
      <c r="AI235" s="48"/>
      <c r="AK235" s="50"/>
    </row>
    <row r="236" spans="1:37" x14ac:dyDescent="0.25">
      <c r="A236" s="116" t="s">
        <v>223</v>
      </c>
      <c r="B236" s="126"/>
      <c r="C236" s="127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9">
        <v>0.997</v>
      </c>
      <c r="AH236" s="47"/>
      <c r="AI236" s="48"/>
      <c r="AK236" s="50"/>
    </row>
    <row r="237" spans="1:37" x14ac:dyDescent="0.25">
      <c r="A237" s="116" t="s">
        <v>224</v>
      </c>
      <c r="B237" s="126"/>
      <c r="C237" s="127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9">
        <v>0.996</v>
      </c>
      <c r="AH237" s="47"/>
      <c r="AI237" s="48"/>
      <c r="AK237" s="50"/>
    </row>
    <row r="238" spans="1:37" x14ac:dyDescent="0.25">
      <c r="A238" s="116" t="s">
        <v>225</v>
      </c>
      <c r="B238" s="126"/>
      <c r="C238" s="127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9">
        <v>0.996</v>
      </c>
      <c r="AH238" s="47"/>
      <c r="AI238" s="48"/>
      <c r="AK238" s="50"/>
    </row>
    <row r="239" spans="1:37" x14ac:dyDescent="0.25">
      <c r="A239" s="116" t="s">
        <v>226</v>
      </c>
      <c r="B239" s="126"/>
      <c r="C239" s="127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9">
        <v>0.996</v>
      </c>
      <c r="AH239" s="47"/>
      <c r="AI239" s="48"/>
      <c r="AK239" s="50"/>
    </row>
    <row r="240" spans="1:37" x14ac:dyDescent="0.25">
      <c r="A240" s="116" t="s">
        <v>227</v>
      </c>
      <c r="B240" s="126"/>
      <c r="C240" s="127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9">
        <v>0.995</v>
      </c>
      <c r="AH240" s="47"/>
      <c r="AI240" s="48"/>
      <c r="AK240" s="50"/>
    </row>
    <row r="241" spans="1:37" x14ac:dyDescent="0.25">
      <c r="A241" s="116" t="s">
        <v>228</v>
      </c>
      <c r="B241" s="126"/>
      <c r="C241" s="127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9">
        <v>0.99299999999999999</v>
      </c>
      <c r="AH241" s="47"/>
      <c r="AI241" s="48"/>
      <c r="AK241" s="50"/>
    </row>
    <row r="242" spans="1:37" x14ac:dyDescent="0.25">
      <c r="A242" s="116" t="s">
        <v>229</v>
      </c>
      <c r="B242" s="126"/>
      <c r="C242" s="124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9">
        <v>0.99</v>
      </c>
      <c r="AH242" s="47"/>
      <c r="AI242" s="48"/>
      <c r="AK242" s="50"/>
    </row>
    <row r="243" spans="1:37" ht="15.75" thickBot="1" x14ac:dyDescent="0.3">
      <c r="A243" s="116" t="s">
        <v>230</v>
      </c>
      <c r="B243" s="130"/>
      <c r="C243" s="131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29">
        <v>0.97899999999999998</v>
      </c>
      <c r="AH243" s="47"/>
      <c r="AI243" s="48"/>
      <c r="AK243" s="50"/>
    </row>
    <row r="244" spans="1:37" ht="15.75" thickBot="1" x14ac:dyDescent="0.3">
      <c r="A244" s="132" t="s">
        <v>231</v>
      </c>
      <c r="B244" s="133">
        <f t="shared" ref="B244:AG244" si="118">SUM(B139:B243)</f>
        <v>0</v>
      </c>
      <c r="C244" s="134">
        <f t="shared" si="118"/>
        <v>0</v>
      </c>
      <c r="D244" s="134">
        <f t="shared" si="118"/>
        <v>0</v>
      </c>
      <c r="E244" s="134">
        <f t="shared" si="118"/>
        <v>0</v>
      </c>
      <c r="F244" s="134">
        <f t="shared" si="118"/>
        <v>0</v>
      </c>
      <c r="G244" s="134">
        <f t="shared" si="118"/>
        <v>0</v>
      </c>
      <c r="H244" s="134">
        <f t="shared" si="118"/>
        <v>0</v>
      </c>
      <c r="I244" s="134">
        <f t="shared" si="118"/>
        <v>0</v>
      </c>
      <c r="J244" s="134">
        <f t="shared" si="118"/>
        <v>0</v>
      </c>
      <c r="K244" s="134">
        <f t="shared" si="118"/>
        <v>0</v>
      </c>
      <c r="L244" s="134">
        <f t="shared" si="118"/>
        <v>0</v>
      </c>
      <c r="M244" s="134">
        <f t="shared" si="118"/>
        <v>0</v>
      </c>
      <c r="N244" s="134">
        <f t="shared" si="118"/>
        <v>0</v>
      </c>
      <c r="O244" s="134">
        <f t="shared" si="118"/>
        <v>0</v>
      </c>
      <c r="P244" s="134">
        <f t="shared" si="118"/>
        <v>0</v>
      </c>
      <c r="Q244" s="134">
        <f t="shared" si="118"/>
        <v>0</v>
      </c>
      <c r="R244" s="134">
        <f t="shared" si="118"/>
        <v>0</v>
      </c>
      <c r="S244" s="134">
        <f t="shared" si="118"/>
        <v>0</v>
      </c>
      <c r="T244" s="134">
        <f t="shared" si="118"/>
        <v>0.16506189821182943</v>
      </c>
      <c r="U244" s="134">
        <f t="shared" si="118"/>
        <v>0</v>
      </c>
      <c r="V244" s="134">
        <f t="shared" si="118"/>
        <v>0</v>
      </c>
      <c r="W244" s="134">
        <f t="shared" si="118"/>
        <v>0</v>
      </c>
      <c r="X244" s="134">
        <f t="shared" si="118"/>
        <v>0</v>
      </c>
      <c r="Y244" s="134">
        <f t="shared" si="118"/>
        <v>0</v>
      </c>
      <c r="Z244" s="134">
        <f t="shared" si="118"/>
        <v>0</v>
      </c>
      <c r="AA244" s="134">
        <f t="shared" si="118"/>
        <v>0</v>
      </c>
      <c r="AB244" s="134">
        <f t="shared" si="118"/>
        <v>0</v>
      </c>
      <c r="AC244" s="134">
        <f t="shared" si="118"/>
        <v>0</v>
      </c>
      <c r="AD244" s="134">
        <f t="shared" si="118"/>
        <v>0</v>
      </c>
      <c r="AE244" s="134">
        <f t="shared" si="118"/>
        <v>0</v>
      </c>
      <c r="AF244" s="135">
        <f t="shared" si="118"/>
        <v>0</v>
      </c>
      <c r="AG244" s="136">
        <f t="shared" si="118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19"/>
      <c r="AH245" s="47"/>
      <c r="AI245" s="48"/>
      <c r="AK245" s="50"/>
    </row>
    <row r="246" spans="1:37" x14ac:dyDescent="0.25">
      <c r="A246" s="100" t="s">
        <v>232</v>
      </c>
      <c r="B246" s="138">
        <f t="shared" ref="B246:B251" si="119">AF246</f>
        <v>0.3</v>
      </c>
      <c r="C246" s="138">
        <v>0.3</v>
      </c>
      <c r="D246" s="138">
        <f t="shared" ref="D246:S251" si="120">C246</f>
        <v>0.3</v>
      </c>
      <c r="E246" s="138">
        <f t="shared" si="120"/>
        <v>0.3</v>
      </c>
      <c r="F246" s="138">
        <f t="shared" si="120"/>
        <v>0.3</v>
      </c>
      <c r="G246" s="138">
        <f t="shared" si="120"/>
        <v>0.3</v>
      </c>
      <c r="H246" s="138">
        <f t="shared" si="120"/>
        <v>0.3</v>
      </c>
      <c r="I246" s="138">
        <f t="shared" si="120"/>
        <v>0.3</v>
      </c>
      <c r="J246" s="138">
        <f t="shared" si="120"/>
        <v>0.3</v>
      </c>
      <c r="K246" s="138">
        <f t="shared" si="120"/>
        <v>0.3</v>
      </c>
      <c r="L246" s="138">
        <f t="shared" si="120"/>
        <v>0.3</v>
      </c>
      <c r="M246" s="138">
        <f t="shared" si="120"/>
        <v>0.3</v>
      </c>
      <c r="N246" s="138">
        <f t="shared" si="120"/>
        <v>0.3</v>
      </c>
      <c r="O246" s="138">
        <f t="shared" si="120"/>
        <v>0.3</v>
      </c>
      <c r="P246" s="138">
        <f t="shared" si="120"/>
        <v>0.3</v>
      </c>
      <c r="Q246" s="138">
        <f t="shared" si="120"/>
        <v>0.3</v>
      </c>
      <c r="R246" s="138">
        <f t="shared" si="120"/>
        <v>0.3</v>
      </c>
      <c r="S246" s="138">
        <f t="shared" si="120"/>
        <v>0.3</v>
      </c>
      <c r="T246" s="138">
        <f t="shared" ref="T246:AF251" si="121">S246</f>
        <v>0.3</v>
      </c>
      <c r="U246" s="138">
        <f t="shared" si="121"/>
        <v>0.3</v>
      </c>
      <c r="V246" s="138">
        <f t="shared" si="121"/>
        <v>0.3</v>
      </c>
      <c r="W246" s="138">
        <f t="shared" si="121"/>
        <v>0.3</v>
      </c>
      <c r="X246" s="138">
        <f t="shared" si="121"/>
        <v>0.3</v>
      </c>
      <c r="Y246" s="138">
        <f t="shared" si="121"/>
        <v>0.3</v>
      </c>
      <c r="Z246" s="138">
        <f t="shared" si="121"/>
        <v>0.3</v>
      </c>
      <c r="AA246" s="138">
        <f t="shared" si="121"/>
        <v>0.3</v>
      </c>
      <c r="AB246" s="138">
        <f t="shared" si="121"/>
        <v>0.3</v>
      </c>
      <c r="AC246" s="138">
        <f t="shared" si="121"/>
        <v>0.3</v>
      </c>
      <c r="AD246" s="138">
        <f t="shared" si="121"/>
        <v>0.3</v>
      </c>
      <c r="AE246" s="138">
        <f t="shared" si="121"/>
        <v>0.3</v>
      </c>
      <c r="AF246" s="138">
        <f t="shared" si="121"/>
        <v>0.3</v>
      </c>
      <c r="AG246" s="139">
        <v>2.4</v>
      </c>
      <c r="AH246" s="47"/>
      <c r="AI246" s="48"/>
      <c r="AK246" s="50"/>
    </row>
    <row r="247" spans="1:37" x14ac:dyDescent="0.25">
      <c r="A247" s="103" t="s">
        <v>233</v>
      </c>
      <c r="B247" s="126">
        <f t="shared" si="119"/>
        <v>0.4</v>
      </c>
      <c r="C247" s="126">
        <v>0.4</v>
      </c>
      <c r="D247" s="126">
        <f t="shared" si="120"/>
        <v>0.4</v>
      </c>
      <c r="E247" s="126">
        <f t="shared" si="120"/>
        <v>0.4</v>
      </c>
      <c r="F247" s="126">
        <f t="shared" si="120"/>
        <v>0.4</v>
      </c>
      <c r="G247" s="126">
        <f t="shared" si="120"/>
        <v>0.4</v>
      </c>
      <c r="H247" s="126">
        <f t="shared" si="120"/>
        <v>0.4</v>
      </c>
      <c r="I247" s="126">
        <f t="shared" si="120"/>
        <v>0.4</v>
      </c>
      <c r="J247" s="126">
        <f t="shared" si="120"/>
        <v>0.4</v>
      </c>
      <c r="K247" s="126">
        <f t="shared" si="120"/>
        <v>0.4</v>
      </c>
      <c r="L247" s="126">
        <f t="shared" si="120"/>
        <v>0.4</v>
      </c>
      <c r="M247" s="126">
        <f t="shared" si="120"/>
        <v>0.4</v>
      </c>
      <c r="N247" s="126">
        <f t="shared" si="120"/>
        <v>0.4</v>
      </c>
      <c r="O247" s="126">
        <f t="shared" si="120"/>
        <v>0.4</v>
      </c>
      <c r="P247" s="126">
        <f t="shared" si="120"/>
        <v>0.4</v>
      </c>
      <c r="Q247" s="126">
        <f t="shared" si="120"/>
        <v>0.4</v>
      </c>
      <c r="R247" s="126">
        <f t="shared" si="120"/>
        <v>0.4</v>
      </c>
      <c r="S247" s="126">
        <f t="shared" si="120"/>
        <v>0.4</v>
      </c>
      <c r="T247" s="126">
        <f t="shared" si="121"/>
        <v>0.4</v>
      </c>
      <c r="U247" s="126">
        <f t="shared" si="121"/>
        <v>0.4</v>
      </c>
      <c r="V247" s="126">
        <f t="shared" si="121"/>
        <v>0.4</v>
      </c>
      <c r="W247" s="126">
        <f t="shared" si="121"/>
        <v>0.4</v>
      </c>
      <c r="X247" s="126">
        <f t="shared" si="121"/>
        <v>0.4</v>
      </c>
      <c r="Y247" s="126">
        <f t="shared" si="121"/>
        <v>0.4</v>
      </c>
      <c r="Z247" s="126">
        <f t="shared" si="121"/>
        <v>0.4</v>
      </c>
      <c r="AA247" s="126">
        <f t="shared" si="121"/>
        <v>0.4</v>
      </c>
      <c r="AB247" s="126">
        <f t="shared" si="121"/>
        <v>0.4</v>
      </c>
      <c r="AC247" s="126">
        <f t="shared" si="121"/>
        <v>0.4</v>
      </c>
      <c r="AD247" s="126">
        <f t="shared" si="121"/>
        <v>0.4</v>
      </c>
      <c r="AE247" s="126">
        <f t="shared" si="121"/>
        <v>0.4</v>
      </c>
      <c r="AF247" s="126">
        <f t="shared" si="121"/>
        <v>0.4</v>
      </c>
      <c r="AG247" s="140">
        <v>2</v>
      </c>
      <c r="AH247" s="47"/>
      <c r="AI247" s="48"/>
      <c r="AK247" s="50"/>
    </row>
    <row r="248" spans="1:37" x14ac:dyDescent="0.25">
      <c r="A248" s="103" t="s">
        <v>234</v>
      </c>
      <c r="B248" s="126">
        <f t="shared" si="119"/>
        <v>1.5</v>
      </c>
      <c r="C248" s="126">
        <v>1.5</v>
      </c>
      <c r="D248" s="126">
        <f t="shared" si="120"/>
        <v>1.5</v>
      </c>
      <c r="E248" s="126">
        <f t="shared" si="120"/>
        <v>1.5</v>
      </c>
      <c r="F248" s="126">
        <f t="shared" si="120"/>
        <v>1.5</v>
      </c>
      <c r="G248" s="126">
        <f t="shared" si="120"/>
        <v>1.5</v>
      </c>
      <c r="H248" s="126">
        <f t="shared" si="120"/>
        <v>1.5</v>
      </c>
      <c r="I248" s="126">
        <f t="shared" si="120"/>
        <v>1.5</v>
      </c>
      <c r="J248" s="126">
        <f t="shared" si="120"/>
        <v>1.5</v>
      </c>
      <c r="K248" s="126">
        <f t="shared" si="120"/>
        <v>1.5</v>
      </c>
      <c r="L248" s="126">
        <f t="shared" si="120"/>
        <v>1.5</v>
      </c>
      <c r="M248" s="126">
        <f t="shared" si="120"/>
        <v>1.5</v>
      </c>
      <c r="N248" s="126">
        <f t="shared" si="120"/>
        <v>1.5</v>
      </c>
      <c r="O248" s="126">
        <f t="shared" si="120"/>
        <v>1.5</v>
      </c>
      <c r="P248" s="126">
        <f t="shared" si="120"/>
        <v>1.5</v>
      </c>
      <c r="Q248" s="126">
        <f t="shared" si="120"/>
        <v>1.5</v>
      </c>
      <c r="R248" s="126">
        <f t="shared" si="120"/>
        <v>1.5</v>
      </c>
      <c r="S248" s="126">
        <f t="shared" si="120"/>
        <v>1.5</v>
      </c>
      <c r="T248" s="126">
        <f t="shared" si="121"/>
        <v>1.5</v>
      </c>
      <c r="U248" s="126">
        <f t="shared" si="121"/>
        <v>1.5</v>
      </c>
      <c r="V248" s="126">
        <f t="shared" si="121"/>
        <v>1.5</v>
      </c>
      <c r="W248" s="126">
        <f t="shared" si="121"/>
        <v>1.5</v>
      </c>
      <c r="X248" s="126">
        <f t="shared" si="121"/>
        <v>1.5</v>
      </c>
      <c r="Y248" s="126">
        <f t="shared" si="121"/>
        <v>1.5</v>
      </c>
      <c r="Z248" s="126">
        <f t="shared" si="121"/>
        <v>1.5</v>
      </c>
      <c r="AA248" s="126">
        <f t="shared" si="121"/>
        <v>1.5</v>
      </c>
      <c r="AB248" s="126">
        <f t="shared" si="121"/>
        <v>1.5</v>
      </c>
      <c r="AC248" s="126">
        <f t="shared" si="121"/>
        <v>1.5</v>
      </c>
      <c r="AD248" s="126">
        <f t="shared" si="121"/>
        <v>1.5</v>
      </c>
      <c r="AE248" s="126">
        <f t="shared" si="121"/>
        <v>1.5</v>
      </c>
      <c r="AF248" s="126">
        <f t="shared" si="121"/>
        <v>1.5</v>
      </c>
      <c r="AG248" s="140">
        <v>1.5</v>
      </c>
      <c r="AH248" s="47"/>
      <c r="AI248" s="48"/>
      <c r="AK248" s="50"/>
    </row>
    <row r="249" spans="1:37" x14ac:dyDescent="0.25">
      <c r="A249" s="103" t="s">
        <v>235</v>
      </c>
      <c r="B249" s="126">
        <f t="shared" si="119"/>
        <v>0.3</v>
      </c>
      <c r="C249" s="126">
        <v>0.3</v>
      </c>
      <c r="D249" s="126">
        <f t="shared" si="120"/>
        <v>0.3</v>
      </c>
      <c r="E249" s="126">
        <f t="shared" si="120"/>
        <v>0.3</v>
      </c>
      <c r="F249" s="126">
        <f t="shared" si="120"/>
        <v>0.3</v>
      </c>
      <c r="G249" s="126">
        <f t="shared" si="120"/>
        <v>0.3</v>
      </c>
      <c r="H249" s="126">
        <f t="shared" si="120"/>
        <v>0.3</v>
      </c>
      <c r="I249" s="126">
        <f t="shared" si="120"/>
        <v>0.3</v>
      </c>
      <c r="J249" s="126">
        <f t="shared" si="120"/>
        <v>0.3</v>
      </c>
      <c r="K249" s="126">
        <f t="shared" si="120"/>
        <v>0.3</v>
      </c>
      <c r="L249" s="126">
        <f t="shared" si="120"/>
        <v>0.3</v>
      </c>
      <c r="M249" s="126">
        <f t="shared" si="120"/>
        <v>0.3</v>
      </c>
      <c r="N249" s="126">
        <f t="shared" si="120"/>
        <v>0.3</v>
      </c>
      <c r="O249" s="126">
        <f t="shared" si="120"/>
        <v>0.3</v>
      </c>
      <c r="P249" s="126">
        <f t="shared" si="120"/>
        <v>0.3</v>
      </c>
      <c r="Q249" s="126">
        <f t="shared" si="120"/>
        <v>0.3</v>
      </c>
      <c r="R249" s="126">
        <f t="shared" si="120"/>
        <v>0.3</v>
      </c>
      <c r="S249" s="126">
        <f t="shared" si="120"/>
        <v>0.3</v>
      </c>
      <c r="T249" s="126">
        <f t="shared" si="121"/>
        <v>0.3</v>
      </c>
      <c r="U249" s="126">
        <f t="shared" si="121"/>
        <v>0.3</v>
      </c>
      <c r="V249" s="126">
        <f t="shared" si="121"/>
        <v>0.3</v>
      </c>
      <c r="W249" s="126">
        <f t="shared" si="121"/>
        <v>0.3</v>
      </c>
      <c r="X249" s="126">
        <f t="shared" si="121"/>
        <v>0.3</v>
      </c>
      <c r="Y249" s="126">
        <f t="shared" si="121"/>
        <v>0.3</v>
      </c>
      <c r="Z249" s="126">
        <f t="shared" si="121"/>
        <v>0.3</v>
      </c>
      <c r="AA249" s="126">
        <f t="shared" si="121"/>
        <v>0.3</v>
      </c>
      <c r="AB249" s="126">
        <f t="shared" si="121"/>
        <v>0.3</v>
      </c>
      <c r="AC249" s="126">
        <f t="shared" si="121"/>
        <v>0.3</v>
      </c>
      <c r="AD249" s="126">
        <f t="shared" si="121"/>
        <v>0.3</v>
      </c>
      <c r="AE249" s="126">
        <f t="shared" si="121"/>
        <v>0.3</v>
      </c>
      <c r="AF249" s="126">
        <f t="shared" si="121"/>
        <v>0.3</v>
      </c>
      <c r="AG249" s="140">
        <v>1</v>
      </c>
      <c r="AH249" s="47"/>
      <c r="AI249" s="48"/>
      <c r="AK249" s="50"/>
    </row>
    <row r="250" spans="1:37" x14ac:dyDescent="0.25">
      <c r="A250" s="103" t="s">
        <v>236</v>
      </c>
      <c r="B250" s="126">
        <f t="shared" si="119"/>
        <v>0.4</v>
      </c>
      <c r="C250" s="126">
        <v>0.4</v>
      </c>
      <c r="D250" s="126">
        <f t="shared" si="120"/>
        <v>0.4</v>
      </c>
      <c r="E250" s="126">
        <f t="shared" si="120"/>
        <v>0.4</v>
      </c>
      <c r="F250" s="126">
        <f t="shared" si="120"/>
        <v>0.4</v>
      </c>
      <c r="G250" s="126">
        <f t="shared" si="120"/>
        <v>0.4</v>
      </c>
      <c r="H250" s="126">
        <f t="shared" si="120"/>
        <v>0.4</v>
      </c>
      <c r="I250" s="126">
        <f t="shared" si="120"/>
        <v>0.4</v>
      </c>
      <c r="J250" s="126">
        <f t="shared" si="120"/>
        <v>0.4</v>
      </c>
      <c r="K250" s="126">
        <f t="shared" si="120"/>
        <v>0.4</v>
      </c>
      <c r="L250" s="126">
        <f t="shared" si="120"/>
        <v>0.4</v>
      </c>
      <c r="M250" s="126">
        <f t="shared" si="120"/>
        <v>0.4</v>
      </c>
      <c r="N250" s="126">
        <f t="shared" si="120"/>
        <v>0.4</v>
      </c>
      <c r="O250" s="126">
        <f t="shared" si="120"/>
        <v>0.4</v>
      </c>
      <c r="P250" s="126">
        <f t="shared" si="120"/>
        <v>0.4</v>
      </c>
      <c r="Q250" s="126">
        <f t="shared" si="120"/>
        <v>0.4</v>
      </c>
      <c r="R250" s="126">
        <f t="shared" si="120"/>
        <v>0.4</v>
      </c>
      <c r="S250" s="126">
        <f t="shared" si="120"/>
        <v>0.4</v>
      </c>
      <c r="T250" s="126">
        <f t="shared" si="121"/>
        <v>0.4</v>
      </c>
      <c r="U250" s="126">
        <f t="shared" si="121"/>
        <v>0.4</v>
      </c>
      <c r="V250" s="126">
        <f t="shared" si="121"/>
        <v>0.4</v>
      </c>
      <c r="W250" s="126">
        <f t="shared" si="121"/>
        <v>0.4</v>
      </c>
      <c r="X250" s="126">
        <f t="shared" si="121"/>
        <v>0.4</v>
      </c>
      <c r="Y250" s="126">
        <f t="shared" si="121"/>
        <v>0.4</v>
      </c>
      <c r="Z250" s="126">
        <f t="shared" si="121"/>
        <v>0.4</v>
      </c>
      <c r="AA250" s="126">
        <f t="shared" si="121"/>
        <v>0.4</v>
      </c>
      <c r="AB250" s="126">
        <f t="shared" si="121"/>
        <v>0.4</v>
      </c>
      <c r="AC250" s="126">
        <f t="shared" si="121"/>
        <v>0.4</v>
      </c>
      <c r="AD250" s="126">
        <f t="shared" si="121"/>
        <v>0.4</v>
      </c>
      <c r="AE250" s="126">
        <f t="shared" si="121"/>
        <v>0.4</v>
      </c>
      <c r="AF250" s="126">
        <f t="shared" si="121"/>
        <v>0.4</v>
      </c>
      <c r="AG250" s="140">
        <v>1</v>
      </c>
      <c r="AH250" s="47"/>
      <c r="AI250" s="48"/>
      <c r="AK250" s="50"/>
    </row>
    <row r="251" spans="1:37" ht="15.75" thickBot="1" x14ac:dyDescent="0.3">
      <c r="A251" s="116" t="s">
        <v>237</v>
      </c>
      <c r="B251" s="130">
        <f t="shared" si="119"/>
        <v>0.64</v>
      </c>
      <c r="C251" s="130">
        <v>0.64</v>
      </c>
      <c r="D251" s="130">
        <f t="shared" si="120"/>
        <v>0.64</v>
      </c>
      <c r="E251" s="130">
        <f t="shared" si="120"/>
        <v>0.64</v>
      </c>
      <c r="F251" s="130">
        <f t="shared" si="120"/>
        <v>0.64</v>
      </c>
      <c r="G251" s="130">
        <f t="shared" si="120"/>
        <v>0.64</v>
      </c>
      <c r="H251" s="130">
        <f t="shared" si="120"/>
        <v>0.64</v>
      </c>
      <c r="I251" s="130">
        <f t="shared" si="120"/>
        <v>0.64</v>
      </c>
      <c r="J251" s="130">
        <f t="shared" si="120"/>
        <v>0.64</v>
      </c>
      <c r="K251" s="130">
        <f t="shared" si="120"/>
        <v>0.64</v>
      </c>
      <c r="L251" s="130">
        <f t="shared" si="120"/>
        <v>0.64</v>
      </c>
      <c r="M251" s="130">
        <f t="shared" si="120"/>
        <v>0.64</v>
      </c>
      <c r="N251" s="130">
        <f t="shared" si="120"/>
        <v>0.64</v>
      </c>
      <c r="O251" s="130">
        <f t="shared" si="120"/>
        <v>0.64</v>
      </c>
      <c r="P251" s="130">
        <f t="shared" si="120"/>
        <v>0.64</v>
      </c>
      <c r="Q251" s="130">
        <f t="shared" si="120"/>
        <v>0.64</v>
      </c>
      <c r="R251" s="130">
        <f t="shared" si="120"/>
        <v>0.64</v>
      </c>
      <c r="S251" s="130">
        <f t="shared" si="120"/>
        <v>0.64</v>
      </c>
      <c r="T251" s="130">
        <f t="shared" si="121"/>
        <v>0.64</v>
      </c>
      <c r="U251" s="130">
        <f t="shared" si="121"/>
        <v>0.64</v>
      </c>
      <c r="V251" s="130">
        <f t="shared" si="121"/>
        <v>0.64</v>
      </c>
      <c r="W251" s="130">
        <f t="shared" si="121"/>
        <v>0.64</v>
      </c>
      <c r="X251" s="130">
        <f t="shared" si="121"/>
        <v>0.64</v>
      </c>
      <c r="Y251" s="130">
        <f t="shared" si="121"/>
        <v>0.64</v>
      </c>
      <c r="Z251" s="130">
        <f t="shared" si="121"/>
        <v>0.64</v>
      </c>
      <c r="AA251" s="130">
        <f t="shared" si="121"/>
        <v>0.64</v>
      </c>
      <c r="AB251" s="130">
        <f t="shared" si="121"/>
        <v>0.64</v>
      </c>
      <c r="AC251" s="130">
        <f t="shared" si="121"/>
        <v>0.64</v>
      </c>
      <c r="AD251" s="130">
        <f t="shared" si="121"/>
        <v>0.64</v>
      </c>
      <c r="AE251" s="130">
        <f t="shared" si="121"/>
        <v>0.64</v>
      </c>
      <c r="AF251" s="130">
        <f t="shared" si="121"/>
        <v>0.64</v>
      </c>
      <c r="AG251" s="141">
        <v>0.66</v>
      </c>
      <c r="AH251" s="47"/>
      <c r="AI251" s="48"/>
    </row>
    <row r="252" spans="1:37" ht="15.75" thickBot="1" x14ac:dyDescent="0.3">
      <c r="A252" s="142" t="s">
        <v>75</v>
      </c>
      <c r="B252" s="134">
        <f t="shared" ref="B252:AG252" si="122">SUM(B246:B251)</f>
        <v>3.54</v>
      </c>
      <c r="C252" s="134">
        <f t="shared" si="122"/>
        <v>3.54</v>
      </c>
      <c r="D252" s="134">
        <f t="shared" si="122"/>
        <v>3.54</v>
      </c>
      <c r="E252" s="134">
        <f t="shared" si="122"/>
        <v>3.54</v>
      </c>
      <c r="F252" s="134">
        <f t="shared" si="122"/>
        <v>3.54</v>
      </c>
      <c r="G252" s="134">
        <f t="shared" si="122"/>
        <v>3.54</v>
      </c>
      <c r="H252" s="134">
        <f t="shared" si="122"/>
        <v>3.54</v>
      </c>
      <c r="I252" s="134">
        <f t="shared" si="122"/>
        <v>3.54</v>
      </c>
      <c r="J252" s="134">
        <f t="shared" si="122"/>
        <v>3.54</v>
      </c>
      <c r="K252" s="134">
        <f t="shared" si="122"/>
        <v>3.54</v>
      </c>
      <c r="L252" s="134">
        <f t="shared" si="122"/>
        <v>3.54</v>
      </c>
      <c r="M252" s="134">
        <f t="shared" si="122"/>
        <v>3.54</v>
      </c>
      <c r="N252" s="134">
        <f t="shared" si="122"/>
        <v>3.54</v>
      </c>
      <c r="O252" s="134">
        <f t="shared" si="122"/>
        <v>3.54</v>
      </c>
      <c r="P252" s="134">
        <f t="shared" si="122"/>
        <v>3.54</v>
      </c>
      <c r="Q252" s="134">
        <f t="shared" si="122"/>
        <v>3.54</v>
      </c>
      <c r="R252" s="134">
        <f t="shared" si="122"/>
        <v>3.54</v>
      </c>
      <c r="S252" s="134">
        <f t="shared" si="122"/>
        <v>3.54</v>
      </c>
      <c r="T252" s="134">
        <f t="shared" si="122"/>
        <v>3.54</v>
      </c>
      <c r="U252" s="134">
        <f t="shared" si="122"/>
        <v>3.54</v>
      </c>
      <c r="V252" s="134">
        <f t="shared" si="122"/>
        <v>3.54</v>
      </c>
      <c r="W252" s="134">
        <f t="shared" si="122"/>
        <v>3.54</v>
      </c>
      <c r="X252" s="134">
        <f t="shared" si="122"/>
        <v>3.54</v>
      </c>
      <c r="Y252" s="134">
        <f t="shared" si="122"/>
        <v>3.54</v>
      </c>
      <c r="Z252" s="134">
        <f t="shared" si="122"/>
        <v>3.54</v>
      </c>
      <c r="AA252" s="134">
        <f t="shared" si="122"/>
        <v>3.54</v>
      </c>
      <c r="AB252" s="134">
        <f t="shared" si="122"/>
        <v>3.54</v>
      </c>
      <c r="AC252" s="134">
        <f t="shared" si="122"/>
        <v>3.54</v>
      </c>
      <c r="AD252" s="134">
        <f t="shared" si="122"/>
        <v>3.54</v>
      </c>
      <c r="AE252" s="134">
        <f t="shared" si="122"/>
        <v>3.54</v>
      </c>
      <c r="AF252" s="134">
        <f t="shared" si="122"/>
        <v>3.54</v>
      </c>
      <c r="AG252" s="143">
        <f t="shared" si="122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37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54" t="s">
        <v>243</v>
      </c>
      <c r="B256" s="155">
        <f>MAX(G99:N99)</f>
        <v>1795.94</v>
      </c>
      <c r="C256" s="156">
        <f>INDEX(G9:N9,1,MATCH(MAX(G99:N99),G99:N99,0))</f>
        <v>0.3125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50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157" t="str">
        <f ca="1">MID(CELL("filename",C7),FIND("]",CELL("filename",C7))+1,600)</f>
        <v>8</v>
      </c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50" x14ac:dyDescent="0.25">
      <c r="A258" s="257" t="s">
        <v>244</v>
      </c>
      <c r="B258" s="257"/>
      <c r="C258" s="43"/>
      <c r="D258" s="157" t="str">
        <f ca="1">"Pie Chart of Daily Peak Demand(Inclusive of Export) of Nepal ("&amp;A4&amp;" "&amp;B4&amp;")"</f>
        <v>Pie Chart of Daily Peak Demand(Inclusive of Export) of Nepal (Nepali Date: 2080/10/8)</v>
      </c>
      <c r="E258" s="43"/>
      <c r="F258" s="43"/>
      <c r="G258" s="157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157" t="str">
        <f ca="1">"Daily Load Curve(Excluding of Export) of Nepal ("&amp;A4&amp;" "&amp;B4&amp;")"</f>
        <v>Daily Load Curve(Excluding of Export) of Nepal (Nepali Date: 2080/10/8)</v>
      </c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50" ht="12.75" customHeight="1" thickBot="1" x14ac:dyDescent="0.3">
      <c r="A259" s="158" t="s">
        <v>7</v>
      </c>
      <c r="B259" s="159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50" ht="15.75" thickTop="1" x14ac:dyDescent="0.25">
      <c r="A260" s="158" t="s">
        <v>245</v>
      </c>
      <c r="B260" s="15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160" t="s">
        <v>246</v>
      </c>
      <c r="T260" s="161">
        <v>0</v>
      </c>
      <c r="U260" s="162">
        <v>4.1666666666666664E-2</v>
      </c>
      <c r="V260" s="163">
        <v>8.3333333333333301E-2</v>
      </c>
      <c r="W260" s="163">
        <v>0.125</v>
      </c>
      <c r="X260" s="163">
        <v>0.16666666666666699</v>
      </c>
      <c r="Y260" s="163">
        <v>0.20833333333333301</v>
      </c>
      <c r="Z260" s="163">
        <v>0.22916666666666666</v>
      </c>
      <c r="AA260" s="163">
        <v>0.25</v>
      </c>
      <c r="AB260" s="163">
        <v>0.27083333333333331</v>
      </c>
      <c r="AC260" s="163">
        <v>0.29166666666666669</v>
      </c>
      <c r="AD260" s="163">
        <v>0.3125</v>
      </c>
      <c r="AE260" s="164">
        <v>0.33333333333333331</v>
      </c>
      <c r="AF260" s="164">
        <v>0.375</v>
      </c>
      <c r="AG260" s="164">
        <v>0.41666666666666702</v>
      </c>
      <c r="AH260" s="164">
        <v>0.45833333333333298</v>
      </c>
      <c r="AI260" s="164">
        <v>0.5</v>
      </c>
      <c r="AJ260" s="164">
        <v>0.54166666666666696</v>
      </c>
      <c r="AK260" s="164">
        <v>0.58333333333333304</v>
      </c>
      <c r="AL260" s="164">
        <v>0.625</v>
      </c>
      <c r="AM260" s="164">
        <v>0.66666666666666696</v>
      </c>
      <c r="AN260" s="164">
        <v>0.70833333333333304</v>
      </c>
      <c r="AO260" s="164">
        <v>0.72916666666666663</v>
      </c>
      <c r="AP260" s="164">
        <v>0.75</v>
      </c>
      <c r="AQ260" s="164">
        <v>0.77083333333333337</v>
      </c>
      <c r="AR260" s="164">
        <v>0.79166666666666663</v>
      </c>
      <c r="AS260" s="164">
        <v>0.8125</v>
      </c>
      <c r="AT260" s="163">
        <v>0.83333333333333337</v>
      </c>
      <c r="AU260" s="163">
        <v>0.85416666666666663</v>
      </c>
      <c r="AV260" s="163">
        <v>0.875</v>
      </c>
      <c r="AW260" s="163">
        <v>0.91666666666666696</v>
      </c>
      <c r="AX260" s="163">
        <v>0.95833333333333304</v>
      </c>
    </row>
    <row r="261" spans="1:50" x14ac:dyDescent="0.25">
      <c r="A261" s="158" t="s">
        <v>247</v>
      </c>
      <c r="B261" s="15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 t="s">
        <v>248</v>
      </c>
      <c r="T261" s="165">
        <f t="shared" ref="T261:AX261" si="123">B99</f>
        <v>1207.6399999999999</v>
      </c>
      <c r="U261" s="165">
        <f t="shared" si="123"/>
        <v>1163.94</v>
      </c>
      <c r="V261" s="165">
        <f t="shared" si="123"/>
        <v>1154.24</v>
      </c>
      <c r="W261" s="165">
        <f t="shared" si="123"/>
        <v>1156.44</v>
      </c>
      <c r="X261" s="165">
        <f t="shared" si="123"/>
        <v>1149.6400000000001</v>
      </c>
      <c r="Y261" s="165">
        <f t="shared" si="123"/>
        <v>1242.3399999999999</v>
      </c>
      <c r="Z261" s="165">
        <f t="shared" si="123"/>
        <v>1305.94</v>
      </c>
      <c r="AA261" s="165">
        <f t="shared" si="123"/>
        <v>1396.24</v>
      </c>
      <c r="AB261" s="165">
        <f t="shared" si="123"/>
        <v>1532.24</v>
      </c>
      <c r="AC261" s="165">
        <f t="shared" si="123"/>
        <v>1665.34</v>
      </c>
      <c r="AD261" s="165">
        <f t="shared" si="123"/>
        <v>1795.94</v>
      </c>
      <c r="AE261" s="165">
        <f t="shared" si="123"/>
        <v>1776.04</v>
      </c>
      <c r="AF261" s="165">
        <f t="shared" si="123"/>
        <v>1733.34</v>
      </c>
      <c r="AG261" s="165">
        <f t="shared" si="123"/>
        <v>1690.04</v>
      </c>
      <c r="AH261" s="165">
        <f t="shared" si="123"/>
        <v>1445.5400000000002</v>
      </c>
      <c r="AI261" s="165">
        <f t="shared" si="123"/>
        <v>1545.94</v>
      </c>
      <c r="AJ261" s="165">
        <f t="shared" si="123"/>
        <v>763.84</v>
      </c>
      <c r="AK261" s="165">
        <f t="shared" si="123"/>
        <v>1542.1399999999999</v>
      </c>
      <c r="AL261" s="165">
        <f t="shared" si="123"/>
        <v>1571.1399999999999</v>
      </c>
      <c r="AM261" s="165">
        <f t="shared" si="123"/>
        <v>1552.74</v>
      </c>
      <c r="AN261" s="165">
        <f t="shared" si="123"/>
        <v>1474.34</v>
      </c>
      <c r="AO261" s="165">
        <f t="shared" si="123"/>
        <v>1608.54</v>
      </c>
      <c r="AP261" s="165">
        <f t="shared" si="123"/>
        <v>1830.94</v>
      </c>
      <c r="AQ261" s="165">
        <f t="shared" si="123"/>
        <v>1920.94</v>
      </c>
      <c r="AR261" s="165">
        <f t="shared" si="123"/>
        <v>1868.14</v>
      </c>
      <c r="AS261" s="165">
        <f t="shared" si="123"/>
        <v>1860.3400000000001</v>
      </c>
      <c r="AT261" s="165">
        <f t="shared" si="123"/>
        <v>1762.94</v>
      </c>
      <c r="AU261" s="165">
        <f t="shared" si="123"/>
        <v>1702.74</v>
      </c>
      <c r="AV261" s="165">
        <f t="shared" si="123"/>
        <v>1618.6399999999999</v>
      </c>
      <c r="AW261" s="165">
        <f t="shared" si="123"/>
        <v>1391.94</v>
      </c>
      <c r="AX261" s="165">
        <f t="shared" si="123"/>
        <v>1258.24</v>
      </c>
    </row>
    <row r="262" spans="1:50" x14ac:dyDescent="0.25">
      <c r="A262" s="158" t="s">
        <v>249</v>
      </c>
      <c r="B262" s="15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50" x14ac:dyDescent="0.25">
      <c r="A263" s="158" t="s">
        <v>250</v>
      </c>
      <c r="B263" s="15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50" x14ac:dyDescent="0.25">
      <c r="A264" s="158" t="s">
        <v>251</v>
      </c>
      <c r="B264" s="15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50" x14ac:dyDescent="0.25">
      <c r="A265" s="158" t="s">
        <v>252</v>
      </c>
      <c r="B265" s="166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50" x14ac:dyDescent="0.25">
      <c r="A266" s="158" t="s">
        <v>253</v>
      </c>
      <c r="B266" s="15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50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50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50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50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50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50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1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1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1:34" x14ac:dyDescent="0.25">
      <c r="A282" s="167" t="s">
        <v>238</v>
      </c>
      <c r="B282" s="168">
        <f t="shared" ref="B282:AE282" si="124">C251</f>
        <v>0.64</v>
      </c>
      <c r="C282" s="168">
        <f t="shared" si="124"/>
        <v>0.64</v>
      </c>
      <c r="D282" s="168">
        <f t="shared" si="124"/>
        <v>0.64</v>
      </c>
      <c r="E282" s="168">
        <f t="shared" si="124"/>
        <v>0.64</v>
      </c>
      <c r="F282" s="168">
        <f t="shared" si="124"/>
        <v>0.64</v>
      </c>
      <c r="G282" s="168">
        <f t="shared" si="124"/>
        <v>0.64</v>
      </c>
      <c r="H282" s="168">
        <f t="shared" si="124"/>
        <v>0.64</v>
      </c>
      <c r="I282" s="168">
        <f t="shared" si="124"/>
        <v>0.64</v>
      </c>
      <c r="J282" s="168">
        <f t="shared" si="124"/>
        <v>0.64</v>
      </c>
      <c r="K282" s="168">
        <f t="shared" si="124"/>
        <v>0.64</v>
      </c>
      <c r="L282" s="168">
        <f t="shared" si="124"/>
        <v>0.64</v>
      </c>
      <c r="M282" s="168">
        <f t="shared" si="124"/>
        <v>0.64</v>
      </c>
      <c r="N282" s="168">
        <f t="shared" si="124"/>
        <v>0.64</v>
      </c>
      <c r="O282" s="168">
        <f t="shared" si="124"/>
        <v>0.64</v>
      </c>
      <c r="P282" s="168">
        <f t="shared" si="124"/>
        <v>0.64</v>
      </c>
      <c r="Q282" s="168">
        <f t="shared" si="124"/>
        <v>0.64</v>
      </c>
      <c r="R282" s="168">
        <f t="shared" si="124"/>
        <v>0.64</v>
      </c>
      <c r="S282" s="168">
        <f t="shared" si="124"/>
        <v>0.64</v>
      </c>
      <c r="T282" s="168">
        <f t="shared" si="124"/>
        <v>0.64</v>
      </c>
      <c r="U282" s="168">
        <f t="shared" si="124"/>
        <v>0.64</v>
      </c>
      <c r="V282" s="168">
        <f t="shared" si="124"/>
        <v>0.64</v>
      </c>
      <c r="W282" s="168">
        <f t="shared" si="124"/>
        <v>0.64</v>
      </c>
      <c r="X282" s="168">
        <f t="shared" si="124"/>
        <v>0.64</v>
      </c>
      <c r="Y282" s="168">
        <f t="shared" si="124"/>
        <v>0.64</v>
      </c>
      <c r="Z282" s="168">
        <f t="shared" si="124"/>
        <v>0.64</v>
      </c>
      <c r="AA282" s="168">
        <f t="shared" si="124"/>
        <v>0.64</v>
      </c>
      <c r="AB282" s="168">
        <f t="shared" si="124"/>
        <v>0.64</v>
      </c>
      <c r="AC282" s="168">
        <f t="shared" si="124"/>
        <v>0.64</v>
      </c>
      <c r="AD282" s="168">
        <f t="shared" si="124"/>
        <v>0.64</v>
      </c>
      <c r="AE282" s="168">
        <f t="shared" si="124"/>
        <v>0.64</v>
      </c>
      <c r="AF282" s="168">
        <f>B251</f>
        <v>0.64</v>
      </c>
      <c r="AG282" s="43"/>
      <c r="AH282" s="43"/>
    </row>
    <row r="283" spans="1:34" x14ac:dyDescent="0.25">
      <c r="A283" s="169" t="e">
        <f>#REF!</f>
        <v>#REF!</v>
      </c>
      <c r="B283" s="169" t="e">
        <f>IF(#REF!&lt;100,"",#REF!-520)</f>
        <v>#REF!</v>
      </c>
      <c r="C283" s="169" t="e">
        <f>IF(#REF!&lt;100,"",#REF!-520)</f>
        <v>#REF!</v>
      </c>
      <c r="D283" s="169" t="e">
        <f>IF(#REF!&lt;100,"",#REF!-520)</f>
        <v>#REF!</v>
      </c>
      <c r="E283" s="169" t="e">
        <f>IF(#REF!&lt;100,"",#REF!-520)</f>
        <v>#REF!</v>
      </c>
      <c r="F283" s="169" t="e">
        <f>IF(#REF!&lt;100,"",#REF!-520)</f>
        <v>#REF!</v>
      </c>
      <c r="G283" s="169" t="e">
        <f>IF(#REF!&lt;100,"",#REF!-520)</f>
        <v>#REF!</v>
      </c>
      <c r="H283" s="169" t="e">
        <f>IF(#REF!&lt;100,"",#REF!-520)</f>
        <v>#REF!</v>
      </c>
      <c r="I283" s="169" t="e">
        <f>IF(#REF!&lt;100,"",#REF!-520)</f>
        <v>#REF!</v>
      </c>
      <c r="J283" s="169" t="e">
        <f>IF(#REF!&lt;100,"",#REF!-520)</f>
        <v>#REF!</v>
      </c>
      <c r="K283" s="169" t="e">
        <f>IF(#REF!&lt;100,"",#REF!-520)</f>
        <v>#REF!</v>
      </c>
      <c r="L283" s="169" t="e">
        <f>IF(#REF!&lt;100,"",#REF!-520)</f>
        <v>#REF!</v>
      </c>
      <c r="M283" s="169" t="e">
        <f>IF(#REF!&lt;100,"",#REF!-520)</f>
        <v>#REF!</v>
      </c>
      <c r="N283" s="169" t="e">
        <f>IF(#REF!&lt;100,"",#REF!-520)</f>
        <v>#REF!</v>
      </c>
      <c r="O283" s="169" t="e">
        <f>IF(#REF!&lt;100,"",#REF!-520)</f>
        <v>#REF!</v>
      </c>
      <c r="P283" s="169" t="e">
        <f>IF(#REF!&lt;100,"",#REF!-520)</f>
        <v>#REF!</v>
      </c>
      <c r="Q283" s="169" t="e">
        <f>IF(#REF!&lt;100,"",#REF!-520)</f>
        <v>#REF!</v>
      </c>
      <c r="R283" s="169" t="e">
        <f>IF(#REF!&lt;100,"",#REF!-520)</f>
        <v>#REF!</v>
      </c>
      <c r="S283" s="169" t="e">
        <f>IF(#REF!&lt;100,"",#REF!-520)</f>
        <v>#REF!</v>
      </c>
      <c r="T283" s="169" t="e">
        <f>IF(#REF!&lt;100,"",#REF!-520)</f>
        <v>#REF!</v>
      </c>
      <c r="U283" s="169" t="e">
        <f>IF(#REF!&lt;100,"",#REF!-520)</f>
        <v>#REF!</v>
      </c>
      <c r="V283" s="169" t="e">
        <f>IF(#REF!&lt;100,"",#REF!-520)</f>
        <v>#REF!</v>
      </c>
      <c r="W283" s="169" t="e">
        <f>IF(#REF!&lt;100,"",#REF!-520)</f>
        <v>#REF!</v>
      </c>
      <c r="X283" s="169" t="e">
        <f>IF(#REF!&lt;100,"",#REF!-520)</f>
        <v>#REF!</v>
      </c>
      <c r="Y283" s="169" t="e">
        <f>IF(#REF!&lt;100,"",#REF!-520)</f>
        <v>#REF!</v>
      </c>
      <c r="Z283" s="169" t="e">
        <f>IF(#REF!&lt;100,"",#REF!-520)</f>
        <v>#REF!</v>
      </c>
      <c r="AA283" s="169" t="e">
        <f>IF(#REF!&lt;100,"",#REF!-520)</f>
        <v>#REF!</v>
      </c>
      <c r="AB283" s="169" t="e">
        <f>IF(#REF!&lt;100,"",#REF!-520)</f>
        <v>#REF!</v>
      </c>
      <c r="AC283" s="169" t="e">
        <f>IF(#REF!&lt;100,"",#REF!-520)</f>
        <v>#REF!</v>
      </c>
      <c r="AD283" s="169" t="e">
        <f>IF(#REF!&lt;100,"",#REF!-520)</f>
        <v>#REF!</v>
      </c>
      <c r="AE283" s="169" t="e">
        <f>IF(#REF!&lt;100,"",#REF!-520)</f>
        <v>#REF!</v>
      </c>
      <c r="AF283" s="169" t="e">
        <f>IF(#REF!&lt;100,"",#REF!-520)</f>
        <v>#REF!</v>
      </c>
      <c r="AG283" s="43"/>
      <c r="AH283" s="43"/>
    </row>
    <row r="284" spans="1:34" x14ac:dyDescent="0.25">
      <c r="A284" s="169" t="e">
        <f>#REF!</f>
        <v>#REF!</v>
      </c>
      <c r="B284" s="169" t="e">
        <f>IF(#REF!&lt;100,"",#REF!-620)</f>
        <v>#REF!</v>
      </c>
      <c r="C284" s="169" t="e">
        <f>IF(#REF!&lt;100,"",#REF!-620)</f>
        <v>#REF!</v>
      </c>
      <c r="D284" s="169" t="e">
        <f>IF(#REF!&lt;100,"",#REF!-620)</f>
        <v>#REF!</v>
      </c>
      <c r="E284" s="169" t="e">
        <f>IF(#REF!&lt;100,"",#REF!-620)</f>
        <v>#REF!</v>
      </c>
      <c r="F284" s="169" t="e">
        <f>IF(#REF!&lt;100,"",#REF!-620)</f>
        <v>#REF!</v>
      </c>
      <c r="G284" s="169" t="e">
        <f>IF(#REF!&lt;100,"",#REF!-620)</f>
        <v>#REF!</v>
      </c>
      <c r="H284" s="169" t="e">
        <f>IF(#REF!&lt;100,"",#REF!-620)</f>
        <v>#REF!</v>
      </c>
      <c r="I284" s="169" t="e">
        <f>IF(#REF!&lt;100,"",#REF!-620)</f>
        <v>#REF!</v>
      </c>
      <c r="J284" s="169" t="e">
        <f>IF(#REF!&lt;100,"",#REF!-620)</f>
        <v>#REF!</v>
      </c>
      <c r="K284" s="169" t="e">
        <f>IF(#REF!&lt;100,"",#REF!-620)</f>
        <v>#REF!</v>
      </c>
      <c r="L284" s="169" t="e">
        <f>IF(#REF!&lt;100,"",#REF!-620)</f>
        <v>#REF!</v>
      </c>
      <c r="M284" s="169" t="e">
        <f>IF(#REF!&lt;100,"",#REF!-620)</f>
        <v>#REF!</v>
      </c>
      <c r="N284" s="169" t="e">
        <f>IF(#REF!&lt;100,"",#REF!-620)</f>
        <v>#REF!</v>
      </c>
      <c r="O284" s="169" t="e">
        <f>IF(#REF!&lt;100,"",#REF!-620)</f>
        <v>#REF!</v>
      </c>
      <c r="P284" s="169" t="e">
        <f>IF(#REF!&lt;100,"",#REF!-620)</f>
        <v>#REF!</v>
      </c>
      <c r="Q284" s="169" t="e">
        <f>IF(#REF!&lt;100,"",#REF!-620)</f>
        <v>#REF!</v>
      </c>
      <c r="R284" s="169" t="e">
        <f>IF(#REF!&lt;100,"",#REF!-620)</f>
        <v>#REF!</v>
      </c>
      <c r="S284" s="169" t="e">
        <f>IF(#REF!&lt;100,"",#REF!-620)</f>
        <v>#REF!</v>
      </c>
      <c r="T284" s="169" t="e">
        <f>IF(#REF!&lt;100,"",#REF!-620)</f>
        <v>#REF!</v>
      </c>
      <c r="U284" s="169" t="e">
        <f>IF(#REF!&lt;100,"",#REF!-620)</f>
        <v>#REF!</v>
      </c>
      <c r="V284" s="169" t="e">
        <f>IF(#REF!&lt;100,"",#REF!-620)</f>
        <v>#REF!</v>
      </c>
      <c r="W284" s="169" t="e">
        <f>IF(#REF!&lt;100,"",#REF!-620)</f>
        <v>#REF!</v>
      </c>
      <c r="X284" s="169" t="e">
        <f>IF(#REF!&lt;100,"",#REF!-620)</f>
        <v>#REF!</v>
      </c>
      <c r="Y284" s="169" t="e">
        <f>IF(#REF!&lt;100,"",#REF!-620)</f>
        <v>#REF!</v>
      </c>
      <c r="Z284" s="169" t="e">
        <f>IF(#REF!&lt;100,"",#REF!-620)</f>
        <v>#REF!</v>
      </c>
      <c r="AA284" s="169" t="e">
        <f>IF(#REF!&lt;100,"",#REF!-620)</f>
        <v>#REF!</v>
      </c>
      <c r="AB284" s="169" t="e">
        <f>IF(#REF!&lt;100,"",#REF!-620)</f>
        <v>#REF!</v>
      </c>
      <c r="AC284" s="169" t="e">
        <f>IF(#REF!&lt;100,"",#REF!-620)</f>
        <v>#REF!</v>
      </c>
      <c r="AD284" s="169" t="e">
        <f>IF(#REF!&lt;100,"",#REF!-620)</f>
        <v>#REF!</v>
      </c>
      <c r="AE284" s="169" t="e">
        <f>IF(#REF!&lt;100,"",#REF!-620)</f>
        <v>#REF!</v>
      </c>
      <c r="AF284" s="169" t="e">
        <f>IF(#REF!&lt;100,"",#REF!-620)</f>
        <v>#REF!</v>
      </c>
      <c r="AG284" s="43"/>
      <c r="AH284" s="43"/>
    </row>
    <row r="285" spans="1:34" x14ac:dyDescent="0.25">
      <c r="A285" s="169" t="e">
        <f>#REF!</f>
        <v>#REF!</v>
      </c>
      <c r="B285" s="169" t="e">
        <f>IF(#REF!&lt;100,"",#REF!-330)</f>
        <v>#REF!</v>
      </c>
      <c r="C285" s="169" t="e">
        <f>IF(#REF!&lt;100,"",#REF!-330)</f>
        <v>#REF!</v>
      </c>
      <c r="D285" s="169" t="e">
        <f>IF(#REF!&lt;100,"",#REF!-330)</f>
        <v>#REF!</v>
      </c>
      <c r="E285" s="169" t="e">
        <f>IF(#REF!&lt;100,"",#REF!-330)</f>
        <v>#REF!</v>
      </c>
      <c r="F285" s="169" t="e">
        <f>IF(#REF!&lt;100,"",#REF!-330)</f>
        <v>#REF!</v>
      </c>
      <c r="G285" s="169" t="e">
        <f>IF(#REF!&lt;100,"",#REF!-330)</f>
        <v>#REF!</v>
      </c>
      <c r="H285" s="169" t="e">
        <f>IF(#REF!&lt;100,"",#REF!-330)</f>
        <v>#REF!</v>
      </c>
      <c r="I285" s="169" t="e">
        <f>IF(#REF!&lt;100,"",#REF!-330)</f>
        <v>#REF!</v>
      </c>
      <c r="J285" s="169" t="e">
        <f>IF(#REF!&lt;100,"",#REF!-330)</f>
        <v>#REF!</v>
      </c>
      <c r="K285" s="169" t="e">
        <f>IF(#REF!&lt;100,"",#REF!-330)</f>
        <v>#REF!</v>
      </c>
      <c r="L285" s="169" t="e">
        <f>IF(#REF!&lt;100,"",#REF!-330)</f>
        <v>#REF!</v>
      </c>
      <c r="M285" s="169" t="e">
        <f>IF(#REF!&lt;100,"",#REF!-330)</f>
        <v>#REF!</v>
      </c>
      <c r="N285" s="169" t="e">
        <f>IF(#REF!&lt;100,"",#REF!-330)</f>
        <v>#REF!</v>
      </c>
      <c r="O285" s="169" t="e">
        <f>IF(#REF!&lt;100,"",#REF!-330)</f>
        <v>#REF!</v>
      </c>
      <c r="P285" s="169" t="e">
        <f>IF(#REF!&lt;100,"",#REF!-330)</f>
        <v>#REF!</v>
      </c>
      <c r="Q285" s="169" t="e">
        <f>IF(#REF!&lt;100,"",#REF!-330)</f>
        <v>#REF!</v>
      </c>
      <c r="R285" s="169" t="e">
        <f>IF(#REF!&lt;100,"",#REF!-330)</f>
        <v>#REF!</v>
      </c>
      <c r="S285" s="169" t="e">
        <f>IF(#REF!&lt;100,"",#REF!-330)</f>
        <v>#REF!</v>
      </c>
      <c r="T285" s="169" t="e">
        <f>IF(#REF!&lt;100,"",#REF!-330)</f>
        <v>#REF!</v>
      </c>
      <c r="U285" s="169" t="e">
        <f>IF(#REF!&lt;100,"",#REF!-330)</f>
        <v>#REF!</v>
      </c>
      <c r="V285" s="169" t="e">
        <f>IF(#REF!&lt;100,"",#REF!-330)</f>
        <v>#REF!</v>
      </c>
      <c r="W285" s="169" t="e">
        <f>IF(#REF!&lt;100,"",#REF!-330)</f>
        <v>#REF!</v>
      </c>
      <c r="X285" s="169" t="e">
        <f>IF(#REF!&lt;100,"",#REF!-330)</f>
        <v>#REF!</v>
      </c>
      <c r="Y285" s="169" t="e">
        <f>IF(#REF!&lt;100,"",#REF!-330)</f>
        <v>#REF!</v>
      </c>
      <c r="Z285" s="169" t="e">
        <f>IF(#REF!&lt;100,"",#REF!-330)</f>
        <v>#REF!</v>
      </c>
      <c r="AA285" s="169" t="e">
        <f>IF(#REF!&lt;100,"",#REF!-330)</f>
        <v>#REF!</v>
      </c>
      <c r="AB285" s="169" t="e">
        <f>IF(#REF!&lt;100,"",#REF!-330)</f>
        <v>#REF!</v>
      </c>
      <c r="AC285" s="169" t="e">
        <f>IF(#REF!&lt;100,"",#REF!-330)</f>
        <v>#REF!</v>
      </c>
      <c r="AD285" s="169" t="e">
        <f>IF(#REF!&lt;100,"",#REF!-330)</f>
        <v>#REF!</v>
      </c>
      <c r="AE285" s="169" t="e">
        <f>IF(#REF!&lt;100,"",#REF!-330)</f>
        <v>#REF!</v>
      </c>
      <c r="AF285" s="169" t="e">
        <f>IF(#REF!&lt;100,"",#REF!-330)</f>
        <v>#REF!</v>
      </c>
      <c r="AG285" s="43"/>
      <c r="AH285" s="43"/>
    </row>
    <row r="286" spans="1:34" x14ac:dyDescent="0.25">
      <c r="A286" s="169" t="e">
        <f>#REF!</f>
        <v>#REF!</v>
      </c>
      <c r="B286" s="169" t="e">
        <f>IF(#REF!&lt;100,"",#REF!-1500)</f>
        <v>#REF!</v>
      </c>
      <c r="C286" s="169" t="e">
        <f>IF(#REF!&lt;100,"",#REF!-1500)</f>
        <v>#REF!</v>
      </c>
      <c r="D286" s="169" t="e">
        <f>IF(#REF!&lt;100,"",#REF!-1500)</f>
        <v>#REF!</v>
      </c>
      <c r="E286" s="169" t="e">
        <f>IF(#REF!&lt;100,"",#REF!-1500)</f>
        <v>#REF!</v>
      </c>
      <c r="F286" s="169" t="e">
        <f>IF(#REF!&lt;100,"",#REF!-1500)</f>
        <v>#REF!</v>
      </c>
      <c r="G286" s="169" t="e">
        <f>IF(#REF!&lt;100,"",#REF!-1500)</f>
        <v>#REF!</v>
      </c>
      <c r="H286" s="169" t="e">
        <f>IF(#REF!&lt;100,"",#REF!-1500)</f>
        <v>#REF!</v>
      </c>
      <c r="I286" s="169" t="e">
        <f>IF(#REF!&lt;100,"",#REF!-1500)</f>
        <v>#REF!</v>
      </c>
      <c r="J286" s="169" t="e">
        <f>IF(#REF!&lt;100,"",#REF!-1500)</f>
        <v>#REF!</v>
      </c>
      <c r="K286" s="169" t="e">
        <f>IF(#REF!&lt;100,"",#REF!-1500)</f>
        <v>#REF!</v>
      </c>
      <c r="L286" s="169" t="e">
        <f>IF(#REF!&lt;100,"",#REF!-1500)</f>
        <v>#REF!</v>
      </c>
      <c r="M286" s="169" t="e">
        <f>IF(#REF!&lt;100,"",#REF!-1500)</f>
        <v>#REF!</v>
      </c>
      <c r="N286" s="169" t="e">
        <f>IF(#REF!&lt;100,"",#REF!-1500)</f>
        <v>#REF!</v>
      </c>
      <c r="O286" s="169" t="e">
        <f>IF(#REF!&lt;100,"",#REF!-1500)</f>
        <v>#REF!</v>
      </c>
      <c r="P286" s="169" t="e">
        <f>IF(#REF!&lt;100,"",#REF!-1500)</f>
        <v>#REF!</v>
      </c>
      <c r="Q286" s="169" t="e">
        <f>IF(#REF!&lt;100,"",#REF!-1500)</f>
        <v>#REF!</v>
      </c>
      <c r="R286" s="169" t="e">
        <f>IF(#REF!&lt;100,"",#REF!-1500)</f>
        <v>#REF!</v>
      </c>
      <c r="S286" s="169" t="e">
        <f>IF(#REF!&lt;100,"",#REF!-1500)</f>
        <v>#REF!</v>
      </c>
      <c r="T286" s="169" t="e">
        <f>IF(#REF!&lt;100,"",#REF!-1500)</f>
        <v>#REF!</v>
      </c>
      <c r="U286" s="169" t="e">
        <f>IF(#REF!&lt;100,"",#REF!-1500)</f>
        <v>#REF!</v>
      </c>
      <c r="V286" s="169" t="e">
        <f>IF(#REF!&lt;100,"",#REF!-1500)</f>
        <v>#REF!</v>
      </c>
      <c r="W286" s="169" t="e">
        <f>IF(#REF!&lt;100,"",#REF!-1500)</f>
        <v>#REF!</v>
      </c>
      <c r="X286" s="169" t="e">
        <f>IF(#REF!&lt;100,"",#REF!-1500)</f>
        <v>#REF!</v>
      </c>
      <c r="Y286" s="169" t="e">
        <f>IF(#REF!&lt;100,"",#REF!-1500)</f>
        <v>#REF!</v>
      </c>
      <c r="Z286" s="169" t="e">
        <f>IF(#REF!&lt;100,"",#REF!-1500)</f>
        <v>#REF!</v>
      </c>
      <c r="AA286" s="169" t="e">
        <f>IF(#REF!&lt;100,"",#REF!-1500)</f>
        <v>#REF!</v>
      </c>
      <c r="AB286" s="169" t="e">
        <f>IF(#REF!&lt;100,"",#REF!-1500)</f>
        <v>#REF!</v>
      </c>
      <c r="AC286" s="169" t="e">
        <f>IF(#REF!&lt;100,"",#REF!-1500)</f>
        <v>#REF!</v>
      </c>
      <c r="AD286" s="169" t="e">
        <f>IF(#REF!&lt;100,"",#REF!-1500)</f>
        <v>#REF!</v>
      </c>
      <c r="AE286" s="169" t="e">
        <f>IF(#REF!&lt;100,"",#REF!-1500)</f>
        <v>#REF!</v>
      </c>
      <c r="AF286" s="169" t="e">
        <f>IF(#REF!&lt;100,"",#REF!-1500)</f>
        <v>#REF!</v>
      </c>
      <c r="AG286" s="43"/>
      <c r="AH286" s="43"/>
    </row>
    <row r="287" spans="1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1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2:34" x14ac:dyDescent="0.25"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2:34" x14ac:dyDescent="0.25"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2:34" x14ac:dyDescent="0.25"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2:34" x14ac:dyDescent="0.25"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2:34" x14ac:dyDescent="0.25"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2140" priority="182">
      <formula>$AH11=0</formula>
    </cfRule>
  </conditionalFormatting>
  <conditionalFormatting sqref="A132:A253">
    <cfRule type="expression" dxfId="2139" priority="133">
      <formula>$AH132=0</formula>
    </cfRule>
  </conditionalFormatting>
  <conditionalFormatting sqref="B8 M8 S8 AB8">
    <cfRule type="expression" dxfId="2138" priority="244">
      <formula>C$9&lt;8/24</formula>
    </cfRule>
    <cfRule type="expression" dxfId="2137" priority="243">
      <formula>AND(C$9&gt;=8/24,C$9&lt;14/24)</formula>
    </cfRule>
    <cfRule type="expression" dxfId="2136" priority="242">
      <formula>AND(C$9&gt;=14/24,C$9&lt;20/24)</formula>
    </cfRule>
  </conditionalFormatting>
  <conditionalFormatting sqref="B53:X55">
    <cfRule type="expression" dxfId="2135" priority="14">
      <formula>B53&gt;$AG53</formula>
    </cfRule>
  </conditionalFormatting>
  <conditionalFormatting sqref="B53:X56">
    <cfRule type="expression" dxfId="2134" priority="13">
      <formula>B$9&lt;8/24</formula>
    </cfRule>
  </conditionalFormatting>
  <conditionalFormatting sqref="B55:X56">
    <cfRule type="expression" dxfId="2133" priority="10">
      <formula>B$9&gt;=20/24</formula>
    </cfRule>
    <cfRule type="expression" dxfId="2132" priority="12">
      <formula>AND(B$9&gt;=8/24,B$9&lt;14/24)</formula>
    </cfRule>
    <cfRule type="expression" dxfId="2131" priority="11">
      <formula>AND(B$9&gt;=14/24,B$9&lt;20/24)</formula>
    </cfRule>
  </conditionalFormatting>
  <conditionalFormatting sqref="B56:X56">
    <cfRule type="expression" dxfId="2130" priority="9">
      <formula>B56&gt;$AG56</formula>
    </cfRule>
  </conditionalFormatting>
  <conditionalFormatting sqref="B57:X57">
    <cfRule type="expression" dxfId="2129" priority="64">
      <formula>B$9&lt;8/24</formula>
    </cfRule>
    <cfRule type="expression" dxfId="2128" priority="34">
      <formula>B$9&gt;=20/24</formula>
    </cfRule>
    <cfRule type="expression" dxfId="2127" priority="36">
      <formula>AND(B$9&gt;=8/24,B$9&lt;14/24)</formula>
    </cfRule>
    <cfRule type="expression" dxfId="2126" priority="35">
      <formula>AND(B$9&gt;=14/24,B$9&lt;20/24)</formula>
    </cfRule>
  </conditionalFormatting>
  <conditionalFormatting sqref="B9:AF52">
    <cfRule type="expression" dxfId="2125" priority="5">
      <formula>B$9&gt;=20/24</formula>
    </cfRule>
    <cfRule type="expression" dxfId="2124" priority="7">
      <formula>AND(B$9&gt;=8/24,B$9&lt;14/24)</formula>
    </cfRule>
    <cfRule type="expression" dxfId="2123" priority="8">
      <formula>B$9&lt;8/24</formula>
    </cfRule>
    <cfRule type="expression" dxfId="2122" priority="6">
      <formula>AND(B$9&gt;=14/24,B$9&lt;20/24)</formula>
    </cfRule>
  </conditionalFormatting>
  <conditionalFormatting sqref="B11:AF52">
    <cfRule type="expression" dxfId="2121" priority="4">
      <formula>B11&gt;$AG11</formula>
    </cfRule>
  </conditionalFormatting>
  <conditionalFormatting sqref="B53:AF54">
    <cfRule type="expression" dxfId="2120" priority="2">
      <formula>AND(B$9&gt;=14/24,B$9&lt;20/24)</formula>
    </cfRule>
    <cfRule type="expression" dxfId="2119" priority="3">
      <formula>AND(B$9&gt;=8/24,B$9&lt;14/24)</formula>
    </cfRule>
    <cfRule type="expression" dxfId="2118" priority="1">
      <formula>B$9&gt;=20/24</formula>
    </cfRule>
  </conditionalFormatting>
  <conditionalFormatting sqref="B59:AF61">
    <cfRule type="expression" dxfId="2117" priority="42">
      <formula>B$9&gt;=20/24</formula>
    </cfRule>
    <cfRule type="expression" dxfId="2116" priority="43">
      <formula>AND(B$9&gt;=14/24,B$9&lt;20/24)</formula>
    </cfRule>
    <cfRule type="expression" dxfId="2115" priority="45">
      <formula>B$9&lt;8/24</formula>
    </cfRule>
    <cfRule type="expression" dxfId="2114" priority="44">
      <formula>AND(B$9&gt;=8/24,B$9&lt;14/24)</formula>
    </cfRule>
  </conditionalFormatting>
  <conditionalFormatting sqref="B63:AF74">
    <cfRule type="expression" dxfId="2113" priority="27">
      <formula>B63&gt;$AG63</formula>
    </cfRule>
    <cfRule type="expression" dxfId="2112" priority="57">
      <formula>AND(B$9&gt;=14/24,B$9&lt;20/24)</formula>
    </cfRule>
    <cfRule type="expression" dxfId="2111" priority="58">
      <formula>AND(B$9&gt;=8/24,B$9&lt;14/24)</formula>
    </cfRule>
    <cfRule type="expression" dxfId="2110" priority="59">
      <formula>B$9&lt;8/24</formula>
    </cfRule>
    <cfRule type="expression" dxfId="2109" priority="56">
      <formula>B$9&gt;=20/24</formula>
    </cfRule>
  </conditionalFormatting>
  <conditionalFormatting sqref="B77:AF79">
    <cfRule type="expression" dxfId="2108" priority="50">
      <formula>B$9&lt;8/24</formula>
    </cfRule>
    <cfRule type="expression" dxfId="2107" priority="49">
      <formula>AND(B$9&gt;=8/24,B$9&lt;14/24)</formula>
    </cfRule>
    <cfRule type="expression" dxfId="2106" priority="48">
      <formula>AND(B$9&gt;=14/24,B$9&lt;20/24)</formula>
    </cfRule>
    <cfRule type="expression" dxfId="2105" priority="46">
      <formula>B77&gt;$AG77</formula>
    </cfRule>
    <cfRule type="expression" dxfId="2104" priority="47">
      <formula>B$9&gt;=20/24</formula>
    </cfRule>
  </conditionalFormatting>
  <conditionalFormatting sqref="B81:AF99">
    <cfRule type="expression" dxfId="2103" priority="26">
      <formula>B$9&lt;8/24</formula>
    </cfRule>
    <cfRule type="expression" dxfId="2102" priority="23">
      <formula>B$9&gt;=20/24</formula>
    </cfRule>
    <cfRule type="expression" dxfId="2101" priority="24">
      <formula>AND(B$9&gt;=14/24,B$9&lt;20/24)</formula>
    </cfRule>
    <cfRule type="expression" dxfId="2100" priority="25">
      <formula>AND(B$9&gt;=8/24,B$9&lt;14/24)</formula>
    </cfRule>
  </conditionalFormatting>
  <conditionalFormatting sqref="B101:AF117">
    <cfRule type="expression" dxfId="2099" priority="22">
      <formula>B$9&lt;8/24</formula>
    </cfRule>
    <cfRule type="expression" dxfId="2098" priority="21">
      <formula>AND(B$9&gt;=8/24,B$9&lt;14/24)</formula>
    </cfRule>
    <cfRule type="expression" dxfId="2097" priority="20">
      <formula>AND(B$9&gt;=14/24,B$9&lt;20/24)</formula>
    </cfRule>
    <cfRule type="expression" dxfId="2096" priority="19">
      <formula>B$9&gt;=20/24</formula>
    </cfRule>
  </conditionalFormatting>
  <conditionalFormatting sqref="B119:AF137">
    <cfRule type="expression" dxfId="2095" priority="17">
      <formula>AND(B$9&gt;=8/24,B$9&lt;14/24)</formula>
    </cfRule>
    <cfRule type="expression" dxfId="2094" priority="18">
      <formula>B$9&lt;8/24</formula>
    </cfRule>
    <cfRule type="expression" dxfId="2093" priority="16">
      <formula>AND(B$9&gt;=14/24,B$9&lt;20/24)</formula>
    </cfRule>
    <cfRule type="expression" dxfId="2092" priority="15">
      <formula>B$9&gt;=20/24</formula>
    </cfRule>
  </conditionalFormatting>
  <conditionalFormatting sqref="B244:AF244 B246:B252 D246:AF252 U260:AF260">
    <cfRule type="expression" dxfId="2091" priority="235">
      <formula>B$9&gt;=20/24</formula>
    </cfRule>
    <cfRule type="expression" dxfId="2090" priority="236">
      <formula>AND(B$9&gt;=14/24,B$9&lt;20/24)</formula>
    </cfRule>
    <cfRule type="expression" dxfId="2089" priority="237">
      <formula>AND(B$9&gt;=8/24,B$9&lt;14/24)</formula>
    </cfRule>
    <cfRule type="expression" dxfId="2088" priority="238">
      <formula>B$9&lt;8/24</formula>
    </cfRule>
  </conditionalFormatting>
  <conditionalFormatting sqref="B62:AG62">
    <cfRule type="expression" dxfId="2087" priority="55">
      <formula>B$9&lt;8/24</formula>
    </cfRule>
    <cfRule type="expression" dxfId="2086" priority="51">
      <formula>B62&gt;$AG62</formula>
    </cfRule>
    <cfRule type="expression" dxfId="2085" priority="52">
      <formula>B$9&gt;=20/24</formula>
    </cfRule>
    <cfRule type="expression" dxfId="2084" priority="53">
      <formula>AND(B$9&gt;=14/24,B$9&lt;20/24)</formula>
    </cfRule>
    <cfRule type="expression" dxfId="2083" priority="54">
      <formula>AND(B$9&gt;=8/24,B$9&lt;14/24)</formula>
    </cfRule>
  </conditionalFormatting>
  <conditionalFormatting sqref="B75:AG76 B80:AG80">
    <cfRule type="expression" dxfId="2082" priority="37">
      <formula>B75&gt;$AG75</formula>
    </cfRule>
  </conditionalFormatting>
  <conditionalFormatting sqref="B80:AG80">
    <cfRule type="expression" dxfId="2081" priority="41">
      <formula>B$9&lt;8/24</formula>
    </cfRule>
    <cfRule type="expression" dxfId="2080" priority="40">
      <formula>AND(B$9&gt;=8/24,B$9&lt;14/24)</formula>
    </cfRule>
    <cfRule type="expression" dxfId="2079" priority="39">
      <formula>AND(B$9&gt;=14/24,B$9&lt;20/24)</formula>
    </cfRule>
    <cfRule type="expression" dxfId="2078" priority="38">
      <formula>B$9&gt;=20/24</formula>
    </cfRule>
  </conditionalFormatting>
  <conditionalFormatting sqref="E57:X57 B57:D61 E58:AF61">
    <cfRule type="expression" dxfId="2077" priority="33">
      <formula>B57&gt;$AG57</formula>
    </cfRule>
  </conditionalFormatting>
  <conditionalFormatting sqref="H63:L65">
    <cfRule type="expression" dxfId="2076" priority="219">
      <formula>H$9&lt;8/24</formula>
    </cfRule>
    <cfRule type="expression" dxfId="2075" priority="218">
      <formula>AND(H$9&gt;=8/24,H$9&lt;14/24)</formula>
    </cfRule>
    <cfRule type="expression" dxfId="2074" priority="217">
      <formula>AND(H$9&gt;=14/24,H$9&lt;20/24)</formula>
    </cfRule>
    <cfRule type="expression" dxfId="2073" priority="216">
      <formula>H$9&gt;=20/24</formula>
    </cfRule>
  </conditionalFormatting>
  <conditionalFormatting sqref="O3:P3">
    <cfRule type="iconSet" priority="239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2072" priority="241">
      <formula>C$9&gt;=20/24</formula>
    </cfRule>
  </conditionalFormatting>
  <conditionalFormatting sqref="S8">
    <cfRule type="expression" dxfId="2071" priority="228">
      <formula>U$9&gt;=20/24</formula>
    </cfRule>
    <cfRule type="expression" dxfId="2070" priority="229">
      <formula>AND(U$9&gt;=14/24,U$9&lt;20/24)</formula>
    </cfRule>
    <cfRule type="expression" dxfId="2069" priority="230">
      <formula>AND(U$9&gt;=8/24,U$9&lt;14/24)</formula>
    </cfRule>
    <cfRule type="expression" dxfId="2068" priority="231">
      <formula>U$9&lt;8/24</formula>
    </cfRule>
  </conditionalFormatting>
  <conditionalFormatting sqref="T260">
    <cfRule type="expression" dxfId="2067" priority="253">
      <formula>AX$9&gt;=20/24</formula>
    </cfRule>
    <cfRule type="expression" dxfId="2066" priority="254">
      <formula>AND(AX$9&gt;=14/24,AX$9&lt;20/24)</formula>
    </cfRule>
    <cfRule type="expression" dxfId="2065" priority="255">
      <formula>AND(AX$9&gt;=8/24,AX$9&lt;14/24)</formula>
    </cfRule>
    <cfRule type="expression" dxfId="2064" priority="256">
      <formula>AX$9&lt;8/24</formula>
    </cfRule>
  </conditionalFormatting>
  <conditionalFormatting sqref="V3 AB3">
    <cfRule type="iconSet" priority="240">
      <iconSet iconSet="3TrafficLights2" reverse="1">
        <cfvo type="percent" val="0"/>
        <cfvo type="num" val="1"/>
        <cfvo type="num" val="1"/>
      </iconSet>
    </cfRule>
  </conditionalFormatting>
  <conditionalFormatting sqref="Y53:AF55">
    <cfRule type="expression" dxfId="2063" priority="192">
      <formula>Y53&gt;$AG53</formula>
    </cfRule>
  </conditionalFormatting>
  <conditionalFormatting sqref="Y53:AF57">
    <cfRule type="expression" dxfId="2062" priority="191">
      <formula>Y$9&lt;8/24</formula>
    </cfRule>
  </conditionalFormatting>
  <conditionalFormatting sqref="Y55:AF57">
    <cfRule type="expression" dxfId="2061" priority="158">
      <formula>Y$9&gt;=20/24</formula>
    </cfRule>
    <cfRule type="expression" dxfId="2060" priority="160">
      <formula>AND(Y$9&gt;=8/24,Y$9&lt;14/24)</formula>
    </cfRule>
    <cfRule type="expression" dxfId="2059" priority="159">
      <formula>AND(Y$9&gt;=14/24,Y$9&lt;20/24)</formula>
    </cfRule>
  </conditionalFormatting>
  <conditionalFormatting sqref="Y56:AF57">
    <cfRule type="expression" dxfId="2058" priority="157">
      <formula>Y56&gt;$AG56</formula>
    </cfRule>
  </conditionalFormatting>
  <conditionalFormatting sqref="AB8">
    <cfRule type="expression" dxfId="2057" priority="224">
      <formula>AD$9&gt;=20/24</formula>
    </cfRule>
    <cfRule type="expression" dxfId="2056" priority="225">
      <formula>AND(AD$9&gt;=14/24,AD$9&lt;20/24)</formula>
    </cfRule>
    <cfRule type="expression" dxfId="2055" priority="226">
      <formula>AND(AD$9&gt;=8/24,AD$9&lt;14/24)</formula>
    </cfRule>
    <cfRule type="expression" dxfId="2054" priority="227">
      <formula>AD$9&lt;8/24</formula>
    </cfRule>
  </conditionalFormatting>
  <conditionalFormatting sqref="AG58">
    <cfRule type="expression" dxfId="2053" priority="211">
      <formula>AG58&gt;$AG58</formula>
    </cfRule>
  </conditionalFormatting>
  <conditionalFormatting sqref="AG97">
    <cfRule type="expression" dxfId="2052" priority="215">
      <formula>AG$9&lt;8/24</formula>
    </cfRule>
    <cfRule type="expression" dxfId="2051" priority="214">
      <formula>AND(AG$9&gt;=8/24,AG$9&lt;14/24)</formula>
    </cfRule>
    <cfRule type="expression" dxfId="2050" priority="213">
      <formula>AND(AG$9&gt;=14/24,AG$9&lt;20/24)</formula>
    </cfRule>
    <cfRule type="expression" dxfId="2049" priority="212">
      <formula>AG$9&gt;=20/24</formula>
    </cfRule>
  </conditionalFormatting>
  <conditionalFormatting sqref="AG260">
    <cfRule type="expression" dxfId="2048" priority="248">
      <formula>B$9&lt;8/24</formula>
    </cfRule>
    <cfRule type="expression" dxfId="2047" priority="247">
      <formula>AND(B$9&gt;=8/24,B$9&lt;14/24)</formula>
    </cfRule>
    <cfRule type="expression" dxfId="2046" priority="246">
      <formula>AND(B$9&gt;=14/24,B$9&lt;20/24)</formula>
    </cfRule>
    <cfRule type="expression" dxfId="2045" priority="245">
      <formula>B$9&gt;=20/24</formula>
    </cfRule>
  </conditionalFormatting>
  <conditionalFormatting sqref="AH260:AX260">
    <cfRule type="expression" dxfId="2044" priority="251">
      <formula>AND(AG$9&gt;=8/24,AG$9&lt;14/24)</formula>
    </cfRule>
    <cfRule type="expression" dxfId="2043" priority="249">
      <formula>AG$9&gt;=20/24</formula>
    </cfRule>
    <cfRule type="expression" dxfId="2042" priority="250">
      <formula>AND(AG$9&gt;=14/24,AG$9&lt;20/24)</formula>
    </cfRule>
    <cfRule type="expression" dxfId="2041" priority="252">
      <formula>AG$9&lt;8/24</formula>
    </cfRule>
  </conditionalFormatting>
  <conditionalFormatting sqref="AL4:AL6">
    <cfRule type="iconSet" priority="234">
      <iconSet iconSet="3TrafficLights2" reverse="1">
        <cfvo type="percent" val="0"/>
        <cfvo type="num" val="1"/>
        <cfvo type="num" val="1"/>
      </iconSet>
    </cfRule>
  </conditionalFormatting>
  <conditionalFormatting sqref="AL19:AL20">
    <cfRule type="iconSet" priority="199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209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98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208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210">
      <iconSet iconSet="3TrafficLights2" reverse="1">
        <cfvo type="percent" val="0"/>
        <cfvo type="num" val="1"/>
        <cfvo type="num" val="1"/>
      </iconSet>
    </cfRule>
  </conditionalFormatting>
  <conditionalFormatting sqref="AL48 AL45:AL46 AL21:AL24 AL7:AL18 AL26:AL37 AL39:AL43 AL54:AL55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232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97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2040" priority="258">
      <formula>AJ$9&gt;=20/24</formula>
    </cfRule>
    <cfRule type="expression" dxfId="2039" priority="259">
      <formula>AND(AJ$9&gt;=14/24,AJ$9&lt;20/24)</formula>
    </cfRule>
    <cfRule type="expression" dxfId="2038" priority="260">
      <formula>AND(AJ$9&gt;=8/24,AJ$9&lt;14/24)</formula>
    </cfRule>
    <cfRule type="expression" dxfId="2037" priority="261">
      <formula>AJ$9&lt;8/24</formula>
    </cfRule>
  </conditionalFormatting>
  <conditionalFormatting sqref="AL88:AN88 AL94:AN94">
    <cfRule type="expression" dxfId="2036" priority="204">
      <formula>AL$9&gt;=20/24</formula>
    </cfRule>
    <cfRule type="expression" dxfId="2035" priority="206">
      <formula>AND(AL$9&gt;=8/24,AL$9&lt;14/24)</formula>
    </cfRule>
    <cfRule type="expression" dxfId="2034" priority="207">
      <formula>AL$9&lt;8/24</formula>
    </cfRule>
    <cfRule type="expression" dxfId="2033" priority="205">
      <formula>AND(AL$9&gt;=14/24,AL$9&lt;20/24)</formula>
    </cfRule>
  </conditionalFormatting>
  <conditionalFormatting sqref="AN89:AN92">
    <cfRule type="expression" dxfId="2032" priority="200">
      <formula>AN$9&gt;=20/24</formula>
    </cfRule>
    <cfRule type="expression" dxfId="2031" priority="203">
      <formula>AN$9&lt;8/24</formula>
    </cfRule>
    <cfRule type="expression" dxfId="2030" priority="202">
      <formula>AND(AN$9&gt;=8/24,AN$9&lt;14/24)</formula>
    </cfRule>
    <cfRule type="expression" dxfId="2029" priority="201">
      <formula>AND(AN$9&gt;=14/24,AN$9&lt;20/24)</formula>
    </cfRule>
  </conditionalFormatting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B4D3E-CBC0-4E8B-9483-D02FF2D6446A}">
  <sheetPr codeName="Sheet10"/>
  <dimension ref="A1:CJ293"/>
  <sheetViews>
    <sheetView zoomScale="106" workbookViewId="0">
      <pane xSplit="1" ySplit="10" topLeftCell="B124" activePane="bottomRight" state="frozen"/>
      <selection activeCell="P118" sqref="P118"/>
      <selection pane="topRight" activeCell="P118" sqref="P118"/>
      <selection pane="bottomLeft" activeCell="P118" sqref="P118"/>
      <selection pane="bottomRight" activeCell="V85" sqref="V84:Y85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hidden="1" customHeight="1" thickBot="1" x14ac:dyDescent="0.3">
      <c r="A1" s="275" t="s">
        <v>0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  <c r="AD1" s="275"/>
      <c r="AE1" s="275"/>
      <c r="AF1" s="275"/>
      <c r="AG1" s="276" t="s">
        <v>1</v>
      </c>
      <c r="AH1" s="276"/>
      <c r="AI1" s="276"/>
      <c r="AL1" s="2"/>
    </row>
    <row r="2" spans="1:88" ht="20.25" hidden="1" x14ac:dyDescent="0.25">
      <c r="A2" s="3"/>
      <c r="B2" s="277" t="s">
        <v>2</v>
      </c>
      <c r="C2" s="4"/>
      <c r="D2" s="279" t="s">
        <v>3</v>
      </c>
      <c r="E2" s="4"/>
      <c r="F2" s="279" t="s">
        <v>4</v>
      </c>
      <c r="G2" s="4"/>
      <c r="H2" s="279" t="s">
        <v>5</v>
      </c>
      <c r="I2" s="5"/>
      <c r="J2" s="281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78"/>
      <c r="C3" s="16"/>
      <c r="D3" s="280"/>
      <c r="E3" s="16"/>
      <c r="F3" s="280"/>
      <c r="G3" s="16"/>
      <c r="H3" s="280"/>
      <c r="I3" s="17"/>
      <c r="J3" s="281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5.75" customHeight="1" x14ac:dyDescent="0.25">
      <c r="A4" s="25" t="s">
        <v>11</v>
      </c>
      <c r="B4" s="270" t="str">
        <f ca="1">"2080/"&amp;"10/"&amp;INT(MID(CELL("filename",D6),FIND("]",CELL("filename",D6))+1,200))</f>
        <v>2080/10/9</v>
      </c>
      <c r="C4" s="270"/>
      <c r="D4" s="270"/>
      <c r="E4" s="271" t="str">
        <f ca="1">"2080/"&amp;"10/"&amp;INT(MID(CELL("filename",G6),FIND("]",CELL("filename",G6))+1,200))</f>
        <v>2080/10/9</v>
      </c>
      <c r="F4" s="271"/>
      <c r="G4" s="271"/>
      <c r="H4" s="271" t="str">
        <f ca="1">TEXT(E4,"dddd")</f>
        <v>Wednesday</v>
      </c>
      <c r="I4" s="271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6.5" customHeight="1" x14ac:dyDescent="0.25">
      <c r="A5" s="29"/>
      <c r="B5" s="30">
        <f t="shared" ref="B5:AE5" si="0">C92</f>
        <v>445.6</v>
      </c>
      <c r="C5" s="30">
        <f t="shared" si="0"/>
        <v>442.70000000000005</v>
      </c>
      <c r="D5" s="30">
        <f t="shared" si="0"/>
        <v>441.29999999999995</v>
      </c>
      <c r="E5" s="30">
        <f t="shared" si="0"/>
        <v>460.8</v>
      </c>
      <c r="F5" s="30">
        <f t="shared" si="0"/>
        <v>473</v>
      </c>
      <c r="G5" s="30">
        <f t="shared" si="0"/>
        <v>459.6</v>
      </c>
      <c r="H5" s="30">
        <f t="shared" si="0"/>
        <v>468</v>
      </c>
      <c r="I5" s="30">
        <f t="shared" si="0"/>
        <v>496</v>
      </c>
      <c r="J5" s="30">
        <f t="shared" si="0"/>
        <v>270.3</v>
      </c>
      <c r="K5" s="30">
        <f t="shared" si="0"/>
        <v>162.19999999999999</v>
      </c>
      <c r="L5" s="30">
        <f t="shared" si="0"/>
        <v>146.19999999999999</v>
      </c>
      <c r="M5" s="30">
        <f t="shared" si="0"/>
        <v>131</v>
      </c>
      <c r="N5" s="30">
        <f t="shared" si="0"/>
        <v>288.10000000000002</v>
      </c>
      <c r="O5" s="30">
        <f t="shared" si="0"/>
        <v>305.10000000000002</v>
      </c>
      <c r="P5" s="30">
        <f t="shared" si="0"/>
        <v>588</v>
      </c>
      <c r="Q5" s="30">
        <f t="shared" si="0"/>
        <v>616.20000000000005</v>
      </c>
      <c r="R5" s="30">
        <f t="shared" si="0"/>
        <v>724.69999999999993</v>
      </c>
      <c r="S5" s="30">
        <f t="shared" si="0"/>
        <v>736.5</v>
      </c>
      <c r="T5" s="30">
        <f t="shared" si="0"/>
        <v>733.49999999999989</v>
      </c>
      <c r="U5" s="30">
        <f t="shared" si="0"/>
        <v>262.8</v>
      </c>
      <c r="V5" s="30">
        <f t="shared" si="0"/>
        <v>208.2</v>
      </c>
      <c r="W5" s="30">
        <f t="shared" si="0"/>
        <v>205.9</v>
      </c>
      <c r="X5" s="30">
        <f t="shared" si="0"/>
        <v>243.10000000000002</v>
      </c>
      <c r="Y5" s="30">
        <f t="shared" si="0"/>
        <v>262</v>
      </c>
      <c r="Z5" s="30">
        <f t="shared" si="0"/>
        <v>390</v>
      </c>
      <c r="AA5" s="30">
        <f t="shared" si="0"/>
        <v>353.8</v>
      </c>
      <c r="AB5" s="30">
        <f t="shared" si="0"/>
        <v>422.79999999999995</v>
      </c>
      <c r="AC5" s="30">
        <f t="shared" si="0"/>
        <v>536.29999999999995</v>
      </c>
      <c r="AD5" s="30">
        <f t="shared" si="0"/>
        <v>564.5</v>
      </c>
      <c r="AE5" s="30">
        <f t="shared" si="0"/>
        <v>558.29999999999995</v>
      </c>
      <c r="AF5" s="30">
        <f>B92</f>
        <v>433.2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7.5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1815MW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Load=1126</v>
      </c>
      <c r="B7" s="35">
        <f>B100</f>
        <v>1176.3399999999999</v>
      </c>
      <c r="C7" s="35">
        <f t="shared" ref="C7:AF7" si="1">C100</f>
        <v>1171.74</v>
      </c>
      <c r="D7" s="35">
        <f t="shared" si="1"/>
        <v>1143.1400000000001</v>
      </c>
      <c r="E7" s="35">
        <f t="shared" si="1"/>
        <v>1125.54</v>
      </c>
      <c r="F7" s="35">
        <f t="shared" si="1"/>
        <v>1161.8400000000001</v>
      </c>
      <c r="G7" s="35">
        <f t="shared" si="1"/>
        <v>1227.7400000000002</v>
      </c>
      <c r="H7" s="35">
        <f t="shared" si="1"/>
        <v>1289.44</v>
      </c>
      <c r="I7" s="35">
        <f t="shared" si="1"/>
        <v>1399.14</v>
      </c>
      <c r="J7" s="35">
        <f t="shared" si="1"/>
        <v>1495.7400000000002</v>
      </c>
      <c r="K7" s="35">
        <f t="shared" si="1"/>
        <v>1665.44</v>
      </c>
      <c r="L7" s="35">
        <f t="shared" si="1"/>
        <v>1814.68</v>
      </c>
      <c r="M7" s="35">
        <f t="shared" si="1"/>
        <v>1794.7400000000002</v>
      </c>
      <c r="N7" s="35">
        <f t="shared" si="1"/>
        <v>1712.9400000000003</v>
      </c>
      <c r="O7" s="35">
        <f t="shared" si="1"/>
        <v>1662.1400000000003</v>
      </c>
      <c r="P7" s="35">
        <f t="shared" si="1"/>
        <v>1598.64</v>
      </c>
      <c r="Q7" s="35">
        <f t="shared" si="1"/>
        <v>1598.14</v>
      </c>
      <c r="R7" s="35">
        <f t="shared" si="1"/>
        <v>1550.24</v>
      </c>
      <c r="S7" s="35">
        <f t="shared" si="1"/>
        <v>1560.8400000000001</v>
      </c>
      <c r="T7" s="35">
        <f t="shared" si="1"/>
        <v>1577.04</v>
      </c>
      <c r="U7" s="35">
        <f t="shared" si="1"/>
        <v>1621.6399999999999</v>
      </c>
      <c r="V7" s="35">
        <f t="shared" si="1"/>
        <v>1514.44</v>
      </c>
      <c r="W7" s="35">
        <f t="shared" si="1"/>
        <v>1661.8400000000001</v>
      </c>
      <c r="X7" s="35">
        <f t="shared" si="1"/>
        <v>1858.8400000000001</v>
      </c>
      <c r="Y7" s="35">
        <f t="shared" si="1"/>
        <v>1943.04</v>
      </c>
      <c r="Z7" s="35">
        <f t="shared" si="1"/>
        <v>1899.5400000000002</v>
      </c>
      <c r="AA7" s="35">
        <f t="shared" si="1"/>
        <v>1885.2400000000002</v>
      </c>
      <c r="AB7" s="35">
        <f t="shared" si="1"/>
        <v>1829.1000000000001</v>
      </c>
      <c r="AC7" s="35">
        <f t="shared" si="1"/>
        <v>1741.99</v>
      </c>
      <c r="AD7" s="35">
        <f t="shared" si="1"/>
        <v>1604.14</v>
      </c>
      <c r="AE7" s="35">
        <f t="shared" si="1"/>
        <v>1415.79</v>
      </c>
      <c r="AF7" s="35">
        <f t="shared" si="1"/>
        <v>1281.5900000000001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72" t="s">
        <v>14</v>
      </c>
      <c r="C8" s="273"/>
      <c r="D8" s="273"/>
      <c r="E8" s="273"/>
      <c r="F8" s="273"/>
      <c r="G8" s="273"/>
      <c r="H8" s="273"/>
      <c r="I8" s="273"/>
      <c r="J8" s="273"/>
      <c r="K8" s="273"/>
      <c r="L8" s="274"/>
      <c r="M8" s="265" t="s">
        <v>15</v>
      </c>
      <c r="N8" s="266"/>
      <c r="O8" s="266"/>
      <c r="P8" s="266"/>
      <c r="Q8" s="266"/>
      <c r="R8" s="267"/>
      <c r="S8" s="265" t="s">
        <v>16</v>
      </c>
      <c r="T8" s="266"/>
      <c r="U8" s="266"/>
      <c r="V8" s="266"/>
      <c r="W8" s="266"/>
      <c r="X8" s="266"/>
      <c r="Y8" s="266"/>
      <c r="Z8" s="266"/>
      <c r="AA8" s="267"/>
      <c r="AB8" s="265" t="s">
        <v>17</v>
      </c>
      <c r="AC8" s="266"/>
      <c r="AD8" s="266"/>
      <c r="AE8" s="266"/>
      <c r="AF8" s="267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68" t="s">
        <v>18</v>
      </c>
      <c r="B9" s="264">
        <v>0</v>
      </c>
      <c r="C9" s="264">
        <v>4.1666666666666664E-2</v>
      </c>
      <c r="D9" s="264">
        <v>8.3333333333333301E-2</v>
      </c>
      <c r="E9" s="264">
        <v>0.125</v>
      </c>
      <c r="F9" s="264">
        <v>0.16666666666666699</v>
      </c>
      <c r="G9" s="264">
        <v>0.20833333333333301</v>
      </c>
      <c r="H9" s="264">
        <v>0.22916666666666666</v>
      </c>
      <c r="I9" s="264">
        <v>0.25</v>
      </c>
      <c r="J9" s="264">
        <v>0.27083333333333331</v>
      </c>
      <c r="K9" s="264">
        <v>0.29166666666666669</v>
      </c>
      <c r="L9" s="264">
        <v>0.3125</v>
      </c>
      <c r="M9" s="262">
        <v>0.33333333333333331</v>
      </c>
      <c r="N9" s="262">
        <v>0.375</v>
      </c>
      <c r="O9" s="262">
        <v>0.41666666666666702</v>
      </c>
      <c r="P9" s="262">
        <v>0.45833333333333298</v>
      </c>
      <c r="Q9" s="262">
        <v>0.5</v>
      </c>
      <c r="R9" s="262">
        <v>0.54166666666666696</v>
      </c>
      <c r="S9" s="258">
        <v>0.58333333333333304</v>
      </c>
      <c r="T9" s="258">
        <v>0.625</v>
      </c>
      <c r="U9" s="258">
        <v>0.66666666666666696</v>
      </c>
      <c r="V9" s="258">
        <v>0.70833333333333304</v>
      </c>
      <c r="W9" s="258">
        <v>0.72916666666666663</v>
      </c>
      <c r="X9" s="258">
        <v>0.75</v>
      </c>
      <c r="Y9" s="258">
        <v>0.77083333333333337</v>
      </c>
      <c r="Z9" s="258">
        <v>0.79166666666666663</v>
      </c>
      <c r="AA9" s="258">
        <v>0.8125</v>
      </c>
      <c r="AB9" s="258">
        <v>0.83333333333333337</v>
      </c>
      <c r="AC9" s="258">
        <v>0.85416666666666663</v>
      </c>
      <c r="AD9" s="258">
        <v>0.875</v>
      </c>
      <c r="AE9" s="258">
        <v>0.91666666666666696</v>
      </c>
      <c r="AF9" s="258">
        <v>0.95833333333333304</v>
      </c>
      <c r="AG9" s="260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69"/>
      <c r="B10" s="259"/>
      <c r="C10" s="259"/>
      <c r="D10" s="259"/>
      <c r="E10" s="259"/>
      <c r="F10" s="259"/>
      <c r="G10" s="259"/>
      <c r="H10" s="259"/>
      <c r="I10" s="259"/>
      <c r="J10" s="259"/>
      <c r="K10" s="259"/>
      <c r="L10" s="259"/>
      <c r="M10" s="263"/>
      <c r="N10" s="263"/>
      <c r="O10" s="263"/>
      <c r="P10" s="263"/>
      <c r="Q10" s="263"/>
      <c r="R10" s="263"/>
      <c r="S10" s="259"/>
      <c r="T10" s="259"/>
      <c r="U10" s="259"/>
      <c r="V10" s="259"/>
      <c r="W10" s="259"/>
      <c r="X10" s="259"/>
      <c r="Y10" s="259"/>
      <c r="Z10" s="259"/>
      <c r="AA10" s="259"/>
      <c r="AB10" s="259"/>
      <c r="AC10" s="259"/>
      <c r="AD10" s="259"/>
      <c r="AE10" s="259"/>
      <c r="AF10" s="259"/>
      <c r="AG10" s="261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33</v>
      </c>
      <c r="C11" s="45">
        <v>33</v>
      </c>
      <c r="D11" s="45">
        <v>33</v>
      </c>
      <c r="E11" s="45">
        <v>33.299999999999997</v>
      </c>
      <c r="F11" s="45">
        <v>33.299999999999997</v>
      </c>
      <c r="G11" s="45">
        <v>33.299999999999997</v>
      </c>
      <c r="H11" s="45">
        <v>33.299999999999997</v>
      </c>
      <c r="I11" s="45">
        <v>33.299999999999997</v>
      </c>
      <c r="J11" s="45">
        <v>33.299999999999997</v>
      </c>
      <c r="K11" s="45">
        <v>33.299999999999997</v>
      </c>
      <c r="L11" s="45">
        <v>33.299999999999997</v>
      </c>
      <c r="M11" s="45">
        <v>32.799999999999997</v>
      </c>
      <c r="N11" s="45">
        <v>32.799999999999997</v>
      </c>
      <c r="O11" s="45">
        <v>31.8</v>
      </c>
      <c r="P11" s="45">
        <v>31.3</v>
      </c>
      <c r="Q11" s="45">
        <v>30.8</v>
      </c>
      <c r="R11" s="45">
        <v>30.1</v>
      </c>
      <c r="S11" s="45">
        <v>30.1</v>
      </c>
      <c r="T11" s="45">
        <v>30.1</v>
      </c>
      <c r="U11" s="45">
        <v>30.1</v>
      </c>
      <c r="V11" s="45">
        <v>30.1</v>
      </c>
      <c r="W11" s="45">
        <v>30.1</v>
      </c>
      <c r="X11" s="45">
        <v>30.1</v>
      </c>
      <c r="Y11" s="45">
        <v>30.1</v>
      </c>
      <c r="Z11" s="45">
        <v>30.1</v>
      </c>
      <c r="AA11" s="45">
        <v>30.1</v>
      </c>
      <c r="AB11" s="45">
        <v>31.8</v>
      </c>
      <c r="AC11" s="45">
        <v>31.8</v>
      </c>
      <c r="AD11" s="45">
        <v>31.8</v>
      </c>
      <c r="AE11" s="45">
        <v>31.8</v>
      </c>
      <c r="AF11" s="45">
        <v>31.8</v>
      </c>
      <c r="AG11" s="46">
        <v>86</v>
      </c>
      <c r="AH11" s="47">
        <f t="shared" ref="AH11:AH84" si="2">MAX(B11:AF11)</f>
        <v>33.299999999999997</v>
      </c>
      <c r="AI11" s="48">
        <f t="shared" ref="AI11:AI84" si="3">MIN(B11:AF11)</f>
        <v>30.1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262</v>
      </c>
      <c r="B12" s="45">
        <v>11.2</v>
      </c>
      <c r="C12" s="45">
        <v>11.2</v>
      </c>
      <c r="D12" s="45">
        <v>11.2</v>
      </c>
      <c r="E12" s="45">
        <v>11.2</v>
      </c>
      <c r="F12" s="45">
        <v>11.2</v>
      </c>
      <c r="G12" s="45">
        <v>11.2</v>
      </c>
      <c r="H12" s="45">
        <v>11.2</v>
      </c>
      <c r="I12" s="45">
        <v>11.2</v>
      </c>
      <c r="J12" s="45">
        <v>11.2</v>
      </c>
      <c r="K12" s="45">
        <v>11.2</v>
      </c>
      <c r="L12" s="45">
        <v>11.2</v>
      </c>
      <c r="M12" s="45">
        <v>11.2</v>
      </c>
      <c r="N12" s="45">
        <v>11.2</v>
      </c>
      <c r="O12" s="45">
        <v>11.2</v>
      </c>
      <c r="P12" s="45">
        <v>11.2</v>
      </c>
      <c r="Q12" s="45">
        <v>11.2</v>
      </c>
      <c r="R12" s="45">
        <v>11.2</v>
      </c>
      <c r="S12" s="45">
        <v>11.2</v>
      </c>
      <c r="T12" s="45">
        <v>11.2</v>
      </c>
      <c r="U12" s="45">
        <v>11.2</v>
      </c>
      <c r="V12" s="45">
        <v>11.2</v>
      </c>
      <c r="W12" s="45">
        <v>11.2</v>
      </c>
      <c r="X12" s="45">
        <v>11.2</v>
      </c>
      <c r="Y12" s="45">
        <v>11.2</v>
      </c>
      <c r="Z12" s="45">
        <v>11.2</v>
      </c>
      <c r="AA12" s="45">
        <v>11.2</v>
      </c>
      <c r="AB12" s="45">
        <v>11.1</v>
      </c>
      <c r="AC12" s="45">
        <v>11.1</v>
      </c>
      <c r="AD12" s="45">
        <v>11.1</v>
      </c>
      <c r="AE12" s="45">
        <v>11.1</v>
      </c>
      <c r="AF12" s="45">
        <v>11.1</v>
      </c>
      <c r="AG12" s="49">
        <v>54</v>
      </c>
      <c r="AH12" s="47">
        <f t="shared" si="2"/>
        <v>11.2</v>
      </c>
      <c r="AI12" s="48">
        <f t="shared" si="3"/>
        <v>11.1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15.5</v>
      </c>
      <c r="C13" s="45">
        <v>15.5</v>
      </c>
      <c r="D13" s="45">
        <v>15.5</v>
      </c>
      <c r="E13" s="45">
        <v>15.5</v>
      </c>
      <c r="F13" s="45">
        <v>15.5</v>
      </c>
      <c r="G13" s="45">
        <v>15.5</v>
      </c>
      <c r="H13" s="45">
        <v>15.5</v>
      </c>
      <c r="I13" s="45">
        <v>15.5</v>
      </c>
      <c r="J13" s="45">
        <v>15.5</v>
      </c>
      <c r="K13" s="45">
        <v>15.5</v>
      </c>
      <c r="L13" s="45">
        <v>15.5</v>
      </c>
      <c r="M13" s="45">
        <v>15.5</v>
      </c>
      <c r="N13" s="45">
        <v>15.5</v>
      </c>
      <c r="O13" s="45">
        <v>15.5</v>
      </c>
      <c r="P13" s="45">
        <v>15.5</v>
      </c>
      <c r="Q13" s="45">
        <v>15.5</v>
      </c>
      <c r="R13" s="45">
        <v>15.5</v>
      </c>
      <c r="S13" s="45">
        <v>15.5</v>
      </c>
      <c r="T13" s="45">
        <v>15.5</v>
      </c>
      <c r="U13" s="45">
        <v>15.5</v>
      </c>
      <c r="V13" s="45">
        <v>15.5</v>
      </c>
      <c r="W13" s="45">
        <v>15.5</v>
      </c>
      <c r="X13" s="45">
        <v>15.5</v>
      </c>
      <c r="Y13" s="45">
        <v>15.5</v>
      </c>
      <c r="Z13" s="45">
        <v>15.5</v>
      </c>
      <c r="AA13" s="45">
        <v>15.5</v>
      </c>
      <c r="AB13" s="45">
        <v>15.5</v>
      </c>
      <c r="AC13" s="45">
        <v>15.5</v>
      </c>
      <c r="AD13" s="45">
        <v>15.5</v>
      </c>
      <c r="AE13" s="45">
        <v>15.5</v>
      </c>
      <c r="AF13" s="45">
        <v>15.5</v>
      </c>
      <c r="AG13" s="49">
        <v>54</v>
      </c>
      <c r="AH13" s="47">
        <f t="shared" si="2"/>
        <v>15.5</v>
      </c>
      <c r="AI13" s="48">
        <f t="shared" si="3"/>
        <v>15.5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16.5</v>
      </c>
      <c r="C14" s="45">
        <v>16.3</v>
      </c>
      <c r="D14" s="45">
        <v>16.3</v>
      </c>
      <c r="E14" s="45">
        <v>16.399999999999999</v>
      </c>
      <c r="F14" s="45">
        <v>16.399999999999999</v>
      </c>
      <c r="G14" s="45">
        <v>16.399999999999999</v>
      </c>
      <c r="H14" s="45">
        <v>16.399999999999999</v>
      </c>
      <c r="I14" s="45">
        <v>16.399999999999999</v>
      </c>
      <c r="J14" s="45">
        <v>16.399999999999999</v>
      </c>
      <c r="K14" s="45">
        <v>16.399999999999999</v>
      </c>
      <c r="L14" s="45">
        <v>16.399999999999999</v>
      </c>
      <c r="M14" s="45">
        <v>15.1</v>
      </c>
      <c r="N14" s="45">
        <v>15.1</v>
      </c>
      <c r="O14" s="45">
        <v>15.1</v>
      </c>
      <c r="P14" s="45">
        <v>15.1</v>
      </c>
      <c r="Q14" s="45">
        <v>15.1</v>
      </c>
      <c r="R14" s="45">
        <v>15.1</v>
      </c>
      <c r="S14" s="45">
        <v>15.1</v>
      </c>
      <c r="T14" s="45">
        <v>15.1</v>
      </c>
      <c r="U14" s="45">
        <v>15.1</v>
      </c>
      <c r="V14" s="45">
        <v>15.1</v>
      </c>
      <c r="W14" s="45">
        <v>15.1</v>
      </c>
      <c r="X14" s="45">
        <v>15.1</v>
      </c>
      <c r="Y14" s="45">
        <v>15.1</v>
      </c>
      <c r="Z14" s="45">
        <v>15.1</v>
      </c>
      <c r="AA14" s="45">
        <v>15.1</v>
      </c>
      <c r="AB14" s="45">
        <v>16.100000000000001</v>
      </c>
      <c r="AC14" s="45">
        <v>16.100000000000001</v>
      </c>
      <c r="AD14" s="45">
        <v>16.100000000000001</v>
      </c>
      <c r="AE14" s="45">
        <v>16.100000000000001</v>
      </c>
      <c r="AF14" s="45">
        <v>16.100000000000001</v>
      </c>
      <c r="AG14" s="46">
        <v>52.4</v>
      </c>
      <c r="AH14" s="47">
        <f t="shared" si="2"/>
        <v>16.5</v>
      </c>
      <c r="AI14" s="48">
        <f t="shared" si="3"/>
        <v>15.1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34</v>
      </c>
      <c r="C15" s="45">
        <v>33.5</v>
      </c>
      <c r="D15" s="45">
        <v>33.5</v>
      </c>
      <c r="E15" s="45">
        <v>33.700000000000003</v>
      </c>
      <c r="F15" s="45">
        <v>33.700000000000003</v>
      </c>
      <c r="G15" s="45">
        <v>33.700000000000003</v>
      </c>
      <c r="H15" s="45">
        <v>33.700000000000003</v>
      </c>
      <c r="I15" s="45">
        <v>33.700000000000003</v>
      </c>
      <c r="J15" s="45">
        <v>33.700000000000003</v>
      </c>
      <c r="K15" s="45">
        <v>33.700000000000003</v>
      </c>
      <c r="L15" s="45">
        <v>33.700000000000003</v>
      </c>
      <c r="M15" s="45">
        <v>33.9</v>
      </c>
      <c r="N15" s="45">
        <v>33.9</v>
      </c>
      <c r="O15" s="45">
        <v>33.9</v>
      </c>
      <c r="P15" s="45">
        <v>33.9</v>
      </c>
      <c r="Q15" s="45">
        <v>33.9</v>
      </c>
      <c r="R15" s="45">
        <v>33.9</v>
      </c>
      <c r="S15" s="45">
        <v>33.9</v>
      </c>
      <c r="T15" s="45">
        <v>33.9</v>
      </c>
      <c r="U15" s="45">
        <v>33.9</v>
      </c>
      <c r="V15" s="45">
        <v>33.9</v>
      </c>
      <c r="W15" s="45">
        <v>33.9</v>
      </c>
      <c r="X15" s="45">
        <v>33.9</v>
      </c>
      <c r="Y15" s="51">
        <v>33.9</v>
      </c>
      <c r="Z15" s="51">
        <v>33.9</v>
      </c>
      <c r="AA15" s="51">
        <v>33.9</v>
      </c>
      <c r="AB15" s="45">
        <v>33.700000000000003</v>
      </c>
      <c r="AC15" s="45">
        <v>33.700000000000003</v>
      </c>
      <c r="AD15" s="45">
        <v>33.700000000000003</v>
      </c>
      <c r="AE15" s="45">
        <v>33.700000000000003</v>
      </c>
      <c r="AF15" s="45">
        <v>33.700000000000003</v>
      </c>
      <c r="AG15" s="49">
        <v>50</v>
      </c>
      <c r="AH15" s="47">
        <f t="shared" si="2"/>
        <v>34</v>
      </c>
      <c r="AI15" s="48">
        <f t="shared" si="3"/>
        <v>33.5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19.100000000000001</v>
      </c>
      <c r="C16" s="45">
        <v>19.100000000000001</v>
      </c>
      <c r="D16" s="45">
        <v>19.100000000000001</v>
      </c>
      <c r="E16" s="45">
        <v>18.100000000000001</v>
      </c>
      <c r="F16" s="45">
        <v>18.100000000000001</v>
      </c>
      <c r="G16" s="45">
        <v>18.100000000000001</v>
      </c>
      <c r="H16" s="45">
        <v>18.100000000000001</v>
      </c>
      <c r="I16" s="45">
        <v>18.100000000000001</v>
      </c>
      <c r="J16" s="45">
        <v>18.100000000000001</v>
      </c>
      <c r="K16" s="45">
        <v>18.100000000000001</v>
      </c>
      <c r="L16" s="45">
        <v>18.100000000000001</v>
      </c>
      <c r="M16" s="45">
        <v>16.600000000000001</v>
      </c>
      <c r="N16" s="45">
        <v>16.600000000000001</v>
      </c>
      <c r="O16" s="45">
        <v>16.600000000000001</v>
      </c>
      <c r="P16" s="45">
        <v>16.600000000000001</v>
      </c>
      <c r="Q16" s="45">
        <v>16.600000000000001</v>
      </c>
      <c r="R16" s="45">
        <v>16.600000000000001</v>
      </c>
      <c r="S16" s="45">
        <v>16.600000000000001</v>
      </c>
      <c r="T16" s="45">
        <v>16.600000000000001</v>
      </c>
      <c r="U16" s="45">
        <v>16.600000000000001</v>
      </c>
      <c r="V16" s="45">
        <v>16.600000000000001</v>
      </c>
      <c r="W16" s="45">
        <v>16.600000000000001</v>
      </c>
      <c r="X16" s="45">
        <v>16.600000000000001</v>
      </c>
      <c r="Y16" s="45">
        <v>16.600000000000001</v>
      </c>
      <c r="Z16" s="45">
        <v>16.600000000000001</v>
      </c>
      <c r="AA16" s="45">
        <v>16.600000000000001</v>
      </c>
      <c r="AB16" s="45">
        <v>19.100000000000001</v>
      </c>
      <c r="AC16" s="45">
        <v>19.100000000000001</v>
      </c>
      <c r="AD16" s="45">
        <v>19.100000000000001</v>
      </c>
      <c r="AE16" s="45">
        <v>19.100000000000001</v>
      </c>
      <c r="AF16" s="45">
        <v>19.100000000000001</v>
      </c>
      <c r="AG16" s="49">
        <v>45</v>
      </c>
      <c r="AH16" s="47">
        <f t="shared" si="2"/>
        <v>19.100000000000001</v>
      </c>
      <c r="AI16" s="48">
        <f t="shared" si="3"/>
        <v>16.600000000000001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16.5</v>
      </c>
      <c r="C17" s="45">
        <v>16.5</v>
      </c>
      <c r="D17" s="45">
        <v>16.5</v>
      </c>
      <c r="E17" s="45">
        <v>16.5</v>
      </c>
      <c r="F17" s="45">
        <v>16.5</v>
      </c>
      <c r="G17" s="45">
        <v>16.5</v>
      </c>
      <c r="H17" s="45">
        <v>16.5</v>
      </c>
      <c r="I17" s="45">
        <v>16.5</v>
      </c>
      <c r="J17" s="45">
        <v>16.5</v>
      </c>
      <c r="K17" s="45">
        <v>16.5</v>
      </c>
      <c r="L17" s="45">
        <v>16.5</v>
      </c>
      <c r="M17" s="45">
        <v>16.5</v>
      </c>
      <c r="N17" s="45">
        <v>16.5</v>
      </c>
      <c r="O17" s="45">
        <v>16.5</v>
      </c>
      <c r="P17" s="45">
        <v>16.5</v>
      </c>
      <c r="Q17" s="45">
        <v>16.5</v>
      </c>
      <c r="R17" s="45">
        <v>16.5</v>
      </c>
      <c r="S17" s="45">
        <v>16.5</v>
      </c>
      <c r="T17" s="45">
        <v>16.5</v>
      </c>
      <c r="U17" s="45">
        <v>16.5</v>
      </c>
      <c r="V17" s="45">
        <v>16.5</v>
      </c>
      <c r="W17" s="45">
        <v>16.5</v>
      </c>
      <c r="X17" s="45">
        <v>16.5</v>
      </c>
      <c r="Y17" s="45">
        <v>16.5</v>
      </c>
      <c r="Z17" s="45">
        <v>16.5</v>
      </c>
      <c r="AA17" s="45">
        <v>16.5</v>
      </c>
      <c r="AB17" s="45">
        <v>16.5</v>
      </c>
      <c r="AC17" s="45">
        <v>16.5</v>
      </c>
      <c r="AD17" s="45">
        <v>16.5</v>
      </c>
      <c r="AE17" s="45">
        <v>16.5</v>
      </c>
      <c r="AF17" s="45">
        <v>16.5</v>
      </c>
      <c r="AG17" s="49">
        <v>44</v>
      </c>
      <c r="AH17" s="47">
        <f>MAX(B17:AG17)</f>
        <v>44</v>
      </c>
      <c r="AI17" s="48">
        <f>MIN(B17:AG17)</f>
        <v>16.5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9.5</v>
      </c>
      <c r="C18" s="45">
        <v>9.5</v>
      </c>
      <c r="D18" s="45">
        <v>9.5</v>
      </c>
      <c r="E18" s="45">
        <v>9.5</v>
      </c>
      <c r="F18" s="45">
        <v>9.5</v>
      </c>
      <c r="G18" s="45">
        <v>9.5</v>
      </c>
      <c r="H18" s="45">
        <v>9.5</v>
      </c>
      <c r="I18" s="45">
        <v>9.5</v>
      </c>
      <c r="J18" s="45">
        <v>9.5</v>
      </c>
      <c r="K18" s="45">
        <v>9.5</v>
      </c>
      <c r="L18" s="45">
        <v>9.5</v>
      </c>
      <c r="M18" s="45">
        <v>9</v>
      </c>
      <c r="N18" s="45">
        <v>9</v>
      </c>
      <c r="O18" s="45">
        <v>9</v>
      </c>
      <c r="P18" s="45">
        <v>9</v>
      </c>
      <c r="Q18" s="45">
        <v>9</v>
      </c>
      <c r="R18" s="45">
        <v>9</v>
      </c>
      <c r="S18" s="45">
        <v>9</v>
      </c>
      <c r="T18" s="45">
        <v>9</v>
      </c>
      <c r="U18" s="45">
        <v>9</v>
      </c>
      <c r="V18" s="45">
        <v>9</v>
      </c>
      <c r="W18" s="45">
        <v>9</v>
      </c>
      <c r="X18" s="45">
        <v>9</v>
      </c>
      <c r="Y18" s="45">
        <v>9</v>
      </c>
      <c r="Z18" s="45">
        <v>9</v>
      </c>
      <c r="AA18" s="45">
        <v>9</v>
      </c>
      <c r="AB18" s="45">
        <v>9.35</v>
      </c>
      <c r="AC18" s="45">
        <v>9.35</v>
      </c>
      <c r="AD18" s="45">
        <v>9.35</v>
      </c>
      <c r="AE18" s="45">
        <v>9.35</v>
      </c>
      <c r="AF18" s="45">
        <v>9.35</v>
      </c>
      <c r="AG18" s="49">
        <v>42</v>
      </c>
      <c r="AH18" s="47">
        <f t="shared" si="2"/>
        <v>9.5</v>
      </c>
      <c r="AI18" s="48">
        <f t="shared" si="3"/>
        <v>9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263</v>
      </c>
      <c r="B19" s="45">
        <v>15.4</v>
      </c>
      <c r="C19" s="45">
        <v>15.4</v>
      </c>
      <c r="D19" s="45">
        <v>15.4</v>
      </c>
      <c r="E19" s="45">
        <v>15.4</v>
      </c>
      <c r="F19" s="45">
        <v>15.4</v>
      </c>
      <c r="G19" s="45">
        <v>15.4</v>
      </c>
      <c r="H19" s="45">
        <v>15.4</v>
      </c>
      <c r="I19" s="45">
        <v>15.4</v>
      </c>
      <c r="J19" s="45">
        <v>15.4</v>
      </c>
      <c r="K19" s="45">
        <v>15.4</v>
      </c>
      <c r="L19" s="45">
        <v>15.4</v>
      </c>
      <c r="M19" s="45">
        <v>15.4</v>
      </c>
      <c r="N19" s="45">
        <v>15.4</v>
      </c>
      <c r="O19" s="45">
        <v>15.4</v>
      </c>
      <c r="P19" s="45">
        <v>15.4</v>
      </c>
      <c r="Q19" s="45">
        <v>15.4</v>
      </c>
      <c r="R19" s="45">
        <v>15.4</v>
      </c>
      <c r="S19" s="45">
        <v>15.4</v>
      </c>
      <c r="T19" s="45">
        <v>15.4</v>
      </c>
      <c r="U19" s="45">
        <v>15.4</v>
      </c>
      <c r="V19" s="45">
        <v>15.4</v>
      </c>
      <c r="W19" s="45">
        <v>15.4</v>
      </c>
      <c r="X19" s="45">
        <v>15.4</v>
      </c>
      <c r="Y19" s="45">
        <v>15.4</v>
      </c>
      <c r="Z19" s="45">
        <v>15.4</v>
      </c>
      <c r="AA19" s="45">
        <v>15.4</v>
      </c>
      <c r="AB19" s="45">
        <v>15.4</v>
      </c>
      <c r="AC19" s="45">
        <v>15.4</v>
      </c>
      <c r="AD19" s="45">
        <v>15.4</v>
      </c>
      <c r="AE19" s="45">
        <v>15.4</v>
      </c>
      <c r="AF19" s="45">
        <v>15.4</v>
      </c>
      <c r="AG19" s="49">
        <v>38.46</v>
      </c>
      <c r="AH19" s="47">
        <f t="shared" si="2"/>
        <v>15.4</v>
      </c>
      <c r="AI19" s="48">
        <f t="shared" si="3"/>
        <v>15.4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10.199999999999999</v>
      </c>
      <c r="C20" s="45">
        <v>10.199999999999999</v>
      </c>
      <c r="D20" s="45">
        <v>10.199999999999999</v>
      </c>
      <c r="E20" s="45">
        <v>10.199999999999999</v>
      </c>
      <c r="F20" s="45">
        <v>10.199999999999999</v>
      </c>
      <c r="G20" s="45">
        <v>10.199999999999999</v>
      </c>
      <c r="H20" s="45">
        <v>10.199999999999999</v>
      </c>
      <c r="I20" s="45">
        <v>10.199999999999999</v>
      </c>
      <c r="J20" s="45">
        <v>10.199999999999999</v>
      </c>
      <c r="K20" s="45">
        <v>10.199999999999999</v>
      </c>
      <c r="L20" s="45">
        <v>10.199999999999999</v>
      </c>
      <c r="M20" s="45">
        <v>10.199999999999999</v>
      </c>
      <c r="N20" s="45">
        <v>10.199999999999999</v>
      </c>
      <c r="O20" s="45">
        <v>10.199999999999999</v>
      </c>
      <c r="P20" s="45">
        <v>10.199999999999999</v>
      </c>
      <c r="Q20" s="45">
        <v>10.199999999999999</v>
      </c>
      <c r="R20" s="45">
        <v>10.199999999999999</v>
      </c>
      <c r="S20" s="45">
        <v>10.199999999999999</v>
      </c>
      <c r="T20" s="45">
        <v>10.199999999999999</v>
      </c>
      <c r="U20" s="45">
        <v>10.199999999999999</v>
      </c>
      <c r="V20" s="45">
        <v>10.199999999999999</v>
      </c>
      <c r="W20" s="45">
        <v>10.199999999999999</v>
      </c>
      <c r="X20" s="45">
        <v>10.199999999999999</v>
      </c>
      <c r="Y20" s="45">
        <v>10.199999999999999</v>
      </c>
      <c r="Z20" s="45">
        <v>10.199999999999999</v>
      </c>
      <c r="AA20" s="45">
        <v>10.199999999999999</v>
      </c>
      <c r="AB20" s="45">
        <v>10.199999999999999</v>
      </c>
      <c r="AC20" s="45">
        <v>10.199999999999999</v>
      </c>
      <c r="AD20" s="45">
        <v>10.199999999999999</v>
      </c>
      <c r="AE20" s="45">
        <v>10.199999999999999</v>
      </c>
      <c r="AF20" s="45">
        <v>10.199999999999999</v>
      </c>
      <c r="AG20" s="49">
        <v>38.46</v>
      </c>
      <c r="AH20" s="47">
        <f t="shared" si="2"/>
        <v>10.199999999999999</v>
      </c>
      <c r="AI20" s="48">
        <f t="shared" si="3"/>
        <v>10.199999999999999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13.6</v>
      </c>
      <c r="C21" s="45">
        <v>13.6</v>
      </c>
      <c r="D21" s="45">
        <v>13.6</v>
      </c>
      <c r="E21" s="45">
        <v>13.6</v>
      </c>
      <c r="F21" s="45">
        <v>13.6</v>
      </c>
      <c r="G21" s="45">
        <v>13.6</v>
      </c>
      <c r="H21" s="45">
        <v>13.6</v>
      </c>
      <c r="I21" s="45">
        <v>13.6</v>
      </c>
      <c r="J21" s="45">
        <v>13.6</v>
      </c>
      <c r="K21" s="45">
        <v>13.6</v>
      </c>
      <c r="L21" s="45">
        <v>13.6</v>
      </c>
      <c r="M21" s="45">
        <v>13.6</v>
      </c>
      <c r="N21" s="45">
        <v>13.6</v>
      </c>
      <c r="O21" s="45">
        <v>13.6</v>
      </c>
      <c r="P21" s="45">
        <v>13.6</v>
      </c>
      <c r="Q21" s="45">
        <v>13.6</v>
      </c>
      <c r="R21" s="45">
        <v>13.6</v>
      </c>
      <c r="S21" s="45">
        <v>13.6</v>
      </c>
      <c r="T21" s="45">
        <v>13.6</v>
      </c>
      <c r="U21" s="45">
        <v>13.6</v>
      </c>
      <c r="V21" s="45">
        <v>13.6</v>
      </c>
      <c r="W21" s="45">
        <v>13.6</v>
      </c>
      <c r="X21" s="45">
        <v>13.6</v>
      </c>
      <c r="Y21" s="45">
        <v>13.6</v>
      </c>
      <c r="Z21" s="45">
        <v>13.6</v>
      </c>
      <c r="AA21" s="45">
        <v>13.6</v>
      </c>
      <c r="AB21" s="45">
        <v>13.6</v>
      </c>
      <c r="AC21" s="45">
        <v>13.6</v>
      </c>
      <c r="AD21" s="45">
        <v>13.6</v>
      </c>
      <c r="AE21" s="45">
        <v>13.6</v>
      </c>
      <c r="AF21" s="45">
        <v>13.6</v>
      </c>
      <c r="AG21" s="49">
        <v>36</v>
      </c>
      <c r="AH21" s="47">
        <f t="shared" si="2"/>
        <v>13.6</v>
      </c>
      <c r="AI21" s="48">
        <f t="shared" si="3"/>
        <v>13.6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9.1</v>
      </c>
      <c r="C22" s="45">
        <v>9.1</v>
      </c>
      <c r="D22" s="45">
        <v>9.1</v>
      </c>
      <c r="E22" s="45">
        <v>9.6</v>
      </c>
      <c r="F22" s="45">
        <v>9.6</v>
      </c>
      <c r="G22" s="45">
        <v>9.6</v>
      </c>
      <c r="H22" s="45">
        <v>9.6</v>
      </c>
      <c r="I22" s="45">
        <v>9.6</v>
      </c>
      <c r="J22" s="45">
        <v>9.6</v>
      </c>
      <c r="K22" s="45">
        <v>9.6</v>
      </c>
      <c r="L22" s="45">
        <v>9.6</v>
      </c>
      <c r="M22" s="45">
        <v>9.3000000000000007</v>
      </c>
      <c r="N22" s="45">
        <v>9.3000000000000007</v>
      </c>
      <c r="O22" s="45">
        <v>9.3000000000000007</v>
      </c>
      <c r="P22" s="45">
        <v>9.3000000000000007</v>
      </c>
      <c r="Q22" s="45">
        <v>9.3000000000000007</v>
      </c>
      <c r="R22" s="45">
        <v>9.3000000000000007</v>
      </c>
      <c r="S22" s="45">
        <v>9.3000000000000007</v>
      </c>
      <c r="T22" s="45">
        <v>9.3000000000000007</v>
      </c>
      <c r="U22" s="45">
        <v>9.3000000000000007</v>
      </c>
      <c r="V22" s="45">
        <v>9.3000000000000007</v>
      </c>
      <c r="W22" s="45">
        <v>9.3000000000000007</v>
      </c>
      <c r="X22" s="45">
        <v>9.3000000000000007</v>
      </c>
      <c r="Y22" s="45">
        <v>9.3000000000000007</v>
      </c>
      <c r="Z22" s="45">
        <v>9.3000000000000007</v>
      </c>
      <c r="AA22" s="45">
        <v>9.3000000000000007</v>
      </c>
      <c r="AB22" s="45">
        <v>9.3000000000000007</v>
      </c>
      <c r="AC22" s="45">
        <v>9.3000000000000007</v>
      </c>
      <c r="AD22" s="45">
        <v>9.3000000000000007</v>
      </c>
      <c r="AE22" s="45">
        <v>9.3000000000000007</v>
      </c>
      <c r="AF22" s="45">
        <v>9.3000000000000007</v>
      </c>
      <c r="AG22" s="52">
        <v>30</v>
      </c>
      <c r="AH22" s="47">
        <f t="shared" si="2"/>
        <v>9.6</v>
      </c>
      <c r="AI22" s="48">
        <f t="shared" si="3"/>
        <v>9.1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9</v>
      </c>
      <c r="C23" s="45">
        <v>9</v>
      </c>
      <c r="D23" s="45">
        <v>9</v>
      </c>
      <c r="E23" s="45">
        <v>9</v>
      </c>
      <c r="F23" s="45">
        <v>9</v>
      </c>
      <c r="G23" s="45">
        <v>9</v>
      </c>
      <c r="H23" s="45">
        <v>9</v>
      </c>
      <c r="I23" s="45">
        <v>9</v>
      </c>
      <c r="J23" s="45">
        <v>9</v>
      </c>
      <c r="K23" s="45">
        <v>9</v>
      </c>
      <c r="L23" s="45">
        <v>9</v>
      </c>
      <c r="M23" s="45">
        <v>9</v>
      </c>
      <c r="N23" s="45">
        <v>9</v>
      </c>
      <c r="O23" s="45">
        <v>9</v>
      </c>
      <c r="P23" s="45">
        <v>9</v>
      </c>
      <c r="Q23" s="45">
        <v>9</v>
      </c>
      <c r="R23" s="45">
        <v>9</v>
      </c>
      <c r="S23" s="45">
        <v>9</v>
      </c>
      <c r="T23" s="45">
        <v>9</v>
      </c>
      <c r="U23" s="45">
        <v>9</v>
      </c>
      <c r="V23" s="45">
        <v>9</v>
      </c>
      <c r="W23" s="45">
        <v>9</v>
      </c>
      <c r="X23" s="45">
        <v>9</v>
      </c>
      <c r="Y23" s="45">
        <v>9</v>
      </c>
      <c r="Z23" s="45">
        <v>9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9</v>
      </c>
      <c r="AG23" s="49">
        <v>24.2</v>
      </c>
      <c r="AH23" s="47">
        <f t="shared" si="2"/>
        <v>9</v>
      </c>
      <c r="AI23" s="48">
        <f t="shared" si="3"/>
        <v>9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9.6999999999999993</v>
      </c>
      <c r="C24" s="45">
        <v>9.8000000000000007</v>
      </c>
      <c r="D24" s="45">
        <v>9.8000000000000007</v>
      </c>
      <c r="E24" s="45">
        <v>9.8000000000000007</v>
      </c>
      <c r="F24" s="45">
        <v>9.8000000000000007</v>
      </c>
      <c r="G24" s="45">
        <v>9.8000000000000007</v>
      </c>
      <c r="H24" s="45">
        <v>9.8000000000000007</v>
      </c>
      <c r="I24" s="45">
        <v>9.8000000000000007</v>
      </c>
      <c r="J24" s="45">
        <v>9.8000000000000007</v>
      </c>
      <c r="K24" s="45">
        <v>9.8000000000000007</v>
      </c>
      <c r="L24" s="45">
        <v>9.8000000000000007</v>
      </c>
      <c r="M24" s="45">
        <v>9.5</v>
      </c>
      <c r="N24" s="45">
        <v>9.5</v>
      </c>
      <c r="O24" s="45">
        <v>9.5</v>
      </c>
      <c r="P24" s="45">
        <v>9.5</v>
      </c>
      <c r="Q24" s="45">
        <v>9.5</v>
      </c>
      <c r="R24" s="45">
        <v>9.5</v>
      </c>
      <c r="S24" s="45">
        <v>9.5</v>
      </c>
      <c r="T24" s="45">
        <v>9.5</v>
      </c>
      <c r="U24" s="45">
        <v>9.5</v>
      </c>
      <c r="V24" s="45">
        <v>9.5</v>
      </c>
      <c r="W24" s="45">
        <v>9.5</v>
      </c>
      <c r="X24" s="45">
        <v>9.5</v>
      </c>
      <c r="Y24" s="45">
        <v>9.5</v>
      </c>
      <c r="Z24" s="45">
        <v>9.5</v>
      </c>
      <c r="AA24" s="45">
        <v>9.5</v>
      </c>
      <c r="AB24" s="45">
        <v>9.5</v>
      </c>
      <c r="AC24" s="45">
        <v>9.5</v>
      </c>
      <c r="AD24" s="45">
        <v>9.5</v>
      </c>
      <c r="AE24" s="45">
        <v>9.5</v>
      </c>
      <c r="AF24" s="45">
        <v>9.5</v>
      </c>
      <c r="AG24" s="49">
        <v>28</v>
      </c>
      <c r="AH24" s="47">
        <f t="shared" si="2"/>
        <v>9.8000000000000007</v>
      </c>
      <c r="AI24" s="48">
        <f t="shared" si="3"/>
        <v>9.5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7.7</v>
      </c>
      <c r="C25" s="45">
        <v>7.7</v>
      </c>
      <c r="D25" s="45">
        <v>7.7</v>
      </c>
      <c r="E25" s="45">
        <v>8.3000000000000007</v>
      </c>
      <c r="F25" s="45">
        <v>8.3000000000000007</v>
      </c>
      <c r="G25" s="45">
        <v>8.3000000000000007</v>
      </c>
      <c r="H25" s="45">
        <v>8.3000000000000007</v>
      </c>
      <c r="I25" s="45">
        <v>8.3000000000000007</v>
      </c>
      <c r="J25" s="45">
        <v>8.3000000000000007</v>
      </c>
      <c r="K25" s="45">
        <v>8.3000000000000007</v>
      </c>
      <c r="L25" s="45">
        <v>8.3000000000000007</v>
      </c>
      <c r="M25" s="45">
        <v>7.8</v>
      </c>
      <c r="N25" s="45">
        <v>7.8</v>
      </c>
      <c r="O25" s="45">
        <v>7.8</v>
      </c>
      <c r="P25" s="45">
        <v>7.8</v>
      </c>
      <c r="Q25" s="45">
        <v>7.8</v>
      </c>
      <c r="R25" s="45">
        <v>7.8</v>
      </c>
      <c r="S25" s="45">
        <v>7.8</v>
      </c>
      <c r="T25" s="45">
        <v>7.8</v>
      </c>
      <c r="U25" s="45">
        <v>7.8</v>
      </c>
      <c r="V25" s="45">
        <v>7.8</v>
      </c>
      <c r="W25" s="45">
        <v>7.8</v>
      </c>
      <c r="X25" s="45">
        <v>7.8</v>
      </c>
      <c r="Y25" s="45">
        <v>7.8</v>
      </c>
      <c r="Z25" s="45">
        <v>7.8</v>
      </c>
      <c r="AA25" s="45">
        <v>7.8</v>
      </c>
      <c r="AB25" s="45">
        <v>8</v>
      </c>
      <c r="AC25" s="45">
        <v>8</v>
      </c>
      <c r="AD25" s="45">
        <v>8</v>
      </c>
      <c r="AE25" s="45">
        <v>8</v>
      </c>
      <c r="AF25" s="45">
        <v>8</v>
      </c>
      <c r="AG25" s="52">
        <v>30</v>
      </c>
      <c r="AH25" s="47">
        <f t="shared" si="2"/>
        <v>8.3000000000000007</v>
      </c>
      <c r="AI25" s="48">
        <f t="shared" si="3"/>
        <v>7.7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9.6</v>
      </c>
      <c r="C26" s="45">
        <v>9.6</v>
      </c>
      <c r="D26" s="45">
        <v>9.6</v>
      </c>
      <c r="E26" s="45">
        <v>9.6</v>
      </c>
      <c r="F26" s="45">
        <v>9.6</v>
      </c>
      <c r="G26" s="45">
        <v>9.6</v>
      </c>
      <c r="H26" s="45">
        <v>9.6</v>
      </c>
      <c r="I26" s="45">
        <v>9.6</v>
      </c>
      <c r="J26" s="45">
        <v>9.6</v>
      </c>
      <c r="K26" s="45">
        <v>9.6</v>
      </c>
      <c r="L26" s="45">
        <v>9.6</v>
      </c>
      <c r="M26" s="45">
        <v>9.6</v>
      </c>
      <c r="N26" s="45">
        <v>9.6</v>
      </c>
      <c r="O26" s="45">
        <v>9.6</v>
      </c>
      <c r="P26" s="45">
        <v>9.6</v>
      </c>
      <c r="Q26" s="45">
        <v>9.6</v>
      </c>
      <c r="R26" s="45">
        <v>9.6</v>
      </c>
      <c r="S26" s="45">
        <v>9.6</v>
      </c>
      <c r="T26" s="45">
        <v>9.6</v>
      </c>
      <c r="U26" s="45">
        <v>9.6</v>
      </c>
      <c r="V26" s="45">
        <v>9.6</v>
      </c>
      <c r="W26" s="45">
        <v>9.6</v>
      </c>
      <c r="X26" s="45">
        <v>9.6</v>
      </c>
      <c r="Y26" s="45">
        <v>9.6</v>
      </c>
      <c r="Z26" s="45">
        <v>9.6</v>
      </c>
      <c r="AA26" s="45">
        <v>9.6</v>
      </c>
      <c r="AB26" s="45">
        <v>9.6</v>
      </c>
      <c r="AC26" s="45">
        <v>9.6</v>
      </c>
      <c r="AD26" s="45">
        <v>9.6</v>
      </c>
      <c r="AE26" s="45">
        <v>9.6</v>
      </c>
      <c r="AF26" s="45">
        <v>9.6</v>
      </c>
      <c r="AG26" s="49">
        <v>25</v>
      </c>
      <c r="AH26" s="47">
        <f t="shared" si="2"/>
        <v>9.6</v>
      </c>
      <c r="AI26" s="48">
        <f t="shared" si="3"/>
        <v>9.6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0</v>
      </c>
      <c r="C27" s="45">
        <v>0</v>
      </c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9">
        <v>25</v>
      </c>
      <c r="AH27" s="47">
        <f t="shared" si="2"/>
        <v>0</v>
      </c>
      <c r="AI27" s="48">
        <f t="shared" si="3"/>
        <v>0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7.5</v>
      </c>
      <c r="C28" s="45">
        <v>7.5</v>
      </c>
      <c r="D28" s="45">
        <v>7.5</v>
      </c>
      <c r="E28" s="45">
        <v>7.5</v>
      </c>
      <c r="F28" s="45">
        <v>7.5</v>
      </c>
      <c r="G28" s="45">
        <v>7.5</v>
      </c>
      <c r="H28" s="45">
        <v>7.5</v>
      </c>
      <c r="I28" s="45">
        <v>7.5</v>
      </c>
      <c r="J28" s="45">
        <v>7.5</v>
      </c>
      <c r="K28" s="45">
        <v>7.5</v>
      </c>
      <c r="L28" s="45">
        <v>7.5</v>
      </c>
      <c r="M28" s="45">
        <v>7.5</v>
      </c>
      <c r="N28" s="45">
        <v>7.5</v>
      </c>
      <c r="O28" s="45">
        <v>7.5</v>
      </c>
      <c r="P28" s="45">
        <v>7.5</v>
      </c>
      <c r="Q28" s="45">
        <v>7.5</v>
      </c>
      <c r="R28" s="45">
        <v>7.5</v>
      </c>
      <c r="S28" s="45">
        <v>7.5</v>
      </c>
      <c r="T28" s="45">
        <v>7.5</v>
      </c>
      <c r="U28" s="45">
        <v>7.5</v>
      </c>
      <c r="V28" s="45">
        <v>7.5</v>
      </c>
      <c r="W28" s="45">
        <v>7.5</v>
      </c>
      <c r="X28" s="45">
        <v>7.5</v>
      </c>
      <c r="Y28" s="45">
        <v>7.5</v>
      </c>
      <c r="Z28" s="45">
        <v>7.5</v>
      </c>
      <c r="AA28" s="45">
        <v>7.5</v>
      </c>
      <c r="AB28" s="45">
        <v>7.5</v>
      </c>
      <c r="AC28" s="45">
        <v>7.5</v>
      </c>
      <c r="AD28" s="45">
        <v>7.5</v>
      </c>
      <c r="AE28" s="45">
        <v>7.5</v>
      </c>
      <c r="AF28" s="45">
        <v>7.5</v>
      </c>
      <c r="AG28" s="49">
        <v>25</v>
      </c>
      <c r="AH28" s="47">
        <f t="shared" si="2"/>
        <v>7.5</v>
      </c>
      <c r="AI28" s="48">
        <f t="shared" si="3"/>
        <v>7.5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9</v>
      </c>
      <c r="C29" s="45">
        <v>9</v>
      </c>
      <c r="D29" s="45">
        <v>9</v>
      </c>
      <c r="E29" s="45">
        <v>9</v>
      </c>
      <c r="F29" s="45">
        <v>9</v>
      </c>
      <c r="G29" s="45">
        <v>9</v>
      </c>
      <c r="H29" s="45">
        <v>9</v>
      </c>
      <c r="I29" s="45">
        <v>9</v>
      </c>
      <c r="J29" s="45">
        <v>9</v>
      </c>
      <c r="K29" s="45">
        <v>9</v>
      </c>
      <c r="L29" s="45">
        <v>9</v>
      </c>
      <c r="M29" s="45">
        <v>8.6</v>
      </c>
      <c r="N29" s="45">
        <v>8.6</v>
      </c>
      <c r="O29" s="45">
        <v>8.6</v>
      </c>
      <c r="P29" s="45">
        <v>8.6</v>
      </c>
      <c r="Q29" s="45">
        <v>8.6</v>
      </c>
      <c r="R29" s="45">
        <v>8.6</v>
      </c>
      <c r="S29" s="45">
        <v>8.6</v>
      </c>
      <c r="T29" s="45">
        <v>8.6</v>
      </c>
      <c r="U29" s="45">
        <v>8.6</v>
      </c>
      <c r="V29" s="45">
        <v>8.6</v>
      </c>
      <c r="W29" s="45">
        <v>8.6</v>
      </c>
      <c r="X29" s="45">
        <v>8.6</v>
      </c>
      <c r="Y29" s="45">
        <v>8.6</v>
      </c>
      <c r="Z29" s="45">
        <v>8.6</v>
      </c>
      <c r="AA29" s="45">
        <v>8.6</v>
      </c>
      <c r="AB29" s="45">
        <v>8.6</v>
      </c>
      <c r="AC29" s="45">
        <v>8.6</v>
      </c>
      <c r="AD29" s="45">
        <v>8.6</v>
      </c>
      <c r="AE29" s="45">
        <v>8.6</v>
      </c>
      <c r="AF29" s="45">
        <v>8.6</v>
      </c>
      <c r="AG29" s="49">
        <v>25</v>
      </c>
      <c r="AH29" s="47">
        <f t="shared" si="2"/>
        <v>9</v>
      </c>
      <c r="AI29" s="48">
        <f t="shared" si="3"/>
        <v>8.6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9.1</v>
      </c>
      <c r="C30" s="45">
        <v>9.1999999999999993</v>
      </c>
      <c r="D30" s="45">
        <v>9.1999999999999993</v>
      </c>
      <c r="E30" s="45">
        <v>9.1999999999999993</v>
      </c>
      <c r="F30" s="45">
        <v>9.1999999999999993</v>
      </c>
      <c r="G30" s="45">
        <v>9.1999999999999993</v>
      </c>
      <c r="H30" s="45">
        <v>9.1999999999999993</v>
      </c>
      <c r="I30" s="45">
        <v>9.1999999999999993</v>
      </c>
      <c r="J30" s="45">
        <v>9.1999999999999993</v>
      </c>
      <c r="K30" s="45">
        <v>9.1999999999999993</v>
      </c>
      <c r="L30" s="45">
        <v>9.1999999999999993</v>
      </c>
      <c r="M30" s="45">
        <v>8.1</v>
      </c>
      <c r="N30" s="45">
        <v>8.1</v>
      </c>
      <c r="O30" s="45">
        <v>8.1</v>
      </c>
      <c r="P30" s="45">
        <v>8.1</v>
      </c>
      <c r="Q30" s="45">
        <v>8.1</v>
      </c>
      <c r="R30" s="45">
        <v>8.1</v>
      </c>
      <c r="S30" s="45">
        <v>8.1</v>
      </c>
      <c r="T30" s="45">
        <v>8.1</v>
      </c>
      <c r="U30" s="45">
        <v>8.1</v>
      </c>
      <c r="V30" s="45">
        <v>8.1</v>
      </c>
      <c r="W30" s="45">
        <v>8.1</v>
      </c>
      <c r="X30" s="45">
        <v>8.1</v>
      </c>
      <c r="Y30" s="45">
        <v>8.1</v>
      </c>
      <c r="Z30" s="45">
        <v>8.1</v>
      </c>
      <c r="AA30" s="45">
        <v>8.1</v>
      </c>
      <c r="AB30" s="45">
        <v>8.1</v>
      </c>
      <c r="AC30" s="45">
        <v>8.1</v>
      </c>
      <c r="AD30" s="45">
        <v>8.1</v>
      </c>
      <c r="AE30" s="45">
        <v>8.1</v>
      </c>
      <c r="AF30" s="45">
        <v>8.1</v>
      </c>
      <c r="AG30" s="49">
        <v>23.5</v>
      </c>
      <c r="AH30" s="47">
        <f t="shared" si="2"/>
        <v>9.1999999999999993</v>
      </c>
      <c r="AI30" s="48">
        <f t="shared" si="3"/>
        <v>8.1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4.5</v>
      </c>
      <c r="C31" s="45">
        <v>4.5</v>
      </c>
      <c r="D31" s="45">
        <v>4.5</v>
      </c>
      <c r="E31" s="45">
        <v>4.5</v>
      </c>
      <c r="F31" s="45">
        <v>4.5</v>
      </c>
      <c r="G31" s="45">
        <v>4.5</v>
      </c>
      <c r="H31" s="45">
        <v>4.5</v>
      </c>
      <c r="I31" s="45">
        <v>4.5</v>
      </c>
      <c r="J31" s="45">
        <v>4.5</v>
      </c>
      <c r="K31" s="45">
        <v>4.5</v>
      </c>
      <c r="L31" s="45">
        <v>4.5</v>
      </c>
      <c r="M31" s="45">
        <v>4.5</v>
      </c>
      <c r="N31" s="45">
        <v>4.5</v>
      </c>
      <c r="O31" s="45">
        <v>4.5</v>
      </c>
      <c r="P31" s="45">
        <v>4.5</v>
      </c>
      <c r="Q31" s="45">
        <v>4.5</v>
      </c>
      <c r="R31" s="45">
        <v>4.5</v>
      </c>
      <c r="S31" s="45">
        <v>4.5</v>
      </c>
      <c r="T31" s="45">
        <v>4.5</v>
      </c>
      <c r="U31" s="45">
        <v>4.5</v>
      </c>
      <c r="V31" s="45">
        <v>4.5</v>
      </c>
      <c r="W31" s="45">
        <v>4.5</v>
      </c>
      <c r="X31" s="45">
        <v>4.5</v>
      </c>
      <c r="Y31" s="45">
        <v>4.5</v>
      </c>
      <c r="Z31" s="45">
        <v>4.5</v>
      </c>
      <c r="AA31" s="45">
        <v>4.5</v>
      </c>
      <c r="AB31" s="45">
        <v>4.5</v>
      </c>
      <c r="AC31" s="45">
        <v>4.5</v>
      </c>
      <c r="AD31" s="45">
        <v>4.5</v>
      </c>
      <c r="AE31" s="45">
        <v>4.5</v>
      </c>
      <c r="AF31" s="45">
        <v>4.5</v>
      </c>
      <c r="AG31" s="49">
        <v>22.2</v>
      </c>
      <c r="AH31" s="47">
        <f t="shared" si="2"/>
        <v>4.5</v>
      </c>
      <c r="AI31" s="48">
        <f t="shared" si="3"/>
        <v>4.5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>
        <v>5.5</v>
      </c>
      <c r="N32" s="45">
        <v>5.5</v>
      </c>
      <c r="O32" s="45">
        <v>5.5</v>
      </c>
      <c r="P32" s="45">
        <v>5.5</v>
      </c>
      <c r="Q32" s="45">
        <v>5.5</v>
      </c>
      <c r="R32" s="45">
        <v>5.5</v>
      </c>
      <c r="S32" s="45">
        <v>5.5</v>
      </c>
      <c r="T32" s="45">
        <v>5.5</v>
      </c>
      <c r="U32" s="45">
        <v>5.5</v>
      </c>
      <c r="V32" s="45">
        <v>5.5</v>
      </c>
      <c r="W32" s="45">
        <v>5.5</v>
      </c>
      <c r="X32" s="45">
        <v>5.5</v>
      </c>
      <c r="Y32" s="45">
        <v>5.5</v>
      </c>
      <c r="Z32" s="45">
        <v>5.5</v>
      </c>
      <c r="AA32" s="45">
        <v>5.5</v>
      </c>
      <c r="AB32" s="45">
        <v>5.5</v>
      </c>
      <c r="AC32" s="45">
        <v>5.5</v>
      </c>
      <c r="AD32" s="45">
        <v>5.5</v>
      </c>
      <c r="AE32" s="45">
        <v>5.5</v>
      </c>
      <c r="AF32" s="45">
        <v>5.5</v>
      </c>
      <c r="AG32" s="49">
        <v>22.1</v>
      </c>
      <c r="AH32" s="47">
        <f t="shared" si="2"/>
        <v>5.5</v>
      </c>
      <c r="AI32" s="48">
        <f t="shared" si="3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22</v>
      </c>
      <c r="AH33" s="47">
        <f t="shared" si="2"/>
        <v>6</v>
      </c>
      <c r="AI33" s="48">
        <f t="shared" si="3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10</v>
      </c>
      <c r="C34" s="45">
        <v>10</v>
      </c>
      <c r="D34" s="45">
        <v>10</v>
      </c>
      <c r="E34" s="45">
        <v>10.199999999999999</v>
      </c>
      <c r="F34" s="45">
        <v>10.199999999999999</v>
      </c>
      <c r="G34" s="45">
        <v>10.199999999999999</v>
      </c>
      <c r="H34" s="45">
        <v>10.199999999999999</v>
      </c>
      <c r="I34" s="45">
        <v>10.199999999999999</v>
      </c>
      <c r="J34" s="45">
        <v>10.199999999999999</v>
      </c>
      <c r="K34" s="45">
        <v>10.199999999999999</v>
      </c>
      <c r="L34" s="45">
        <v>10.199999999999999</v>
      </c>
      <c r="M34" s="45">
        <v>8.4</v>
      </c>
      <c r="N34" s="45">
        <v>8.4</v>
      </c>
      <c r="O34" s="45">
        <v>8.4</v>
      </c>
      <c r="P34" s="45">
        <v>8.4</v>
      </c>
      <c r="Q34" s="45">
        <v>8.4</v>
      </c>
      <c r="R34" s="45">
        <v>8.4</v>
      </c>
      <c r="S34" s="45">
        <v>8.4</v>
      </c>
      <c r="T34" s="45">
        <v>8.4</v>
      </c>
      <c r="U34" s="45">
        <v>8.4</v>
      </c>
      <c r="V34" s="45">
        <v>8.4</v>
      </c>
      <c r="W34" s="45">
        <v>8.4</v>
      </c>
      <c r="X34" s="45">
        <v>8.4</v>
      </c>
      <c r="Y34" s="45">
        <v>8.4</v>
      </c>
      <c r="Z34" s="45">
        <v>8.4</v>
      </c>
      <c r="AA34" s="45">
        <v>8.4</v>
      </c>
      <c r="AB34" s="45">
        <v>8.4</v>
      </c>
      <c r="AC34" s="45">
        <v>8.4</v>
      </c>
      <c r="AD34" s="45">
        <v>8.4</v>
      </c>
      <c r="AE34" s="45">
        <v>8.4</v>
      </c>
      <c r="AF34" s="45">
        <v>8.4</v>
      </c>
      <c r="AG34" s="49">
        <v>22</v>
      </c>
      <c r="AH34" s="47">
        <f t="shared" si="2"/>
        <v>10.199999999999999</v>
      </c>
      <c r="AI34" s="48">
        <f t="shared" si="3"/>
        <v>8.4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6.5</v>
      </c>
      <c r="C35" s="45">
        <v>6.5</v>
      </c>
      <c r="D35" s="45">
        <v>6.5</v>
      </c>
      <c r="E35" s="45">
        <v>6.5</v>
      </c>
      <c r="F35" s="45">
        <v>6.5</v>
      </c>
      <c r="G35" s="45">
        <v>6.5</v>
      </c>
      <c r="H35" s="45">
        <v>6.5</v>
      </c>
      <c r="I35" s="45">
        <v>6.5</v>
      </c>
      <c r="J35" s="45">
        <v>6.5</v>
      </c>
      <c r="K35" s="45">
        <v>6.5</v>
      </c>
      <c r="L35" s="45">
        <v>6.5</v>
      </c>
      <c r="M35" s="45">
        <v>6.5</v>
      </c>
      <c r="N35" s="45">
        <v>6.5</v>
      </c>
      <c r="O35" s="45">
        <v>6.5</v>
      </c>
      <c r="P35" s="45">
        <v>6.5</v>
      </c>
      <c r="Q35" s="45">
        <v>6.5</v>
      </c>
      <c r="R35" s="45">
        <v>6.5</v>
      </c>
      <c r="S35" s="45">
        <v>6.5</v>
      </c>
      <c r="T35" s="45">
        <v>6.5</v>
      </c>
      <c r="U35" s="45">
        <v>6.5</v>
      </c>
      <c r="V35" s="45">
        <v>6.5</v>
      </c>
      <c r="W35" s="45">
        <v>6.5</v>
      </c>
      <c r="X35" s="45">
        <v>6.5</v>
      </c>
      <c r="Y35" s="45">
        <v>6.5</v>
      </c>
      <c r="Z35" s="45">
        <v>6.5</v>
      </c>
      <c r="AA35" s="45">
        <v>6.5</v>
      </c>
      <c r="AB35" s="45">
        <v>6.5</v>
      </c>
      <c r="AC35" s="45">
        <v>6.5</v>
      </c>
      <c r="AD35" s="45">
        <v>6.5</v>
      </c>
      <c r="AE35" s="45">
        <v>6.5</v>
      </c>
      <c r="AF35" s="45">
        <v>6.5</v>
      </c>
      <c r="AG35" s="49">
        <v>20</v>
      </c>
      <c r="AH35" s="47">
        <f t="shared" si="2"/>
        <v>6.5</v>
      </c>
      <c r="AI35" s="48">
        <f t="shared" si="3"/>
        <v>6.5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264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2"/>
        <v>4</v>
      </c>
      <c r="AI36" s="48">
        <f t="shared" si="3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5.5</v>
      </c>
      <c r="C37" s="45">
        <v>5.5</v>
      </c>
      <c r="D37" s="45">
        <v>5.5</v>
      </c>
      <c r="E37" s="45">
        <v>5.5</v>
      </c>
      <c r="F37" s="45">
        <v>5.5</v>
      </c>
      <c r="G37" s="45">
        <v>5.5</v>
      </c>
      <c r="H37" s="45">
        <v>5.5</v>
      </c>
      <c r="I37" s="45">
        <v>5.5</v>
      </c>
      <c r="J37" s="45">
        <v>5.5</v>
      </c>
      <c r="K37" s="45">
        <v>5.5</v>
      </c>
      <c r="L37" s="45">
        <v>5.5</v>
      </c>
      <c r="M37" s="45">
        <v>5.5</v>
      </c>
      <c r="N37" s="45">
        <v>5.5</v>
      </c>
      <c r="O37" s="45">
        <v>5.5</v>
      </c>
      <c r="P37" s="45">
        <v>5.5</v>
      </c>
      <c r="Q37" s="45">
        <v>5.5</v>
      </c>
      <c r="R37" s="45">
        <v>5.5</v>
      </c>
      <c r="S37" s="45">
        <v>5.5</v>
      </c>
      <c r="T37" s="45">
        <v>5.5</v>
      </c>
      <c r="U37" s="45">
        <v>5.5</v>
      </c>
      <c r="V37" s="45">
        <v>5.5</v>
      </c>
      <c r="W37" s="45">
        <v>5.5</v>
      </c>
      <c r="X37" s="45">
        <v>5.5</v>
      </c>
      <c r="Y37" s="45">
        <v>5.5</v>
      </c>
      <c r="Z37" s="45">
        <v>5.5</v>
      </c>
      <c r="AA37" s="45">
        <v>5.5</v>
      </c>
      <c r="AB37" s="45">
        <v>5.5</v>
      </c>
      <c r="AC37" s="45">
        <v>5.5</v>
      </c>
      <c r="AD37" s="45">
        <v>5.5</v>
      </c>
      <c r="AE37" s="45">
        <v>5.5</v>
      </c>
      <c r="AF37" s="45">
        <v>5.5</v>
      </c>
      <c r="AG37" s="49">
        <v>18</v>
      </c>
      <c r="AH37" s="47">
        <f t="shared" si="2"/>
        <v>5.5</v>
      </c>
      <c r="AI37" s="48">
        <f t="shared" si="3"/>
        <v>5.5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>
        <v>7.2</v>
      </c>
      <c r="N38" s="45">
        <v>7.2</v>
      </c>
      <c r="O38" s="45">
        <v>7.2</v>
      </c>
      <c r="P38" s="45">
        <v>7.2</v>
      </c>
      <c r="Q38" s="45">
        <v>7.2</v>
      </c>
      <c r="R38" s="45">
        <v>7.2</v>
      </c>
      <c r="S38" s="45">
        <v>7.2</v>
      </c>
      <c r="T38" s="45">
        <v>7.2</v>
      </c>
      <c r="U38" s="45">
        <v>7.2</v>
      </c>
      <c r="V38" s="45">
        <v>7.2</v>
      </c>
      <c r="W38" s="45">
        <v>7.2</v>
      </c>
      <c r="X38" s="45">
        <v>7.2</v>
      </c>
      <c r="Y38" s="45">
        <v>7.2</v>
      </c>
      <c r="Z38" s="45">
        <v>7.2</v>
      </c>
      <c r="AA38" s="45">
        <v>7.2</v>
      </c>
      <c r="AB38" s="45">
        <v>7.2</v>
      </c>
      <c r="AC38" s="45">
        <v>7.2</v>
      </c>
      <c r="AD38" s="45">
        <v>7.2</v>
      </c>
      <c r="AE38" s="45">
        <v>7.2</v>
      </c>
      <c r="AF38" s="45">
        <v>7.2</v>
      </c>
      <c r="AG38" s="49">
        <v>14.9</v>
      </c>
      <c r="AH38" s="47">
        <f t="shared" si="2"/>
        <v>7.2</v>
      </c>
      <c r="AI38" s="48">
        <f t="shared" si="3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265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2"/>
        <v>5</v>
      </c>
      <c r="AI40" s="48">
        <f t="shared" si="3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266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>
        <v>4</v>
      </c>
      <c r="N41" s="45">
        <v>4</v>
      </c>
      <c r="O41" s="45">
        <v>4</v>
      </c>
      <c r="P41" s="45">
        <v>4</v>
      </c>
      <c r="Q41" s="45">
        <v>4</v>
      </c>
      <c r="R41" s="45">
        <v>4</v>
      </c>
      <c r="S41" s="45">
        <v>4</v>
      </c>
      <c r="T41" s="45">
        <v>4</v>
      </c>
      <c r="U41" s="45">
        <v>4</v>
      </c>
      <c r="V41" s="45">
        <v>4</v>
      </c>
      <c r="W41" s="45">
        <v>4</v>
      </c>
      <c r="X41" s="45">
        <v>4</v>
      </c>
      <c r="Y41" s="45">
        <v>4</v>
      </c>
      <c r="Z41" s="45">
        <v>4</v>
      </c>
      <c r="AA41" s="45">
        <v>4</v>
      </c>
      <c r="AB41" s="45">
        <v>4</v>
      </c>
      <c r="AC41" s="45">
        <v>4</v>
      </c>
      <c r="AD41" s="45">
        <v>4</v>
      </c>
      <c r="AE41" s="45">
        <v>4</v>
      </c>
      <c r="AF41" s="45">
        <v>4</v>
      </c>
      <c r="AG41" s="49">
        <v>14.9</v>
      </c>
      <c r="AH41" s="47">
        <f t="shared" si="2"/>
        <v>4</v>
      </c>
      <c r="AI41" s="48">
        <f t="shared" si="3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2"/>
        <v>1.8</v>
      </c>
      <c r="AI42" s="48">
        <f t="shared" si="3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2"/>
        <v>3.8</v>
      </c>
      <c r="AI43" s="48">
        <f t="shared" si="3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4</v>
      </c>
      <c r="C44" s="45">
        <v>4</v>
      </c>
      <c r="D44" s="45">
        <v>4</v>
      </c>
      <c r="E44" s="45">
        <v>4</v>
      </c>
      <c r="F44" s="45">
        <v>4</v>
      </c>
      <c r="G44" s="45">
        <v>4</v>
      </c>
      <c r="H44" s="45">
        <v>4</v>
      </c>
      <c r="I44" s="45">
        <v>4</v>
      </c>
      <c r="J44" s="45">
        <v>4</v>
      </c>
      <c r="K44" s="45">
        <v>4</v>
      </c>
      <c r="L44" s="45">
        <v>4</v>
      </c>
      <c r="M44" s="45">
        <v>4</v>
      </c>
      <c r="N44" s="45">
        <v>4</v>
      </c>
      <c r="O44" s="45">
        <v>4</v>
      </c>
      <c r="P44" s="45">
        <v>4</v>
      </c>
      <c r="Q44" s="45">
        <v>4</v>
      </c>
      <c r="R44" s="45">
        <v>4</v>
      </c>
      <c r="S44" s="45">
        <v>4</v>
      </c>
      <c r="T44" s="45">
        <v>4</v>
      </c>
      <c r="U44" s="45">
        <v>4</v>
      </c>
      <c r="V44" s="45">
        <v>4</v>
      </c>
      <c r="W44" s="45">
        <v>4</v>
      </c>
      <c r="X44" s="45">
        <v>4</v>
      </c>
      <c r="Y44" s="45">
        <v>4</v>
      </c>
      <c r="Z44" s="45">
        <v>4</v>
      </c>
      <c r="AA44" s="45">
        <v>4</v>
      </c>
      <c r="AB44" s="45">
        <v>4</v>
      </c>
      <c r="AC44" s="45">
        <v>4</v>
      </c>
      <c r="AD44" s="45">
        <v>4</v>
      </c>
      <c r="AE44" s="45">
        <v>4</v>
      </c>
      <c r="AF44" s="45">
        <v>4</v>
      </c>
      <c r="AG44" s="49">
        <v>12</v>
      </c>
      <c r="AH44" s="47">
        <f t="shared" si="2"/>
        <v>4</v>
      </c>
      <c r="AI44" s="48">
        <f t="shared" si="3"/>
        <v>4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49">
        <v>12</v>
      </c>
      <c r="AH45" s="47">
        <f t="shared" si="2"/>
        <v>9</v>
      </c>
      <c r="AI45" s="48">
        <f t="shared" si="3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2"/>
        <v>3</v>
      </c>
      <c r="AI46" s="48">
        <f t="shared" si="3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2"/>
        <v>3.5</v>
      </c>
      <c r="AI47" s="48">
        <f t="shared" si="3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>
        <v>5</v>
      </c>
      <c r="N48" s="45">
        <v>5</v>
      </c>
      <c r="O48" s="45">
        <v>5</v>
      </c>
      <c r="P48" s="45">
        <v>5</v>
      </c>
      <c r="Q48" s="45">
        <v>5</v>
      </c>
      <c r="R48" s="45">
        <v>5</v>
      </c>
      <c r="S48" s="45">
        <v>5</v>
      </c>
      <c r="T48" s="45">
        <v>5</v>
      </c>
      <c r="U48" s="45">
        <v>5</v>
      </c>
      <c r="V48" s="45">
        <v>5</v>
      </c>
      <c r="W48" s="45">
        <v>5</v>
      </c>
      <c r="X48" s="45">
        <v>5</v>
      </c>
      <c r="Y48" s="45">
        <v>5</v>
      </c>
      <c r="Z48" s="45">
        <v>5</v>
      </c>
      <c r="AA48" s="45">
        <v>5</v>
      </c>
      <c r="AB48" s="45">
        <v>5</v>
      </c>
      <c r="AC48" s="45">
        <v>5</v>
      </c>
      <c r="AD48" s="45">
        <v>5</v>
      </c>
      <c r="AE48" s="45">
        <v>5</v>
      </c>
      <c r="AF48" s="45">
        <v>5</v>
      </c>
      <c r="AG48" s="52">
        <v>11.88</v>
      </c>
      <c r="AH48" s="47">
        <f t="shared" si="2"/>
        <v>5</v>
      </c>
      <c r="AI48" s="48">
        <f t="shared" si="3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>
        <v>3</v>
      </c>
      <c r="N49" s="45">
        <v>3</v>
      </c>
      <c r="O49" s="45">
        <v>3</v>
      </c>
      <c r="P49" s="45">
        <v>3</v>
      </c>
      <c r="Q49" s="45">
        <v>3</v>
      </c>
      <c r="R49" s="45">
        <v>3</v>
      </c>
      <c r="S49" s="45">
        <v>3</v>
      </c>
      <c r="T49" s="45">
        <v>3</v>
      </c>
      <c r="U49" s="45">
        <v>3</v>
      </c>
      <c r="V49" s="45">
        <v>3</v>
      </c>
      <c r="W49" s="45">
        <v>3</v>
      </c>
      <c r="X49" s="45">
        <v>3</v>
      </c>
      <c r="Y49" s="45">
        <v>3</v>
      </c>
      <c r="Z49" s="45">
        <v>3</v>
      </c>
      <c r="AA49" s="45">
        <v>3</v>
      </c>
      <c r="AB49" s="45">
        <v>3</v>
      </c>
      <c r="AC49" s="45">
        <v>3</v>
      </c>
      <c r="AD49" s="45">
        <v>3</v>
      </c>
      <c r="AE49" s="45">
        <v>3</v>
      </c>
      <c r="AF49" s="45">
        <v>3</v>
      </c>
      <c r="AG49" s="55">
        <v>11</v>
      </c>
      <c r="AH49" s="47">
        <f t="shared" si="2"/>
        <v>3</v>
      </c>
      <c r="AI49" s="48">
        <f t="shared" si="3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267</v>
      </c>
      <c r="B50" s="45">
        <v>3.3</v>
      </c>
      <c r="C50" s="45">
        <v>3.3</v>
      </c>
      <c r="D50" s="45">
        <v>3.3</v>
      </c>
      <c r="E50" s="45">
        <v>3.3</v>
      </c>
      <c r="F50" s="45">
        <v>3.3</v>
      </c>
      <c r="G50" s="45">
        <v>3.3</v>
      </c>
      <c r="H50" s="45">
        <v>3.3</v>
      </c>
      <c r="I50" s="45">
        <v>3.3</v>
      </c>
      <c r="J50" s="45">
        <v>3.3</v>
      </c>
      <c r="K50" s="45">
        <v>3.3</v>
      </c>
      <c r="L50" s="45">
        <v>3.3</v>
      </c>
      <c r="M50" s="45">
        <v>3.3</v>
      </c>
      <c r="N50" s="45">
        <v>3.3</v>
      </c>
      <c r="O50" s="45">
        <v>3.3</v>
      </c>
      <c r="P50" s="45">
        <v>3.3</v>
      </c>
      <c r="Q50" s="45">
        <v>3.3</v>
      </c>
      <c r="R50" s="45">
        <v>3.3</v>
      </c>
      <c r="S50" s="45">
        <v>3.3</v>
      </c>
      <c r="T50" s="45">
        <v>3.3</v>
      </c>
      <c r="U50" s="45">
        <v>3.3</v>
      </c>
      <c r="V50" s="45">
        <v>3.3</v>
      </c>
      <c r="W50" s="45">
        <v>3.3</v>
      </c>
      <c r="X50" s="45">
        <v>3.3</v>
      </c>
      <c r="Y50" s="45">
        <v>3.3</v>
      </c>
      <c r="Z50" s="45">
        <v>3.3</v>
      </c>
      <c r="AA50" s="45">
        <v>3.3</v>
      </c>
      <c r="AB50" s="45">
        <v>3.3</v>
      </c>
      <c r="AC50" s="45">
        <v>3.3</v>
      </c>
      <c r="AD50" s="45">
        <v>3.3</v>
      </c>
      <c r="AE50" s="45">
        <v>3.3</v>
      </c>
      <c r="AF50" s="45">
        <v>3.3</v>
      </c>
      <c r="AG50" s="55">
        <v>11</v>
      </c>
      <c r="AH50" s="47">
        <f t="shared" si="2"/>
        <v>3.3</v>
      </c>
      <c r="AI50" s="48">
        <f t="shared" si="3"/>
        <v>3.3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268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"/>
        <v>3</v>
      </c>
      <c r="AI51" s="48">
        <f t="shared" si="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2"/>
        <v>4</v>
      </c>
      <c r="AI52" s="48">
        <f t="shared" si="3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"/>
        <v>4.5</v>
      </c>
      <c r="AI53" s="48">
        <f t="shared" si="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269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"/>
        <v>0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175</v>
      </c>
      <c r="C56" s="57">
        <v>175</v>
      </c>
      <c r="D56" s="57">
        <v>175</v>
      </c>
      <c r="E56" s="57">
        <v>175</v>
      </c>
      <c r="F56" s="57">
        <v>175</v>
      </c>
      <c r="G56" s="57">
        <v>175</v>
      </c>
      <c r="H56" s="57">
        <v>175</v>
      </c>
      <c r="I56" s="57">
        <v>175</v>
      </c>
      <c r="J56" s="57">
        <v>175</v>
      </c>
      <c r="K56" s="57">
        <v>175</v>
      </c>
      <c r="L56" s="57">
        <v>175</v>
      </c>
      <c r="M56" s="57">
        <v>175</v>
      </c>
      <c r="N56" s="57">
        <v>175</v>
      </c>
      <c r="O56" s="57">
        <v>175</v>
      </c>
      <c r="P56" s="57">
        <v>175</v>
      </c>
      <c r="Q56" s="57">
        <v>175</v>
      </c>
      <c r="R56" s="57">
        <v>175</v>
      </c>
      <c r="S56" s="57">
        <v>175</v>
      </c>
      <c r="T56" s="57">
        <v>175</v>
      </c>
      <c r="U56" s="57">
        <v>175</v>
      </c>
      <c r="V56" s="57">
        <v>175</v>
      </c>
      <c r="W56" s="57">
        <v>175</v>
      </c>
      <c r="X56" s="57">
        <v>175</v>
      </c>
      <c r="Y56" s="57">
        <v>175</v>
      </c>
      <c r="Z56" s="57">
        <v>175</v>
      </c>
      <c r="AA56" s="57">
        <v>175</v>
      </c>
      <c r="AB56" s="57">
        <v>175</v>
      </c>
      <c r="AC56" s="57">
        <v>175</v>
      </c>
      <c r="AD56" s="57">
        <v>175</v>
      </c>
      <c r="AE56" s="57">
        <v>175</v>
      </c>
      <c r="AF56" s="57">
        <v>175</v>
      </c>
      <c r="AG56" s="55">
        <v>85</v>
      </c>
      <c r="AH56" s="47">
        <f t="shared" si="2"/>
        <v>175</v>
      </c>
      <c r="AI56" s="48">
        <f t="shared" si="3"/>
        <v>175</v>
      </c>
      <c r="AK56" s="50"/>
    </row>
    <row r="57" spans="1:88" ht="15.75" thickBot="1" x14ac:dyDescent="0.3">
      <c r="A57" s="58" t="s">
        <v>57</v>
      </c>
      <c r="B57" s="57">
        <v>23.8</v>
      </c>
      <c r="C57" s="57">
        <f>6.6+19.3</f>
        <v>25.9</v>
      </c>
      <c r="D57" s="57">
        <f>6.6+19.3</f>
        <v>25.9</v>
      </c>
      <c r="E57" s="57">
        <v>25.2</v>
      </c>
      <c r="F57" s="57">
        <f t="shared" ref="F57:L57" si="4">6.6+19.3</f>
        <v>25.9</v>
      </c>
      <c r="G57" s="57">
        <f t="shared" si="4"/>
        <v>25.9</v>
      </c>
      <c r="H57" s="57">
        <f t="shared" si="4"/>
        <v>25.9</v>
      </c>
      <c r="I57" s="57">
        <f t="shared" si="4"/>
        <v>25.9</v>
      </c>
      <c r="J57" s="57">
        <f t="shared" si="4"/>
        <v>25.9</v>
      </c>
      <c r="K57" s="57">
        <f t="shared" si="4"/>
        <v>25.9</v>
      </c>
      <c r="L57" s="57">
        <f t="shared" si="4"/>
        <v>25.9</v>
      </c>
      <c r="M57" s="57">
        <f>4.7+16.4</f>
        <v>21.099999999999998</v>
      </c>
      <c r="N57" s="57">
        <f>4.7+16.4</f>
        <v>21.099999999999998</v>
      </c>
      <c r="O57" s="51">
        <f>19.4+5.8</f>
        <v>25.2</v>
      </c>
      <c r="P57" s="51">
        <f>20.1+6.4</f>
        <v>26.5</v>
      </c>
      <c r="Q57" s="51">
        <f>26.9</f>
        <v>26.9</v>
      </c>
      <c r="R57" s="51">
        <v>27.1</v>
      </c>
      <c r="S57" s="51">
        <v>27.1</v>
      </c>
      <c r="T57" s="51">
        <v>27.1</v>
      </c>
      <c r="U57" s="51">
        <v>27.1</v>
      </c>
      <c r="V57" s="51">
        <v>27.1</v>
      </c>
      <c r="W57" s="51">
        <v>27.1</v>
      </c>
      <c r="X57" s="51">
        <v>27.1</v>
      </c>
      <c r="Y57" s="57">
        <v>27.1</v>
      </c>
      <c r="Z57" s="57">
        <f>3.3+11.8</f>
        <v>15.100000000000001</v>
      </c>
      <c r="AA57" s="57">
        <f>3.3+11.8</f>
        <v>15.100000000000001</v>
      </c>
      <c r="AB57" s="57">
        <v>19.100000000000001</v>
      </c>
      <c r="AC57" s="57">
        <v>19.100000000000001</v>
      </c>
      <c r="AD57" s="57">
        <v>19.100000000000001</v>
      </c>
      <c r="AE57" s="57">
        <v>19.100000000000001</v>
      </c>
      <c r="AF57" s="57">
        <v>19.100000000000001</v>
      </c>
      <c r="AG57" s="55">
        <v>240</v>
      </c>
      <c r="AH57" s="47">
        <f t="shared" si="2"/>
        <v>27.1</v>
      </c>
      <c r="AI57" s="48">
        <f t="shared" si="3"/>
        <v>15.100000000000001</v>
      </c>
      <c r="AK57" s="50"/>
    </row>
    <row r="58" spans="1:88" ht="15.75" thickBot="1" x14ac:dyDescent="0.3">
      <c r="A58" s="59" t="s">
        <v>58</v>
      </c>
      <c r="B58" s="60">
        <f>SUM(B11:B56)</f>
        <v>546.29999999999995</v>
      </c>
      <c r="C58" s="60">
        <f>SUM(C11:C56)</f>
        <v>545.79999999999995</v>
      </c>
      <c r="D58" s="60">
        <f t="shared" ref="D58:AF58" si="5">SUM(D11:D56)</f>
        <v>545.79999999999995</v>
      </c>
      <c r="E58" s="60">
        <f t="shared" si="5"/>
        <v>546.70000000000005</v>
      </c>
      <c r="F58" s="60">
        <f t="shared" si="5"/>
        <v>546.70000000000005</v>
      </c>
      <c r="G58" s="60">
        <f t="shared" si="5"/>
        <v>546.70000000000005</v>
      </c>
      <c r="H58" s="60">
        <f t="shared" si="5"/>
        <v>546.70000000000005</v>
      </c>
      <c r="I58" s="60">
        <f t="shared" si="5"/>
        <v>546.70000000000005</v>
      </c>
      <c r="J58" s="60">
        <f t="shared" si="5"/>
        <v>546.70000000000005</v>
      </c>
      <c r="K58" s="60">
        <f t="shared" si="5"/>
        <v>546.70000000000005</v>
      </c>
      <c r="L58" s="60">
        <f t="shared" si="5"/>
        <v>546.70000000000005</v>
      </c>
      <c r="M58" s="60">
        <f t="shared" ref="M58:N58" si="6">SUM(M11:M56)</f>
        <v>538.70000000000005</v>
      </c>
      <c r="N58" s="60">
        <f t="shared" si="6"/>
        <v>538.70000000000005</v>
      </c>
      <c r="O58" s="60">
        <f t="shared" si="5"/>
        <v>537.70000000000005</v>
      </c>
      <c r="P58" s="60">
        <f t="shared" si="5"/>
        <v>537.20000000000005</v>
      </c>
      <c r="Q58" s="60">
        <f t="shared" si="5"/>
        <v>536.70000000000005</v>
      </c>
      <c r="R58" s="60">
        <f t="shared" si="5"/>
        <v>536</v>
      </c>
      <c r="S58" s="60">
        <f t="shared" ref="S58:T58" si="7">SUM(S11:S56)</f>
        <v>536</v>
      </c>
      <c r="T58" s="60">
        <f t="shared" si="7"/>
        <v>536</v>
      </c>
      <c r="U58" s="60">
        <f t="shared" ref="U58:V58" si="8">SUM(U11:U56)</f>
        <v>536</v>
      </c>
      <c r="V58" s="60">
        <f t="shared" si="8"/>
        <v>536</v>
      </c>
      <c r="W58" s="60">
        <f t="shared" ref="W58:Y58" si="9">SUM(W11:W56)</f>
        <v>536</v>
      </c>
      <c r="X58" s="60">
        <f t="shared" si="9"/>
        <v>536</v>
      </c>
      <c r="Y58" s="60">
        <f t="shared" si="9"/>
        <v>536</v>
      </c>
      <c r="Z58" s="60">
        <f t="shared" si="5"/>
        <v>536</v>
      </c>
      <c r="AA58" s="60">
        <f t="shared" ref="AA58" si="10">SUM(AA11:AA56)</f>
        <v>536</v>
      </c>
      <c r="AB58" s="60">
        <f>SUM(AB11:AB56)</f>
        <v>541.45000000000005</v>
      </c>
      <c r="AC58" s="60">
        <f t="shared" si="5"/>
        <v>541.45000000000005</v>
      </c>
      <c r="AD58" s="60">
        <f t="shared" si="5"/>
        <v>541.45000000000005</v>
      </c>
      <c r="AE58" s="60">
        <f t="shared" si="5"/>
        <v>541.45000000000005</v>
      </c>
      <c r="AF58" s="60">
        <f t="shared" si="5"/>
        <v>541.45000000000005</v>
      </c>
      <c r="AG58" s="61">
        <f>SUM(AG14:AG56)</f>
        <v>1042.4000000000001</v>
      </c>
      <c r="AH58" s="47">
        <f t="shared" si="2"/>
        <v>546.70000000000005</v>
      </c>
      <c r="AI58" s="48">
        <f t="shared" si="3"/>
        <v>536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15</v>
      </c>
      <c r="I59" s="45">
        <v>15</v>
      </c>
      <c r="J59" s="45">
        <v>45</v>
      </c>
      <c r="K59" s="45">
        <v>250</v>
      </c>
      <c r="L59" s="45">
        <v>400</v>
      </c>
      <c r="M59" s="45">
        <v>400</v>
      </c>
      <c r="N59" s="45">
        <v>310</v>
      </c>
      <c r="O59" s="63">
        <v>50</v>
      </c>
      <c r="P59" s="63">
        <v>50</v>
      </c>
      <c r="Q59" s="63">
        <v>15</v>
      </c>
      <c r="R59" s="63">
        <v>0</v>
      </c>
      <c r="S59" s="63">
        <v>0</v>
      </c>
      <c r="T59" s="63">
        <v>0</v>
      </c>
      <c r="U59" s="63">
        <v>0</v>
      </c>
      <c r="V59" s="63">
        <v>0</v>
      </c>
      <c r="W59" s="63">
        <v>115</v>
      </c>
      <c r="X59" s="63">
        <v>300</v>
      </c>
      <c r="Y59" s="45">
        <v>350</v>
      </c>
      <c r="Z59" s="45">
        <v>300</v>
      </c>
      <c r="AA59" s="45">
        <v>200</v>
      </c>
      <c r="AB59" s="45">
        <v>200</v>
      </c>
      <c r="AC59" s="45">
        <v>125</v>
      </c>
      <c r="AD59" s="45">
        <v>70</v>
      </c>
      <c r="AE59" s="45">
        <v>15</v>
      </c>
      <c r="AF59" s="45">
        <v>0</v>
      </c>
      <c r="AG59" s="52">
        <v>456</v>
      </c>
      <c r="AH59" s="47">
        <f t="shared" si="2"/>
        <v>400</v>
      </c>
      <c r="AI59" s="48">
        <f t="shared" si="3"/>
        <v>0</v>
      </c>
      <c r="AK59" s="50"/>
    </row>
    <row r="60" spans="1:88" x14ac:dyDescent="0.25">
      <c r="A60" s="64" t="s">
        <v>60</v>
      </c>
      <c r="B60" s="65">
        <v>36</v>
      </c>
      <c r="C60" s="65">
        <v>36</v>
      </c>
      <c r="D60" s="65">
        <v>36</v>
      </c>
      <c r="E60" s="65">
        <v>36</v>
      </c>
      <c r="F60" s="65">
        <v>36</v>
      </c>
      <c r="G60" s="65">
        <v>36</v>
      </c>
      <c r="H60" s="65">
        <v>36</v>
      </c>
      <c r="I60" s="65">
        <v>36</v>
      </c>
      <c r="J60" s="65">
        <v>36</v>
      </c>
      <c r="K60" s="65">
        <v>36</v>
      </c>
      <c r="L60" s="65">
        <v>36</v>
      </c>
      <c r="M60" s="65">
        <v>36</v>
      </c>
      <c r="N60" s="65">
        <v>36</v>
      </c>
      <c r="O60" s="65">
        <v>36</v>
      </c>
      <c r="P60" s="65">
        <v>36</v>
      </c>
      <c r="Q60" s="65">
        <v>36</v>
      </c>
      <c r="R60" s="65">
        <v>36</v>
      </c>
      <c r="S60" s="65">
        <v>36</v>
      </c>
      <c r="T60" s="65">
        <v>36</v>
      </c>
      <c r="U60" s="65">
        <v>36</v>
      </c>
      <c r="V60" s="65">
        <v>36</v>
      </c>
      <c r="W60" s="65">
        <v>36</v>
      </c>
      <c r="X60" s="65">
        <v>36</v>
      </c>
      <c r="Y60" s="65">
        <v>36</v>
      </c>
      <c r="Z60" s="65">
        <v>36</v>
      </c>
      <c r="AA60" s="65">
        <v>36</v>
      </c>
      <c r="AB60" s="65">
        <v>36</v>
      </c>
      <c r="AC60" s="65">
        <v>36</v>
      </c>
      <c r="AD60" s="65">
        <v>36</v>
      </c>
      <c r="AE60" s="65">
        <v>36</v>
      </c>
      <c r="AF60" s="65">
        <v>36</v>
      </c>
      <c r="AG60" s="55">
        <v>60</v>
      </c>
      <c r="AH60" s="47">
        <f t="shared" si="2"/>
        <v>36</v>
      </c>
      <c r="AI60" s="48">
        <f t="shared" si="3"/>
        <v>36</v>
      </c>
      <c r="AK60" s="50"/>
    </row>
    <row r="61" spans="1:88" ht="15.75" thickBot="1" x14ac:dyDescent="0.3">
      <c r="A61" s="66" t="s">
        <v>61</v>
      </c>
      <c r="B61" s="67">
        <v>11.1</v>
      </c>
      <c r="C61" s="67">
        <v>11.2</v>
      </c>
      <c r="D61" s="67">
        <v>11.2</v>
      </c>
      <c r="E61" s="67">
        <v>11.2</v>
      </c>
      <c r="F61" s="67">
        <v>11.2</v>
      </c>
      <c r="G61" s="67">
        <v>11.2</v>
      </c>
      <c r="H61" s="67">
        <v>11.2</v>
      </c>
      <c r="I61" s="67">
        <v>11.2</v>
      </c>
      <c r="J61" s="67">
        <v>11.2</v>
      </c>
      <c r="K61" s="67">
        <v>11.2</v>
      </c>
      <c r="L61" s="67">
        <v>11.2</v>
      </c>
      <c r="M61" s="67">
        <v>11.2</v>
      </c>
      <c r="N61" s="67">
        <v>11.2</v>
      </c>
      <c r="O61" s="67">
        <v>11.2</v>
      </c>
      <c r="P61" s="67">
        <v>11.2</v>
      </c>
      <c r="Q61" s="67">
        <v>11.2</v>
      </c>
      <c r="R61" s="67">
        <v>10.199999999999999</v>
      </c>
      <c r="S61" s="67">
        <v>10.199999999999999</v>
      </c>
      <c r="T61" s="67">
        <v>10.199999999999999</v>
      </c>
      <c r="U61" s="67">
        <v>10.199999999999999</v>
      </c>
      <c r="V61" s="67">
        <v>10.199999999999999</v>
      </c>
      <c r="W61" s="67">
        <v>10.199999999999999</v>
      </c>
      <c r="X61" s="67">
        <v>10.199999999999999</v>
      </c>
      <c r="Y61" s="67">
        <v>10.199999999999999</v>
      </c>
      <c r="Z61" s="67">
        <v>16.100000000000001</v>
      </c>
      <c r="AA61" s="67">
        <v>16.100000000000001</v>
      </c>
      <c r="AB61" s="67">
        <v>16.100000000000001</v>
      </c>
      <c r="AC61" s="67">
        <v>16.100000000000001</v>
      </c>
      <c r="AD61" s="67">
        <v>16.100000000000001</v>
      </c>
      <c r="AE61" s="67">
        <v>16.100000000000001</v>
      </c>
      <c r="AF61" s="67">
        <v>16.100000000000001</v>
      </c>
      <c r="AG61" s="68">
        <v>22.1</v>
      </c>
      <c r="AH61" s="47">
        <f t="shared" si="2"/>
        <v>16.100000000000001</v>
      </c>
      <c r="AI61" s="48">
        <f t="shared" si="3"/>
        <v>10.199999999999999</v>
      </c>
      <c r="AK61" s="50"/>
    </row>
    <row r="62" spans="1:88" ht="15.75" thickBot="1" x14ac:dyDescent="0.3">
      <c r="A62" s="69" t="s">
        <v>62</v>
      </c>
      <c r="B62" s="60">
        <f t="shared" ref="B62:AG62" si="11">SUM(B59:B61)</f>
        <v>47.1</v>
      </c>
      <c r="C62" s="60">
        <f t="shared" si="11"/>
        <v>47.2</v>
      </c>
      <c r="D62" s="60">
        <f t="shared" si="11"/>
        <v>47.2</v>
      </c>
      <c r="E62" s="60">
        <f t="shared" si="11"/>
        <v>47.2</v>
      </c>
      <c r="F62" s="60">
        <f t="shared" si="11"/>
        <v>47.2</v>
      </c>
      <c r="G62" s="60">
        <f t="shared" si="11"/>
        <v>47.2</v>
      </c>
      <c r="H62" s="60">
        <f t="shared" si="11"/>
        <v>62.2</v>
      </c>
      <c r="I62" s="60">
        <f t="shared" si="11"/>
        <v>62.2</v>
      </c>
      <c r="J62" s="60">
        <f t="shared" si="11"/>
        <v>92.2</v>
      </c>
      <c r="K62" s="60">
        <f t="shared" si="11"/>
        <v>297.2</v>
      </c>
      <c r="L62" s="60">
        <f t="shared" si="11"/>
        <v>447.2</v>
      </c>
      <c r="M62" s="60">
        <f t="shared" ref="M62" si="12">SUM(M59:M61)</f>
        <v>447.2</v>
      </c>
      <c r="N62" s="60">
        <f t="shared" si="11"/>
        <v>357.2</v>
      </c>
      <c r="O62" s="60">
        <f t="shared" si="11"/>
        <v>97.2</v>
      </c>
      <c r="P62" s="60">
        <f t="shared" si="11"/>
        <v>97.2</v>
      </c>
      <c r="Q62" s="60">
        <f t="shared" si="11"/>
        <v>62.2</v>
      </c>
      <c r="R62" s="60">
        <f t="shared" si="11"/>
        <v>46.2</v>
      </c>
      <c r="S62" s="60">
        <f t="shared" ref="S62:T62" si="13">SUM(S59:S61)</f>
        <v>46.2</v>
      </c>
      <c r="T62" s="60">
        <f t="shared" si="13"/>
        <v>46.2</v>
      </c>
      <c r="U62" s="60">
        <f t="shared" ref="U62:V62" si="14">SUM(U59:U61)</f>
        <v>46.2</v>
      </c>
      <c r="V62" s="60">
        <f t="shared" si="14"/>
        <v>46.2</v>
      </c>
      <c r="W62" s="60">
        <f t="shared" ref="W62:Y62" si="15">SUM(W59:W61)</f>
        <v>161.19999999999999</v>
      </c>
      <c r="X62" s="60">
        <f t="shared" si="15"/>
        <v>346.2</v>
      </c>
      <c r="Y62" s="60">
        <f t="shared" si="15"/>
        <v>396.2</v>
      </c>
      <c r="Z62" s="60">
        <f t="shared" si="11"/>
        <v>352.1</v>
      </c>
      <c r="AA62" s="60">
        <f t="shared" ref="AA62" si="16">SUM(AA59:AA61)</f>
        <v>252.1</v>
      </c>
      <c r="AB62" s="60">
        <f>SUM(AB59:AB61)</f>
        <v>252.1</v>
      </c>
      <c r="AC62" s="60">
        <f t="shared" si="11"/>
        <v>177.1</v>
      </c>
      <c r="AD62" s="60">
        <f t="shared" si="11"/>
        <v>122.1</v>
      </c>
      <c r="AE62" s="60">
        <f t="shared" si="11"/>
        <v>67.099999999999994</v>
      </c>
      <c r="AF62" s="60">
        <f t="shared" si="11"/>
        <v>52.1</v>
      </c>
      <c r="AG62" s="61">
        <f t="shared" si="11"/>
        <v>538.1</v>
      </c>
      <c r="AH62" s="47">
        <f t="shared" si="2"/>
        <v>447.2</v>
      </c>
      <c r="AI62" s="48">
        <f t="shared" si="3"/>
        <v>46.2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25</v>
      </c>
      <c r="H63" s="45">
        <v>48</v>
      </c>
      <c r="I63" s="45">
        <v>111.6</v>
      </c>
      <c r="J63" s="45">
        <v>144</v>
      </c>
      <c r="K63" s="45">
        <v>144</v>
      </c>
      <c r="L63" s="45">
        <v>140.69999999999999</v>
      </c>
      <c r="M63" s="45">
        <v>143.30000000000001</v>
      </c>
      <c r="N63" s="45">
        <v>143.30000000000001</v>
      </c>
      <c r="O63" s="45">
        <v>130.6</v>
      </c>
      <c r="P63" s="45">
        <v>101.8</v>
      </c>
      <c r="Q63" s="45">
        <v>61.2</v>
      </c>
      <c r="R63" s="45">
        <v>30</v>
      </c>
      <c r="S63" s="45">
        <v>0</v>
      </c>
      <c r="T63" s="45">
        <v>0</v>
      </c>
      <c r="U63" s="45">
        <v>0</v>
      </c>
      <c r="V63" s="45">
        <v>97.7</v>
      </c>
      <c r="W63" s="45">
        <v>140.4</v>
      </c>
      <c r="X63" s="45">
        <v>141.80000000000001</v>
      </c>
      <c r="Y63" s="45">
        <v>141.80000000000001</v>
      </c>
      <c r="Z63" s="45">
        <v>138</v>
      </c>
      <c r="AA63" s="45">
        <v>109.9</v>
      </c>
      <c r="AB63" s="45">
        <v>110</v>
      </c>
      <c r="AC63" s="45">
        <v>71.900000000000006</v>
      </c>
      <c r="AD63" s="45">
        <v>68.599999999999994</v>
      </c>
      <c r="AE63" s="45">
        <v>30</v>
      </c>
      <c r="AF63" s="45">
        <v>0</v>
      </c>
      <c r="AG63" s="52">
        <v>144</v>
      </c>
      <c r="AH63" s="47">
        <f t="shared" si="2"/>
        <v>144</v>
      </c>
      <c r="AI63" s="48">
        <f t="shared" si="3"/>
        <v>0</v>
      </c>
      <c r="AK63" s="50"/>
    </row>
    <row r="64" spans="1:88" x14ac:dyDescent="0.25">
      <c r="A64" s="54" t="s">
        <v>64</v>
      </c>
      <c r="B64" s="65">
        <v>22.9</v>
      </c>
      <c r="C64" s="65">
        <v>23.6</v>
      </c>
      <c r="D64" s="65">
        <v>0</v>
      </c>
      <c r="E64" s="65">
        <v>0</v>
      </c>
      <c r="F64" s="65">
        <v>0</v>
      </c>
      <c r="G64" s="65">
        <v>0</v>
      </c>
      <c r="H64" s="65">
        <v>22</v>
      </c>
      <c r="I64" s="65">
        <v>59.8</v>
      </c>
      <c r="J64" s="65">
        <v>66</v>
      </c>
      <c r="K64" s="65">
        <v>70</v>
      </c>
      <c r="L64" s="65">
        <v>68.3</v>
      </c>
      <c r="M64" s="65">
        <v>68.7</v>
      </c>
      <c r="N64" s="65">
        <v>68.7</v>
      </c>
      <c r="O64" s="65">
        <v>68.7</v>
      </c>
      <c r="P64" s="65">
        <v>35.6</v>
      </c>
      <c r="Q64" s="65">
        <v>25.8</v>
      </c>
      <c r="R64" s="65">
        <v>0</v>
      </c>
      <c r="S64" s="65">
        <v>0</v>
      </c>
      <c r="T64" s="65">
        <v>0</v>
      </c>
      <c r="U64" s="65">
        <v>24.1</v>
      </c>
      <c r="V64" s="65">
        <v>63.8</v>
      </c>
      <c r="W64" s="65">
        <v>70</v>
      </c>
      <c r="X64" s="65">
        <v>71.2</v>
      </c>
      <c r="Y64" s="45">
        <v>71.2</v>
      </c>
      <c r="Z64" s="45">
        <v>68.400000000000006</v>
      </c>
      <c r="AA64" s="45">
        <v>61.2</v>
      </c>
      <c r="AB64" s="45">
        <v>35</v>
      </c>
      <c r="AC64" s="45">
        <v>35.799999999999997</v>
      </c>
      <c r="AD64" s="45">
        <v>24.35</v>
      </c>
      <c r="AE64" s="45">
        <v>34</v>
      </c>
      <c r="AF64" s="45">
        <v>25</v>
      </c>
      <c r="AG64" s="55">
        <v>70</v>
      </c>
      <c r="AH64" s="47">
        <f t="shared" si="2"/>
        <v>71.2</v>
      </c>
      <c r="AI64" s="48">
        <f t="shared" si="3"/>
        <v>0</v>
      </c>
      <c r="AK64" s="50"/>
    </row>
    <row r="65" spans="1:41" x14ac:dyDescent="0.25">
      <c r="A65" s="54" t="s">
        <v>65</v>
      </c>
      <c r="B65" s="65">
        <v>34</v>
      </c>
      <c r="C65" s="65">
        <v>16.7</v>
      </c>
      <c r="D65" s="65">
        <v>16.899999999999999</v>
      </c>
      <c r="E65" s="65">
        <v>0</v>
      </c>
      <c r="F65" s="65">
        <v>16.8</v>
      </c>
      <c r="G65" s="65">
        <v>35.5</v>
      </c>
      <c r="H65" s="65">
        <v>45.6</v>
      </c>
      <c r="I65" s="65">
        <v>45.5</v>
      </c>
      <c r="J65" s="65">
        <v>45.5</v>
      </c>
      <c r="K65" s="65">
        <v>67.900000000000006</v>
      </c>
      <c r="L65" s="65">
        <v>65.739999999999995</v>
      </c>
      <c r="M65" s="65">
        <v>67</v>
      </c>
      <c r="N65" s="65">
        <v>67</v>
      </c>
      <c r="O65" s="65">
        <v>66</v>
      </c>
      <c r="P65" s="65">
        <v>35.1</v>
      </c>
      <c r="Q65" s="65">
        <v>0</v>
      </c>
      <c r="R65" s="65">
        <v>0</v>
      </c>
      <c r="S65" s="65">
        <v>0</v>
      </c>
      <c r="T65" s="65">
        <v>0</v>
      </c>
      <c r="U65" s="65">
        <v>22.8</v>
      </c>
      <c r="V65" s="65">
        <v>68.5</v>
      </c>
      <c r="W65" s="65">
        <v>68.5</v>
      </c>
      <c r="X65" s="65">
        <v>67.2</v>
      </c>
      <c r="Y65" s="45">
        <v>67.2</v>
      </c>
      <c r="Z65" s="45">
        <v>67.8</v>
      </c>
      <c r="AA65" s="45">
        <v>67.400000000000006</v>
      </c>
      <c r="AB65" s="45">
        <v>67.400000000000006</v>
      </c>
      <c r="AC65" s="45">
        <v>58.8</v>
      </c>
      <c r="AD65" s="45">
        <v>35.5</v>
      </c>
      <c r="AE65" s="45">
        <v>22</v>
      </c>
      <c r="AF65" s="45">
        <v>16</v>
      </c>
      <c r="AG65" s="55">
        <v>69</v>
      </c>
      <c r="AH65" s="47">
        <f t="shared" si="2"/>
        <v>68.5</v>
      </c>
      <c r="AI65" s="48">
        <f t="shared" si="3"/>
        <v>0</v>
      </c>
      <c r="AK65" s="50"/>
    </row>
    <row r="66" spans="1:41" x14ac:dyDescent="0.25">
      <c r="A66" s="54" t="s">
        <v>66</v>
      </c>
      <c r="B66" s="65">
        <v>48.1</v>
      </c>
      <c r="C66" s="65">
        <v>48.1</v>
      </c>
      <c r="D66" s="65">
        <v>45.9</v>
      </c>
      <c r="E66" s="65">
        <v>45.9</v>
      </c>
      <c r="F66" s="65">
        <v>45.9</v>
      </c>
      <c r="G66" s="65">
        <v>45.9</v>
      </c>
      <c r="H66" s="65">
        <v>45.9</v>
      </c>
      <c r="I66" s="65">
        <v>45.9</v>
      </c>
      <c r="J66" s="65">
        <v>45.9</v>
      </c>
      <c r="K66" s="65">
        <v>45.9</v>
      </c>
      <c r="L66" s="65">
        <v>45.9</v>
      </c>
      <c r="M66" s="65">
        <v>46.1</v>
      </c>
      <c r="N66" s="65">
        <v>46.1</v>
      </c>
      <c r="O66" s="65">
        <v>46.1</v>
      </c>
      <c r="P66" s="65">
        <v>46.1</v>
      </c>
      <c r="Q66" s="65">
        <v>46.1</v>
      </c>
      <c r="R66" s="65">
        <v>46</v>
      </c>
      <c r="S66" s="65">
        <v>46</v>
      </c>
      <c r="T66" s="65">
        <v>46</v>
      </c>
      <c r="U66" s="65">
        <v>46</v>
      </c>
      <c r="V66" s="65">
        <v>46</v>
      </c>
      <c r="W66" s="65">
        <v>46</v>
      </c>
      <c r="X66" s="65">
        <v>46</v>
      </c>
      <c r="Y66" s="45">
        <v>46</v>
      </c>
      <c r="Z66" s="45">
        <v>45.1</v>
      </c>
      <c r="AA66" s="45">
        <v>45.1</v>
      </c>
      <c r="AB66" s="45">
        <v>44.1</v>
      </c>
      <c r="AC66" s="45">
        <v>44.3</v>
      </c>
      <c r="AD66" s="45">
        <v>44.3</v>
      </c>
      <c r="AE66" s="45">
        <v>44.3</v>
      </c>
      <c r="AF66" s="45">
        <v>44.3</v>
      </c>
      <c r="AG66" s="55">
        <v>60</v>
      </c>
      <c r="AH66" s="47">
        <f t="shared" si="2"/>
        <v>48.1</v>
      </c>
      <c r="AI66" s="48">
        <f t="shared" si="3"/>
        <v>44.1</v>
      </c>
      <c r="AK66" s="50"/>
    </row>
    <row r="67" spans="1:41" x14ac:dyDescent="0.25">
      <c r="A67" s="54" t="s">
        <v>67</v>
      </c>
      <c r="B67" s="65">
        <v>0</v>
      </c>
      <c r="C67" s="65">
        <v>0</v>
      </c>
      <c r="D67" s="65">
        <v>0</v>
      </c>
      <c r="E67" s="65">
        <v>0</v>
      </c>
      <c r="F67" s="65">
        <v>0</v>
      </c>
      <c r="G67" s="65">
        <v>10</v>
      </c>
      <c r="H67" s="65">
        <v>15</v>
      </c>
      <c r="I67" s="65">
        <v>15</v>
      </c>
      <c r="J67" s="65">
        <v>15</v>
      </c>
      <c r="K67" s="65">
        <v>29</v>
      </c>
      <c r="L67" s="65">
        <v>23</v>
      </c>
      <c r="M67" s="65">
        <v>23</v>
      </c>
      <c r="N67" s="65">
        <v>23</v>
      </c>
      <c r="O67" s="65">
        <v>15</v>
      </c>
      <c r="P67" s="65">
        <v>15</v>
      </c>
      <c r="Q67" s="65">
        <v>10</v>
      </c>
      <c r="R67" s="65">
        <v>0</v>
      </c>
      <c r="S67" s="65">
        <v>0</v>
      </c>
      <c r="T67" s="65">
        <v>0</v>
      </c>
      <c r="U67" s="65">
        <v>0</v>
      </c>
      <c r="V67" s="65">
        <v>15</v>
      </c>
      <c r="W67" s="65">
        <v>15</v>
      </c>
      <c r="X67" s="65">
        <v>29</v>
      </c>
      <c r="Y67" s="45">
        <v>29</v>
      </c>
      <c r="Z67" s="45">
        <v>29</v>
      </c>
      <c r="AA67" s="45">
        <v>23</v>
      </c>
      <c r="AB67" s="45">
        <v>23</v>
      </c>
      <c r="AC67" s="45">
        <v>10</v>
      </c>
      <c r="AD67" s="45">
        <v>10</v>
      </c>
      <c r="AE67" s="45">
        <v>0</v>
      </c>
      <c r="AF67" s="45">
        <v>0</v>
      </c>
      <c r="AG67" s="55">
        <v>30</v>
      </c>
      <c r="AH67" s="47">
        <f t="shared" si="2"/>
        <v>29</v>
      </c>
      <c r="AI67" s="48">
        <f t="shared" si="3"/>
        <v>0</v>
      </c>
      <c r="AK67" s="50"/>
    </row>
    <row r="68" spans="1:41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0.5</v>
      </c>
      <c r="M68" s="45">
        <v>1.1000000000000001</v>
      </c>
      <c r="N68" s="45">
        <v>4.3</v>
      </c>
      <c r="O68" s="45">
        <v>4.3</v>
      </c>
      <c r="P68" s="65">
        <v>13.7</v>
      </c>
      <c r="Q68" s="65">
        <v>15.6</v>
      </c>
      <c r="R68" s="65">
        <v>14.5</v>
      </c>
      <c r="S68" s="65">
        <v>11.3</v>
      </c>
      <c r="T68" s="65">
        <v>8.6999999999999993</v>
      </c>
      <c r="U68" s="65">
        <v>3.3</v>
      </c>
      <c r="V68" s="65">
        <v>0.6</v>
      </c>
      <c r="W68" s="65">
        <v>0</v>
      </c>
      <c r="X68" s="65">
        <v>0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55">
        <v>25</v>
      </c>
      <c r="AH68" s="47">
        <f t="shared" si="2"/>
        <v>15.6</v>
      </c>
      <c r="AI68" s="48">
        <f t="shared" si="3"/>
        <v>0</v>
      </c>
      <c r="AK68" s="50"/>
    </row>
    <row r="69" spans="1:41" x14ac:dyDescent="0.25">
      <c r="A69" s="54" t="s">
        <v>69</v>
      </c>
      <c r="B69" s="65">
        <v>15</v>
      </c>
      <c r="C69" s="65">
        <v>15</v>
      </c>
      <c r="D69" s="65">
        <v>15</v>
      </c>
      <c r="E69" s="65">
        <v>15</v>
      </c>
      <c r="F69" s="65">
        <v>15</v>
      </c>
      <c r="G69" s="65">
        <v>15</v>
      </c>
      <c r="H69" s="65">
        <v>15</v>
      </c>
      <c r="I69" s="65">
        <v>15</v>
      </c>
      <c r="J69" s="65">
        <v>15</v>
      </c>
      <c r="K69" s="65">
        <v>15</v>
      </c>
      <c r="L69" s="65">
        <v>15</v>
      </c>
      <c r="M69" s="65">
        <v>15</v>
      </c>
      <c r="N69" s="65">
        <v>15</v>
      </c>
      <c r="O69" s="65">
        <v>15</v>
      </c>
      <c r="P69" s="65">
        <v>15</v>
      </c>
      <c r="Q69" s="65">
        <v>15</v>
      </c>
      <c r="R69" s="65">
        <v>15</v>
      </c>
      <c r="S69" s="65">
        <v>15</v>
      </c>
      <c r="T69" s="65">
        <v>15</v>
      </c>
      <c r="U69" s="65">
        <v>15</v>
      </c>
      <c r="V69" s="65">
        <v>15</v>
      </c>
      <c r="W69" s="65">
        <v>15</v>
      </c>
      <c r="X69" s="65">
        <v>15</v>
      </c>
      <c r="Y69" s="65">
        <v>15</v>
      </c>
      <c r="Z69" s="65">
        <v>15</v>
      </c>
      <c r="AA69" s="65">
        <v>15</v>
      </c>
      <c r="AB69" s="65">
        <v>15</v>
      </c>
      <c r="AC69" s="65">
        <v>15</v>
      </c>
      <c r="AD69" s="65">
        <v>15</v>
      </c>
      <c r="AE69" s="65">
        <v>15</v>
      </c>
      <c r="AF69" s="65">
        <v>15</v>
      </c>
      <c r="AG69" s="55">
        <v>24</v>
      </c>
      <c r="AH69" s="47">
        <f t="shared" si="2"/>
        <v>15</v>
      </c>
      <c r="AI69" s="48">
        <f t="shared" si="3"/>
        <v>15</v>
      </c>
      <c r="AK69" s="50"/>
    </row>
    <row r="70" spans="1:41" x14ac:dyDescent="0.25">
      <c r="A70" s="54" t="s">
        <v>70</v>
      </c>
      <c r="B70" s="65">
        <v>4</v>
      </c>
      <c r="C70" s="65">
        <v>4</v>
      </c>
      <c r="D70" s="65">
        <v>4</v>
      </c>
      <c r="E70" s="65">
        <v>4</v>
      </c>
      <c r="F70" s="65">
        <v>4</v>
      </c>
      <c r="G70" s="65">
        <v>4</v>
      </c>
      <c r="H70" s="65">
        <v>4</v>
      </c>
      <c r="I70" s="65">
        <v>4</v>
      </c>
      <c r="J70" s="65">
        <v>4</v>
      </c>
      <c r="K70" s="65">
        <v>4</v>
      </c>
      <c r="L70" s="65">
        <v>4</v>
      </c>
      <c r="M70" s="65">
        <v>4</v>
      </c>
      <c r="N70" s="65">
        <v>4</v>
      </c>
      <c r="O70" s="65">
        <v>4</v>
      </c>
      <c r="P70" s="65">
        <v>4</v>
      </c>
      <c r="Q70" s="65">
        <v>4</v>
      </c>
      <c r="R70" s="65">
        <v>4</v>
      </c>
      <c r="S70" s="65">
        <v>4</v>
      </c>
      <c r="T70" s="65">
        <v>4</v>
      </c>
      <c r="U70" s="65">
        <v>4</v>
      </c>
      <c r="V70" s="65">
        <v>4</v>
      </c>
      <c r="W70" s="65">
        <v>4</v>
      </c>
      <c r="X70" s="65">
        <v>4</v>
      </c>
      <c r="Y70" s="65">
        <v>4</v>
      </c>
      <c r="Z70" s="65">
        <v>4</v>
      </c>
      <c r="AA70" s="65">
        <v>4</v>
      </c>
      <c r="AB70" s="65">
        <v>4</v>
      </c>
      <c r="AC70" s="65">
        <v>4</v>
      </c>
      <c r="AD70" s="65">
        <v>4</v>
      </c>
      <c r="AE70" s="65">
        <v>4</v>
      </c>
      <c r="AF70" s="65">
        <v>4</v>
      </c>
      <c r="AG70" s="55">
        <v>15</v>
      </c>
      <c r="AH70" s="47">
        <f t="shared" si="2"/>
        <v>4</v>
      </c>
      <c r="AI70" s="48">
        <f t="shared" si="3"/>
        <v>4</v>
      </c>
      <c r="AK70" s="50"/>
      <c r="AL70" s="70"/>
      <c r="AO70" s="70"/>
    </row>
    <row r="71" spans="1:41" s="70" customFormat="1" x14ac:dyDescent="0.25">
      <c r="A71" s="54" t="s">
        <v>71</v>
      </c>
      <c r="B71" s="65">
        <v>9.8000000000000007</v>
      </c>
      <c r="C71" s="65">
        <v>9.8000000000000007</v>
      </c>
      <c r="D71" s="65">
        <v>9.8000000000000007</v>
      </c>
      <c r="E71" s="65">
        <v>9.8000000000000007</v>
      </c>
      <c r="F71" s="65">
        <v>9.8000000000000007</v>
      </c>
      <c r="G71" s="65">
        <v>9.8000000000000007</v>
      </c>
      <c r="H71" s="65">
        <v>9.8000000000000007</v>
      </c>
      <c r="I71" s="65">
        <v>9.8000000000000007</v>
      </c>
      <c r="J71" s="65">
        <v>9.8000000000000007</v>
      </c>
      <c r="K71" s="65">
        <v>9.8000000000000007</v>
      </c>
      <c r="L71" s="65">
        <v>9.8000000000000007</v>
      </c>
      <c r="M71" s="65">
        <v>9.8000000000000007</v>
      </c>
      <c r="N71" s="65">
        <v>9.8000000000000007</v>
      </c>
      <c r="O71" s="65">
        <v>9.8000000000000007</v>
      </c>
      <c r="P71" s="65">
        <v>9.8000000000000007</v>
      </c>
      <c r="Q71" s="65">
        <v>9.8000000000000007</v>
      </c>
      <c r="R71" s="65">
        <v>9.8000000000000007</v>
      </c>
      <c r="S71" s="65">
        <v>9.8000000000000007</v>
      </c>
      <c r="T71" s="65">
        <v>9.8000000000000007</v>
      </c>
      <c r="U71" s="65">
        <v>9.8000000000000007</v>
      </c>
      <c r="V71" s="65">
        <v>9.8000000000000007</v>
      </c>
      <c r="W71" s="65">
        <v>9.8000000000000007</v>
      </c>
      <c r="X71" s="65">
        <v>9.8000000000000007</v>
      </c>
      <c r="Y71" s="65">
        <v>9.8000000000000007</v>
      </c>
      <c r="Z71" s="65">
        <v>9.8000000000000007</v>
      </c>
      <c r="AA71" s="65">
        <v>9.8000000000000007</v>
      </c>
      <c r="AB71" s="65">
        <v>9.8000000000000007</v>
      </c>
      <c r="AC71" s="65">
        <v>9.8000000000000007</v>
      </c>
      <c r="AD71" s="65">
        <v>9.8000000000000007</v>
      </c>
      <c r="AE71" s="65">
        <v>9.8000000000000007</v>
      </c>
      <c r="AF71" s="65">
        <v>9.8000000000000007</v>
      </c>
      <c r="AG71" s="55">
        <v>14.1</v>
      </c>
      <c r="AH71" s="47">
        <f t="shared" si="2"/>
        <v>9.8000000000000007</v>
      </c>
      <c r="AI71" s="48">
        <f t="shared" si="3"/>
        <v>9.8000000000000007</v>
      </c>
      <c r="AJ71" s="1"/>
      <c r="AK71" s="50"/>
      <c r="AL71" s="1"/>
      <c r="AM71" s="1"/>
      <c r="AN71" s="1"/>
      <c r="AO71" s="1"/>
    </row>
    <row r="72" spans="1:41" x14ac:dyDescent="0.25">
      <c r="A72" s="71" t="s">
        <v>72</v>
      </c>
      <c r="B72" s="65">
        <v>4.9000000000000004</v>
      </c>
      <c r="C72" s="65">
        <v>4.9000000000000004</v>
      </c>
      <c r="D72" s="65">
        <v>4.8</v>
      </c>
      <c r="E72" s="65">
        <v>4.5999999999999996</v>
      </c>
      <c r="F72" s="65">
        <v>4.5999999999999996</v>
      </c>
      <c r="G72" s="65">
        <v>4.5999999999999996</v>
      </c>
      <c r="H72" s="65">
        <v>4.5999999999999996</v>
      </c>
      <c r="I72" s="65">
        <v>4.5999999999999996</v>
      </c>
      <c r="J72" s="65">
        <v>4.5999999999999996</v>
      </c>
      <c r="K72" s="65">
        <v>4.5999999999999996</v>
      </c>
      <c r="L72" s="65">
        <v>4.5999999999999996</v>
      </c>
      <c r="M72" s="65">
        <v>4.5999999999999996</v>
      </c>
      <c r="N72" s="65">
        <v>4.5999999999999996</v>
      </c>
      <c r="O72" s="65">
        <v>4.5999999999999996</v>
      </c>
      <c r="P72" s="65">
        <v>4.5999999999999996</v>
      </c>
      <c r="Q72" s="65">
        <v>4.5999999999999996</v>
      </c>
      <c r="R72" s="65">
        <v>4.5999999999999996</v>
      </c>
      <c r="S72" s="65">
        <v>4.5999999999999996</v>
      </c>
      <c r="T72" s="65">
        <v>4.5999999999999996</v>
      </c>
      <c r="U72" s="65">
        <v>4.5999999999999996</v>
      </c>
      <c r="V72" s="65">
        <v>4.5999999999999996</v>
      </c>
      <c r="W72" s="65">
        <v>4.5999999999999996</v>
      </c>
      <c r="X72" s="65">
        <v>4.5999999999999996</v>
      </c>
      <c r="Y72" s="65">
        <v>4.5999999999999996</v>
      </c>
      <c r="Z72" s="65">
        <v>4.5999999999999996</v>
      </c>
      <c r="AA72" s="65">
        <v>4.5999999999999996</v>
      </c>
      <c r="AB72" s="65">
        <v>4.5999999999999996</v>
      </c>
      <c r="AC72" s="65">
        <v>4.5999999999999996</v>
      </c>
      <c r="AD72" s="65">
        <v>4.5999999999999996</v>
      </c>
      <c r="AE72" s="65">
        <v>4.5999999999999996</v>
      </c>
      <c r="AF72" s="65">
        <v>4.5999999999999996</v>
      </c>
      <c r="AG72" s="55">
        <v>14</v>
      </c>
      <c r="AH72" s="47">
        <f t="shared" si="2"/>
        <v>4.9000000000000004</v>
      </c>
      <c r="AI72" s="48">
        <f t="shared" si="3"/>
        <v>4.5999999999999996</v>
      </c>
      <c r="AK72" s="50"/>
    </row>
    <row r="73" spans="1:41" x14ac:dyDescent="0.25">
      <c r="A73" s="54" t="s">
        <v>73</v>
      </c>
      <c r="B73" s="65">
        <v>4.5</v>
      </c>
      <c r="C73" s="65">
        <v>4.5</v>
      </c>
      <c r="D73" s="65">
        <v>4.5</v>
      </c>
      <c r="E73" s="65">
        <v>4.5</v>
      </c>
      <c r="F73" s="65">
        <v>4.5</v>
      </c>
      <c r="G73" s="65">
        <v>4.5</v>
      </c>
      <c r="H73" s="65">
        <v>4.5</v>
      </c>
      <c r="I73" s="65">
        <v>4.5</v>
      </c>
      <c r="J73" s="65">
        <v>4.5</v>
      </c>
      <c r="K73" s="65">
        <v>4.5</v>
      </c>
      <c r="L73" s="65">
        <v>4.5</v>
      </c>
      <c r="M73" s="65">
        <v>4.5</v>
      </c>
      <c r="N73" s="65">
        <v>4.5</v>
      </c>
      <c r="O73" s="65">
        <v>4.5</v>
      </c>
      <c r="P73" s="65">
        <v>4.5</v>
      </c>
      <c r="Q73" s="65">
        <v>4.5</v>
      </c>
      <c r="R73" s="65">
        <v>4.5</v>
      </c>
      <c r="S73" s="65">
        <v>4.5</v>
      </c>
      <c r="T73" s="65">
        <v>4.5</v>
      </c>
      <c r="U73" s="65">
        <v>4.5</v>
      </c>
      <c r="V73" s="65">
        <v>4.5</v>
      </c>
      <c r="W73" s="65">
        <v>4.5</v>
      </c>
      <c r="X73" s="65">
        <v>4.5</v>
      </c>
      <c r="Y73" s="65">
        <v>4.5</v>
      </c>
      <c r="Z73" s="65">
        <v>4.5</v>
      </c>
      <c r="AA73" s="65">
        <v>4.5</v>
      </c>
      <c r="AB73" s="65">
        <v>4.5</v>
      </c>
      <c r="AC73" s="65">
        <v>4.5</v>
      </c>
      <c r="AD73" s="65">
        <v>4.5</v>
      </c>
      <c r="AE73" s="65">
        <v>4.5</v>
      </c>
      <c r="AF73" s="65">
        <v>4.5</v>
      </c>
      <c r="AG73" s="55">
        <v>10.050000000000001</v>
      </c>
      <c r="AH73" s="47">
        <f t="shared" si="2"/>
        <v>4.5</v>
      </c>
      <c r="AI73" s="48">
        <f t="shared" si="3"/>
        <v>4.5</v>
      </c>
      <c r="AK73" s="50"/>
    </row>
    <row r="74" spans="1:41" x14ac:dyDescent="0.25">
      <c r="A74" s="54" t="s">
        <v>74</v>
      </c>
      <c r="B74" s="65">
        <v>3</v>
      </c>
      <c r="C74" s="65">
        <v>3</v>
      </c>
      <c r="D74" s="65">
        <v>3</v>
      </c>
      <c r="E74" s="65">
        <v>3</v>
      </c>
      <c r="F74" s="65">
        <v>3</v>
      </c>
      <c r="G74" s="65">
        <v>3</v>
      </c>
      <c r="H74" s="65">
        <v>3</v>
      </c>
      <c r="I74" s="65">
        <v>3</v>
      </c>
      <c r="J74" s="65">
        <v>3</v>
      </c>
      <c r="K74" s="65">
        <v>3</v>
      </c>
      <c r="L74" s="65">
        <v>3</v>
      </c>
      <c r="M74" s="65">
        <v>3</v>
      </c>
      <c r="N74" s="65">
        <v>3</v>
      </c>
      <c r="O74" s="65">
        <v>3</v>
      </c>
      <c r="P74" s="65">
        <v>3</v>
      </c>
      <c r="Q74" s="65">
        <v>3</v>
      </c>
      <c r="R74" s="65">
        <v>3</v>
      </c>
      <c r="S74" s="65">
        <v>3</v>
      </c>
      <c r="T74" s="65">
        <v>3</v>
      </c>
      <c r="U74" s="65">
        <v>3</v>
      </c>
      <c r="V74" s="65">
        <v>3</v>
      </c>
      <c r="W74" s="65">
        <v>3</v>
      </c>
      <c r="X74" s="65">
        <v>3</v>
      </c>
      <c r="Y74" s="65">
        <v>3</v>
      </c>
      <c r="Z74" s="65">
        <v>3</v>
      </c>
      <c r="AA74" s="65">
        <v>3</v>
      </c>
      <c r="AB74" s="65">
        <v>3</v>
      </c>
      <c r="AC74" s="65">
        <v>3</v>
      </c>
      <c r="AD74" s="65">
        <v>3</v>
      </c>
      <c r="AE74" s="65">
        <v>3</v>
      </c>
      <c r="AF74" s="65">
        <v>3</v>
      </c>
      <c r="AG74" s="55">
        <v>6.2</v>
      </c>
      <c r="AH74" s="47">
        <f t="shared" si="2"/>
        <v>3</v>
      </c>
      <c r="AI74" s="48">
        <f t="shared" si="3"/>
        <v>3</v>
      </c>
      <c r="AK74" s="50"/>
    </row>
    <row r="75" spans="1:41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3.54</v>
      </c>
      <c r="Z75" s="72">
        <v>3.54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2"/>
        <v>3.54</v>
      </c>
      <c r="AI75" s="48">
        <f t="shared" si="3"/>
        <v>3.54</v>
      </c>
      <c r="AK75" s="50"/>
    </row>
    <row r="76" spans="1:41" ht="15.75" thickBot="1" x14ac:dyDescent="0.3">
      <c r="A76" s="74" t="s">
        <v>76</v>
      </c>
      <c r="B76" s="60">
        <f t="shared" ref="B76:AG76" si="17">SUM(B63:B75)</f>
        <v>149.74</v>
      </c>
      <c r="C76" s="60">
        <f t="shared" si="17"/>
        <v>133.14000000000001</v>
      </c>
      <c r="D76" s="60">
        <f t="shared" si="17"/>
        <v>107.44</v>
      </c>
      <c r="E76" s="60">
        <f t="shared" si="17"/>
        <v>90.34</v>
      </c>
      <c r="F76" s="60">
        <f t="shared" si="17"/>
        <v>107.14</v>
      </c>
      <c r="G76" s="60">
        <f t="shared" si="17"/>
        <v>160.84</v>
      </c>
      <c r="H76" s="60">
        <f t="shared" si="17"/>
        <v>220.94</v>
      </c>
      <c r="I76" s="60">
        <f t="shared" si="17"/>
        <v>322.24</v>
      </c>
      <c r="J76" s="60">
        <f t="shared" si="17"/>
        <v>360.84000000000003</v>
      </c>
      <c r="K76" s="60">
        <f t="shared" si="17"/>
        <v>401.24</v>
      </c>
      <c r="L76" s="60">
        <f t="shared" si="17"/>
        <v>388.58000000000004</v>
      </c>
      <c r="M76" s="60">
        <f t="shared" ref="M76" si="18">SUM(M63:M75)</f>
        <v>393.6400000000001</v>
      </c>
      <c r="N76" s="60">
        <f t="shared" si="17"/>
        <v>396.84000000000009</v>
      </c>
      <c r="O76" s="60">
        <f t="shared" si="17"/>
        <v>375.1400000000001</v>
      </c>
      <c r="P76" s="60">
        <f t="shared" si="17"/>
        <v>291.74</v>
      </c>
      <c r="Q76" s="60">
        <f t="shared" si="17"/>
        <v>203.14</v>
      </c>
      <c r="R76" s="60">
        <f t="shared" si="17"/>
        <v>134.93999999999997</v>
      </c>
      <c r="S76" s="60">
        <f t="shared" ref="S76:T76" si="19">SUM(S63:S75)</f>
        <v>101.74</v>
      </c>
      <c r="T76" s="60">
        <f t="shared" si="19"/>
        <v>99.14</v>
      </c>
      <c r="U76" s="60">
        <f t="shared" ref="U76:V76" si="20">SUM(U63:U75)</f>
        <v>140.63999999999999</v>
      </c>
      <c r="V76" s="60">
        <f t="shared" si="20"/>
        <v>336.04000000000008</v>
      </c>
      <c r="W76" s="60">
        <f t="shared" ref="W76:Y76" si="21">SUM(W63:W75)</f>
        <v>384.34000000000003</v>
      </c>
      <c r="X76" s="60">
        <f t="shared" si="21"/>
        <v>399.64000000000004</v>
      </c>
      <c r="Y76" s="60">
        <f t="shared" si="21"/>
        <v>399.64000000000004</v>
      </c>
      <c r="Z76" s="60">
        <f t="shared" si="17"/>
        <v>392.74000000000007</v>
      </c>
      <c r="AA76" s="60">
        <f t="shared" ref="AA76" si="22">SUM(AA63:AA75)</f>
        <v>351.04000000000008</v>
      </c>
      <c r="AB76" s="60">
        <f t="shared" si="17"/>
        <v>323.94000000000005</v>
      </c>
      <c r="AC76" s="60">
        <f t="shared" si="17"/>
        <v>265.24000000000007</v>
      </c>
      <c r="AD76" s="60">
        <f t="shared" si="17"/>
        <v>227.19</v>
      </c>
      <c r="AE76" s="60">
        <f t="shared" si="17"/>
        <v>174.74</v>
      </c>
      <c r="AF76" s="60">
        <f t="shared" si="17"/>
        <v>129.73999999999998</v>
      </c>
      <c r="AG76" s="61">
        <f t="shared" si="17"/>
        <v>489.91</v>
      </c>
      <c r="AH76" s="47">
        <f t="shared" si="2"/>
        <v>401.24</v>
      </c>
      <c r="AI76" s="48">
        <f t="shared" si="3"/>
        <v>90.34</v>
      </c>
      <c r="AK76" s="50"/>
    </row>
    <row r="77" spans="1:41" x14ac:dyDescent="0.25">
      <c r="A77" s="44" t="s">
        <v>77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>
        <v>13.7</v>
      </c>
      <c r="O77" s="45">
        <v>59.4</v>
      </c>
      <c r="P77" s="45">
        <v>59.9</v>
      </c>
      <c r="Q77" s="45">
        <v>59.9</v>
      </c>
      <c r="R77" s="45">
        <v>59.1</v>
      </c>
      <c r="S77" s="45">
        <v>20.100000000000001</v>
      </c>
      <c r="T77" s="45">
        <v>29.5</v>
      </c>
      <c r="U77" s="45">
        <v>29.5</v>
      </c>
      <c r="V77" s="45">
        <v>59.1</v>
      </c>
      <c r="W77" s="45">
        <v>59.1</v>
      </c>
      <c r="X77" s="45">
        <v>59.1</v>
      </c>
      <c r="Y77" s="45">
        <v>59.1</v>
      </c>
      <c r="Z77" s="45">
        <v>60.1</v>
      </c>
      <c r="AA77" s="45">
        <v>60.1</v>
      </c>
      <c r="AB77" s="45">
        <v>60.1</v>
      </c>
      <c r="AC77" s="45">
        <v>50</v>
      </c>
      <c r="AD77" s="45">
        <v>60</v>
      </c>
      <c r="AE77" s="45">
        <v>35</v>
      </c>
      <c r="AF77" s="45">
        <v>0</v>
      </c>
      <c r="AG77" s="52">
        <v>60</v>
      </c>
      <c r="AH77" s="47">
        <f t="shared" si="2"/>
        <v>60.1</v>
      </c>
      <c r="AI77" s="48">
        <f t="shared" si="3"/>
        <v>0</v>
      </c>
      <c r="AK77" s="50"/>
    </row>
    <row r="78" spans="1:41" x14ac:dyDescent="0.25">
      <c r="A78" s="54" t="s">
        <v>78</v>
      </c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>
        <v>4</v>
      </c>
      <c r="O78" s="65">
        <v>25.3</v>
      </c>
      <c r="P78" s="65">
        <v>27.5</v>
      </c>
      <c r="Q78" s="65">
        <v>20.7</v>
      </c>
      <c r="R78" s="65">
        <v>27.7</v>
      </c>
      <c r="S78" s="65">
        <v>9.6</v>
      </c>
      <c r="T78" s="65">
        <v>8.6</v>
      </c>
      <c r="U78" s="65">
        <v>13.8</v>
      </c>
      <c r="V78" s="65">
        <v>20.7</v>
      </c>
      <c r="W78" s="65">
        <v>27.8</v>
      </c>
      <c r="X78" s="65">
        <v>27.8</v>
      </c>
      <c r="Y78" s="65">
        <v>27.8</v>
      </c>
      <c r="Z78" s="65">
        <v>26.8</v>
      </c>
      <c r="AA78" s="65">
        <v>26.8</v>
      </c>
      <c r="AB78" s="65">
        <v>27.7</v>
      </c>
      <c r="AC78" s="65">
        <v>18.899999999999999</v>
      </c>
      <c r="AD78" s="65">
        <v>12.5</v>
      </c>
      <c r="AE78" s="65">
        <v>24</v>
      </c>
      <c r="AF78" s="65">
        <v>0</v>
      </c>
      <c r="AG78" s="55">
        <v>32</v>
      </c>
      <c r="AH78" s="47">
        <f t="shared" si="2"/>
        <v>27.8</v>
      </c>
      <c r="AI78" s="48">
        <f t="shared" si="3"/>
        <v>0</v>
      </c>
      <c r="AK78" s="50"/>
    </row>
    <row r="79" spans="1:41" ht="15.75" thickBot="1" x14ac:dyDescent="0.3">
      <c r="A79" s="71" t="s">
        <v>79</v>
      </c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>
        <v>1.5</v>
      </c>
      <c r="O79" s="67">
        <v>9.3000000000000007</v>
      </c>
      <c r="P79" s="67">
        <v>10</v>
      </c>
      <c r="Q79" s="67">
        <v>7.5</v>
      </c>
      <c r="R79" s="67">
        <v>10.1</v>
      </c>
      <c r="S79" s="67">
        <v>3.5</v>
      </c>
      <c r="T79" s="67">
        <v>3.1</v>
      </c>
      <c r="U79" s="67">
        <v>5</v>
      </c>
      <c r="V79" s="67">
        <v>7.6</v>
      </c>
      <c r="W79" s="67">
        <v>10.199999999999999</v>
      </c>
      <c r="X79" s="67">
        <v>10.199999999999999</v>
      </c>
      <c r="Y79" s="67">
        <v>10.199999999999999</v>
      </c>
      <c r="Z79" s="67">
        <v>9.8000000000000007</v>
      </c>
      <c r="AA79" s="67">
        <v>10.199999999999999</v>
      </c>
      <c r="AB79" s="67">
        <v>10.01</v>
      </c>
      <c r="AC79" s="67">
        <v>6.5</v>
      </c>
      <c r="AD79" s="67">
        <v>4.5999999999999996</v>
      </c>
      <c r="AE79" s="67">
        <v>9</v>
      </c>
      <c r="AF79" s="67">
        <v>0</v>
      </c>
      <c r="AG79" s="68">
        <v>14</v>
      </c>
      <c r="AH79" s="47">
        <f t="shared" si="2"/>
        <v>10.199999999999999</v>
      </c>
      <c r="AI79" s="48">
        <f t="shared" si="3"/>
        <v>0</v>
      </c>
      <c r="AK79" s="50"/>
    </row>
    <row r="80" spans="1:41" ht="15.75" thickBot="1" x14ac:dyDescent="0.3">
      <c r="A80" s="74" t="s">
        <v>80</v>
      </c>
      <c r="B80" s="60">
        <f t="shared" ref="B80:AF80" si="23">B77+B78+B79</f>
        <v>0</v>
      </c>
      <c r="C80" s="60">
        <f t="shared" si="23"/>
        <v>0</v>
      </c>
      <c r="D80" s="60">
        <f t="shared" si="23"/>
        <v>0</v>
      </c>
      <c r="E80" s="60">
        <f t="shared" si="23"/>
        <v>0</v>
      </c>
      <c r="F80" s="60">
        <f t="shared" si="23"/>
        <v>0</v>
      </c>
      <c r="G80" s="60">
        <f t="shared" si="23"/>
        <v>0</v>
      </c>
      <c r="H80" s="60">
        <f t="shared" si="23"/>
        <v>0</v>
      </c>
      <c r="I80" s="60">
        <f t="shared" si="23"/>
        <v>0</v>
      </c>
      <c r="J80" s="60">
        <f t="shared" si="23"/>
        <v>0</v>
      </c>
      <c r="K80" s="60">
        <f t="shared" si="23"/>
        <v>0</v>
      </c>
      <c r="L80" s="60">
        <f t="shared" si="23"/>
        <v>0</v>
      </c>
      <c r="M80" s="60">
        <f t="shared" ref="M80" si="24">M77+M78+M79</f>
        <v>0</v>
      </c>
      <c r="N80" s="60">
        <f t="shared" si="23"/>
        <v>19.2</v>
      </c>
      <c r="O80" s="60">
        <f t="shared" si="23"/>
        <v>94</v>
      </c>
      <c r="P80" s="60">
        <f t="shared" si="23"/>
        <v>97.4</v>
      </c>
      <c r="Q80" s="60">
        <f t="shared" si="23"/>
        <v>88.1</v>
      </c>
      <c r="R80" s="60">
        <f t="shared" si="23"/>
        <v>96.899999999999991</v>
      </c>
      <c r="S80" s="60">
        <f t="shared" ref="S80:T80" si="25">S77+S78+S79</f>
        <v>33.200000000000003</v>
      </c>
      <c r="T80" s="60">
        <f t="shared" si="25"/>
        <v>41.2</v>
      </c>
      <c r="U80" s="60">
        <f t="shared" ref="U80:V80" si="26">U77+U78+U79</f>
        <v>48.3</v>
      </c>
      <c r="V80" s="60">
        <f t="shared" si="26"/>
        <v>87.399999999999991</v>
      </c>
      <c r="W80" s="60">
        <f t="shared" ref="W80:Y80" si="27">W77+W78+W79</f>
        <v>97.100000000000009</v>
      </c>
      <c r="X80" s="60">
        <f t="shared" si="27"/>
        <v>97.100000000000009</v>
      </c>
      <c r="Y80" s="60">
        <f t="shared" si="27"/>
        <v>97.100000000000009</v>
      </c>
      <c r="Z80" s="60">
        <f t="shared" si="23"/>
        <v>96.7</v>
      </c>
      <c r="AA80" s="60">
        <f t="shared" ref="AA80" si="28">AA77+AA78+AA79</f>
        <v>97.100000000000009</v>
      </c>
      <c r="AB80" s="60">
        <f t="shared" si="23"/>
        <v>97.81</v>
      </c>
      <c r="AC80" s="60">
        <f t="shared" si="23"/>
        <v>75.400000000000006</v>
      </c>
      <c r="AD80" s="60">
        <f t="shared" si="23"/>
        <v>77.099999999999994</v>
      </c>
      <c r="AE80" s="60">
        <f t="shared" si="23"/>
        <v>68</v>
      </c>
      <c r="AF80" s="60">
        <f t="shared" si="23"/>
        <v>0</v>
      </c>
      <c r="AG80" s="61">
        <f>SUM(AG77:AG79)</f>
        <v>106</v>
      </c>
      <c r="AH80" s="47">
        <f t="shared" si="2"/>
        <v>97.81</v>
      </c>
      <c r="AI80" s="48">
        <f t="shared" si="3"/>
        <v>0</v>
      </c>
      <c r="AK80" s="50"/>
    </row>
    <row r="81" spans="1:40" x14ac:dyDescent="0.25">
      <c r="A81" s="44" t="s">
        <v>81</v>
      </c>
      <c r="B81" s="45">
        <v>54.7</v>
      </c>
      <c r="C81" s="45">
        <v>64.599999999999994</v>
      </c>
      <c r="D81" s="45">
        <v>60.1</v>
      </c>
      <c r="E81" s="45">
        <v>66.599999999999994</v>
      </c>
      <c r="F81" s="45">
        <v>65.8</v>
      </c>
      <c r="G81" s="45">
        <v>70</v>
      </c>
      <c r="H81" s="45">
        <v>58</v>
      </c>
      <c r="I81" s="45">
        <v>70</v>
      </c>
      <c r="J81" s="45">
        <v>72</v>
      </c>
      <c r="K81" s="45">
        <v>69</v>
      </c>
      <c r="L81" s="45">
        <v>63.3</v>
      </c>
      <c r="M81" s="45">
        <v>55.6</v>
      </c>
      <c r="N81" s="45">
        <v>52.7</v>
      </c>
      <c r="O81" s="45">
        <v>61.2</v>
      </c>
      <c r="P81" s="45">
        <v>55.3</v>
      </c>
      <c r="Q81" s="45">
        <v>47.4</v>
      </c>
      <c r="R81" s="45">
        <v>63.4</v>
      </c>
      <c r="S81" s="45">
        <v>69</v>
      </c>
      <c r="T81" s="45">
        <v>59.4</v>
      </c>
      <c r="U81" s="45">
        <v>65.599999999999994</v>
      </c>
      <c r="V81" s="45">
        <v>48.8</v>
      </c>
      <c r="W81" s="45">
        <v>48.4</v>
      </c>
      <c r="X81" s="45">
        <v>53.2</v>
      </c>
      <c r="Y81" s="45">
        <v>58.9</v>
      </c>
      <c r="Z81" s="45">
        <v>61.9</v>
      </c>
      <c r="AA81" s="45">
        <v>66.5</v>
      </c>
      <c r="AB81" s="45">
        <v>60.2</v>
      </c>
      <c r="AC81" s="45">
        <v>66.400000000000006</v>
      </c>
      <c r="AD81" s="45">
        <v>58.8</v>
      </c>
      <c r="AE81" s="45">
        <v>68</v>
      </c>
      <c r="AF81" s="45">
        <v>70.5</v>
      </c>
      <c r="AG81" s="52"/>
      <c r="AH81" s="47">
        <f t="shared" si="2"/>
        <v>72</v>
      </c>
      <c r="AI81" s="48">
        <f t="shared" si="3"/>
        <v>47.4</v>
      </c>
      <c r="AK81" s="50"/>
    </row>
    <row r="82" spans="1:40" x14ac:dyDescent="0.25">
      <c r="A82" s="54" t="s">
        <v>82</v>
      </c>
      <c r="B82" s="65">
        <v>0</v>
      </c>
      <c r="C82" s="65">
        <v>0</v>
      </c>
      <c r="D82" s="65">
        <v>0</v>
      </c>
      <c r="E82" s="65">
        <v>0</v>
      </c>
      <c r="F82" s="65">
        <v>0</v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v>0</v>
      </c>
      <c r="M82" s="65">
        <v>0</v>
      </c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55"/>
      <c r="AH82" s="47">
        <f t="shared" si="2"/>
        <v>0</v>
      </c>
      <c r="AI82" s="48">
        <f t="shared" si="3"/>
        <v>0</v>
      </c>
      <c r="AK82" s="50"/>
    </row>
    <row r="83" spans="1:40" x14ac:dyDescent="0.25">
      <c r="A83" s="54" t="s">
        <v>83</v>
      </c>
      <c r="B83" s="65">
        <v>378.5</v>
      </c>
      <c r="C83" s="65">
        <v>381</v>
      </c>
      <c r="D83" s="65">
        <v>382.6</v>
      </c>
      <c r="E83" s="65">
        <v>374.7</v>
      </c>
      <c r="F83" s="65">
        <v>395</v>
      </c>
      <c r="G83" s="65">
        <v>403</v>
      </c>
      <c r="H83" s="65">
        <v>401.6</v>
      </c>
      <c r="I83" s="65">
        <v>398</v>
      </c>
      <c r="J83" s="65">
        <v>424</v>
      </c>
      <c r="K83" s="65">
        <v>159.69999999999999</v>
      </c>
      <c r="L83" s="65">
        <v>53.1</v>
      </c>
      <c r="M83" s="65">
        <v>45.6</v>
      </c>
      <c r="N83" s="65">
        <v>31.3</v>
      </c>
      <c r="O83" s="65">
        <v>184.9</v>
      </c>
      <c r="P83" s="65">
        <v>209.8</v>
      </c>
      <c r="Q83" s="65">
        <v>405.6</v>
      </c>
      <c r="R83" s="65">
        <v>416.6</v>
      </c>
      <c r="S83" s="65">
        <v>453</v>
      </c>
      <c r="T83" s="65">
        <v>482.5</v>
      </c>
      <c r="U83" s="65">
        <v>459.7</v>
      </c>
      <c r="V83" s="65">
        <v>173.3</v>
      </c>
      <c r="W83" s="65">
        <v>118.2</v>
      </c>
      <c r="X83" s="65">
        <v>105.7</v>
      </c>
      <c r="Y83" s="65">
        <v>136.80000000000001</v>
      </c>
      <c r="Z83" s="65">
        <v>151.1</v>
      </c>
      <c r="AA83" s="65">
        <v>275</v>
      </c>
      <c r="AB83" s="65">
        <v>255</v>
      </c>
      <c r="AC83" s="65">
        <v>317</v>
      </c>
      <c r="AD83" s="65">
        <v>436</v>
      </c>
      <c r="AE83" s="65">
        <v>461</v>
      </c>
      <c r="AF83" s="65">
        <v>444</v>
      </c>
      <c r="AG83" s="75"/>
      <c r="AH83" s="47">
        <f t="shared" si="2"/>
        <v>482.5</v>
      </c>
      <c r="AI83" s="48">
        <f t="shared" si="3"/>
        <v>31.3</v>
      </c>
      <c r="AK83" s="50"/>
    </row>
    <row r="84" spans="1:40" x14ac:dyDescent="0.25">
      <c r="A84" s="54" t="s">
        <v>84</v>
      </c>
      <c r="B84" s="65">
        <v>0</v>
      </c>
      <c r="C84" s="65">
        <v>0</v>
      </c>
      <c r="D84" s="65">
        <v>0</v>
      </c>
      <c r="E84" s="76">
        <v>0</v>
      </c>
      <c r="F84" s="76">
        <v>0</v>
      </c>
      <c r="G84" s="76">
        <v>0</v>
      </c>
      <c r="H84" s="76">
        <v>0</v>
      </c>
      <c r="I84" s="76">
        <v>0</v>
      </c>
      <c r="J84" s="76">
        <v>0</v>
      </c>
      <c r="K84" s="76">
        <v>0</v>
      </c>
      <c r="L84" s="76">
        <v>0</v>
      </c>
      <c r="M84" s="76">
        <v>0</v>
      </c>
      <c r="N84" s="76"/>
      <c r="O84" s="76"/>
      <c r="P84" s="76"/>
      <c r="Q84" s="76"/>
      <c r="R84" s="76"/>
      <c r="S84" s="76">
        <v>38.299999999999997</v>
      </c>
      <c r="T84" s="76">
        <v>35.5</v>
      </c>
      <c r="U84" s="76">
        <v>43</v>
      </c>
      <c r="V84" s="76">
        <v>0</v>
      </c>
      <c r="W84" s="76">
        <v>0</v>
      </c>
      <c r="X84" s="76">
        <v>0</v>
      </c>
      <c r="Y84" s="76">
        <v>0</v>
      </c>
      <c r="Z84" s="76">
        <v>0</v>
      </c>
      <c r="AA84" s="76">
        <v>0</v>
      </c>
      <c r="AB84" s="76">
        <v>0</v>
      </c>
      <c r="AC84" s="76"/>
      <c r="AD84" s="65"/>
      <c r="AE84" s="76"/>
      <c r="AF84" s="76"/>
      <c r="AG84" s="75"/>
      <c r="AH84" s="47">
        <f t="shared" si="2"/>
        <v>43</v>
      </c>
      <c r="AI84" s="48">
        <f t="shared" si="3"/>
        <v>0</v>
      </c>
      <c r="AK84" s="50"/>
    </row>
    <row r="85" spans="1:40" x14ac:dyDescent="0.25">
      <c r="A85" s="54" t="s">
        <v>85</v>
      </c>
      <c r="B85" s="45">
        <v>0</v>
      </c>
      <c r="C85" s="45">
        <v>0</v>
      </c>
      <c r="D85" s="45">
        <v>0</v>
      </c>
      <c r="E85" s="45">
        <v>0</v>
      </c>
      <c r="F85" s="45">
        <v>0</v>
      </c>
      <c r="G85" s="45">
        <v>0</v>
      </c>
      <c r="H85" s="45">
        <v>0</v>
      </c>
      <c r="I85" s="45">
        <v>0</v>
      </c>
      <c r="J85" s="45">
        <v>0</v>
      </c>
      <c r="K85" s="45">
        <v>0</v>
      </c>
      <c r="L85" s="45">
        <v>0</v>
      </c>
      <c r="M85" s="45">
        <v>0</v>
      </c>
      <c r="N85" s="45"/>
      <c r="O85" s="45"/>
      <c r="P85" s="45"/>
      <c r="Q85" s="45">
        <v>90</v>
      </c>
      <c r="R85" s="45">
        <v>92</v>
      </c>
      <c r="S85" s="45">
        <f>53.2*2</f>
        <v>106.4</v>
      </c>
      <c r="T85" s="45">
        <f>49.7*2</f>
        <v>99.4</v>
      </c>
      <c r="U85" s="45">
        <f>59.2*2</f>
        <v>118.4</v>
      </c>
      <c r="V85" s="45">
        <v>0</v>
      </c>
      <c r="W85" s="45">
        <v>0</v>
      </c>
      <c r="X85" s="45">
        <v>0</v>
      </c>
      <c r="Y85" s="45">
        <v>0</v>
      </c>
      <c r="Z85" s="45">
        <v>0</v>
      </c>
      <c r="AA85" s="45">
        <v>0</v>
      </c>
      <c r="AB85" s="45">
        <v>0</v>
      </c>
      <c r="AC85" s="45"/>
      <c r="AD85" s="45"/>
      <c r="AE85" s="45"/>
      <c r="AF85" s="45"/>
      <c r="AG85" s="75"/>
      <c r="AH85" s="47">
        <f t="shared" ref="AH85:AH130" si="29">MAX(B85:AF85)</f>
        <v>118.4</v>
      </c>
      <c r="AI85" s="48">
        <f t="shared" ref="AI85:AI130" si="30">MIN(B85:AF85)</f>
        <v>0</v>
      </c>
      <c r="AK85" s="50"/>
    </row>
    <row r="86" spans="1:40" x14ac:dyDescent="0.25">
      <c r="A86" s="54" t="s">
        <v>86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5"/>
      <c r="AH86" s="47">
        <f t="shared" si="29"/>
        <v>0</v>
      </c>
      <c r="AI86" s="48">
        <f t="shared" si="30"/>
        <v>0</v>
      </c>
      <c r="AK86" s="50"/>
    </row>
    <row r="87" spans="1:40" ht="15.75" thickBot="1" x14ac:dyDescent="0.3">
      <c r="A87" s="54" t="s">
        <v>87</v>
      </c>
      <c r="B87" s="77">
        <v>0</v>
      </c>
      <c r="C87" s="77">
        <v>0</v>
      </c>
      <c r="D87" s="77">
        <v>0</v>
      </c>
      <c r="E87" s="77">
        <v>0</v>
      </c>
      <c r="F87" s="77">
        <v>0</v>
      </c>
      <c r="G87" s="77">
        <v>0</v>
      </c>
      <c r="H87" s="77">
        <v>0</v>
      </c>
      <c r="I87" s="77">
        <v>0</v>
      </c>
      <c r="J87" s="77">
        <v>0</v>
      </c>
      <c r="K87" s="77">
        <v>0</v>
      </c>
      <c r="L87" s="77">
        <v>0</v>
      </c>
      <c r="M87" s="77">
        <v>0</v>
      </c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5"/>
      <c r="AH87" s="47">
        <f t="shared" si="29"/>
        <v>0</v>
      </c>
      <c r="AI87" s="48">
        <f t="shared" si="30"/>
        <v>0</v>
      </c>
      <c r="AK87" s="50"/>
      <c r="AL87" s="78" t="s">
        <v>88</v>
      </c>
      <c r="AM87" s="78"/>
    </row>
    <row r="88" spans="1:40" x14ac:dyDescent="0.25">
      <c r="A88" s="54" t="s">
        <v>89</v>
      </c>
      <c r="B88" s="77">
        <v>0</v>
      </c>
      <c r="C88" s="77">
        <v>0</v>
      </c>
      <c r="D88" s="77">
        <v>0</v>
      </c>
      <c r="E88" s="77">
        <v>0</v>
      </c>
      <c r="F88" s="77">
        <v>0</v>
      </c>
      <c r="G88" s="77">
        <v>0</v>
      </c>
      <c r="H88" s="77">
        <v>0</v>
      </c>
      <c r="I88" s="77">
        <v>0</v>
      </c>
      <c r="J88" s="77">
        <v>0</v>
      </c>
      <c r="K88" s="77">
        <v>0</v>
      </c>
      <c r="L88" s="77">
        <v>0</v>
      </c>
      <c r="M88" s="77">
        <v>0</v>
      </c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5"/>
      <c r="AH88" s="47">
        <f t="shared" si="29"/>
        <v>0</v>
      </c>
      <c r="AI88" s="48">
        <f t="shared" si="30"/>
        <v>0</v>
      </c>
      <c r="AK88" s="79"/>
      <c r="AL88" s="80"/>
      <c r="AM88" s="80"/>
      <c r="AN88" s="81"/>
    </row>
    <row r="89" spans="1:40" x14ac:dyDescent="0.25">
      <c r="A89" s="54" t="s">
        <v>90</v>
      </c>
      <c r="B89" s="77">
        <v>0</v>
      </c>
      <c r="C89" s="77">
        <v>0</v>
      </c>
      <c r="D89" s="77">
        <v>0</v>
      </c>
      <c r="E89" s="77">
        <v>0</v>
      </c>
      <c r="F89" s="77">
        <v>0</v>
      </c>
      <c r="G89" s="77">
        <v>0</v>
      </c>
      <c r="H89" s="77">
        <v>0</v>
      </c>
      <c r="I89" s="77">
        <v>0</v>
      </c>
      <c r="J89" s="77">
        <v>0</v>
      </c>
      <c r="K89" s="77">
        <v>0</v>
      </c>
      <c r="L89" s="77">
        <v>0</v>
      </c>
      <c r="M89" s="77">
        <v>0</v>
      </c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5"/>
      <c r="AH89" s="47">
        <f t="shared" si="29"/>
        <v>0</v>
      </c>
      <c r="AI89" s="48">
        <f t="shared" si="30"/>
        <v>0</v>
      </c>
      <c r="AK89" s="82" t="s">
        <v>91</v>
      </c>
      <c r="AL89" s="65"/>
      <c r="AM89" s="76"/>
      <c r="AN89" s="83"/>
    </row>
    <row r="90" spans="1:40" x14ac:dyDescent="0.25">
      <c r="A90" s="84" t="s">
        <v>92</v>
      </c>
      <c r="B90" s="77">
        <v>0</v>
      </c>
      <c r="C90" s="77">
        <v>0</v>
      </c>
      <c r="D90" s="77">
        <v>0</v>
      </c>
      <c r="E90" s="77">
        <v>0</v>
      </c>
      <c r="F90" s="77">
        <v>0</v>
      </c>
      <c r="G90" s="77">
        <v>0</v>
      </c>
      <c r="H90" s="77">
        <v>0</v>
      </c>
      <c r="I90" s="77">
        <v>0</v>
      </c>
      <c r="J90" s="77">
        <v>0</v>
      </c>
      <c r="K90" s="77">
        <v>0</v>
      </c>
      <c r="L90" s="77">
        <v>0</v>
      </c>
      <c r="M90" s="77">
        <v>0</v>
      </c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85"/>
      <c r="AH90" s="47">
        <f t="shared" si="29"/>
        <v>0</v>
      </c>
      <c r="AI90" s="48">
        <f t="shared" si="30"/>
        <v>0</v>
      </c>
      <c r="AK90" s="82" t="s">
        <v>93</v>
      </c>
      <c r="AL90" s="76"/>
      <c r="AM90" s="76"/>
      <c r="AN90" s="83"/>
    </row>
    <row r="91" spans="1:40" ht="15.75" thickBot="1" x14ac:dyDescent="0.3">
      <c r="A91" s="84" t="s">
        <v>421</v>
      </c>
      <c r="B91" s="77">
        <v>0</v>
      </c>
      <c r="C91" s="77">
        <v>0</v>
      </c>
      <c r="D91" s="77">
        <v>0</v>
      </c>
      <c r="E91" s="77">
        <v>0</v>
      </c>
      <c r="F91" s="77">
        <v>0</v>
      </c>
      <c r="G91" s="77">
        <v>0</v>
      </c>
      <c r="H91" s="77">
        <v>0</v>
      </c>
      <c r="I91" s="77">
        <v>0</v>
      </c>
      <c r="J91" s="77">
        <v>0</v>
      </c>
      <c r="K91" s="77">
        <v>41.6</v>
      </c>
      <c r="L91" s="77">
        <v>45.8</v>
      </c>
      <c r="M91" s="77">
        <v>45</v>
      </c>
      <c r="N91" s="77">
        <f>38+9</f>
        <v>47</v>
      </c>
      <c r="O91" s="77">
        <f>33+9</f>
        <v>42</v>
      </c>
      <c r="P91" s="77">
        <v>40</v>
      </c>
      <c r="Q91" s="77">
        <v>45</v>
      </c>
      <c r="R91" s="77">
        <v>44.2</v>
      </c>
      <c r="S91" s="77">
        <f>36+22</f>
        <v>58</v>
      </c>
      <c r="T91" s="77">
        <f>37.7+22</f>
        <v>59.7</v>
      </c>
      <c r="U91" s="77">
        <f>39.8+7</f>
        <v>46.8</v>
      </c>
      <c r="V91" s="77">
        <f>32.7+8</f>
        <v>40.700000000000003</v>
      </c>
      <c r="W91" s="77">
        <f>33.6+8</f>
        <v>41.6</v>
      </c>
      <c r="X91" s="77">
        <f>39+8</f>
        <v>47</v>
      </c>
      <c r="Y91" s="77">
        <f>39.4+8</f>
        <v>47.4</v>
      </c>
      <c r="Z91" s="77">
        <v>49</v>
      </c>
      <c r="AA91" s="77">
        <f>40.5+8</f>
        <v>48.5</v>
      </c>
      <c r="AB91" s="77">
        <v>38.6</v>
      </c>
      <c r="AC91" s="77">
        <v>39.4</v>
      </c>
      <c r="AD91" s="77">
        <v>41.5</v>
      </c>
      <c r="AE91" s="77">
        <v>35.5</v>
      </c>
      <c r="AF91" s="77">
        <v>43.8</v>
      </c>
      <c r="AG91" s="85"/>
      <c r="AH91" s="47">
        <f t="shared" si="29"/>
        <v>59.7</v>
      </c>
      <c r="AI91" s="48">
        <f t="shared" si="30"/>
        <v>0</v>
      </c>
      <c r="AK91" s="86"/>
      <c r="AL91" s="45"/>
      <c r="AM91" s="45"/>
      <c r="AN91" s="87"/>
    </row>
    <row r="92" spans="1:40" ht="15.75" thickBot="1" x14ac:dyDescent="0.3">
      <c r="A92" s="74" t="s">
        <v>95</v>
      </c>
      <c r="B92" s="60">
        <f t="shared" ref="B92:AF92" si="31">SUMIF(B81:B91,"&gt;0")</f>
        <v>433.2</v>
      </c>
      <c r="C92" s="60">
        <f t="shared" si="31"/>
        <v>445.6</v>
      </c>
      <c r="D92" s="60">
        <f t="shared" si="31"/>
        <v>442.70000000000005</v>
      </c>
      <c r="E92" s="60">
        <f t="shared" si="31"/>
        <v>441.29999999999995</v>
      </c>
      <c r="F92" s="60">
        <f t="shared" si="31"/>
        <v>460.8</v>
      </c>
      <c r="G92" s="60">
        <f t="shared" si="31"/>
        <v>473</v>
      </c>
      <c r="H92" s="60">
        <f t="shared" si="31"/>
        <v>459.6</v>
      </c>
      <c r="I92" s="60">
        <f t="shared" si="31"/>
        <v>468</v>
      </c>
      <c r="J92" s="60">
        <f t="shared" si="31"/>
        <v>496</v>
      </c>
      <c r="K92" s="60">
        <f t="shared" si="31"/>
        <v>270.3</v>
      </c>
      <c r="L92" s="60">
        <f t="shared" si="31"/>
        <v>162.19999999999999</v>
      </c>
      <c r="M92" s="60">
        <f t="shared" ref="M92" si="32">SUMIF(M81:M91,"&gt;0")</f>
        <v>146.19999999999999</v>
      </c>
      <c r="N92" s="60">
        <f t="shared" si="31"/>
        <v>131</v>
      </c>
      <c r="O92" s="60">
        <f t="shared" si="31"/>
        <v>288.10000000000002</v>
      </c>
      <c r="P92" s="60">
        <f t="shared" si="31"/>
        <v>305.10000000000002</v>
      </c>
      <c r="Q92" s="60">
        <f t="shared" si="31"/>
        <v>588</v>
      </c>
      <c r="R92" s="60">
        <f t="shared" si="31"/>
        <v>616.20000000000005</v>
      </c>
      <c r="S92" s="60">
        <f t="shared" ref="S92:T92" si="33">SUMIF(S81:S91,"&gt;0")</f>
        <v>724.69999999999993</v>
      </c>
      <c r="T92" s="60">
        <f t="shared" si="33"/>
        <v>736.5</v>
      </c>
      <c r="U92" s="60">
        <f t="shared" ref="U92:V92" si="34">SUMIF(U81:U91,"&gt;0")</f>
        <v>733.49999999999989</v>
      </c>
      <c r="V92" s="60">
        <f t="shared" si="34"/>
        <v>262.8</v>
      </c>
      <c r="W92" s="60">
        <f t="shared" ref="W92:Y92" si="35">SUMIF(W81:W91,"&gt;0")</f>
        <v>208.2</v>
      </c>
      <c r="X92" s="60">
        <f t="shared" si="35"/>
        <v>205.9</v>
      </c>
      <c r="Y92" s="60">
        <f t="shared" si="35"/>
        <v>243.10000000000002</v>
      </c>
      <c r="Z92" s="60">
        <f t="shared" si="31"/>
        <v>262</v>
      </c>
      <c r="AA92" s="60">
        <f t="shared" ref="AA92" si="36">SUMIF(AA81:AA91,"&gt;0")</f>
        <v>390</v>
      </c>
      <c r="AB92" s="60">
        <f t="shared" si="31"/>
        <v>353.8</v>
      </c>
      <c r="AC92" s="60">
        <f t="shared" si="31"/>
        <v>422.79999999999995</v>
      </c>
      <c r="AD92" s="60">
        <f t="shared" si="31"/>
        <v>536.29999999999995</v>
      </c>
      <c r="AE92" s="60">
        <f t="shared" si="31"/>
        <v>564.5</v>
      </c>
      <c r="AF92" s="60">
        <f t="shared" si="31"/>
        <v>558.29999999999995</v>
      </c>
      <c r="AG92" s="88">
        <f>SUM(AG81:AG91)</f>
        <v>0</v>
      </c>
      <c r="AH92" s="47">
        <f t="shared" si="29"/>
        <v>736.5</v>
      </c>
      <c r="AI92" s="48">
        <f t="shared" si="30"/>
        <v>131</v>
      </c>
      <c r="AK92" s="86"/>
      <c r="AL92" s="77"/>
      <c r="AM92" s="89"/>
      <c r="AN92" s="255"/>
    </row>
    <row r="93" spans="1:40" x14ac:dyDescent="0.25">
      <c r="A93" s="44" t="s">
        <v>96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29"/>
        <v>0</v>
      </c>
      <c r="AI93" s="48">
        <f t="shared" si="30"/>
        <v>0</v>
      </c>
      <c r="AK93" s="86"/>
      <c r="AL93" s="77"/>
      <c r="AM93" s="77"/>
      <c r="AN93" s="256"/>
    </row>
    <row r="94" spans="1:40" ht="15.75" thickBot="1" x14ac:dyDescent="0.3">
      <c r="A94" s="54" t="s">
        <v>97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29"/>
        <v>0</v>
      </c>
      <c r="AI94" s="48">
        <f t="shared" si="30"/>
        <v>0</v>
      </c>
      <c r="AK94" s="91"/>
      <c r="AL94" s="92"/>
      <c r="AM94" s="92"/>
      <c r="AN94" s="93"/>
    </row>
    <row r="95" spans="1:40" ht="15.75" thickBot="1" x14ac:dyDescent="0.3">
      <c r="A95" s="84" t="s">
        <v>98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29"/>
        <v>0</v>
      </c>
      <c r="AI95" s="48">
        <f t="shared" si="30"/>
        <v>0</v>
      </c>
    </row>
    <row r="96" spans="1:40" ht="15.75" thickBot="1" x14ac:dyDescent="0.3">
      <c r="A96" s="74" t="s">
        <v>99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29"/>
        <v>0</v>
      </c>
      <c r="AI96" s="48">
        <f t="shared" si="30"/>
        <v>0</v>
      </c>
    </row>
    <row r="97" spans="1:37" ht="15.75" thickBot="1" x14ac:dyDescent="0.3">
      <c r="A97" s="74" t="s">
        <v>100</v>
      </c>
      <c r="B97" s="95">
        <f t="shared" ref="B97:AG97" si="37">B58+B62+B80+B76+B92+B96</f>
        <v>1176.3399999999999</v>
      </c>
      <c r="C97" s="95">
        <f t="shared" si="37"/>
        <v>1171.74</v>
      </c>
      <c r="D97" s="95">
        <f t="shared" si="37"/>
        <v>1143.1400000000001</v>
      </c>
      <c r="E97" s="95">
        <f t="shared" si="37"/>
        <v>1125.54</v>
      </c>
      <c r="F97" s="95">
        <f t="shared" si="37"/>
        <v>1161.8400000000001</v>
      </c>
      <c r="G97" s="95">
        <f t="shared" si="37"/>
        <v>1227.7400000000002</v>
      </c>
      <c r="H97" s="95">
        <f t="shared" si="37"/>
        <v>1289.44</v>
      </c>
      <c r="I97" s="95">
        <f t="shared" si="37"/>
        <v>1399.14</v>
      </c>
      <c r="J97" s="95">
        <f t="shared" si="37"/>
        <v>1495.7400000000002</v>
      </c>
      <c r="K97" s="95">
        <f t="shared" si="37"/>
        <v>1515.44</v>
      </c>
      <c r="L97" s="95">
        <f t="shared" si="37"/>
        <v>1544.68</v>
      </c>
      <c r="M97" s="95">
        <f t="shared" ref="M97" si="38">M58+M62+M80+M76+M92+M96</f>
        <v>1525.7400000000002</v>
      </c>
      <c r="N97" s="95">
        <f t="shared" si="37"/>
        <v>1442.9400000000003</v>
      </c>
      <c r="O97" s="95">
        <f t="shared" si="37"/>
        <v>1392.1400000000003</v>
      </c>
      <c r="P97" s="95">
        <f t="shared" si="37"/>
        <v>1328.64</v>
      </c>
      <c r="Q97" s="95">
        <f t="shared" si="37"/>
        <v>1478.14</v>
      </c>
      <c r="R97" s="95">
        <f t="shared" si="37"/>
        <v>1430.24</v>
      </c>
      <c r="S97" s="95">
        <f t="shared" ref="S97:T97" si="39">S58+S62+S80+S76+S92+S96</f>
        <v>1441.8400000000001</v>
      </c>
      <c r="T97" s="95">
        <f t="shared" si="39"/>
        <v>1459.04</v>
      </c>
      <c r="U97" s="95">
        <f t="shared" ref="U97:V97" si="40">U58+U62+U80+U76+U92+U96</f>
        <v>1504.6399999999999</v>
      </c>
      <c r="V97" s="95">
        <f t="shared" si="40"/>
        <v>1268.44</v>
      </c>
      <c r="W97" s="95">
        <f t="shared" ref="W97:Y97" si="41">W58+W62+W80+W76+W92+W96</f>
        <v>1386.8400000000001</v>
      </c>
      <c r="X97" s="95">
        <f t="shared" si="41"/>
        <v>1584.8400000000001</v>
      </c>
      <c r="Y97" s="95">
        <f t="shared" si="41"/>
        <v>1672.04</v>
      </c>
      <c r="Z97" s="95">
        <f t="shared" si="37"/>
        <v>1639.5400000000002</v>
      </c>
      <c r="AA97" s="95">
        <f t="shared" ref="AA97" si="42">AA58+AA62+AA80+AA76+AA92+AA96</f>
        <v>1626.2400000000002</v>
      </c>
      <c r="AB97" s="95">
        <f t="shared" si="37"/>
        <v>1569.1000000000001</v>
      </c>
      <c r="AC97" s="95">
        <f t="shared" si="37"/>
        <v>1481.99</v>
      </c>
      <c r="AD97" s="95">
        <f t="shared" si="37"/>
        <v>1504.14</v>
      </c>
      <c r="AE97" s="95">
        <f t="shared" si="37"/>
        <v>1415.79</v>
      </c>
      <c r="AF97" s="95">
        <f t="shared" si="37"/>
        <v>1281.5900000000001</v>
      </c>
      <c r="AG97" s="61">
        <f t="shared" si="37"/>
        <v>2231.81</v>
      </c>
      <c r="AH97" s="47">
        <f t="shared" si="29"/>
        <v>1672.04</v>
      </c>
      <c r="AI97" s="48">
        <f t="shared" si="30"/>
        <v>1125.54</v>
      </c>
    </row>
    <row r="98" spans="1:37" ht="15.75" thickBot="1" x14ac:dyDescent="0.3">
      <c r="A98" s="96" t="s">
        <v>101</v>
      </c>
      <c r="B98" s="97"/>
      <c r="C98" s="97"/>
      <c r="D98" s="97"/>
      <c r="E98" s="97"/>
      <c r="F98" s="97"/>
      <c r="G98" s="97"/>
      <c r="H98" s="97"/>
      <c r="I98" s="97"/>
      <c r="J98" s="97"/>
      <c r="K98" s="97">
        <v>150</v>
      </c>
      <c r="L98" s="97">
        <v>270</v>
      </c>
      <c r="M98" s="97">
        <v>270</v>
      </c>
      <c r="N98" s="97">
        <v>270</v>
      </c>
      <c r="O98" s="97">
        <v>270</v>
      </c>
      <c r="P98" s="97">
        <v>270</v>
      </c>
      <c r="Q98" s="97">
        <v>120</v>
      </c>
      <c r="R98" s="97">
        <v>120</v>
      </c>
      <c r="S98" s="97">
        <v>120</v>
      </c>
      <c r="T98" s="97">
        <v>120</v>
      </c>
      <c r="U98" s="97">
        <v>120</v>
      </c>
      <c r="V98" s="97">
        <v>250</v>
      </c>
      <c r="W98" s="97">
        <v>280</v>
      </c>
      <c r="X98" s="97">
        <v>280</v>
      </c>
      <c r="Y98" s="97">
        <v>280</v>
      </c>
      <c r="Z98" s="97">
        <v>260</v>
      </c>
      <c r="AA98" s="97">
        <v>260</v>
      </c>
      <c r="AB98" s="97">
        <v>260</v>
      </c>
      <c r="AC98" s="97">
        <v>260</v>
      </c>
      <c r="AD98" s="97">
        <v>100</v>
      </c>
      <c r="AE98" s="97"/>
      <c r="AF98" s="97"/>
      <c r="AG98" s="88"/>
      <c r="AH98" s="47">
        <f t="shared" si="29"/>
        <v>280</v>
      </c>
      <c r="AI98" s="48">
        <f t="shared" si="30"/>
        <v>100</v>
      </c>
    </row>
    <row r="99" spans="1:37" ht="15.75" thickBot="1" x14ac:dyDescent="0.3">
      <c r="A99" s="74" t="s">
        <v>102</v>
      </c>
      <c r="B99" s="95">
        <f t="shared" ref="B99:AF99" si="43">B97+B98</f>
        <v>1176.3399999999999</v>
      </c>
      <c r="C99" s="95">
        <f t="shared" si="43"/>
        <v>1171.74</v>
      </c>
      <c r="D99" s="95">
        <f t="shared" si="43"/>
        <v>1143.1400000000001</v>
      </c>
      <c r="E99" s="95">
        <f t="shared" si="43"/>
        <v>1125.54</v>
      </c>
      <c r="F99" s="95">
        <f t="shared" si="43"/>
        <v>1161.8400000000001</v>
      </c>
      <c r="G99" s="95">
        <f t="shared" si="43"/>
        <v>1227.7400000000002</v>
      </c>
      <c r="H99" s="95">
        <f t="shared" si="43"/>
        <v>1289.44</v>
      </c>
      <c r="I99" s="95">
        <f t="shared" si="43"/>
        <v>1399.14</v>
      </c>
      <c r="J99" s="95">
        <f t="shared" si="43"/>
        <v>1495.7400000000002</v>
      </c>
      <c r="K99" s="95">
        <f t="shared" si="43"/>
        <v>1665.44</v>
      </c>
      <c r="L99" s="95">
        <f t="shared" si="43"/>
        <v>1814.68</v>
      </c>
      <c r="M99" s="95">
        <f t="shared" ref="M99" si="44">M97+M98</f>
        <v>1795.7400000000002</v>
      </c>
      <c r="N99" s="95">
        <f t="shared" si="43"/>
        <v>1712.9400000000003</v>
      </c>
      <c r="O99" s="95">
        <f t="shared" si="43"/>
        <v>1662.1400000000003</v>
      </c>
      <c r="P99" s="95">
        <f t="shared" si="43"/>
        <v>1598.64</v>
      </c>
      <c r="Q99" s="95">
        <f t="shared" si="43"/>
        <v>1598.14</v>
      </c>
      <c r="R99" s="95">
        <f t="shared" si="43"/>
        <v>1550.24</v>
      </c>
      <c r="S99" s="95">
        <f t="shared" ref="S99:T99" si="45">S97+S98</f>
        <v>1561.8400000000001</v>
      </c>
      <c r="T99" s="95">
        <f t="shared" si="45"/>
        <v>1579.04</v>
      </c>
      <c r="U99" s="95">
        <f t="shared" ref="U99:V99" si="46">U97+U98</f>
        <v>1624.6399999999999</v>
      </c>
      <c r="V99" s="95">
        <f t="shared" si="46"/>
        <v>1518.44</v>
      </c>
      <c r="W99" s="95">
        <f t="shared" ref="W99:Y99" si="47">W97+W98</f>
        <v>1666.8400000000001</v>
      </c>
      <c r="X99" s="95">
        <f t="shared" si="47"/>
        <v>1864.8400000000001</v>
      </c>
      <c r="Y99" s="95">
        <f t="shared" si="47"/>
        <v>1952.04</v>
      </c>
      <c r="Z99" s="95">
        <f t="shared" si="43"/>
        <v>1899.5400000000002</v>
      </c>
      <c r="AA99" s="95">
        <f t="shared" ref="AA99" si="48">AA97+AA98</f>
        <v>1886.2400000000002</v>
      </c>
      <c r="AB99" s="95">
        <f t="shared" si="43"/>
        <v>1829.1000000000001</v>
      </c>
      <c r="AC99" s="95">
        <f t="shared" si="43"/>
        <v>1741.99</v>
      </c>
      <c r="AD99" s="95">
        <f t="shared" si="43"/>
        <v>1604.14</v>
      </c>
      <c r="AE99" s="95">
        <f t="shared" si="43"/>
        <v>1415.79</v>
      </c>
      <c r="AF99" s="95">
        <f t="shared" si="43"/>
        <v>1281.5900000000001</v>
      </c>
      <c r="AG99" s="88">
        <f>AG96+AG92+AG80+AG76+AG58+AG98</f>
        <v>1693.71</v>
      </c>
      <c r="AH99" s="47">
        <f t="shared" si="29"/>
        <v>1952.04</v>
      </c>
      <c r="AI99" s="48">
        <f t="shared" si="30"/>
        <v>1125.54</v>
      </c>
    </row>
    <row r="100" spans="1:37" ht="15.75" thickBot="1" x14ac:dyDescent="0.3">
      <c r="A100" s="74" t="s">
        <v>103</v>
      </c>
      <c r="B100" s="95">
        <f t="shared" ref="B100:L100" si="49">B99-(B107)</f>
        <v>1176.3399999999999</v>
      </c>
      <c r="C100" s="95">
        <f t="shared" si="49"/>
        <v>1171.74</v>
      </c>
      <c r="D100" s="95">
        <f t="shared" si="49"/>
        <v>1143.1400000000001</v>
      </c>
      <c r="E100" s="95">
        <f t="shared" si="49"/>
        <v>1125.54</v>
      </c>
      <c r="F100" s="95">
        <f t="shared" si="49"/>
        <v>1161.8400000000001</v>
      </c>
      <c r="G100" s="95">
        <f t="shared" si="49"/>
        <v>1227.7400000000002</v>
      </c>
      <c r="H100" s="95">
        <f t="shared" si="49"/>
        <v>1289.44</v>
      </c>
      <c r="I100" s="95">
        <f t="shared" si="49"/>
        <v>1399.14</v>
      </c>
      <c r="J100" s="95">
        <f t="shared" si="49"/>
        <v>1495.7400000000002</v>
      </c>
      <c r="K100" s="95">
        <f t="shared" si="49"/>
        <v>1665.44</v>
      </c>
      <c r="L100" s="95">
        <f t="shared" si="49"/>
        <v>1814.68</v>
      </c>
      <c r="M100" s="95">
        <f t="shared" ref="M100" si="50">M99-(M107)</f>
        <v>1794.7400000000002</v>
      </c>
      <c r="N100" s="95">
        <f>N99-(N107)</f>
        <v>1712.9400000000003</v>
      </c>
      <c r="O100" s="95">
        <f t="shared" ref="O100:AF100" si="51">O99-(O107)</f>
        <v>1662.1400000000003</v>
      </c>
      <c r="P100" s="95">
        <f t="shared" si="51"/>
        <v>1598.64</v>
      </c>
      <c r="Q100" s="95">
        <f t="shared" si="51"/>
        <v>1598.14</v>
      </c>
      <c r="R100" s="95">
        <f t="shared" si="51"/>
        <v>1550.24</v>
      </c>
      <c r="S100" s="95">
        <f t="shared" ref="S100:T100" si="52">S99-(S107)</f>
        <v>1560.8400000000001</v>
      </c>
      <c r="T100" s="95">
        <f t="shared" si="52"/>
        <v>1577.04</v>
      </c>
      <c r="U100" s="95">
        <f t="shared" ref="U100:V100" si="53">U99-(U107)</f>
        <v>1621.6399999999999</v>
      </c>
      <c r="V100" s="95">
        <f t="shared" si="53"/>
        <v>1514.44</v>
      </c>
      <c r="W100" s="95">
        <f t="shared" ref="W100:Y100" si="54">W99-(W107)</f>
        <v>1661.8400000000001</v>
      </c>
      <c r="X100" s="95">
        <f t="shared" si="54"/>
        <v>1858.8400000000001</v>
      </c>
      <c r="Y100" s="95">
        <f t="shared" si="54"/>
        <v>1943.04</v>
      </c>
      <c r="Z100" s="95">
        <f t="shared" si="51"/>
        <v>1899.5400000000002</v>
      </c>
      <c r="AA100" s="95">
        <f t="shared" ref="AA100" si="55">AA99-(AA107)</f>
        <v>1885.2400000000002</v>
      </c>
      <c r="AB100" s="95">
        <f t="shared" si="51"/>
        <v>1829.1000000000001</v>
      </c>
      <c r="AC100" s="95">
        <f t="shared" si="51"/>
        <v>1741.99</v>
      </c>
      <c r="AD100" s="95">
        <f t="shared" si="51"/>
        <v>1604.14</v>
      </c>
      <c r="AE100" s="95">
        <f t="shared" si="51"/>
        <v>1415.79</v>
      </c>
      <c r="AF100" s="95">
        <f t="shared" si="51"/>
        <v>1281.5900000000001</v>
      </c>
      <c r="AG100" s="88"/>
      <c r="AH100" s="47">
        <f t="shared" si="29"/>
        <v>1943.04</v>
      </c>
      <c r="AI100" s="48">
        <f t="shared" si="30"/>
        <v>1125.54</v>
      </c>
    </row>
    <row r="101" spans="1:37" x14ac:dyDescent="0.25">
      <c r="A101" s="44" t="s">
        <v>84</v>
      </c>
      <c r="B101" s="76">
        <f>IF(B84&lt;0,B84*-1,0)</f>
        <v>0</v>
      </c>
      <c r="C101" s="76">
        <f t="shared" ref="C101:AF101" si="56">IF(C84&lt;0,C84*-1,0)</f>
        <v>0</v>
      </c>
      <c r="D101" s="76">
        <f t="shared" si="56"/>
        <v>0</v>
      </c>
      <c r="E101" s="76">
        <f t="shared" si="56"/>
        <v>0</v>
      </c>
      <c r="F101" s="76">
        <f t="shared" si="56"/>
        <v>0</v>
      </c>
      <c r="G101" s="76">
        <f t="shared" si="56"/>
        <v>0</v>
      </c>
      <c r="H101" s="76">
        <f t="shared" si="56"/>
        <v>0</v>
      </c>
      <c r="I101" s="76">
        <f t="shared" si="56"/>
        <v>0</v>
      </c>
      <c r="J101" s="76">
        <f t="shared" si="56"/>
        <v>0</v>
      </c>
      <c r="K101" s="76">
        <f t="shared" si="56"/>
        <v>0</v>
      </c>
      <c r="L101" s="76">
        <f t="shared" si="56"/>
        <v>0</v>
      </c>
      <c r="M101" s="76">
        <f t="shared" ref="M101" si="57">IF(M84&lt;0,M84*-1,0)</f>
        <v>0</v>
      </c>
      <c r="N101" s="76">
        <f t="shared" si="56"/>
        <v>0</v>
      </c>
      <c r="O101" s="76">
        <f t="shared" si="56"/>
        <v>0</v>
      </c>
      <c r="P101" s="76">
        <f t="shared" si="56"/>
        <v>0</v>
      </c>
      <c r="Q101" s="76">
        <f t="shared" si="56"/>
        <v>0</v>
      </c>
      <c r="R101" s="76">
        <f t="shared" si="56"/>
        <v>0</v>
      </c>
      <c r="S101" s="76">
        <f t="shared" ref="S101:T101" si="58">IF(S84&lt;0,S84*-1,0)</f>
        <v>0</v>
      </c>
      <c r="T101" s="76">
        <f t="shared" si="58"/>
        <v>0</v>
      </c>
      <c r="U101" s="76">
        <f t="shared" ref="U101:V101" si="59">IF(U84&lt;0,U84*-1,0)</f>
        <v>0</v>
      </c>
      <c r="V101" s="76">
        <f t="shared" si="59"/>
        <v>0</v>
      </c>
      <c r="W101" s="76">
        <f t="shared" ref="W101:Y101" si="60">IF(W84&lt;0,W84*-1,0)</f>
        <v>0</v>
      </c>
      <c r="X101" s="76">
        <f t="shared" si="60"/>
        <v>0</v>
      </c>
      <c r="Y101" s="76">
        <f t="shared" si="60"/>
        <v>0</v>
      </c>
      <c r="Z101" s="76">
        <f t="shared" si="56"/>
        <v>0</v>
      </c>
      <c r="AA101" s="76">
        <f t="shared" ref="AA101" si="61">IF(AA84&lt;0,AA84*-1,0)</f>
        <v>0</v>
      </c>
      <c r="AB101" s="76">
        <f t="shared" si="56"/>
        <v>0</v>
      </c>
      <c r="AC101" s="76">
        <f t="shared" si="56"/>
        <v>0</v>
      </c>
      <c r="AD101" s="76">
        <f t="shared" si="56"/>
        <v>0</v>
      </c>
      <c r="AE101" s="76">
        <f t="shared" si="56"/>
        <v>0</v>
      </c>
      <c r="AF101" s="76">
        <f t="shared" si="56"/>
        <v>0</v>
      </c>
      <c r="AG101" s="52"/>
      <c r="AH101" s="47">
        <f t="shared" si="29"/>
        <v>0</v>
      </c>
      <c r="AI101" s="48">
        <f t="shared" si="30"/>
        <v>0</v>
      </c>
    </row>
    <row r="102" spans="1:37" x14ac:dyDescent="0.25">
      <c r="A102" s="54" t="s">
        <v>82</v>
      </c>
      <c r="B102" s="76">
        <f>IF(B82&lt;0,B82*-1,0)</f>
        <v>0</v>
      </c>
      <c r="C102" s="76">
        <f t="shared" ref="C102:AF102" si="62">IF(C82&lt;0,C82*-1,0)</f>
        <v>0</v>
      </c>
      <c r="D102" s="76">
        <f t="shared" si="62"/>
        <v>0</v>
      </c>
      <c r="E102" s="76">
        <f t="shared" si="62"/>
        <v>0</v>
      </c>
      <c r="F102" s="76">
        <f t="shared" si="62"/>
        <v>0</v>
      </c>
      <c r="G102" s="76">
        <f t="shared" si="62"/>
        <v>0</v>
      </c>
      <c r="H102" s="76">
        <f t="shared" si="62"/>
        <v>0</v>
      </c>
      <c r="I102" s="76">
        <f t="shared" si="62"/>
        <v>0</v>
      </c>
      <c r="J102" s="76">
        <f t="shared" si="62"/>
        <v>0</v>
      </c>
      <c r="K102" s="76">
        <f t="shared" si="62"/>
        <v>0</v>
      </c>
      <c r="L102" s="76">
        <f t="shared" si="62"/>
        <v>0</v>
      </c>
      <c r="M102" s="76">
        <f t="shared" ref="M102" si="63">IF(M82&lt;0,M82*-1,0)</f>
        <v>0</v>
      </c>
      <c r="N102" s="76">
        <f t="shared" si="62"/>
        <v>0</v>
      </c>
      <c r="O102" s="76">
        <f t="shared" si="62"/>
        <v>0</v>
      </c>
      <c r="P102" s="76">
        <f t="shared" si="62"/>
        <v>0</v>
      </c>
      <c r="Q102" s="76">
        <f t="shared" si="62"/>
        <v>0</v>
      </c>
      <c r="R102" s="76">
        <f t="shared" si="62"/>
        <v>0</v>
      </c>
      <c r="S102" s="76">
        <f t="shared" ref="S102:T102" si="64">IF(S82&lt;0,S82*-1,0)</f>
        <v>0</v>
      </c>
      <c r="T102" s="76">
        <f t="shared" si="64"/>
        <v>0</v>
      </c>
      <c r="U102" s="76">
        <f t="shared" ref="U102:V102" si="65">IF(U82&lt;0,U82*-1,0)</f>
        <v>0</v>
      </c>
      <c r="V102" s="76">
        <f t="shared" si="65"/>
        <v>0</v>
      </c>
      <c r="W102" s="76">
        <f t="shared" ref="W102:Y102" si="66">IF(W82&lt;0,W82*-1,0)</f>
        <v>0</v>
      </c>
      <c r="X102" s="76">
        <f t="shared" si="66"/>
        <v>0</v>
      </c>
      <c r="Y102" s="76">
        <f t="shared" si="66"/>
        <v>0</v>
      </c>
      <c r="Z102" s="76">
        <f t="shared" si="62"/>
        <v>0</v>
      </c>
      <c r="AA102" s="76">
        <f t="shared" ref="AA102" si="67">IF(AA82&lt;0,AA82*-1,0)</f>
        <v>0</v>
      </c>
      <c r="AB102" s="76">
        <f t="shared" si="62"/>
        <v>0</v>
      </c>
      <c r="AC102" s="76">
        <f t="shared" si="62"/>
        <v>0</v>
      </c>
      <c r="AD102" s="76">
        <f t="shared" si="62"/>
        <v>0</v>
      </c>
      <c r="AE102" s="76">
        <f t="shared" si="62"/>
        <v>0</v>
      </c>
      <c r="AF102" s="76">
        <f t="shared" si="62"/>
        <v>0</v>
      </c>
      <c r="AG102" s="55"/>
      <c r="AH102" s="47">
        <f t="shared" si="29"/>
        <v>0</v>
      </c>
      <c r="AI102" s="48">
        <f t="shared" si="30"/>
        <v>0</v>
      </c>
    </row>
    <row r="103" spans="1:37" x14ac:dyDescent="0.25">
      <c r="A103" s="84" t="s">
        <v>104</v>
      </c>
      <c r="B103" s="76">
        <f>IF(B85&lt;0,B85*-1,0)</f>
        <v>0</v>
      </c>
      <c r="C103" s="76">
        <f t="shared" ref="C103:AF103" si="68">IF(C85&lt;0,C85*-1,0)</f>
        <v>0</v>
      </c>
      <c r="D103" s="76">
        <f t="shared" si="68"/>
        <v>0</v>
      </c>
      <c r="E103" s="76">
        <f t="shared" si="68"/>
        <v>0</v>
      </c>
      <c r="F103" s="76">
        <f t="shared" si="68"/>
        <v>0</v>
      </c>
      <c r="G103" s="76">
        <f t="shared" si="68"/>
        <v>0</v>
      </c>
      <c r="H103" s="76">
        <f t="shared" si="68"/>
        <v>0</v>
      </c>
      <c r="I103" s="76">
        <f t="shared" si="68"/>
        <v>0</v>
      </c>
      <c r="J103" s="76">
        <f t="shared" si="68"/>
        <v>0</v>
      </c>
      <c r="K103" s="76">
        <f t="shared" si="68"/>
        <v>0</v>
      </c>
      <c r="L103" s="76">
        <f t="shared" si="68"/>
        <v>0</v>
      </c>
      <c r="M103" s="76">
        <f t="shared" ref="M103" si="69">IF(M85&lt;0,M85*-1,0)</f>
        <v>0</v>
      </c>
      <c r="N103" s="76">
        <f t="shared" si="68"/>
        <v>0</v>
      </c>
      <c r="O103" s="76">
        <f t="shared" si="68"/>
        <v>0</v>
      </c>
      <c r="P103" s="76">
        <f t="shared" si="68"/>
        <v>0</v>
      </c>
      <c r="Q103" s="76">
        <f t="shared" si="68"/>
        <v>0</v>
      </c>
      <c r="R103" s="76">
        <f t="shared" si="68"/>
        <v>0</v>
      </c>
      <c r="S103" s="76">
        <f t="shared" ref="S103:T103" si="70">IF(S85&lt;0,S85*-1,0)</f>
        <v>0</v>
      </c>
      <c r="T103" s="76">
        <f t="shared" si="70"/>
        <v>0</v>
      </c>
      <c r="U103" s="76">
        <f t="shared" ref="U103:V103" si="71">IF(U85&lt;0,U85*-1,0)</f>
        <v>0</v>
      </c>
      <c r="V103" s="76">
        <f t="shared" si="71"/>
        <v>0</v>
      </c>
      <c r="W103" s="76">
        <f t="shared" ref="W103:Y103" si="72">IF(W85&lt;0,W85*-1,0)</f>
        <v>0</v>
      </c>
      <c r="X103" s="76">
        <f t="shared" si="72"/>
        <v>0</v>
      </c>
      <c r="Y103" s="76">
        <f t="shared" si="72"/>
        <v>0</v>
      </c>
      <c r="Z103" s="76">
        <f t="shared" si="68"/>
        <v>0</v>
      </c>
      <c r="AA103" s="76">
        <f t="shared" ref="AA103" si="73">IF(AA85&lt;0,AA85*-1,0)</f>
        <v>0</v>
      </c>
      <c r="AB103" s="76">
        <f t="shared" si="68"/>
        <v>0</v>
      </c>
      <c r="AC103" s="76">
        <f t="shared" si="68"/>
        <v>0</v>
      </c>
      <c r="AD103" s="76">
        <f t="shared" si="68"/>
        <v>0</v>
      </c>
      <c r="AE103" s="76">
        <f t="shared" si="68"/>
        <v>0</v>
      </c>
      <c r="AF103" s="76">
        <f t="shared" si="68"/>
        <v>0</v>
      </c>
      <c r="AG103" s="98"/>
      <c r="AH103" s="47">
        <f t="shared" si="29"/>
        <v>0</v>
      </c>
      <c r="AI103" s="48">
        <f t="shared" si="30"/>
        <v>0</v>
      </c>
    </row>
    <row r="104" spans="1:37" x14ac:dyDescent="0.25">
      <c r="A104" s="84" t="s">
        <v>105</v>
      </c>
      <c r="B104" s="76">
        <f>IF(B83&lt;0,B83*-1,0)</f>
        <v>0</v>
      </c>
      <c r="C104" s="76">
        <f t="shared" ref="C104:AF104" si="74">IF(C83&lt;0,C83*-1,0)</f>
        <v>0</v>
      </c>
      <c r="D104" s="76">
        <f t="shared" si="74"/>
        <v>0</v>
      </c>
      <c r="E104" s="76">
        <f t="shared" si="74"/>
        <v>0</v>
      </c>
      <c r="F104" s="76">
        <f t="shared" si="74"/>
        <v>0</v>
      </c>
      <c r="G104" s="76">
        <f t="shared" si="74"/>
        <v>0</v>
      </c>
      <c r="H104" s="76">
        <f t="shared" si="74"/>
        <v>0</v>
      </c>
      <c r="I104" s="76">
        <f t="shared" si="74"/>
        <v>0</v>
      </c>
      <c r="J104" s="76">
        <f t="shared" si="74"/>
        <v>0</v>
      </c>
      <c r="K104" s="76">
        <f t="shared" si="74"/>
        <v>0</v>
      </c>
      <c r="L104" s="76">
        <f t="shared" si="74"/>
        <v>0</v>
      </c>
      <c r="M104" s="76">
        <f t="shared" ref="M104" si="75">IF(M83&lt;0,M83*-1,0)</f>
        <v>0</v>
      </c>
      <c r="N104" s="76">
        <f t="shared" si="74"/>
        <v>0</v>
      </c>
      <c r="O104" s="76">
        <f t="shared" si="74"/>
        <v>0</v>
      </c>
      <c r="P104" s="76">
        <f t="shared" si="74"/>
        <v>0</v>
      </c>
      <c r="Q104" s="76">
        <f t="shared" si="74"/>
        <v>0</v>
      </c>
      <c r="R104" s="76">
        <f t="shared" si="74"/>
        <v>0</v>
      </c>
      <c r="S104" s="76">
        <f t="shared" ref="S104:T104" si="76">IF(S83&lt;0,S83*-1,0)</f>
        <v>0</v>
      </c>
      <c r="T104" s="76">
        <f t="shared" si="76"/>
        <v>0</v>
      </c>
      <c r="U104" s="76">
        <f t="shared" ref="U104:V104" si="77">IF(U83&lt;0,U83*-1,0)</f>
        <v>0</v>
      </c>
      <c r="V104" s="76">
        <f t="shared" si="77"/>
        <v>0</v>
      </c>
      <c r="W104" s="76">
        <f t="shared" ref="W104:Y104" si="78">IF(W83&lt;0,W83*-1,0)</f>
        <v>0</v>
      </c>
      <c r="X104" s="76">
        <f t="shared" si="78"/>
        <v>0</v>
      </c>
      <c r="Y104" s="76">
        <f t="shared" si="78"/>
        <v>0</v>
      </c>
      <c r="Z104" s="76">
        <f t="shared" si="74"/>
        <v>0</v>
      </c>
      <c r="AA104" s="76">
        <f t="shared" ref="AA104" si="79">IF(AA83&lt;0,AA83*-1,0)</f>
        <v>0</v>
      </c>
      <c r="AB104" s="76">
        <f t="shared" si="74"/>
        <v>0</v>
      </c>
      <c r="AC104" s="76">
        <f t="shared" si="74"/>
        <v>0</v>
      </c>
      <c r="AD104" s="76">
        <f t="shared" si="74"/>
        <v>0</v>
      </c>
      <c r="AE104" s="76">
        <f t="shared" si="74"/>
        <v>0</v>
      </c>
      <c r="AF104" s="76">
        <f t="shared" si="74"/>
        <v>0</v>
      </c>
      <c r="AG104" s="98"/>
      <c r="AH104" s="47">
        <f t="shared" si="29"/>
        <v>0</v>
      </c>
      <c r="AI104" s="48">
        <f t="shared" si="30"/>
        <v>0</v>
      </c>
    </row>
    <row r="105" spans="1:37" x14ac:dyDescent="0.25">
      <c r="A105" s="84" t="s">
        <v>81</v>
      </c>
      <c r="B105" s="76">
        <f>IF(B81&lt;0,B81*-1,0)</f>
        <v>0</v>
      </c>
      <c r="C105" s="76">
        <f t="shared" ref="C105:AF105" si="80">IF(C81&lt;0,C81*-1,0)</f>
        <v>0</v>
      </c>
      <c r="D105" s="76">
        <f t="shared" si="80"/>
        <v>0</v>
      </c>
      <c r="E105" s="76">
        <f t="shared" si="80"/>
        <v>0</v>
      </c>
      <c r="F105" s="76">
        <f t="shared" si="80"/>
        <v>0</v>
      </c>
      <c r="G105" s="76">
        <f t="shared" si="80"/>
        <v>0</v>
      </c>
      <c r="H105" s="76">
        <f t="shared" si="80"/>
        <v>0</v>
      </c>
      <c r="I105" s="76">
        <f t="shared" si="80"/>
        <v>0</v>
      </c>
      <c r="J105" s="76">
        <f t="shared" si="80"/>
        <v>0</v>
      </c>
      <c r="K105" s="76">
        <f t="shared" si="80"/>
        <v>0</v>
      </c>
      <c r="L105" s="76">
        <f t="shared" si="80"/>
        <v>0</v>
      </c>
      <c r="M105" s="76">
        <f t="shared" ref="M105" si="81">IF(M81&lt;0,M81*-1,0)</f>
        <v>0</v>
      </c>
      <c r="N105" s="76">
        <f t="shared" si="80"/>
        <v>0</v>
      </c>
      <c r="O105" s="76">
        <f t="shared" si="80"/>
        <v>0</v>
      </c>
      <c r="P105" s="76">
        <f t="shared" si="80"/>
        <v>0</v>
      </c>
      <c r="Q105" s="76">
        <f t="shared" si="80"/>
        <v>0</v>
      </c>
      <c r="R105" s="76">
        <f t="shared" si="80"/>
        <v>0</v>
      </c>
      <c r="S105" s="76">
        <f t="shared" ref="S105:T105" si="82">IF(S81&lt;0,S81*-1,0)</f>
        <v>0</v>
      </c>
      <c r="T105" s="76">
        <f t="shared" si="82"/>
        <v>0</v>
      </c>
      <c r="U105" s="76">
        <f t="shared" ref="U105:V105" si="83">IF(U81&lt;0,U81*-1,0)</f>
        <v>0</v>
      </c>
      <c r="V105" s="76">
        <f t="shared" si="83"/>
        <v>0</v>
      </c>
      <c r="W105" s="76">
        <f t="shared" ref="W105:Y105" si="84">IF(W81&lt;0,W81*-1,0)</f>
        <v>0</v>
      </c>
      <c r="X105" s="76">
        <f t="shared" si="84"/>
        <v>0</v>
      </c>
      <c r="Y105" s="76">
        <f t="shared" si="84"/>
        <v>0</v>
      </c>
      <c r="Z105" s="76">
        <f t="shared" si="80"/>
        <v>0</v>
      </c>
      <c r="AA105" s="76">
        <f t="shared" ref="AA105" si="85">IF(AA81&lt;0,AA81*-1,0)</f>
        <v>0</v>
      </c>
      <c r="AB105" s="76">
        <f t="shared" si="80"/>
        <v>0</v>
      </c>
      <c r="AC105" s="76">
        <f t="shared" si="80"/>
        <v>0</v>
      </c>
      <c r="AD105" s="76">
        <f t="shared" si="80"/>
        <v>0</v>
      </c>
      <c r="AE105" s="76">
        <f t="shared" si="80"/>
        <v>0</v>
      </c>
      <c r="AF105" s="76">
        <f t="shared" si="80"/>
        <v>0</v>
      </c>
      <c r="AG105" s="98"/>
      <c r="AH105" s="47">
        <f t="shared" si="29"/>
        <v>0</v>
      </c>
      <c r="AI105" s="48">
        <f t="shared" si="30"/>
        <v>0</v>
      </c>
    </row>
    <row r="106" spans="1:37" ht="15.75" thickBot="1" x14ac:dyDescent="0.3">
      <c r="A106" s="84" t="s">
        <v>106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1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1</v>
      </c>
      <c r="T106" s="94">
        <v>2</v>
      </c>
      <c r="U106" s="94">
        <v>3</v>
      </c>
      <c r="V106" s="94">
        <v>4</v>
      </c>
      <c r="W106" s="94">
        <v>5</v>
      </c>
      <c r="X106" s="94">
        <v>6</v>
      </c>
      <c r="Y106" s="94">
        <v>9</v>
      </c>
      <c r="Z106" s="94">
        <v>0</v>
      </c>
      <c r="AA106" s="94">
        <v>1</v>
      </c>
      <c r="AB106" s="94">
        <v>0</v>
      </c>
      <c r="AC106" s="94">
        <v>0</v>
      </c>
      <c r="AD106" s="94">
        <v>0</v>
      </c>
      <c r="AE106" s="94">
        <v>0</v>
      </c>
      <c r="AF106" s="94">
        <v>0</v>
      </c>
      <c r="AG106" s="85"/>
      <c r="AH106" s="47">
        <f t="shared" si="29"/>
        <v>9</v>
      </c>
      <c r="AI106" s="48">
        <f t="shared" si="30"/>
        <v>0</v>
      </c>
    </row>
    <row r="107" spans="1:37" ht="15.75" thickBot="1" x14ac:dyDescent="0.3">
      <c r="A107" s="99" t="s">
        <v>107</v>
      </c>
      <c r="B107" s="60">
        <f>SUM(B101:B106)</f>
        <v>0</v>
      </c>
      <c r="C107" s="60">
        <f t="shared" ref="C107:AF107" si="86">SUM(C101:C106)</f>
        <v>0</v>
      </c>
      <c r="D107" s="60">
        <f t="shared" si="86"/>
        <v>0</v>
      </c>
      <c r="E107" s="60">
        <f t="shared" si="86"/>
        <v>0</v>
      </c>
      <c r="F107" s="60">
        <f t="shared" si="86"/>
        <v>0</v>
      </c>
      <c r="G107" s="60">
        <f t="shared" si="86"/>
        <v>0</v>
      </c>
      <c r="H107" s="60">
        <f t="shared" si="86"/>
        <v>0</v>
      </c>
      <c r="I107" s="60">
        <f t="shared" si="86"/>
        <v>0</v>
      </c>
      <c r="J107" s="60">
        <f t="shared" si="86"/>
        <v>0</v>
      </c>
      <c r="K107" s="60">
        <f t="shared" si="86"/>
        <v>0</v>
      </c>
      <c r="L107" s="60">
        <f t="shared" si="86"/>
        <v>0</v>
      </c>
      <c r="M107" s="60">
        <f t="shared" ref="M107" si="87">SUM(M101:M106)</f>
        <v>1</v>
      </c>
      <c r="N107" s="60">
        <f t="shared" si="86"/>
        <v>0</v>
      </c>
      <c r="O107" s="60">
        <f t="shared" si="86"/>
        <v>0</v>
      </c>
      <c r="P107" s="60">
        <f t="shared" si="86"/>
        <v>0</v>
      </c>
      <c r="Q107" s="60">
        <f t="shared" si="86"/>
        <v>0</v>
      </c>
      <c r="R107" s="60">
        <f t="shared" si="86"/>
        <v>0</v>
      </c>
      <c r="S107" s="60">
        <f t="shared" ref="S107:T107" si="88">SUM(S101:S106)</f>
        <v>1</v>
      </c>
      <c r="T107" s="60">
        <f t="shared" si="88"/>
        <v>2</v>
      </c>
      <c r="U107" s="60">
        <f t="shared" ref="U107:V107" si="89">SUM(U101:U106)</f>
        <v>3</v>
      </c>
      <c r="V107" s="60">
        <f t="shared" si="89"/>
        <v>4</v>
      </c>
      <c r="W107" s="60">
        <f t="shared" ref="W107:Y107" si="90">SUM(W101:W106)</f>
        <v>5</v>
      </c>
      <c r="X107" s="60">
        <f t="shared" si="90"/>
        <v>6</v>
      </c>
      <c r="Y107" s="60">
        <f t="shared" si="90"/>
        <v>9</v>
      </c>
      <c r="Z107" s="60">
        <f t="shared" si="86"/>
        <v>0</v>
      </c>
      <c r="AA107" s="60">
        <f t="shared" ref="AA107" si="91">SUM(AA101:AA106)</f>
        <v>1</v>
      </c>
      <c r="AB107" s="60">
        <f t="shared" si="86"/>
        <v>0</v>
      </c>
      <c r="AC107" s="60">
        <f t="shared" si="86"/>
        <v>0</v>
      </c>
      <c r="AD107" s="60">
        <f t="shared" si="86"/>
        <v>0</v>
      </c>
      <c r="AE107" s="60">
        <f t="shared" si="86"/>
        <v>0</v>
      </c>
      <c r="AF107" s="60">
        <f t="shared" si="86"/>
        <v>0</v>
      </c>
      <c r="AG107" s="88"/>
      <c r="AH107" s="47">
        <f t="shared" si="29"/>
        <v>9</v>
      </c>
      <c r="AI107" s="48">
        <f t="shared" si="30"/>
        <v>0</v>
      </c>
      <c r="AK107" s="50"/>
    </row>
    <row r="108" spans="1:37" ht="15.75" thickBot="1" x14ac:dyDescent="0.3">
      <c r="A108" s="74" t="s">
        <v>108</v>
      </c>
      <c r="B108" s="60">
        <f t="shared" ref="B108:AF108" si="92">B92-B107</f>
        <v>433.2</v>
      </c>
      <c r="C108" s="60">
        <f t="shared" si="92"/>
        <v>445.6</v>
      </c>
      <c r="D108" s="60">
        <f t="shared" si="92"/>
        <v>442.70000000000005</v>
      </c>
      <c r="E108" s="60">
        <f t="shared" si="92"/>
        <v>441.29999999999995</v>
      </c>
      <c r="F108" s="60">
        <f t="shared" si="92"/>
        <v>460.8</v>
      </c>
      <c r="G108" s="60">
        <f t="shared" si="92"/>
        <v>473</v>
      </c>
      <c r="H108" s="60">
        <f t="shared" si="92"/>
        <v>459.6</v>
      </c>
      <c r="I108" s="60">
        <f t="shared" si="92"/>
        <v>468</v>
      </c>
      <c r="J108" s="60">
        <f t="shared" si="92"/>
        <v>496</v>
      </c>
      <c r="K108" s="60">
        <f t="shared" si="92"/>
        <v>270.3</v>
      </c>
      <c r="L108" s="60">
        <f t="shared" si="92"/>
        <v>162.19999999999999</v>
      </c>
      <c r="M108" s="60">
        <f t="shared" ref="M108" si="93">M92-M107</f>
        <v>145.19999999999999</v>
      </c>
      <c r="N108" s="60">
        <f t="shared" si="92"/>
        <v>131</v>
      </c>
      <c r="O108" s="60">
        <f t="shared" si="92"/>
        <v>288.10000000000002</v>
      </c>
      <c r="P108" s="60">
        <f t="shared" si="92"/>
        <v>305.10000000000002</v>
      </c>
      <c r="Q108" s="60">
        <f t="shared" si="92"/>
        <v>588</v>
      </c>
      <c r="R108" s="60">
        <f t="shared" si="92"/>
        <v>616.20000000000005</v>
      </c>
      <c r="S108" s="60">
        <f t="shared" ref="S108:T108" si="94">S92-S107</f>
        <v>723.69999999999993</v>
      </c>
      <c r="T108" s="60">
        <f t="shared" si="94"/>
        <v>734.5</v>
      </c>
      <c r="U108" s="60">
        <f t="shared" ref="U108:V108" si="95">U92-U107</f>
        <v>730.49999999999989</v>
      </c>
      <c r="V108" s="60">
        <f t="shared" si="95"/>
        <v>258.8</v>
      </c>
      <c r="W108" s="60">
        <f t="shared" ref="W108:Y108" si="96">W92-W107</f>
        <v>203.2</v>
      </c>
      <c r="X108" s="60">
        <f t="shared" si="96"/>
        <v>199.9</v>
      </c>
      <c r="Y108" s="60">
        <f t="shared" si="96"/>
        <v>234.10000000000002</v>
      </c>
      <c r="Z108" s="60">
        <f t="shared" si="92"/>
        <v>262</v>
      </c>
      <c r="AA108" s="60">
        <f t="shared" ref="AA108" si="97">AA92-AA107</f>
        <v>389</v>
      </c>
      <c r="AB108" s="60">
        <f t="shared" si="92"/>
        <v>353.8</v>
      </c>
      <c r="AC108" s="60">
        <f t="shared" si="92"/>
        <v>422.79999999999995</v>
      </c>
      <c r="AD108" s="60">
        <f t="shared" si="92"/>
        <v>536.29999999999995</v>
      </c>
      <c r="AE108" s="60">
        <f t="shared" si="92"/>
        <v>564.5</v>
      </c>
      <c r="AF108" s="60">
        <f t="shared" si="92"/>
        <v>558.29999999999995</v>
      </c>
      <c r="AG108" s="88"/>
      <c r="AH108" s="47">
        <f t="shared" si="29"/>
        <v>734.5</v>
      </c>
      <c r="AI108" s="48">
        <f t="shared" si="30"/>
        <v>131</v>
      </c>
    </row>
    <row r="109" spans="1:37" x14ac:dyDescent="0.25">
      <c r="A109" s="100" t="s">
        <v>109</v>
      </c>
      <c r="B109" s="101">
        <v>49.99</v>
      </c>
      <c r="C109" s="101">
        <v>49.968000000000004</v>
      </c>
      <c r="D109" s="101">
        <v>49.972999999999999</v>
      </c>
      <c r="E109" s="101">
        <v>50</v>
      </c>
      <c r="F109" s="101">
        <v>50</v>
      </c>
      <c r="G109" s="101">
        <v>50.042000000000002</v>
      </c>
      <c r="H109" s="101">
        <v>50.037999999999997</v>
      </c>
      <c r="I109" s="101">
        <v>50.045000000000002</v>
      </c>
      <c r="J109" s="101">
        <v>50</v>
      </c>
      <c r="K109" s="101">
        <v>49.945</v>
      </c>
      <c r="L109" s="101">
        <v>49.822000000000003</v>
      </c>
      <c r="M109" s="101">
        <v>50</v>
      </c>
      <c r="N109" s="101">
        <v>49.941000000000003</v>
      </c>
      <c r="O109" s="101">
        <v>49.972000000000001</v>
      </c>
      <c r="P109" s="101">
        <v>49.921999999999997</v>
      </c>
      <c r="Q109" s="101">
        <v>49.917999999999999</v>
      </c>
      <c r="R109" s="101">
        <v>49.97</v>
      </c>
      <c r="S109" s="101">
        <v>50.13</v>
      </c>
      <c r="T109" s="101">
        <v>49.98</v>
      </c>
      <c r="U109" s="101">
        <v>49.96</v>
      </c>
      <c r="V109" s="101">
        <v>49.92</v>
      </c>
      <c r="W109" s="101">
        <v>50.01</v>
      </c>
      <c r="X109" s="101">
        <v>49.8</v>
      </c>
      <c r="Y109" s="101">
        <v>49.79</v>
      </c>
      <c r="Z109" s="101">
        <v>50.002000000000002</v>
      </c>
      <c r="AA109" s="101">
        <v>50.01</v>
      </c>
      <c r="AB109" s="101">
        <v>50.02</v>
      </c>
      <c r="AC109" s="101">
        <v>49.872</v>
      </c>
      <c r="AD109" s="101">
        <v>50.046999999999997</v>
      </c>
      <c r="AE109" s="101">
        <v>50.085000000000001</v>
      </c>
      <c r="AF109" s="101">
        <v>50.002000000000002</v>
      </c>
      <c r="AG109" s="102"/>
      <c r="AH109" s="47">
        <f t="shared" si="29"/>
        <v>50.13</v>
      </c>
      <c r="AI109" s="48">
        <f t="shared" si="30"/>
        <v>49.79</v>
      </c>
    </row>
    <row r="110" spans="1:37" x14ac:dyDescent="0.25">
      <c r="A110" s="103" t="s">
        <v>110</v>
      </c>
      <c r="B110" s="65">
        <v>127.2</v>
      </c>
      <c r="C110" s="65">
        <v>127.1</v>
      </c>
      <c r="D110" s="65">
        <v>126</v>
      </c>
      <c r="E110" s="65">
        <v>127.5</v>
      </c>
      <c r="F110" s="65">
        <v>127.5</v>
      </c>
      <c r="G110" s="65">
        <v>125.9</v>
      </c>
      <c r="H110" s="65">
        <v>126.4</v>
      </c>
      <c r="I110" s="65">
        <v>126.4</v>
      </c>
      <c r="J110" s="65">
        <v>123.5</v>
      </c>
      <c r="K110" s="65">
        <v>126</v>
      </c>
      <c r="L110" s="65">
        <v>126</v>
      </c>
      <c r="M110" s="65">
        <v>124.5</v>
      </c>
      <c r="N110" s="65">
        <v>125.9</v>
      </c>
      <c r="O110" s="65">
        <v>128.5</v>
      </c>
      <c r="P110" s="65">
        <v>128.5</v>
      </c>
      <c r="Q110" s="65">
        <v>125.3</v>
      </c>
      <c r="R110" s="65">
        <v>125.2</v>
      </c>
      <c r="S110" s="65">
        <v>124.1</v>
      </c>
      <c r="T110" s="65">
        <v>123</v>
      </c>
      <c r="U110" s="65">
        <v>124.7</v>
      </c>
      <c r="V110" s="65">
        <v>124.7</v>
      </c>
      <c r="W110" s="65">
        <v>128.9</v>
      </c>
      <c r="X110" s="65">
        <v>127.7</v>
      </c>
      <c r="Y110" s="65">
        <v>126.6</v>
      </c>
      <c r="Z110" s="65">
        <v>128</v>
      </c>
      <c r="AA110" s="65">
        <v>129</v>
      </c>
      <c r="AB110" s="65">
        <v>129.69999999999999</v>
      </c>
      <c r="AC110" s="65">
        <v>128.69999999999999</v>
      </c>
      <c r="AD110" s="65">
        <v>127.1</v>
      </c>
      <c r="AE110" s="65">
        <v>128.4</v>
      </c>
      <c r="AF110" s="65">
        <v>127.7</v>
      </c>
      <c r="AG110" s="104"/>
      <c r="AH110" s="47">
        <f t="shared" si="29"/>
        <v>129.69999999999999</v>
      </c>
      <c r="AI110" s="48">
        <f t="shared" si="30"/>
        <v>123</v>
      </c>
    </row>
    <row r="111" spans="1:37" x14ac:dyDescent="0.25">
      <c r="A111" s="103" t="s">
        <v>111</v>
      </c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104"/>
      <c r="AH111" s="47">
        <f t="shared" si="29"/>
        <v>0</v>
      </c>
      <c r="AI111" s="48">
        <f t="shared" si="30"/>
        <v>0</v>
      </c>
    </row>
    <row r="112" spans="1:37" x14ac:dyDescent="0.25">
      <c r="A112" s="103" t="s">
        <v>112</v>
      </c>
      <c r="B112" s="65">
        <v>129.19999999999999</v>
      </c>
      <c r="C112" s="65">
        <v>127.3</v>
      </c>
      <c r="D112" s="65">
        <v>128.19999999999999</v>
      </c>
      <c r="E112" s="65">
        <v>129.9</v>
      </c>
      <c r="F112" s="65">
        <v>129.9</v>
      </c>
      <c r="G112" s="65">
        <v>129.9</v>
      </c>
      <c r="H112" s="65">
        <v>131.5</v>
      </c>
      <c r="I112" s="65">
        <v>131.5</v>
      </c>
      <c r="J112" s="65">
        <v>127</v>
      </c>
      <c r="K112" s="65">
        <v>129</v>
      </c>
      <c r="L112" s="65">
        <v>129</v>
      </c>
      <c r="M112" s="65">
        <v>131.30000000000001</v>
      </c>
      <c r="N112" s="65">
        <v>131.4</v>
      </c>
      <c r="O112" s="65">
        <v>132.5</v>
      </c>
      <c r="P112" s="65">
        <v>132.4</v>
      </c>
      <c r="Q112" s="65">
        <v>127.3</v>
      </c>
      <c r="R112" s="65">
        <v>127.3</v>
      </c>
      <c r="S112" s="65">
        <v>126.2</v>
      </c>
      <c r="T112" s="65">
        <v>127.3</v>
      </c>
      <c r="U112" s="65">
        <v>125.5</v>
      </c>
      <c r="V112" s="65">
        <v>125.5</v>
      </c>
      <c r="W112" s="65">
        <v>129.1</v>
      </c>
      <c r="X112" s="65">
        <v>125.4</v>
      </c>
      <c r="Y112" s="65">
        <v>126.5</v>
      </c>
      <c r="Z112" s="65">
        <v>130.30000000000001</v>
      </c>
      <c r="AA112" s="65">
        <v>130.6</v>
      </c>
      <c r="AB112" s="65">
        <v>131.69999999999999</v>
      </c>
      <c r="AC112" s="65">
        <v>131.30000000000001</v>
      </c>
      <c r="AD112" s="65">
        <v>127.9</v>
      </c>
      <c r="AE112" s="65">
        <v>129.30000000000001</v>
      </c>
      <c r="AF112" s="65">
        <v>128</v>
      </c>
      <c r="AG112" s="104"/>
      <c r="AH112" s="47">
        <f t="shared" si="29"/>
        <v>132.5</v>
      </c>
      <c r="AI112" s="48">
        <f t="shared" si="30"/>
        <v>125.4</v>
      </c>
    </row>
    <row r="113" spans="1:35" x14ac:dyDescent="0.25">
      <c r="A113" s="105" t="s">
        <v>113</v>
      </c>
      <c r="B113" s="65">
        <v>130.80000000000001</v>
      </c>
      <c r="C113" s="65">
        <v>129</v>
      </c>
      <c r="D113" s="65">
        <v>130.19999999999999</v>
      </c>
      <c r="E113" s="65">
        <v>131.4</v>
      </c>
      <c r="F113" s="65">
        <v>131.4</v>
      </c>
      <c r="G113" s="65">
        <v>131.4</v>
      </c>
      <c r="H113" s="65">
        <v>132</v>
      </c>
      <c r="I113" s="65">
        <v>132</v>
      </c>
      <c r="J113" s="65">
        <v>128.6</v>
      </c>
      <c r="K113" s="65">
        <v>130</v>
      </c>
      <c r="L113" s="65">
        <v>130</v>
      </c>
      <c r="M113" s="65">
        <v>132.80000000000001</v>
      </c>
      <c r="N113" s="65">
        <v>132.9</v>
      </c>
      <c r="O113" s="65">
        <v>134.5</v>
      </c>
      <c r="P113" s="65">
        <v>134.1</v>
      </c>
      <c r="Q113" s="65">
        <v>130.30000000000001</v>
      </c>
      <c r="R113" s="65">
        <v>131</v>
      </c>
      <c r="S113" s="65">
        <v>129</v>
      </c>
      <c r="T113" s="65">
        <v>129.5</v>
      </c>
      <c r="U113" s="65">
        <v>128.80000000000001</v>
      </c>
      <c r="V113" s="65">
        <v>128.80000000000001</v>
      </c>
      <c r="W113" s="65">
        <v>129.5</v>
      </c>
      <c r="X113" s="65">
        <v>123.9</v>
      </c>
      <c r="Y113" s="65">
        <v>126.3</v>
      </c>
      <c r="Z113" s="65">
        <v>133.19999999999999</v>
      </c>
      <c r="AA113" s="65">
        <v>132.5</v>
      </c>
      <c r="AB113" s="65">
        <v>133.9</v>
      </c>
      <c r="AC113" s="65">
        <v>135.6</v>
      </c>
      <c r="AD113" s="65">
        <v>131.1</v>
      </c>
      <c r="AE113" s="65">
        <v>133.30000000000001</v>
      </c>
      <c r="AF113" s="65">
        <v>133.1</v>
      </c>
      <c r="AG113" s="104"/>
      <c r="AH113" s="47">
        <f t="shared" si="29"/>
        <v>135.6</v>
      </c>
      <c r="AI113" s="48">
        <f t="shared" si="30"/>
        <v>123.9</v>
      </c>
    </row>
    <row r="114" spans="1:35" x14ac:dyDescent="0.25">
      <c r="A114" s="105" t="s">
        <v>114</v>
      </c>
      <c r="B114" s="106">
        <v>133</v>
      </c>
      <c r="C114" s="106">
        <v>131.69999999999999</v>
      </c>
      <c r="D114" s="106">
        <v>129</v>
      </c>
      <c r="E114" s="106">
        <v>131</v>
      </c>
      <c r="F114" s="106">
        <v>131</v>
      </c>
      <c r="G114" s="106">
        <v>131</v>
      </c>
      <c r="H114" s="106">
        <v>133</v>
      </c>
      <c r="I114" s="106">
        <v>133</v>
      </c>
      <c r="J114" s="106">
        <v>132</v>
      </c>
      <c r="K114" s="106">
        <v>134</v>
      </c>
      <c r="L114" s="106">
        <v>134</v>
      </c>
      <c r="M114" s="106">
        <v>132.5</v>
      </c>
      <c r="N114" s="106">
        <v>135.5</v>
      </c>
      <c r="O114" s="106">
        <v>135.6</v>
      </c>
      <c r="P114" s="106">
        <v>133.80000000000001</v>
      </c>
      <c r="Q114" s="106">
        <v>133.5</v>
      </c>
      <c r="R114" s="106">
        <v>132.4</v>
      </c>
      <c r="S114" s="106">
        <v>132.5</v>
      </c>
      <c r="T114" s="106">
        <v>131.9</v>
      </c>
      <c r="U114" s="106">
        <v>133</v>
      </c>
      <c r="V114" s="106">
        <v>133</v>
      </c>
      <c r="W114" s="106">
        <v>133.80000000000001</v>
      </c>
      <c r="X114" s="106">
        <v>133.4</v>
      </c>
      <c r="Y114" s="106">
        <v>132.19999999999999</v>
      </c>
      <c r="Z114" s="106">
        <v>133.30000000000001</v>
      </c>
      <c r="AA114" s="106">
        <v>135.19999999999999</v>
      </c>
      <c r="AB114" s="106">
        <v>136.5</v>
      </c>
      <c r="AC114" s="106">
        <v>135.4</v>
      </c>
      <c r="AD114" s="106">
        <v>134.5</v>
      </c>
      <c r="AE114" s="106">
        <v>133.69999999999999</v>
      </c>
      <c r="AF114" s="106">
        <v>133.5</v>
      </c>
      <c r="AG114" s="107"/>
      <c r="AH114" s="47">
        <f t="shared" si="29"/>
        <v>136.5</v>
      </c>
      <c r="AI114" s="48">
        <f t="shared" si="30"/>
        <v>129</v>
      </c>
    </row>
    <row r="115" spans="1:35" x14ac:dyDescent="0.25">
      <c r="A115" s="103" t="s">
        <v>115</v>
      </c>
      <c r="B115" s="65">
        <v>135.9</v>
      </c>
      <c r="C115" s="65">
        <v>133.69999999999999</v>
      </c>
      <c r="D115" s="65">
        <v>135.4</v>
      </c>
      <c r="E115" s="65">
        <v>129.4</v>
      </c>
      <c r="F115" s="65">
        <v>129.4</v>
      </c>
      <c r="G115" s="65">
        <v>127</v>
      </c>
      <c r="H115" s="65">
        <v>134</v>
      </c>
      <c r="I115" s="65">
        <v>134</v>
      </c>
      <c r="J115" s="65">
        <v>127</v>
      </c>
      <c r="K115" s="65">
        <v>132</v>
      </c>
      <c r="L115" s="65">
        <v>132</v>
      </c>
      <c r="M115" s="65">
        <v>129</v>
      </c>
      <c r="N115" s="65">
        <v>125.6</v>
      </c>
      <c r="O115" s="65">
        <v>128.80000000000001</v>
      </c>
      <c r="P115" s="65">
        <v>129.69999999999999</v>
      </c>
      <c r="Q115" s="65">
        <v>128.69999999999999</v>
      </c>
      <c r="R115" s="65">
        <v>128.69999999999999</v>
      </c>
      <c r="S115" s="65">
        <v>128.80000000000001</v>
      </c>
      <c r="T115" s="65">
        <v>132.4</v>
      </c>
      <c r="U115" s="65">
        <v>132.69999999999999</v>
      </c>
      <c r="V115" s="65">
        <v>132.69999999999999</v>
      </c>
      <c r="W115" s="65">
        <v>125.8</v>
      </c>
      <c r="X115" s="65">
        <v>132.30000000000001</v>
      </c>
      <c r="Y115" s="65">
        <v>130.1</v>
      </c>
      <c r="Z115" s="65">
        <v>132.6</v>
      </c>
      <c r="AA115" s="65">
        <v>134.9</v>
      </c>
      <c r="AB115" s="65">
        <v>130</v>
      </c>
      <c r="AC115" s="65">
        <v>128.1</v>
      </c>
      <c r="AD115" s="65">
        <v>130.19999999999999</v>
      </c>
      <c r="AE115" s="65">
        <v>134</v>
      </c>
      <c r="AF115" s="65">
        <v>133.1</v>
      </c>
      <c r="AG115" s="104"/>
      <c r="AH115" s="47">
        <f t="shared" si="29"/>
        <v>135.9</v>
      </c>
      <c r="AI115" s="48">
        <f t="shared" si="30"/>
        <v>125.6</v>
      </c>
    </row>
    <row r="116" spans="1:35" ht="15.75" thickBot="1" x14ac:dyDescent="0.3">
      <c r="A116" s="103" t="s">
        <v>116</v>
      </c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108"/>
      <c r="AH116" s="47">
        <f t="shared" si="29"/>
        <v>0</v>
      </c>
      <c r="AI116" s="48">
        <f t="shared" si="30"/>
        <v>0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29"/>
        <v>0</v>
      </c>
      <c r="AI117" s="48">
        <f t="shared" si="30"/>
        <v>0</v>
      </c>
    </row>
    <row r="118" spans="1:35" ht="15.75" thickBot="1" x14ac:dyDescent="0.3">
      <c r="A118" s="110" t="s">
        <v>118</v>
      </c>
      <c r="B118" s="111">
        <f t="shared" ref="B118:O118" si="98">SUM(B22,B28,B31:B32,B66,B68:B69,B71,B73,B119:B123,B155,B161,B167,B176,B178,B190,B197,B200:B201,B208,B210,B212,B216:B218,B220:B222,B227,B233:B234,B236:B238,B246,B251)</f>
        <v>175.19900000000001</v>
      </c>
      <c r="C118" s="111">
        <f t="shared" si="98"/>
        <v>157.733</v>
      </c>
      <c r="D118" s="111">
        <f t="shared" si="98"/>
        <v>148.072</v>
      </c>
      <c r="E118" s="111">
        <f t="shared" si="98"/>
        <v>170.83999999999997</v>
      </c>
      <c r="F118" s="111">
        <f t="shared" si="98"/>
        <v>142.44</v>
      </c>
      <c r="G118" s="111">
        <f t="shared" si="98"/>
        <v>175.83999999999997</v>
      </c>
      <c r="H118" s="111">
        <f t="shared" si="98"/>
        <v>226.44</v>
      </c>
      <c r="I118" s="111">
        <f t="shared" si="98"/>
        <v>254.64</v>
      </c>
      <c r="J118" s="111">
        <f t="shared" si="98"/>
        <v>338.14</v>
      </c>
      <c r="K118" s="111">
        <f t="shared" si="98"/>
        <v>373.24</v>
      </c>
      <c r="L118" s="111">
        <f t="shared" si="98"/>
        <v>396.44</v>
      </c>
      <c r="M118" s="111">
        <f t="shared" si="98"/>
        <v>403.7</v>
      </c>
      <c r="N118" s="111">
        <f t="shared" si="98"/>
        <v>376.04</v>
      </c>
      <c r="O118" s="111">
        <f t="shared" si="98"/>
        <v>344.74</v>
      </c>
      <c r="P118" s="111">
        <v>42</v>
      </c>
      <c r="Q118" s="111">
        <f t="shared" ref="Q118:AC118" si="99">SUM(Q22,Q28,Q31:Q32,Q66,Q68:Q69,Q71,Q73,Q119:Q123,Q155,Q161,Q167,Q176,Q178,Q190,Q197,Q200:Q201,Q208,Q210,Q212,Q216:Q218,Q220:Q222,Q227,Q233:Q234,Q236:Q238,Q246,Q251)</f>
        <v>303.74</v>
      </c>
      <c r="R118" s="111">
        <f t="shared" si="99"/>
        <v>276.14</v>
      </c>
      <c r="S118" s="111">
        <f t="shared" ref="S118:T118" si="100">SUM(S22,S28,S31:S32,S66,S68:S69,S71,S73,S119:S123,S155,S161,S167,S176,S178,S190,S197,S200:S201,S208,S210,S212,S216:S218,S220:S222,S227,S233:S234,S236:S238,S246,S251)</f>
        <v>287.54000000000002</v>
      </c>
      <c r="T118" s="111">
        <f t="shared" si="100"/>
        <v>288.26000000000005</v>
      </c>
      <c r="U118" s="111">
        <f t="shared" ref="U118:V118" si="101">SUM(U22,U28,U31:U32,U66,U68:U69,U71,U73,U119:U123,U155,U161,U167,U176,U178,U190,U197,U200:U201,U208,U210,U212,U216:U218,U220:U222,U227,U233:U234,U236:U238,U246,U251)</f>
        <v>297.97999999999996</v>
      </c>
      <c r="V118" s="111">
        <f t="shared" si="101"/>
        <v>297.77999999999997</v>
      </c>
      <c r="W118" s="111">
        <f t="shared" ref="W118:X118" si="102">SUM(W22,W28,W31:W32,W66,W68:W69,W71,W73,W119:W123,W155,W161,W167,W176,W178,W190,W197,W200:W201,W208,W210,W212,W216:W218,W220:W222,W227,W233:W234,W236:W238,W246,W251)</f>
        <v>314.19</v>
      </c>
      <c r="X118" s="111">
        <f t="shared" si="102"/>
        <v>367.06</v>
      </c>
      <c r="Y118" s="111">
        <f>SUM(Y22,Y28,Y31:Y32,Y66,Y68:Y69,Y71,Y73,Y119:Y123,Y155,Y161,Y167,Y176,Y178,Y190,Y197,Y200:Y201,Y208,Y210,Y212,Y216:Y218,Y220:Y222,Y227,Y233:Y234,Y236:Y238,Y246,Y251)</f>
        <v>382.18</v>
      </c>
      <c r="Z118" s="111">
        <f>SUM(Z22,Z28,Z31:Z32,Z66,Z68:Z69,Z71,Z73,Z119:Z123,Z155,Z161,Z167,Z176,Z178,Z190,Z197,Z200:Z201,Z208,Z210,Z212,Z216:Z218,Z220:Z222,Z227,Z233:Z234,Z236:Z238,Z246,Z251)</f>
        <v>419.94</v>
      </c>
      <c r="AA118" s="111">
        <f>SUM(AA22,AA28,AA31:AA32,AA66,AA68:AA69,AA71,AA73,AA119:AA123,AA155,AA161,AA167,AA176,AA178,AA190,AA197,AA200:AA201,AA208,AA210,AA212,AA216:AA218,AA220:AA222,AA227,AA233:AA234,AA236:AA238,AA246,AA251)</f>
        <v>371.02</v>
      </c>
      <c r="AB118" s="111">
        <f t="shared" si="99"/>
        <v>350.64</v>
      </c>
      <c r="AC118" s="111">
        <f t="shared" si="99"/>
        <v>347.58</v>
      </c>
      <c r="AD118" s="111"/>
      <c r="AE118" s="111">
        <f>SUM(AE22,AE28,AE31:AE32,AE66,AE68:AE69,AE71,AE73,AE119:AE123,AE155,AE161,AE167,AE176,AE178,AE190,AE197,AE200:AE201,AE208,AE210,AE212,AE216:AE218,AE220:AE222,AE227,AE233:AE234,AE236:AE238,AE246,AE251)</f>
        <v>236.83999999999997</v>
      </c>
      <c r="AF118" s="111">
        <f>SUM(AF22,AF28,AF31:AF32,AF66,AF68:AF69,AF71,AF73,AF119:AF123,AF155,AF161,AF167,AF176,AF178,AF190,AF197,AF200:AF201,AF208,AF210,AF212,AF216:AF218,AF220:AF222,AF227,AF233:AF234,AF236:AF238,AF246,AF251)</f>
        <v>180.83999999999997</v>
      </c>
      <c r="AG118" s="112"/>
      <c r="AH118" s="47">
        <f t="shared" si="29"/>
        <v>419.94</v>
      </c>
      <c r="AI118" s="48">
        <f t="shared" si="30"/>
        <v>42</v>
      </c>
    </row>
    <row r="119" spans="1:35" x14ac:dyDescent="0.25">
      <c r="A119" s="172" t="s">
        <v>119</v>
      </c>
      <c r="B119" s="113">
        <v>18.3</v>
      </c>
      <c r="C119" s="113">
        <v>10.3</v>
      </c>
      <c r="D119" s="113">
        <v>4.4000000000000004</v>
      </c>
      <c r="E119" s="113">
        <v>2.1</v>
      </c>
      <c r="F119" s="113">
        <v>5.2</v>
      </c>
      <c r="G119" s="113">
        <v>11.3</v>
      </c>
      <c r="H119" s="113">
        <v>27.1</v>
      </c>
      <c r="I119" s="113">
        <v>39.4</v>
      </c>
      <c r="J119" s="113">
        <v>56.2</v>
      </c>
      <c r="K119" s="113">
        <v>54.2</v>
      </c>
      <c r="L119" s="113">
        <v>47.4</v>
      </c>
      <c r="M119" s="113">
        <v>47.1</v>
      </c>
      <c r="N119" s="113">
        <v>58.2</v>
      </c>
      <c r="O119" s="113">
        <v>57.9</v>
      </c>
      <c r="P119" s="113">
        <v>36.6</v>
      </c>
      <c r="Q119" s="113">
        <v>1.3</v>
      </c>
      <c r="R119" s="113">
        <v>-1.6</v>
      </c>
      <c r="S119" s="113">
        <v>9.4</v>
      </c>
      <c r="T119" s="113">
        <v>3.7</v>
      </c>
      <c r="U119" s="113">
        <v>16.600000000000001</v>
      </c>
      <c r="V119" s="113">
        <v>49</v>
      </c>
      <c r="W119" s="113">
        <v>60.8</v>
      </c>
      <c r="X119" s="113">
        <v>54.2</v>
      </c>
      <c r="Y119" s="113">
        <v>43.6</v>
      </c>
      <c r="Z119" s="113">
        <v>48.2</v>
      </c>
      <c r="AA119" s="113">
        <v>42.5</v>
      </c>
      <c r="AB119" s="113">
        <v>37.799999999999997</v>
      </c>
      <c r="AC119" s="113">
        <v>31.5</v>
      </c>
      <c r="AD119" s="113">
        <v>18.8</v>
      </c>
      <c r="AE119" s="113">
        <v>7.8</v>
      </c>
      <c r="AF119" s="113">
        <v>3.2</v>
      </c>
      <c r="AG119" s="114">
        <v>75</v>
      </c>
      <c r="AH119" s="47">
        <f t="shared" si="29"/>
        <v>60.8</v>
      </c>
      <c r="AI119" s="48">
        <f t="shared" si="30"/>
        <v>-1.6</v>
      </c>
    </row>
    <row r="120" spans="1:35" x14ac:dyDescent="0.25">
      <c r="A120" s="173" t="s">
        <v>120</v>
      </c>
      <c r="B120" s="115">
        <v>23.6</v>
      </c>
      <c r="C120" s="115">
        <v>14.1</v>
      </c>
      <c r="D120" s="115">
        <v>5.2</v>
      </c>
      <c r="E120" s="115">
        <v>2.6</v>
      </c>
      <c r="F120" s="115">
        <v>6</v>
      </c>
      <c r="G120" s="115">
        <v>12.1</v>
      </c>
      <c r="H120" s="115">
        <v>32.299999999999997</v>
      </c>
      <c r="I120" s="115">
        <v>52</v>
      </c>
      <c r="J120" s="115">
        <v>72.7</v>
      </c>
      <c r="K120" s="115">
        <v>68.8</v>
      </c>
      <c r="L120" s="115">
        <v>60.3</v>
      </c>
      <c r="M120" s="115">
        <v>59.7</v>
      </c>
      <c r="N120" s="115">
        <v>75</v>
      </c>
      <c r="O120" s="115">
        <v>73.2</v>
      </c>
      <c r="P120" s="115">
        <v>46.9</v>
      </c>
      <c r="Q120" s="115">
        <v>-1.3</v>
      </c>
      <c r="R120" s="115">
        <v>-4.8</v>
      </c>
      <c r="S120" s="115">
        <v>10</v>
      </c>
      <c r="T120" s="115">
        <v>3.1</v>
      </c>
      <c r="U120" s="115">
        <v>20.2</v>
      </c>
      <c r="V120" s="115">
        <v>68.7</v>
      </c>
      <c r="W120" s="115">
        <v>84</v>
      </c>
      <c r="X120" s="115">
        <v>74.099999999999994</v>
      </c>
      <c r="Y120" s="115">
        <v>59.7</v>
      </c>
      <c r="Z120" s="115">
        <v>65.400000000000006</v>
      </c>
      <c r="AA120" s="115">
        <v>57.5</v>
      </c>
      <c r="AB120" s="115">
        <v>50.4</v>
      </c>
      <c r="AC120" s="115">
        <v>41.8</v>
      </c>
      <c r="AD120" s="115">
        <v>27.4</v>
      </c>
      <c r="AE120" s="115">
        <v>15.7</v>
      </c>
      <c r="AF120" s="115">
        <v>10.3</v>
      </c>
      <c r="AG120" s="114">
        <v>240</v>
      </c>
      <c r="AH120" s="47">
        <f t="shared" si="29"/>
        <v>84</v>
      </c>
      <c r="AI120" s="48">
        <f t="shared" si="30"/>
        <v>-4.8</v>
      </c>
    </row>
    <row r="121" spans="1:35" x14ac:dyDescent="0.25">
      <c r="A121" s="173" t="s">
        <v>121</v>
      </c>
      <c r="B121" s="115">
        <v>-68</v>
      </c>
      <c r="C121" s="115">
        <v>-68.3</v>
      </c>
      <c r="D121" s="115">
        <v>-63.8</v>
      </c>
      <c r="E121" s="115">
        <v>-31.1</v>
      </c>
      <c r="F121" s="115">
        <v>-64</v>
      </c>
      <c r="G121" s="115">
        <v>-55.8</v>
      </c>
      <c r="H121" s="115">
        <v>-56.2</v>
      </c>
      <c r="I121" s="115">
        <v>-50</v>
      </c>
      <c r="J121" s="115">
        <v>-39</v>
      </c>
      <c r="K121" s="115">
        <v>-3</v>
      </c>
      <c r="L121" s="115">
        <v>23</v>
      </c>
      <c r="M121" s="115">
        <f>14.3+14.2</f>
        <v>28.5</v>
      </c>
      <c r="N121" s="115">
        <f>6.4+6</f>
        <v>12.4</v>
      </c>
      <c r="O121" s="115">
        <f>18+10.2</f>
        <v>28.2</v>
      </c>
      <c r="P121" s="115">
        <f>22.9+16.6</f>
        <v>39.5</v>
      </c>
      <c r="Q121" s="115">
        <f>28+25</f>
        <v>53</v>
      </c>
      <c r="R121" s="115">
        <f>22+17</f>
        <v>39</v>
      </c>
      <c r="S121" s="115">
        <v>14</v>
      </c>
      <c r="T121" s="115">
        <v>11</v>
      </c>
      <c r="U121" s="115">
        <v>15</v>
      </c>
      <c r="V121" s="115">
        <v>11</v>
      </c>
      <c r="W121" s="115">
        <v>8</v>
      </c>
      <c r="X121" s="115">
        <v>19.399999999999999</v>
      </c>
      <c r="Y121" s="115">
        <v>28</v>
      </c>
      <c r="Z121" s="115">
        <v>65</v>
      </c>
      <c r="AA121" s="115">
        <v>30</v>
      </c>
      <c r="AB121" s="115">
        <v>26</v>
      </c>
      <c r="AC121" s="115">
        <v>27.8</v>
      </c>
      <c r="AD121" s="115">
        <v>30</v>
      </c>
      <c r="AE121" s="115">
        <v>-8</v>
      </c>
      <c r="AF121" s="115">
        <v>-34</v>
      </c>
      <c r="AG121" s="114">
        <v>240</v>
      </c>
      <c r="AH121" s="47">
        <f t="shared" si="29"/>
        <v>65</v>
      </c>
      <c r="AI121" s="48">
        <f t="shared" si="30"/>
        <v>-68.3</v>
      </c>
    </row>
    <row r="122" spans="1:35" ht="15.75" thickBot="1" x14ac:dyDescent="0.3">
      <c r="A122" s="173" t="s">
        <v>122</v>
      </c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15"/>
      <c r="AF122" s="115"/>
      <c r="AG122" s="114">
        <v>60</v>
      </c>
      <c r="AH122" s="47">
        <f t="shared" si="29"/>
        <v>0</v>
      </c>
      <c r="AI122" s="48">
        <f t="shared" si="30"/>
        <v>0</v>
      </c>
    </row>
    <row r="123" spans="1:35" x14ac:dyDescent="0.25">
      <c r="A123" s="172" t="s">
        <v>260</v>
      </c>
      <c r="B123" s="117">
        <f>57.7*1.67</f>
        <v>96.358999999999995</v>
      </c>
      <c r="C123" s="117">
        <f>57.9*1.67</f>
        <v>96.692999999999998</v>
      </c>
      <c r="D123" s="117">
        <f>59.6*1.67</f>
        <v>99.531999999999996</v>
      </c>
      <c r="E123" s="117">
        <v>94</v>
      </c>
      <c r="F123" s="117">
        <v>92</v>
      </c>
      <c r="G123" s="117">
        <v>105</v>
      </c>
      <c r="H123" s="117">
        <v>120</v>
      </c>
      <c r="I123" s="117">
        <v>110</v>
      </c>
      <c r="J123" s="117">
        <v>145</v>
      </c>
      <c r="K123" s="117">
        <v>150</v>
      </c>
      <c r="L123" s="117">
        <v>162</v>
      </c>
      <c r="M123" s="117">
        <f>102.6*1.6</f>
        <v>164.16</v>
      </c>
      <c r="N123" s="117">
        <f>82*1.5</f>
        <v>123</v>
      </c>
      <c r="O123" s="117">
        <f>52*1.5</f>
        <v>78</v>
      </c>
      <c r="P123" s="117">
        <f>60*1.6</f>
        <v>96</v>
      </c>
      <c r="Q123" s="117">
        <f>88*1.5</f>
        <v>132</v>
      </c>
      <c r="R123" s="117">
        <f>84*1.5</f>
        <v>126</v>
      </c>
      <c r="S123" s="117">
        <f>93.2*1.5</f>
        <v>139.80000000000001</v>
      </c>
      <c r="T123" s="117">
        <f>99.2*1.6</f>
        <v>158.72000000000003</v>
      </c>
      <c r="U123" s="117">
        <f>87.4*1.6</f>
        <v>139.84</v>
      </c>
      <c r="V123" s="117">
        <f>40.9*1.6</f>
        <v>65.44</v>
      </c>
      <c r="W123" s="117">
        <f>38.9*1.5</f>
        <v>58.349999999999994</v>
      </c>
      <c r="X123" s="117">
        <f>72.7*1.6</f>
        <v>116.32000000000001</v>
      </c>
      <c r="Y123" s="117">
        <f>92.4*1.6</f>
        <v>147.84</v>
      </c>
      <c r="Z123" s="117">
        <f>87*1.6</f>
        <v>139.20000000000002</v>
      </c>
      <c r="AA123" s="117">
        <f>86.8*1.6</f>
        <v>138.88</v>
      </c>
      <c r="AB123" s="117">
        <f>1.64*82.5</f>
        <v>135.29999999999998</v>
      </c>
      <c r="AC123" s="117">
        <f>1.64*88.5</f>
        <v>145.13999999999999</v>
      </c>
      <c r="AD123" s="117">
        <v>135</v>
      </c>
      <c r="AE123" s="117">
        <v>120</v>
      </c>
      <c r="AF123" s="117">
        <v>100</v>
      </c>
      <c r="AG123" s="118">
        <v>120</v>
      </c>
      <c r="AH123" s="47">
        <f t="shared" si="29"/>
        <v>164.16</v>
      </c>
      <c r="AI123" s="48">
        <f t="shared" si="30"/>
        <v>58.349999999999994</v>
      </c>
    </row>
    <row r="124" spans="1:35" x14ac:dyDescent="0.25">
      <c r="A124" s="173" t="s">
        <v>259</v>
      </c>
      <c r="B124" s="117">
        <v>75.900000000000006</v>
      </c>
      <c r="C124" s="117">
        <v>75.8</v>
      </c>
      <c r="D124" s="117">
        <v>77.2</v>
      </c>
      <c r="E124" s="117">
        <v>78.400000000000006</v>
      </c>
      <c r="F124" s="117">
        <v>78.8</v>
      </c>
      <c r="G124" s="117">
        <v>83.5</v>
      </c>
      <c r="H124" s="117">
        <v>86.9</v>
      </c>
      <c r="I124" s="117">
        <v>79.8</v>
      </c>
      <c r="J124" s="117">
        <v>92.2</v>
      </c>
      <c r="K124" s="117">
        <v>93.9</v>
      </c>
      <c r="L124" s="117">
        <v>106</v>
      </c>
      <c r="M124" s="117">
        <v>108.5</v>
      </c>
      <c r="N124" s="117">
        <v>92.2</v>
      </c>
      <c r="O124" s="117">
        <v>69</v>
      </c>
      <c r="P124" s="117">
        <v>75</v>
      </c>
      <c r="Q124" s="117">
        <v>97.6</v>
      </c>
      <c r="R124" s="117">
        <v>95.5</v>
      </c>
      <c r="S124" s="117">
        <v>102.1</v>
      </c>
      <c r="T124" s="117">
        <v>105.9</v>
      </c>
      <c r="U124" s="117">
        <v>99.3</v>
      </c>
      <c r="V124" s="117">
        <v>59</v>
      </c>
      <c r="W124" s="117">
        <v>57.7</v>
      </c>
      <c r="X124" s="117">
        <v>85.5</v>
      </c>
      <c r="Y124" s="117">
        <v>102.2</v>
      </c>
      <c r="Z124" s="117">
        <v>98.1</v>
      </c>
      <c r="AA124" s="117">
        <v>96.7</v>
      </c>
      <c r="AB124" s="117">
        <v>94.7</v>
      </c>
      <c r="AC124" s="117">
        <v>99.4</v>
      </c>
      <c r="AD124" s="117">
        <v>98.9</v>
      </c>
      <c r="AE124" s="117">
        <v>93</v>
      </c>
      <c r="AF124" s="117">
        <v>87</v>
      </c>
      <c r="AG124" s="118"/>
      <c r="AH124" s="47"/>
      <c r="AI124" s="48"/>
    </row>
    <row r="125" spans="1:35" x14ac:dyDescent="0.25">
      <c r="A125" s="173" t="s">
        <v>256</v>
      </c>
      <c r="B125" s="117">
        <v>57.9</v>
      </c>
      <c r="C125" s="117">
        <v>68</v>
      </c>
      <c r="D125" s="117">
        <v>71.5</v>
      </c>
      <c r="E125" s="117">
        <v>75.8</v>
      </c>
      <c r="F125" s="117">
        <v>74.5</v>
      </c>
      <c r="G125" s="117">
        <v>66.2</v>
      </c>
      <c r="H125" s="117">
        <v>43.7</v>
      </c>
      <c r="I125" s="117">
        <v>16.2</v>
      </c>
      <c r="J125" s="117">
        <v>-0.3</v>
      </c>
      <c r="K125" s="117">
        <v>-16.399999999999999</v>
      </c>
      <c r="L125" s="117">
        <v>-18</v>
      </c>
      <c r="M125" s="117">
        <v>-17.41</v>
      </c>
      <c r="N125" s="117">
        <v>-32</v>
      </c>
      <c r="O125" s="117">
        <v>-45</v>
      </c>
      <c r="P125" s="117">
        <v>-26.5</v>
      </c>
      <c r="Q125" s="117">
        <v>28.3</v>
      </c>
      <c r="R125" s="117">
        <v>39.4</v>
      </c>
      <c r="S125" s="117">
        <v>36.700000000000003</v>
      </c>
      <c r="T125" s="117">
        <v>42.6</v>
      </c>
      <c r="U125" s="117">
        <v>19.2</v>
      </c>
      <c r="V125" s="117">
        <v>-60.4</v>
      </c>
      <c r="W125" s="117">
        <v>-78.5</v>
      </c>
      <c r="X125" s="117">
        <v>-60</v>
      </c>
      <c r="Y125" s="117">
        <v>-58.5</v>
      </c>
      <c r="Z125" s="117">
        <v>-67.7</v>
      </c>
      <c r="AA125" s="117">
        <v>-59.7</v>
      </c>
      <c r="AB125" s="117">
        <v>-55.5</v>
      </c>
      <c r="AC125" s="117">
        <v>-35.200000000000003</v>
      </c>
      <c r="AD125" s="117">
        <v>-6</v>
      </c>
      <c r="AE125" s="117">
        <v>29</v>
      </c>
      <c r="AF125" s="117">
        <v>53</v>
      </c>
      <c r="AG125" s="118"/>
      <c r="AH125" s="47"/>
      <c r="AI125" s="48"/>
    </row>
    <row r="126" spans="1:35" ht="15.75" thickBot="1" x14ac:dyDescent="0.3">
      <c r="A126" s="173" t="s">
        <v>255</v>
      </c>
      <c r="B126" s="117">
        <v>98.5</v>
      </c>
      <c r="C126" s="117">
        <v>96.3</v>
      </c>
      <c r="D126" s="117">
        <v>94</v>
      </c>
      <c r="E126" s="117">
        <v>100.5</v>
      </c>
      <c r="F126" s="117">
        <v>99.7</v>
      </c>
      <c r="G126" s="117">
        <v>98.8</v>
      </c>
      <c r="H126" s="117">
        <v>101</v>
      </c>
      <c r="I126" s="117">
        <v>90.9</v>
      </c>
      <c r="J126" s="117">
        <v>102</v>
      </c>
      <c r="K126" s="117">
        <v>82.2</v>
      </c>
      <c r="L126" s="117">
        <v>84.8</v>
      </c>
      <c r="M126" s="117">
        <v>98.9</v>
      </c>
      <c r="N126" s="117">
        <v>72.099999999999994</v>
      </c>
      <c r="O126" s="117">
        <v>58</v>
      </c>
      <c r="P126" s="117">
        <v>62.7</v>
      </c>
      <c r="Q126" s="117">
        <v>95.6</v>
      </c>
      <c r="R126" s="117">
        <v>85</v>
      </c>
      <c r="S126" s="117">
        <v>96.7</v>
      </c>
      <c r="T126" s="117">
        <v>95.5</v>
      </c>
      <c r="U126" s="117">
        <v>86.4</v>
      </c>
      <c r="V126" s="117">
        <v>35.700000000000003</v>
      </c>
      <c r="W126" s="117">
        <v>34.4</v>
      </c>
      <c r="X126" s="117">
        <v>56.5</v>
      </c>
      <c r="Y126" s="117">
        <v>75.8</v>
      </c>
      <c r="Z126" s="117">
        <v>77.7</v>
      </c>
      <c r="AA126" s="117">
        <v>77.599999999999994</v>
      </c>
      <c r="AB126" s="117">
        <v>75.7</v>
      </c>
      <c r="AC126" s="117">
        <v>88.9</v>
      </c>
      <c r="AD126" s="117">
        <v>104</v>
      </c>
      <c r="AE126" s="117">
        <v>104</v>
      </c>
      <c r="AF126" s="117">
        <v>104</v>
      </c>
      <c r="AG126" s="114"/>
      <c r="AH126" s="47">
        <f t="shared" si="29"/>
        <v>104</v>
      </c>
      <c r="AI126" s="48">
        <f t="shared" si="30"/>
        <v>34.4</v>
      </c>
    </row>
    <row r="127" spans="1:35" x14ac:dyDescent="0.25">
      <c r="A127" s="172" t="s">
        <v>257</v>
      </c>
      <c r="B127" s="117">
        <v>11.1</v>
      </c>
      <c r="C127" s="117">
        <v>16.8</v>
      </c>
      <c r="D127" s="117">
        <v>18.2</v>
      </c>
      <c r="E127" s="117">
        <v>16.399999999999999</v>
      </c>
      <c r="F127" s="117">
        <v>17.899999999999999</v>
      </c>
      <c r="G127" s="117">
        <v>17.100000000000001</v>
      </c>
      <c r="H127" s="117">
        <v>6.2</v>
      </c>
      <c r="I127" s="117">
        <v>-5.0999999999999996</v>
      </c>
      <c r="J127" s="117">
        <v>-24.7</v>
      </c>
      <c r="K127" s="117">
        <v>-11.4</v>
      </c>
      <c r="L127" s="117">
        <v>-10.3</v>
      </c>
      <c r="M127" s="117">
        <v>-6.3</v>
      </c>
      <c r="N127" s="117">
        <v>-7.2</v>
      </c>
      <c r="O127" s="117">
        <v>-6.2</v>
      </c>
      <c r="P127" s="117">
        <v>-3.1</v>
      </c>
      <c r="Q127" s="117">
        <v>9.1999999999999993</v>
      </c>
      <c r="R127" s="117">
        <v>26.2</v>
      </c>
      <c r="S127" s="117">
        <v>22.5</v>
      </c>
      <c r="T127" s="117">
        <v>26.1</v>
      </c>
      <c r="U127" s="117">
        <v>22.2</v>
      </c>
      <c r="V127" s="117">
        <v>1.7</v>
      </c>
      <c r="W127" s="117">
        <v>-15.9</v>
      </c>
      <c r="X127" s="117">
        <v>-10.4</v>
      </c>
      <c r="Y127" s="117">
        <v>0</v>
      </c>
      <c r="Z127" s="117">
        <v>0</v>
      </c>
      <c r="AA127" s="117">
        <v>6.4</v>
      </c>
      <c r="AB127" s="117">
        <v>6.4</v>
      </c>
      <c r="AC127" s="117">
        <v>15.4</v>
      </c>
      <c r="AD127" s="117">
        <v>13</v>
      </c>
      <c r="AE127" s="117">
        <v>27</v>
      </c>
      <c r="AF127" s="106">
        <v>30.2</v>
      </c>
      <c r="AG127" s="114"/>
      <c r="AH127" s="47">
        <f t="shared" si="29"/>
        <v>30.2</v>
      </c>
      <c r="AI127" s="48">
        <f t="shared" si="30"/>
        <v>-24.7</v>
      </c>
    </row>
    <row r="128" spans="1:35" x14ac:dyDescent="0.25">
      <c r="A128" s="173" t="s">
        <v>124</v>
      </c>
      <c r="B128" s="106">
        <v>-7.6</v>
      </c>
      <c r="C128" s="106">
        <v>-3.6</v>
      </c>
      <c r="D128" s="106">
        <v>-4.5999999999999996</v>
      </c>
      <c r="E128" s="106">
        <v>-3.6</v>
      </c>
      <c r="F128" s="106">
        <v>-4.2</v>
      </c>
      <c r="G128" s="106">
        <v>-7.6</v>
      </c>
      <c r="H128" s="106">
        <v>-13</v>
      </c>
      <c r="I128" s="106">
        <v>-18.5</v>
      </c>
      <c r="J128" s="106">
        <v>-29.1</v>
      </c>
      <c r="K128" s="106">
        <v>-32.299999999999997</v>
      </c>
      <c r="L128" s="106">
        <v>-38.700000000000003</v>
      </c>
      <c r="M128" s="106">
        <v>-28.9</v>
      </c>
      <c r="N128" s="106">
        <v>-21.7</v>
      </c>
      <c r="O128" s="106">
        <v>-14.1</v>
      </c>
      <c r="P128" s="106">
        <v>-13.4</v>
      </c>
      <c r="Q128" s="106">
        <v>-9.5</v>
      </c>
      <c r="R128" s="106">
        <v>-7.7</v>
      </c>
      <c r="S128" s="106">
        <v>-12.2</v>
      </c>
      <c r="T128" s="106">
        <v>-16.8</v>
      </c>
      <c r="U128" s="106">
        <v>-13.6</v>
      </c>
      <c r="V128" s="106">
        <v>-31.9</v>
      </c>
      <c r="W128" s="106">
        <v>-35.200000000000003</v>
      </c>
      <c r="X128" s="106">
        <v>-58.3</v>
      </c>
      <c r="Y128" s="106">
        <v>-55.4</v>
      </c>
      <c r="Z128" s="106">
        <v>-46.3</v>
      </c>
      <c r="AA128" s="106">
        <v>-38</v>
      </c>
      <c r="AB128" s="106">
        <v>-35.5</v>
      </c>
      <c r="AC128" s="106">
        <v>-32.1</v>
      </c>
      <c r="AD128" s="106">
        <v>-22</v>
      </c>
      <c r="AE128" s="106">
        <v>-12</v>
      </c>
      <c r="AF128" s="106">
        <v>-7.8</v>
      </c>
      <c r="AG128" s="114"/>
      <c r="AH128" s="47">
        <f t="shared" si="29"/>
        <v>-3.6</v>
      </c>
      <c r="AI128" s="48">
        <f t="shared" si="30"/>
        <v>-58.3</v>
      </c>
    </row>
    <row r="129" spans="1:37" x14ac:dyDescent="0.25">
      <c r="A129" s="173" t="s">
        <v>261</v>
      </c>
      <c r="B129" s="106">
        <v>20.5</v>
      </c>
      <c r="C129" s="106">
        <v>21.4</v>
      </c>
      <c r="D129" s="106">
        <v>21.6</v>
      </c>
      <c r="E129" s="106">
        <v>21.7</v>
      </c>
      <c r="F129" s="106">
        <v>22.2</v>
      </c>
      <c r="G129" s="106">
        <v>22.6</v>
      </c>
      <c r="H129" s="106">
        <v>23.6</v>
      </c>
      <c r="I129" s="106">
        <v>23.9</v>
      </c>
      <c r="J129" s="106">
        <v>21.5</v>
      </c>
      <c r="K129" s="106">
        <v>11.9</v>
      </c>
      <c r="L129" s="106">
        <v>12.74</v>
      </c>
      <c r="M129" s="106">
        <v>13.4</v>
      </c>
      <c r="N129" s="106">
        <v>12.7</v>
      </c>
      <c r="O129" s="106">
        <v>12</v>
      </c>
      <c r="P129" s="106">
        <v>10.9</v>
      </c>
      <c r="Q129" s="106">
        <v>16.5</v>
      </c>
      <c r="R129" s="106">
        <v>19.7</v>
      </c>
      <c r="S129" s="106">
        <v>19.600000000000001</v>
      </c>
      <c r="T129" s="106">
        <v>19.600000000000001</v>
      </c>
      <c r="U129" s="106">
        <v>19.7</v>
      </c>
      <c r="V129" s="106">
        <v>10.4</v>
      </c>
      <c r="W129" s="106">
        <v>10.1</v>
      </c>
      <c r="X129" s="106">
        <v>10.5</v>
      </c>
      <c r="Y129" s="106">
        <v>11</v>
      </c>
      <c r="Z129" s="106">
        <v>10.3</v>
      </c>
      <c r="AA129" s="106">
        <v>9.8000000000000007</v>
      </c>
      <c r="AB129" s="106">
        <v>9.9</v>
      </c>
      <c r="AC129" s="106">
        <v>9.3000000000000007</v>
      </c>
      <c r="AD129" s="106">
        <v>8</v>
      </c>
      <c r="AE129" s="106">
        <v>22</v>
      </c>
      <c r="AF129" s="106">
        <v>22</v>
      </c>
      <c r="AG129" s="114"/>
      <c r="AH129" s="47">
        <f t="shared" si="29"/>
        <v>23.9</v>
      </c>
      <c r="AI129" s="48">
        <f t="shared" si="30"/>
        <v>8</v>
      </c>
    </row>
    <row r="130" spans="1:37" ht="15.75" thickBot="1" x14ac:dyDescent="0.3">
      <c r="A130" s="173" t="s">
        <v>258</v>
      </c>
      <c r="B130" s="106">
        <v>83.3</v>
      </c>
      <c r="C130" s="106">
        <v>84.7</v>
      </c>
      <c r="D130" s="106">
        <v>79.7</v>
      </c>
      <c r="E130" s="106">
        <v>79.400000000000006</v>
      </c>
      <c r="F130" s="106">
        <v>81.900000000000006</v>
      </c>
      <c r="G130" s="106">
        <v>88.8</v>
      </c>
      <c r="H130" s="106">
        <v>85.2</v>
      </c>
      <c r="I130" s="106">
        <v>91.8</v>
      </c>
      <c r="J130" s="106">
        <v>102.3</v>
      </c>
      <c r="K130" s="106">
        <v>97.9</v>
      </c>
      <c r="L130" s="106">
        <v>83</v>
      </c>
      <c r="M130" s="106">
        <v>82</v>
      </c>
      <c r="N130" s="106">
        <v>73.5</v>
      </c>
      <c r="O130" s="106">
        <v>62.5</v>
      </c>
      <c r="P130" s="106">
        <v>55.6</v>
      </c>
      <c r="Q130" s="106">
        <v>87.5</v>
      </c>
      <c r="R130" s="106">
        <v>90.3</v>
      </c>
      <c r="S130" s="106">
        <v>93.6</v>
      </c>
      <c r="T130" s="106">
        <v>97.9</v>
      </c>
      <c r="U130" s="106">
        <v>95.9</v>
      </c>
      <c r="V130" s="106">
        <v>95</v>
      </c>
      <c r="W130" s="106">
        <v>81.099999999999994</v>
      </c>
      <c r="X130" s="106">
        <v>107</v>
      </c>
      <c r="Y130" s="106">
        <v>106.2</v>
      </c>
      <c r="Z130" s="106">
        <v>101.9</v>
      </c>
      <c r="AA130" s="106">
        <v>101.5</v>
      </c>
      <c r="AB130" s="106">
        <v>95.6</v>
      </c>
      <c r="AC130" s="106">
        <v>91.25</v>
      </c>
      <c r="AD130" s="106">
        <v>96</v>
      </c>
      <c r="AE130" s="106">
        <v>98</v>
      </c>
      <c r="AF130" s="106">
        <v>93</v>
      </c>
      <c r="AG130" s="114"/>
      <c r="AH130" s="47">
        <f t="shared" si="29"/>
        <v>107</v>
      </c>
      <c r="AI130" s="48">
        <f t="shared" si="30"/>
        <v>55.6</v>
      </c>
    </row>
    <row r="131" spans="1:37" x14ac:dyDescent="0.25">
      <c r="A131" s="144" t="s">
        <v>238</v>
      </c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6"/>
      <c r="AG131" s="43"/>
      <c r="AH131" s="47"/>
      <c r="AI131" s="48"/>
    </row>
    <row r="132" spans="1:37" x14ac:dyDescent="0.25">
      <c r="A132" s="189" t="s">
        <v>368</v>
      </c>
      <c r="B132" s="147">
        <v>1983.45</v>
      </c>
      <c r="C132" s="147">
        <v>1983.8</v>
      </c>
      <c r="D132" s="147">
        <v>1984.1</v>
      </c>
      <c r="E132" s="147">
        <v>1984.62</v>
      </c>
      <c r="F132" s="147">
        <v>1984.62</v>
      </c>
      <c r="G132" s="147">
        <v>1984.8579999999999</v>
      </c>
      <c r="H132" s="147"/>
      <c r="I132" s="147">
        <v>1985.1</v>
      </c>
      <c r="J132" s="147"/>
      <c r="K132" s="147">
        <v>1985.08</v>
      </c>
      <c r="L132" s="147"/>
      <c r="M132" s="147">
        <v>1984.3</v>
      </c>
      <c r="N132" s="147">
        <v>1983.1</v>
      </c>
      <c r="O132" s="147"/>
      <c r="P132" s="147">
        <v>1982.7</v>
      </c>
      <c r="Q132" s="147">
        <v>1982.81</v>
      </c>
      <c r="R132" s="147">
        <v>1983.1</v>
      </c>
      <c r="S132" s="147">
        <v>1983.4</v>
      </c>
      <c r="T132" s="147">
        <v>1983.7</v>
      </c>
      <c r="U132" s="147">
        <v>1983.98</v>
      </c>
      <c r="V132" s="147">
        <v>1984.25</v>
      </c>
      <c r="W132" s="147"/>
      <c r="X132" s="147">
        <v>1984.05</v>
      </c>
      <c r="Y132" s="147"/>
      <c r="Z132" s="147">
        <v>1983.22</v>
      </c>
      <c r="AA132" s="147"/>
      <c r="AB132" s="147">
        <v>1982.6</v>
      </c>
      <c r="AC132" s="147"/>
      <c r="AD132" s="147">
        <v>1982.62</v>
      </c>
      <c r="AE132" s="147">
        <v>1982.89</v>
      </c>
      <c r="AF132" s="148">
        <v>1983.22</v>
      </c>
      <c r="AG132" s="149"/>
      <c r="AH132" s="47"/>
      <c r="AI132" s="48"/>
    </row>
    <row r="133" spans="1:37" x14ac:dyDescent="0.25">
      <c r="A133" s="189" t="s">
        <v>239</v>
      </c>
      <c r="B133" s="150">
        <v>520.13</v>
      </c>
      <c r="C133" s="150">
        <v>520.55999999999995</v>
      </c>
      <c r="D133" s="150">
        <v>521</v>
      </c>
      <c r="E133" s="150">
        <v>521.76</v>
      </c>
      <c r="F133" s="150">
        <v>521.76</v>
      </c>
      <c r="G133" s="150">
        <v>522.04</v>
      </c>
      <c r="H133" s="150"/>
      <c r="I133" s="150">
        <v>522.04</v>
      </c>
      <c r="J133" s="150"/>
      <c r="K133" s="150">
        <v>521.6</v>
      </c>
      <c r="L133" s="150"/>
      <c r="M133" s="150">
        <v>521.07000000000005</v>
      </c>
      <c r="N133" s="150">
        <v>520.5</v>
      </c>
      <c r="O133" s="150">
        <v>519.9</v>
      </c>
      <c r="P133" s="150">
        <v>519.48</v>
      </c>
      <c r="Q133" s="150">
        <v>519.32000000000005</v>
      </c>
      <c r="R133" s="150">
        <v>519.4</v>
      </c>
      <c r="S133" s="150">
        <v>519.65</v>
      </c>
      <c r="T133" s="150">
        <v>520.09</v>
      </c>
      <c r="U133" s="150">
        <v>520.52</v>
      </c>
      <c r="V133" s="150">
        <v>520.72</v>
      </c>
      <c r="W133" s="150"/>
      <c r="X133" s="150">
        <v>520.28</v>
      </c>
      <c r="Y133" s="150"/>
      <c r="Z133" s="150">
        <v>519.59</v>
      </c>
      <c r="AA133" s="150"/>
      <c r="AB133" s="150">
        <v>519.08000000000004</v>
      </c>
      <c r="AC133" s="150"/>
      <c r="AD133" s="150">
        <v>519.20000000000005</v>
      </c>
      <c r="AE133" s="150">
        <v>519.08000000000004</v>
      </c>
      <c r="AF133" s="151">
        <v>519.38</v>
      </c>
      <c r="AG133" s="149"/>
      <c r="AH133" s="47"/>
      <c r="AI133" s="48"/>
    </row>
    <row r="134" spans="1:37" x14ac:dyDescent="0.25">
      <c r="A134" s="189" t="s">
        <v>240</v>
      </c>
      <c r="B134" s="150">
        <v>622.25</v>
      </c>
      <c r="C134" s="150">
        <v>622.36</v>
      </c>
      <c r="D134" s="150">
        <v>622.79</v>
      </c>
      <c r="E134" s="150">
        <v>623.70000000000005</v>
      </c>
      <c r="F134" s="150">
        <v>623.74</v>
      </c>
      <c r="G134" s="150">
        <v>624.14</v>
      </c>
      <c r="H134" s="150"/>
      <c r="I134" s="150">
        <v>624.21</v>
      </c>
      <c r="J134" s="150"/>
      <c r="K134" s="150">
        <v>623.79999999999995</v>
      </c>
      <c r="L134" s="150"/>
      <c r="M134" s="150"/>
      <c r="N134" s="150">
        <v>622.47</v>
      </c>
      <c r="O134" s="150">
        <v>621.59</v>
      </c>
      <c r="P134" s="150">
        <v>621.47</v>
      </c>
      <c r="Q134" s="150">
        <v>621.62</v>
      </c>
      <c r="R134" s="150">
        <v>621.92999999999995</v>
      </c>
      <c r="S134" s="150">
        <v>622.61</v>
      </c>
      <c r="T134" s="150">
        <v>623.11</v>
      </c>
      <c r="U134" s="150">
        <v>623.5</v>
      </c>
      <c r="V134" s="150">
        <v>623.41999999999996</v>
      </c>
      <c r="W134" s="150"/>
      <c r="X134" s="150">
        <v>622.95000000000005</v>
      </c>
      <c r="Y134" s="150"/>
      <c r="Z134" s="150">
        <v>622.21</v>
      </c>
      <c r="AA134" s="150"/>
      <c r="AB134" s="150">
        <v>621.52</v>
      </c>
      <c r="AC134" s="150"/>
      <c r="AD134" s="150">
        <v>621.47</v>
      </c>
      <c r="AE134" s="150">
        <v>621.70000000000005</v>
      </c>
      <c r="AF134" s="151">
        <v>621.75</v>
      </c>
      <c r="AG134" s="149"/>
      <c r="AH134" s="47"/>
      <c r="AI134" s="48"/>
    </row>
    <row r="135" spans="1:37" x14ac:dyDescent="0.25">
      <c r="A135" s="189" t="s">
        <v>241</v>
      </c>
      <c r="B135" s="150">
        <v>334.89</v>
      </c>
      <c r="C135" s="150">
        <v>335.11</v>
      </c>
      <c r="D135" s="150">
        <v>335.39</v>
      </c>
      <c r="E135" s="150">
        <v>335.01</v>
      </c>
      <c r="F135" s="150">
        <v>335.91</v>
      </c>
      <c r="G135" s="150">
        <v>335.97</v>
      </c>
      <c r="H135" s="150"/>
      <c r="I135" s="150">
        <v>335.88</v>
      </c>
      <c r="J135" s="150"/>
      <c r="K135" s="150">
        <v>335.5</v>
      </c>
      <c r="L135" s="150"/>
      <c r="M135" s="150">
        <v>335.22</v>
      </c>
      <c r="N135" s="150">
        <v>335.74</v>
      </c>
      <c r="O135" s="150"/>
      <c r="P135" s="150">
        <v>333.66</v>
      </c>
      <c r="Q135" s="150">
        <v>333.66</v>
      </c>
      <c r="R135" s="150">
        <v>334.19</v>
      </c>
      <c r="S135" s="150">
        <v>335.03</v>
      </c>
      <c r="T135" s="150">
        <v>335.71</v>
      </c>
      <c r="U135" s="150">
        <v>336.12</v>
      </c>
      <c r="V135" s="150">
        <v>336.24</v>
      </c>
      <c r="W135" s="150"/>
      <c r="X135" s="150">
        <v>335.8</v>
      </c>
      <c r="Y135" s="150"/>
      <c r="Z135" s="150">
        <v>335.48</v>
      </c>
      <c r="AA135" s="150"/>
      <c r="AB135" s="150">
        <v>334.97</v>
      </c>
      <c r="AC135" s="150"/>
      <c r="AD135" s="150">
        <v>334.52</v>
      </c>
      <c r="AE135" s="150">
        <v>334.28</v>
      </c>
      <c r="AF135" s="151">
        <v>334.5</v>
      </c>
      <c r="AG135" s="149"/>
      <c r="AH135" s="47"/>
      <c r="AI135" s="48"/>
    </row>
    <row r="136" spans="1:37" x14ac:dyDescent="0.25">
      <c r="A136" s="189" t="s">
        <v>407</v>
      </c>
      <c r="B136" s="150">
        <v>883.5</v>
      </c>
      <c r="C136" s="150">
        <v>884.3</v>
      </c>
      <c r="D136" s="150">
        <v>885</v>
      </c>
      <c r="E136" s="150">
        <v>886.2</v>
      </c>
      <c r="F136" s="150">
        <v>886.2</v>
      </c>
      <c r="G136" s="150">
        <v>886.5</v>
      </c>
      <c r="H136" s="150"/>
      <c r="I136" s="150">
        <v>886.4</v>
      </c>
      <c r="J136" s="150"/>
      <c r="K136" s="150">
        <v>885.4</v>
      </c>
      <c r="L136" s="150"/>
      <c r="M136" s="150">
        <v>885</v>
      </c>
      <c r="N136" s="150">
        <v>883.7</v>
      </c>
      <c r="O136" s="150"/>
      <c r="P136" s="150">
        <v>883.3</v>
      </c>
      <c r="Q136" s="150">
        <v>883.3</v>
      </c>
      <c r="R136" s="150">
        <v>883.9</v>
      </c>
      <c r="S136" s="150">
        <v>884.6</v>
      </c>
      <c r="T136" s="150">
        <v>885.2</v>
      </c>
      <c r="U136" s="150">
        <v>885.8</v>
      </c>
      <c r="V136" s="150">
        <v>886.3</v>
      </c>
      <c r="W136" s="150"/>
      <c r="X136" s="150">
        <v>885.3</v>
      </c>
      <c r="Y136" s="150"/>
      <c r="Z136" s="150">
        <v>883.8</v>
      </c>
      <c r="AA136" s="150"/>
      <c r="AB136" s="150">
        <v>881.9</v>
      </c>
      <c r="AC136" s="150"/>
      <c r="AD136" s="150">
        <v>881.6</v>
      </c>
      <c r="AE136" s="150">
        <v>882.4</v>
      </c>
      <c r="AF136" s="151">
        <v>883.4</v>
      </c>
      <c r="AG136" s="149"/>
      <c r="AH136" s="47"/>
      <c r="AI136" s="48"/>
    </row>
    <row r="137" spans="1:37" ht="15.75" thickBot="1" x14ac:dyDescent="0.3">
      <c r="A137" s="189" t="s">
        <v>242</v>
      </c>
      <c r="B137" s="152">
        <v>1520.7</v>
      </c>
      <c r="C137" s="152"/>
      <c r="D137" s="152"/>
      <c r="E137" s="152">
        <v>1520.7</v>
      </c>
      <c r="F137" s="152">
        <v>1520.7</v>
      </c>
      <c r="G137" s="152">
        <v>1520.71</v>
      </c>
      <c r="H137" s="152"/>
      <c r="I137" s="152">
        <v>120.71</v>
      </c>
      <c r="J137" s="152"/>
      <c r="K137" s="152">
        <v>1520.71</v>
      </c>
      <c r="L137" s="152"/>
      <c r="M137" s="152"/>
      <c r="N137" s="152"/>
      <c r="O137" s="152"/>
      <c r="P137" s="152"/>
      <c r="Q137" s="152"/>
      <c r="R137" s="152">
        <v>1520.64</v>
      </c>
      <c r="S137" s="152">
        <v>1520.64</v>
      </c>
      <c r="T137" s="152">
        <v>1520.64</v>
      </c>
      <c r="U137" s="152">
        <v>1520.64</v>
      </c>
      <c r="V137" s="152">
        <v>1520.64</v>
      </c>
      <c r="W137" s="152"/>
      <c r="X137" s="152">
        <v>1520.64</v>
      </c>
      <c r="Y137" s="152"/>
      <c r="Z137" s="152"/>
      <c r="AA137" s="152"/>
      <c r="AB137" s="152">
        <v>1520.52</v>
      </c>
      <c r="AC137" s="152"/>
      <c r="AD137" s="152"/>
      <c r="AE137" s="152"/>
      <c r="AF137" s="153"/>
      <c r="AG137" s="149"/>
      <c r="AH137" s="47"/>
      <c r="AI137" s="48"/>
    </row>
    <row r="138" spans="1:37" ht="15.75" thickBot="1" x14ac:dyDescent="0.3">
      <c r="A138" s="120" t="s">
        <v>125</v>
      </c>
      <c r="B138" s="121"/>
      <c r="C138" s="121"/>
      <c r="D138" s="121"/>
      <c r="E138" s="121"/>
      <c r="F138" s="170" t="s">
        <v>254</v>
      </c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74"/>
      <c r="AH138" s="47"/>
      <c r="AI138" s="48"/>
      <c r="AK138" s="50"/>
    </row>
    <row r="139" spans="1:37" x14ac:dyDescent="0.25">
      <c r="A139" s="122" t="s">
        <v>126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5">
        <v>9.94</v>
      </c>
      <c r="AH139" s="47"/>
      <c r="AI139" s="48"/>
      <c r="AK139" s="50"/>
    </row>
    <row r="140" spans="1:37" x14ac:dyDescent="0.25">
      <c r="A140" s="103" t="s">
        <v>127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5"/>
      <c r="AH140" s="47"/>
      <c r="AI140" s="48"/>
      <c r="AK140" s="50"/>
    </row>
    <row r="141" spans="1:37" x14ac:dyDescent="0.25">
      <c r="A141" s="103" t="s">
        <v>128</v>
      </c>
      <c r="B141" s="123"/>
      <c r="C141" s="124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5"/>
      <c r="AH141" s="47"/>
      <c r="AI141" s="48"/>
      <c r="AK141" s="50"/>
    </row>
    <row r="142" spans="1:37" x14ac:dyDescent="0.25">
      <c r="A142" s="103" t="s">
        <v>129</v>
      </c>
      <c r="B142" s="123"/>
      <c r="C142" s="124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5"/>
      <c r="AH142" s="47"/>
      <c r="AI142" s="48"/>
      <c r="AK142" s="50"/>
    </row>
    <row r="143" spans="1:37" x14ac:dyDescent="0.25">
      <c r="A143" s="103" t="s">
        <v>130</v>
      </c>
      <c r="B143" s="123"/>
      <c r="C143" s="124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5"/>
      <c r="AH143" s="47"/>
      <c r="AI143" s="48"/>
      <c r="AK143" s="50"/>
    </row>
    <row r="144" spans="1:37" x14ac:dyDescent="0.25">
      <c r="A144" s="103" t="s">
        <v>131</v>
      </c>
      <c r="B144" s="123"/>
      <c r="C144" s="124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5"/>
      <c r="AH144" s="47"/>
      <c r="AI144" s="48"/>
      <c r="AK144" s="50"/>
    </row>
    <row r="145" spans="1:37" x14ac:dyDescent="0.25">
      <c r="A145" s="103" t="s">
        <v>132</v>
      </c>
      <c r="B145" s="123"/>
      <c r="C145" s="124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5"/>
      <c r="AH145" s="47"/>
      <c r="AI145" s="48"/>
      <c r="AK145" s="50"/>
    </row>
    <row r="146" spans="1:37" x14ac:dyDescent="0.25">
      <c r="A146" s="103" t="s">
        <v>133</v>
      </c>
      <c r="B146" s="123"/>
      <c r="C146" s="124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5"/>
      <c r="AH146" s="47"/>
      <c r="AI146" s="48"/>
      <c r="AK146" s="50"/>
    </row>
    <row r="147" spans="1:37" x14ac:dyDescent="0.25">
      <c r="A147" s="103" t="s">
        <v>134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5"/>
      <c r="AH147" s="47"/>
      <c r="AI147" s="48"/>
      <c r="AK147" s="50"/>
    </row>
    <row r="148" spans="1:37" x14ac:dyDescent="0.25">
      <c r="A148" s="103" t="s">
        <v>135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5"/>
      <c r="AH148" s="47"/>
      <c r="AI148" s="48"/>
      <c r="AK148" s="50"/>
    </row>
    <row r="149" spans="1:37" x14ac:dyDescent="0.25">
      <c r="A149" s="103" t="s">
        <v>136</v>
      </c>
      <c r="B149" s="123"/>
      <c r="C149" s="124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5"/>
      <c r="AH149" s="47"/>
      <c r="AI149" s="48"/>
      <c r="AK149" s="50"/>
    </row>
    <row r="150" spans="1:37" x14ac:dyDescent="0.25">
      <c r="A150" s="103" t="s">
        <v>137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5"/>
      <c r="AH150" s="47"/>
      <c r="AI150" s="48"/>
      <c r="AK150" s="50"/>
    </row>
    <row r="151" spans="1:37" x14ac:dyDescent="0.25">
      <c r="A151" s="103" t="s">
        <v>138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5"/>
      <c r="AH151" s="47"/>
      <c r="AI151" s="48"/>
      <c r="AK151" s="50"/>
    </row>
    <row r="152" spans="1:37" x14ac:dyDescent="0.25">
      <c r="A152" s="103" t="s">
        <v>139</v>
      </c>
      <c r="B152" s="123"/>
      <c r="C152" s="124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5"/>
      <c r="AH152" s="47"/>
      <c r="AI152" s="48"/>
      <c r="AK152" s="50"/>
    </row>
    <row r="153" spans="1:37" x14ac:dyDescent="0.25">
      <c r="A153" s="103" t="s">
        <v>140</v>
      </c>
      <c r="B153" s="123"/>
      <c r="C153" s="124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5"/>
      <c r="AH153" s="47"/>
      <c r="AI153" s="48"/>
      <c r="AK153" s="50"/>
    </row>
    <row r="154" spans="1:37" x14ac:dyDescent="0.25">
      <c r="A154" s="103" t="s">
        <v>141</v>
      </c>
      <c r="B154" s="123"/>
      <c r="C154" s="124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5"/>
      <c r="AH154" s="47"/>
      <c r="AI154" s="48"/>
      <c r="AK154" s="50"/>
    </row>
    <row r="155" spans="1:37" x14ac:dyDescent="0.25">
      <c r="A155" s="103" t="s">
        <v>142</v>
      </c>
      <c r="B155" s="126"/>
      <c r="C155" s="127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8">
        <v>9.9</v>
      </c>
      <c r="AH155" s="47"/>
      <c r="AI155" s="48"/>
      <c r="AK155" s="50"/>
    </row>
    <row r="156" spans="1:37" x14ac:dyDescent="0.25">
      <c r="A156" s="116" t="s">
        <v>143</v>
      </c>
      <c r="B156" s="126"/>
      <c r="C156" s="127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9">
        <v>9.6579999999999995</v>
      </c>
      <c r="AH156" s="47"/>
      <c r="AI156" s="48"/>
      <c r="AK156" s="50"/>
    </row>
    <row r="157" spans="1:37" x14ac:dyDescent="0.25">
      <c r="A157" s="116" t="s">
        <v>144</v>
      </c>
      <c r="B157" s="126"/>
      <c r="C157" s="127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9">
        <v>9.6</v>
      </c>
      <c r="AH157" s="47"/>
      <c r="AI157" s="48"/>
      <c r="AK157" s="50"/>
    </row>
    <row r="158" spans="1:37" x14ac:dyDescent="0.25">
      <c r="A158" s="116" t="s">
        <v>145</v>
      </c>
      <c r="B158" s="126"/>
      <c r="C158" s="127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9">
        <v>9.51</v>
      </c>
      <c r="AH158" s="47"/>
      <c r="AI158" s="48"/>
      <c r="AK158" s="50"/>
    </row>
    <row r="159" spans="1:37" x14ac:dyDescent="0.25">
      <c r="A159" s="116" t="s">
        <v>146</v>
      </c>
      <c r="B159" s="126"/>
      <c r="C159" s="127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9">
        <v>9.4</v>
      </c>
      <c r="AH159" s="47"/>
      <c r="AI159" s="48"/>
      <c r="AK159" s="50"/>
    </row>
    <row r="160" spans="1:37" x14ac:dyDescent="0.25">
      <c r="A160" s="116" t="s">
        <v>147</v>
      </c>
      <c r="B160" s="126"/>
      <c r="C160" s="127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9">
        <v>8.8000000000000007</v>
      </c>
      <c r="AH160" s="47"/>
      <c r="AI160" s="48"/>
      <c r="AK160" s="50"/>
    </row>
    <row r="161" spans="1:37" x14ac:dyDescent="0.25">
      <c r="A161" s="116" t="s">
        <v>148</v>
      </c>
      <c r="B161" s="126"/>
      <c r="C161" s="127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9">
        <v>8.5</v>
      </c>
      <c r="AH161" s="47"/>
      <c r="AI161" s="48"/>
      <c r="AK161" s="50"/>
    </row>
    <row r="162" spans="1:37" x14ac:dyDescent="0.25">
      <c r="A162" s="116" t="s">
        <v>149</v>
      </c>
      <c r="B162" s="126"/>
      <c r="C162" s="127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9">
        <v>8.5</v>
      </c>
      <c r="AH162" s="47"/>
      <c r="AI162" s="48"/>
      <c r="AK162" s="50"/>
    </row>
    <row r="163" spans="1:37" x14ac:dyDescent="0.25">
      <c r="A163" s="116" t="s">
        <v>150</v>
      </c>
      <c r="B163" s="126"/>
      <c r="C163" s="127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9">
        <v>8.4</v>
      </c>
      <c r="AH163" s="47"/>
      <c r="AI163" s="48"/>
      <c r="AK163" s="50"/>
    </row>
    <row r="164" spans="1:37" ht="13.5" customHeight="1" x14ac:dyDescent="0.25">
      <c r="A164" s="116" t="s">
        <v>151</v>
      </c>
      <c r="B164" s="126"/>
      <c r="C164" s="127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9">
        <v>8</v>
      </c>
      <c r="AH164" s="47"/>
      <c r="AI164" s="48"/>
      <c r="AK164" s="50"/>
    </row>
    <row r="165" spans="1:37" x14ac:dyDescent="0.25">
      <c r="A165" s="116" t="s">
        <v>152</v>
      </c>
      <c r="B165" s="126"/>
      <c r="C165" s="127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9">
        <v>8</v>
      </c>
      <c r="AH165" s="47"/>
      <c r="AI165" s="48"/>
      <c r="AK165" s="50"/>
    </row>
    <row r="166" spans="1:37" x14ac:dyDescent="0.25">
      <c r="A166" s="116" t="s">
        <v>153</v>
      </c>
      <c r="B166" s="126"/>
      <c r="C166" s="127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9">
        <v>8</v>
      </c>
      <c r="AH166" s="47"/>
      <c r="AI166" s="48"/>
      <c r="AK166" s="50"/>
    </row>
    <row r="167" spans="1:37" x14ac:dyDescent="0.25">
      <c r="A167" s="116" t="s">
        <v>154</v>
      </c>
      <c r="B167" s="126"/>
      <c r="C167" s="127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9">
        <v>7.8</v>
      </c>
      <c r="AH167" s="47"/>
      <c r="AI167" s="48"/>
      <c r="AK167" s="50"/>
    </row>
    <row r="168" spans="1:37" x14ac:dyDescent="0.25">
      <c r="A168" s="116" t="s">
        <v>155</v>
      </c>
      <c r="B168" s="126"/>
      <c r="C168" s="127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9">
        <v>7.6</v>
      </c>
      <c r="AH168" s="47"/>
      <c r="AI168" s="48"/>
      <c r="AK168" s="50"/>
    </row>
    <row r="169" spans="1:37" x14ac:dyDescent="0.25">
      <c r="A169" s="116" t="s">
        <v>156</v>
      </c>
      <c r="B169" s="126"/>
      <c r="C169" s="127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9">
        <v>7.5</v>
      </c>
      <c r="AH169" s="47"/>
      <c r="AI169" s="48"/>
      <c r="AK169" s="50"/>
    </row>
    <row r="170" spans="1:37" x14ac:dyDescent="0.25">
      <c r="A170" s="116" t="s">
        <v>157</v>
      </c>
      <c r="B170" s="126"/>
      <c r="C170" s="127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9">
        <v>7.5</v>
      </c>
      <c r="AH170" s="47"/>
      <c r="AI170" s="48"/>
      <c r="AK170" s="50"/>
    </row>
    <row r="171" spans="1:37" x14ac:dyDescent="0.25">
      <c r="A171" s="116" t="s">
        <v>158</v>
      </c>
      <c r="B171" s="126"/>
      <c r="C171" s="127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9">
        <v>7</v>
      </c>
      <c r="AH171" s="47"/>
      <c r="AI171" s="48"/>
      <c r="AK171" s="50"/>
    </row>
    <row r="172" spans="1:37" x14ac:dyDescent="0.25">
      <c r="A172" s="116" t="s">
        <v>159</v>
      </c>
      <c r="B172" s="126"/>
      <c r="C172" s="127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9">
        <v>7</v>
      </c>
      <c r="AH172" s="47"/>
      <c r="AI172" s="48"/>
      <c r="AK172" s="50"/>
    </row>
    <row r="173" spans="1:37" x14ac:dyDescent="0.25">
      <c r="A173" s="116" t="s">
        <v>160</v>
      </c>
      <c r="B173" s="126"/>
      <c r="C173" s="127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9">
        <v>7</v>
      </c>
      <c r="AH173" s="47"/>
      <c r="AI173" s="48"/>
      <c r="AK173" s="50"/>
    </row>
    <row r="174" spans="1:37" x14ac:dyDescent="0.25">
      <c r="A174" s="116" t="s">
        <v>161</v>
      </c>
      <c r="B174" s="126"/>
      <c r="C174" s="127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9">
        <v>7</v>
      </c>
      <c r="AH174" s="47"/>
      <c r="AI174" s="48"/>
      <c r="AK174" s="50"/>
    </row>
    <row r="175" spans="1:37" x14ac:dyDescent="0.25">
      <c r="A175" s="116" t="s">
        <v>162</v>
      </c>
      <c r="B175" s="126"/>
      <c r="C175" s="127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9">
        <v>6.6</v>
      </c>
      <c r="AH175" s="47"/>
      <c r="AI175" s="48"/>
      <c r="AK175" s="50"/>
    </row>
    <row r="176" spans="1:37" x14ac:dyDescent="0.25">
      <c r="A176" s="116" t="s">
        <v>163</v>
      </c>
      <c r="B176" s="126"/>
      <c r="C176" s="127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9">
        <v>6.6</v>
      </c>
      <c r="AH176" s="47"/>
      <c r="AI176" s="48"/>
      <c r="AK176" s="50"/>
    </row>
    <row r="177" spans="1:37" x14ac:dyDescent="0.25">
      <c r="A177" s="116" t="s">
        <v>164</v>
      </c>
      <c r="B177" s="126"/>
      <c r="C177" s="127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9">
        <v>6.4</v>
      </c>
      <c r="AH177" s="47"/>
      <c r="AI177" s="48"/>
      <c r="AK177" s="50"/>
    </row>
    <row r="178" spans="1:37" x14ac:dyDescent="0.25">
      <c r="A178" s="116" t="s">
        <v>165</v>
      </c>
      <c r="B178" s="126"/>
      <c r="C178" s="127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9">
        <v>6</v>
      </c>
      <c r="AH178" s="47"/>
      <c r="AI178" s="48"/>
      <c r="AK178" s="50"/>
    </row>
    <row r="179" spans="1:37" x14ac:dyDescent="0.25">
      <c r="A179" s="116" t="s">
        <v>166</v>
      </c>
      <c r="B179" s="126"/>
      <c r="C179" s="127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9">
        <v>5.0999999999999996</v>
      </c>
      <c r="AH179" s="47"/>
      <c r="AI179" s="48"/>
      <c r="AK179" s="50"/>
    </row>
    <row r="180" spans="1:37" x14ac:dyDescent="0.25">
      <c r="A180" s="116" t="s">
        <v>167</v>
      </c>
      <c r="B180" s="126"/>
      <c r="C180" s="127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9">
        <v>5</v>
      </c>
      <c r="AH180" s="47"/>
      <c r="AI180" s="48"/>
      <c r="AK180" s="50"/>
    </row>
    <row r="181" spans="1:37" x14ac:dyDescent="0.25">
      <c r="A181" s="103" t="s">
        <v>168</v>
      </c>
      <c r="B181" s="126"/>
      <c r="C181" s="127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8">
        <v>5</v>
      </c>
      <c r="AH181" s="47"/>
      <c r="AI181" s="48"/>
      <c r="AK181" s="50"/>
    </row>
    <row r="182" spans="1:37" x14ac:dyDescent="0.25">
      <c r="A182" s="116" t="s">
        <v>169</v>
      </c>
      <c r="B182" s="126"/>
      <c r="C182" s="127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9">
        <v>5</v>
      </c>
      <c r="AH182" s="47"/>
      <c r="AI182" s="48"/>
      <c r="AK182" s="50"/>
    </row>
    <row r="183" spans="1:37" x14ac:dyDescent="0.25">
      <c r="A183" s="116" t="s">
        <v>170</v>
      </c>
      <c r="B183" s="126"/>
      <c r="C183" s="127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9">
        <v>5</v>
      </c>
      <c r="AH183" s="47"/>
      <c r="AI183" s="48"/>
      <c r="AK183" s="50"/>
    </row>
    <row r="184" spans="1:37" x14ac:dyDescent="0.25">
      <c r="A184" s="116" t="s">
        <v>171</v>
      </c>
      <c r="B184" s="126"/>
      <c r="C184" s="127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9">
        <v>5</v>
      </c>
      <c r="AH184" s="47"/>
      <c r="AI184" s="48"/>
      <c r="AK184" s="50"/>
    </row>
    <row r="185" spans="1:37" x14ac:dyDescent="0.25">
      <c r="A185" s="116" t="s">
        <v>172</v>
      </c>
      <c r="B185" s="126"/>
      <c r="C185" s="127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9">
        <v>5</v>
      </c>
      <c r="AH185" s="47"/>
      <c r="AI185" s="48"/>
      <c r="AK185" s="50"/>
    </row>
    <row r="186" spans="1:37" x14ac:dyDescent="0.25">
      <c r="A186" s="116" t="s">
        <v>173</v>
      </c>
      <c r="B186" s="126"/>
      <c r="C186" s="127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9">
        <v>5</v>
      </c>
      <c r="AH186" s="47"/>
      <c r="AI186" s="48"/>
      <c r="AK186" s="50"/>
    </row>
    <row r="187" spans="1:37" x14ac:dyDescent="0.25">
      <c r="A187" s="116" t="s">
        <v>174</v>
      </c>
      <c r="B187" s="126"/>
      <c r="C187" s="127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9">
        <v>4.9930000000000003</v>
      </c>
      <c r="AH187" s="47"/>
      <c r="AI187" s="48"/>
      <c r="AK187" s="50"/>
    </row>
    <row r="188" spans="1:37" x14ac:dyDescent="0.25">
      <c r="A188" s="116" t="s">
        <v>175</v>
      </c>
      <c r="B188" s="126"/>
      <c r="C188" s="127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9">
        <v>4.9800000000000004</v>
      </c>
      <c r="AH188" s="47"/>
      <c r="AI188" s="48"/>
      <c r="AK188" s="50"/>
    </row>
    <row r="189" spans="1:37" x14ac:dyDescent="0.25">
      <c r="A189" s="116" t="s">
        <v>176</v>
      </c>
      <c r="B189" s="126"/>
      <c r="C189" s="127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9">
        <v>4.95</v>
      </c>
      <c r="AH189" s="47"/>
      <c r="AI189" s="48"/>
      <c r="AK189" s="50"/>
    </row>
    <row r="190" spans="1:37" x14ac:dyDescent="0.25">
      <c r="A190" s="116" t="s">
        <v>177</v>
      </c>
      <c r="B190" s="126"/>
      <c r="C190" s="127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9">
        <v>4.95</v>
      </c>
      <c r="AH190" s="47"/>
      <c r="AI190" s="48"/>
      <c r="AK190" s="50"/>
    </row>
    <row r="191" spans="1:37" x14ac:dyDescent="0.25">
      <c r="A191" s="116" t="s">
        <v>178</v>
      </c>
      <c r="B191" s="126"/>
      <c r="C191" s="127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9">
        <v>4.8</v>
      </c>
      <c r="AH191" s="47"/>
      <c r="AI191" s="48"/>
      <c r="AK191" s="50"/>
    </row>
    <row r="192" spans="1:37" x14ac:dyDescent="0.25">
      <c r="A192" s="116" t="s">
        <v>179</v>
      </c>
      <c r="B192" s="126"/>
      <c r="C192" s="127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9">
        <v>4.8</v>
      </c>
      <c r="AH192" s="47"/>
      <c r="AI192" s="48"/>
      <c r="AK192" s="50"/>
    </row>
    <row r="193" spans="1:37" x14ac:dyDescent="0.25">
      <c r="A193" s="116" t="s">
        <v>180</v>
      </c>
      <c r="B193" s="126"/>
      <c r="C193" s="127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9">
        <v>4.8</v>
      </c>
      <c r="AH193" s="47"/>
      <c r="AI193" s="48"/>
      <c r="AK193" s="50"/>
    </row>
    <row r="194" spans="1:37" x14ac:dyDescent="0.25">
      <c r="A194" s="116" t="s">
        <v>181</v>
      </c>
      <c r="B194" s="126"/>
      <c r="C194" s="127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9">
        <v>4.5</v>
      </c>
      <c r="AH194" s="47"/>
      <c r="AI194" s="48"/>
      <c r="AK194" s="50"/>
    </row>
    <row r="195" spans="1:37" x14ac:dyDescent="0.25">
      <c r="A195" s="116" t="s">
        <v>182</v>
      </c>
      <c r="B195" s="126"/>
      <c r="C195" s="127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9">
        <v>4.5</v>
      </c>
      <c r="AH195" s="47"/>
      <c r="AI195" s="48"/>
      <c r="AK195" s="50"/>
    </row>
    <row r="196" spans="1:37" x14ac:dyDescent="0.25">
      <c r="A196" s="116" t="s">
        <v>183</v>
      </c>
      <c r="B196" s="126"/>
      <c r="C196" s="127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9">
        <v>4.4550000000000001</v>
      </c>
      <c r="AH196" s="47"/>
      <c r="AI196" s="48"/>
      <c r="AK196" s="50"/>
    </row>
    <row r="197" spans="1:37" x14ac:dyDescent="0.25">
      <c r="A197" s="116" t="s">
        <v>184</v>
      </c>
      <c r="B197" s="126"/>
      <c r="C197" s="127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9">
        <v>4.41</v>
      </c>
      <c r="AH197" s="47"/>
      <c r="AI197" s="48"/>
      <c r="AK197" s="50"/>
    </row>
    <row r="198" spans="1:37" x14ac:dyDescent="0.25">
      <c r="A198" s="116" t="s">
        <v>185</v>
      </c>
      <c r="B198" s="126"/>
      <c r="C198" s="127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9">
        <v>4.4000000000000004</v>
      </c>
      <c r="AH198" s="47"/>
      <c r="AI198" s="48"/>
      <c r="AK198" s="50"/>
    </row>
    <row r="199" spans="1:37" x14ac:dyDescent="0.25">
      <c r="A199" s="116" t="s">
        <v>186</v>
      </c>
      <c r="B199" s="126"/>
      <c r="C199" s="127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9">
        <v>4.3600000000000003</v>
      </c>
      <c r="AH199" s="47"/>
      <c r="AI199" s="48"/>
      <c r="AK199" s="50"/>
    </row>
    <row r="200" spans="1:37" x14ac:dyDescent="0.25">
      <c r="A200" s="116" t="s">
        <v>187</v>
      </c>
      <c r="B200" s="126"/>
      <c r="C200" s="127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9">
        <v>4.2</v>
      </c>
      <c r="AH200" s="47"/>
      <c r="AI200" s="48"/>
      <c r="AK200" s="50"/>
    </row>
    <row r="201" spans="1:37" x14ac:dyDescent="0.25">
      <c r="A201" s="116" t="s">
        <v>188</v>
      </c>
      <c r="B201" s="126"/>
      <c r="C201" s="127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9">
        <v>4</v>
      </c>
      <c r="AH201" s="47"/>
      <c r="AI201" s="48"/>
      <c r="AK201" s="50"/>
    </row>
    <row r="202" spans="1:37" x14ac:dyDescent="0.25">
      <c r="A202" s="116" t="s">
        <v>189</v>
      </c>
      <c r="B202" s="126"/>
      <c r="C202" s="127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9">
        <v>4</v>
      </c>
      <c r="AH202" s="47"/>
      <c r="AI202" s="48"/>
      <c r="AK202" s="50"/>
    </row>
    <row r="203" spans="1:37" x14ac:dyDescent="0.25">
      <c r="A203" s="116" t="s">
        <v>190</v>
      </c>
      <c r="B203" s="126"/>
      <c r="C203" s="127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9">
        <v>4</v>
      </c>
      <c r="AH203" s="47"/>
      <c r="AI203" s="48"/>
      <c r="AK203" s="50"/>
    </row>
    <row r="204" spans="1:37" x14ac:dyDescent="0.25">
      <c r="A204" s="116" t="s">
        <v>191</v>
      </c>
      <c r="B204" s="126"/>
      <c r="C204" s="127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9">
        <v>4</v>
      </c>
      <c r="AH204" s="47"/>
      <c r="AI204" s="48"/>
      <c r="AK204" s="50"/>
    </row>
    <row r="205" spans="1:37" x14ac:dyDescent="0.25">
      <c r="A205" s="116" t="s">
        <v>192</v>
      </c>
      <c r="B205" s="126"/>
      <c r="C205" s="127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9">
        <v>4</v>
      </c>
      <c r="AH205" s="47"/>
      <c r="AI205" s="48"/>
      <c r="AK205" s="50"/>
    </row>
    <row r="206" spans="1:37" x14ac:dyDescent="0.25">
      <c r="A206" s="116" t="s">
        <v>193</v>
      </c>
      <c r="B206" s="126"/>
      <c r="C206" s="127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9">
        <v>4</v>
      </c>
      <c r="AH206" s="47"/>
      <c r="AI206" s="48"/>
      <c r="AK206" s="50"/>
    </row>
    <row r="207" spans="1:37" x14ac:dyDescent="0.25">
      <c r="A207" s="116" t="s">
        <v>194</v>
      </c>
      <c r="B207" s="126"/>
      <c r="C207" s="127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9">
        <v>4</v>
      </c>
      <c r="AH207" s="47"/>
      <c r="AI207" s="48"/>
      <c r="AK207" s="50"/>
    </row>
    <row r="208" spans="1:37" x14ac:dyDescent="0.25">
      <c r="A208" s="116" t="s">
        <v>195</v>
      </c>
      <c r="B208" s="126"/>
      <c r="C208" s="127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9">
        <v>4</v>
      </c>
      <c r="AH208" s="47"/>
      <c r="AI208" s="48"/>
      <c r="AK208" s="50"/>
    </row>
    <row r="209" spans="1:37" x14ac:dyDescent="0.25">
      <c r="A209" s="116" t="s">
        <v>196</v>
      </c>
      <c r="B209" s="126"/>
      <c r="C209" s="127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9">
        <v>3.75</v>
      </c>
      <c r="AH209" s="47"/>
      <c r="AI209" s="48"/>
      <c r="AK209" s="50"/>
    </row>
    <row r="210" spans="1:37" x14ac:dyDescent="0.25">
      <c r="A210" s="116" t="s">
        <v>197</v>
      </c>
      <c r="B210" s="126"/>
      <c r="C210" s="127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9">
        <v>3.52</v>
      </c>
      <c r="AH210" s="47"/>
      <c r="AI210" s="48"/>
      <c r="AK210" s="50"/>
    </row>
    <row r="211" spans="1:37" x14ac:dyDescent="0.25">
      <c r="A211" s="116" t="s">
        <v>198</v>
      </c>
      <c r="B211" s="126"/>
      <c r="C211" s="127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9">
        <v>3.33</v>
      </c>
      <c r="AH211" s="47"/>
      <c r="AI211" s="48"/>
      <c r="AK211" s="50"/>
    </row>
    <row r="212" spans="1:37" x14ac:dyDescent="0.25">
      <c r="A212" s="116" t="s">
        <v>199</v>
      </c>
      <c r="B212" s="126"/>
      <c r="C212" s="127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9">
        <v>3.2</v>
      </c>
      <c r="AH212" s="47"/>
      <c r="AI212" s="48"/>
      <c r="AK212" s="50"/>
    </row>
    <row r="213" spans="1:37" x14ac:dyDescent="0.25">
      <c r="A213" s="116" t="s">
        <v>200</v>
      </c>
      <c r="B213" s="126"/>
      <c r="C213" s="127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9">
        <v>3</v>
      </c>
      <c r="AH213" s="47"/>
      <c r="AI213" s="48"/>
      <c r="AK213" s="50"/>
    </row>
    <row r="214" spans="1:37" x14ac:dyDescent="0.25">
      <c r="A214" s="116" t="s">
        <v>201</v>
      </c>
      <c r="B214" s="126"/>
      <c r="C214" s="127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9">
        <v>3</v>
      </c>
      <c r="AH214" s="47"/>
      <c r="AI214" s="48"/>
      <c r="AK214" s="50"/>
    </row>
    <row r="215" spans="1:37" x14ac:dyDescent="0.25">
      <c r="A215" s="116" t="s">
        <v>202</v>
      </c>
      <c r="B215" s="126"/>
      <c r="C215" s="127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9">
        <v>3</v>
      </c>
      <c r="AH215" s="47"/>
      <c r="AI215" s="48"/>
      <c r="AK215" s="50"/>
    </row>
    <row r="216" spans="1:37" x14ac:dyDescent="0.25">
      <c r="A216" s="116" t="s">
        <v>203</v>
      </c>
      <c r="B216" s="126"/>
      <c r="C216" s="127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9">
        <v>3</v>
      </c>
      <c r="AH216" s="47"/>
      <c r="AI216" s="48"/>
      <c r="AK216" s="50"/>
    </row>
    <row r="217" spans="1:37" x14ac:dyDescent="0.25">
      <c r="A217" s="116" t="s">
        <v>204</v>
      </c>
      <c r="B217" s="126"/>
      <c r="C217" s="127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9">
        <v>3</v>
      </c>
      <c r="AH217" s="47"/>
      <c r="AI217" s="48"/>
      <c r="AK217" s="50"/>
    </row>
    <row r="218" spans="1:37" x14ac:dyDescent="0.25">
      <c r="A218" s="116" t="s">
        <v>205</v>
      </c>
      <c r="B218" s="126"/>
      <c r="C218" s="127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9">
        <v>3</v>
      </c>
      <c r="AH218" s="47"/>
      <c r="AI218" s="48"/>
      <c r="AK218" s="50"/>
    </row>
    <row r="219" spans="1:37" x14ac:dyDescent="0.25">
      <c r="A219" s="116" t="s">
        <v>206</v>
      </c>
      <c r="B219" s="126"/>
      <c r="C219" s="127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9">
        <v>3</v>
      </c>
      <c r="AH219" s="47"/>
      <c r="AI219" s="48"/>
      <c r="AK219" s="50"/>
    </row>
    <row r="220" spans="1:37" x14ac:dyDescent="0.25">
      <c r="A220" s="116" t="s">
        <v>207</v>
      </c>
      <c r="B220" s="126"/>
      <c r="C220" s="127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9">
        <v>3</v>
      </c>
      <c r="AH220" s="47"/>
      <c r="AI220" s="48"/>
      <c r="AK220" s="50"/>
    </row>
    <row r="221" spans="1:37" x14ac:dyDescent="0.25">
      <c r="A221" s="116" t="s">
        <v>208</v>
      </c>
      <c r="B221" s="126"/>
      <c r="C221" s="127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9">
        <v>2.83</v>
      </c>
      <c r="AH221" s="47"/>
      <c r="AI221" s="48"/>
      <c r="AK221" s="50"/>
    </row>
    <row r="222" spans="1:37" x14ac:dyDescent="0.25">
      <c r="A222" s="116" t="s">
        <v>209</v>
      </c>
      <c r="B222" s="126"/>
      <c r="C222" s="127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9">
        <v>2.5</v>
      </c>
      <c r="AH222" s="47"/>
      <c r="AI222" s="48"/>
      <c r="AK222" s="50"/>
    </row>
    <row r="223" spans="1:37" x14ac:dyDescent="0.25">
      <c r="A223" s="116" t="s">
        <v>210</v>
      </c>
      <c r="B223" s="126"/>
      <c r="C223" s="127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9">
        <v>2.5</v>
      </c>
      <c r="AH223" s="47"/>
      <c r="AI223" s="48"/>
      <c r="AK223" s="50"/>
    </row>
    <row r="224" spans="1:37" x14ac:dyDescent="0.25">
      <c r="A224" s="116" t="s">
        <v>211</v>
      </c>
      <c r="B224" s="126"/>
      <c r="C224" s="127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9">
        <v>2.4</v>
      </c>
      <c r="AH224" s="47"/>
      <c r="AI224" s="48"/>
      <c r="AK224" s="50"/>
    </row>
    <row r="225" spans="1:37" x14ac:dyDescent="0.25">
      <c r="A225" s="116" t="s">
        <v>212</v>
      </c>
      <c r="B225" s="126"/>
      <c r="C225" s="127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9">
        <v>2.4</v>
      </c>
      <c r="AH225" s="47"/>
      <c r="AI225" s="48"/>
      <c r="AK225" s="50"/>
    </row>
    <row r="226" spans="1:37" x14ac:dyDescent="0.25">
      <c r="A226" s="116" t="s">
        <v>213</v>
      </c>
      <c r="B226" s="126"/>
      <c r="C226" s="127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9">
        <v>2.2000000000000002</v>
      </c>
      <c r="AH226" s="47"/>
      <c r="AI226" s="48"/>
      <c r="AK226" s="50"/>
    </row>
    <row r="227" spans="1:37" x14ac:dyDescent="0.25">
      <c r="A227" s="116" t="s">
        <v>214</v>
      </c>
      <c r="B227" s="126"/>
      <c r="C227" s="127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9">
        <v>2</v>
      </c>
      <c r="AH227" s="47"/>
      <c r="AI227" s="48"/>
      <c r="AK227" s="50"/>
    </row>
    <row r="228" spans="1:37" x14ac:dyDescent="0.25">
      <c r="A228" s="116" t="s">
        <v>215</v>
      </c>
      <c r="B228" s="126"/>
      <c r="C228" s="127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9">
        <v>2</v>
      </c>
      <c r="AH228" s="47"/>
      <c r="AI228" s="48"/>
      <c r="AK228" s="50"/>
    </row>
    <row r="229" spans="1:37" x14ac:dyDescent="0.25">
      <c r="A229" s="116" t="s">
        <v>216</v>
      </c>
      <c r="B229" s="126"/>
      <c r="C229" s="127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9">
        <v>2</v>
      </c>
      <c r="AH229" s="47"/>
      <c r="AI229" s="48"/>
      <c r="AK229" s="50"/>
    </row>
    <row r="230" spans="1:37" x14ac:dyDescent="0.25">
      <c r="A230" s="116" t="s">
        <v>217</v>
      </c>
      <c r="B230" s="126"/>
      <c r="C230" s="127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9">
        <v>1.8</v>
      </c>
      <c r="AH230" s="47"/>
      <c r="AI230" s="48"/>
      <c r="AK230" s="50"/>
    </row>
    <row r="231" spans="1:37" x14ac:dyDescent="0.25">
      <c r="A231" s="116" t="s">
        <v>218</v>
      </c>
      <c r="B231" s="126"/>
      <c r="C231" s="127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9">
        <v>1.8</v>
      </c>
      <c r="AH231" s="47"/>
      <c r="AI231" s="48"/>
      <c r="AK231" s="50"/>
    </row>
    <row r="232" spans="1:37" x14ac:dyDescent="0.25">
      <c r="A232" s="116" t="s">
        <v>219</v>
      </c>
      <c r="B232" s="126"/>
      <c r="C232" s="127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9">
        <v>1.65</v>
      </c>
      <c r="AH232" s="47"/>
      <c r="AI232" s="48"/>
      <c r="AK232" s="50"/>
    </row>
    <row r="233" spans="1:37" x14ac:dyDescent="0.25">
      <c r="A233" s="116" t="s">
        <v>220</v>
      </c>
      <c r="B233" s="126"/>
      <c r="C233" s="127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9">
        <v>1.5</v>
      </c>
      <c r="AH233" s="47"/>
      <c r="AI233" s="48"/>
      <c r="AK233" s="50"/>
    </row>
    <row r="234" spans="1:37" x14ac:dyDescent="0.25">
      <c r="A234" s="116" t="s">
        <v>221</v>
      </c>
      <c r="B234" s="126"/>
      <c r="C234" s="127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9">
        <v>0.998</v>
      </c>
      <c r="AH234" s="47"/>
      <c r="AI234" s="48"/>
      <c r="AK234" s="50"/>
    </row>
    <row r="235" spans="1:37" x14ac:dyDescent="0.25">
      <c r="A235" s="116" t="s">
        <v>222</v>
      </c>
      <c r="B235" s="126"/>
      <c r="C235" s="127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9">
        <v>0.997</v>
      </c>
      <c r="AH235" s="47"/>
      <c r="AI235" s="48"/>
      <c r="AK235" s="50"/>
    </row>
    <row r="236" spans="1:37" x14ac:dyDescent="0.25">
      <c r="A236" s="116" t="s">
        <v>223</v>
      </c>
      <c r="B236" s="126"/>
      <c r="C236" s="127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9">
        <v>0.997</v>
      </c>
      <c r="AH236" s="47"/>
      <c r="AI236" s="48"/>
      <c r="AK236" s="50"/>
    </row>
    <row r="237" spans="1:37" x14ac:dyDescent="0.25">
      <c r="A237" s="116" t="s">
        <v>224</v>
      </c>
      <c r="B237" s="126"/>
      <c r="C237" s="127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9">
        <v>0.996</v>
      </c>
      <c r="AH237" s="47"/>
      <c r="AI237" s="48"/>
      <c r="AK237" s="50"/>
    </row>
    <row r="238" spans="1:37" x14ac:dyDescent="0.25">
      <c r="A238" s="116" t="s">
        <v>225</v>
      </c>
      <c r="B238" s="126"/>
      <c r="C238" s="127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9">
        <v>0.996</v>
      </c>
      <c r="AH238" s="47"/>
      <c r="AI238" s="48"/>
      <c r="AK238" s="50"/>
    </row>
    <row r="239" spans="1:37" x14ac:dyDescent="0.25">
      <c r="A239" s="116" t="s">
        <v>226</v>
      </c>
      <c r="B239" s="126"/>
      <c r="C239" s="127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9">
        <v>0.996</v>
      </c>
      <c r="AH239" s="47"/>
      <c r="AI239" s="48"/>
      <c r="AK239" s="50"/>
    </row>
    <row r="240" spans="1:37" x14ac:dyDescent="0.25">
      <c r="A240" s="116" t="s">
        <v>227</v>
      </c>
      <c r="B240" s="126"/>
      <c r="C240" s="127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9">
        <v>0.995</v>
      </c>
      <c r="AH240" s="47"/>
      <c r="AI240" s="48"/>
      <c r="AK240" s="50"/>
    </row>
    <row r="241" spans="1:37" x14ac:dyDescent="0.25">
      <c r="A241" s="116" t="s">
        <v>228</v>
      </c>
      <c r="B241" s="126"/>
      <c r="C241" s="127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9">
        <v>0.99299999999999999</v>
      </c>
      <c r="AH241" s="47"/>
      <c r="AI241" s="48"/>
      <c r="AK241" s="50"/>
    </row>
    <row r="242" spans="1:37" x14ac:dyDescent="0.25">
      <c r="A242" s="116" t="s">
        <v>229</v>
      </c>
      <c r="B242" s="126"/>
      <c r="C242" s="124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9">
        <v>0.99</v>
      </c>
      <c r="AH242" s="47"/>
      <c r="AI242" s="48"/>
      <c r="AK242" s="50"/>
    </row>
    <row r="243" spans="1:37" ht="15.75" thickBot="1" x14ac:dyDescent="0.3">
      <c r="A243" s="116" t="s">
        <v>230</v>
      </c>
      <c r="B243" s="130"/>
      <c r="C243" s="131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29">
        <v>0.97899999999999998</v>
      </c>
      <c r="AH243" s="47"/>
      <c r="AI243" s="48"/>
      <c r="AK243" s="50"/>
    </row>
    <row r="244" spans="1:37" ht="15.75" thickBot="1" x14ac:dyDescent="0.3">
      <c r="A244" s="132" t="s">
        <v>231</v>
      </c>
      <c r="B244" s="133">
        <f t="shared" ref="B244:AG244" si="103">SUM(B139:B243)</f>
        <v>0</v>
      </c>
      <c r="C244" s="134">
        <f t="shared" si="103"/>
        <v>0</v>
      </c>
      <c r="D244" s="134">
        <f t="shared" si="103"/>
        <v>0</v>
      </c>
      <c r="E244" s="134">
        <f t="shared" si="103"/>
        <v>0</v>
      </c>
      <c r="F244" s="134">
        <f t="shared" si="103"/>
        <v>0</v>
      </c>
      <c r="G244" s="134">
        <f t="shared" si="103"/>
        <v>0</v>
      </c>
      <c r="H244" s="134">
        <f t="shared" si="103"/>
        <v>0</v>
      </c>
      <c r="I244" s="134">
        <f t="shared" si="103"/>
        <v>0</v>
      </c>
      <c r="J244" s="134">
        <f t="shared" si="103"/>
        <v>0</v>
      </c>
      <c r="K244" s="134">
        <f t="shared" si="103"/>
        <v>0</v>
      </c>
      <c r="L244" s="134">
        <f t="shared" si="103"/>
        <v>0</v>
      </c>
      <c r="M244" s="134">
        <f t="shared" si="103"/>
        <v>0</v>
      </c>
      <c r="N244" s="134">
        <f t="shared" si="103"/>
        <v>0</v>
      </c>
      <c r="O244" s="134">
        <f t="shared" si="103"/>
        <v>0</v>
      </c>
      <c r="P244" s="134">
        <f t="shared" si="103"/>
        <v>0</v>
      </c>
      <c r="Q244" s="134">
        <f t="shared" si="103"/>
        <v>0</v>
      </c>
      <c r="R244" s="134">
        <f t="shared" si="103"/>
        <v>0</v>
      </c>
      <c r="S244" s="134">
        <f t="shared" si="103"/>
        <v>0</v>
      </c>
      <c r="T244" s="134">
        <f t="shared" si="103"/>
        <v>0</v>
      </c>
      <c r="U244" s="134">
        <f t="shared" si="103"/>
        <v>0</v>
      </c>
      <c r="V244" s="134">
        <f t="shared" si="103"/>
        <v>0</v>
      </c>
      <c r="W244" s="134">
        <f t="shared" si="103"/>
        <v>0</v>
      </c>
      <c r="X244" s="134">
        <f t="shared" si="103"/>
        <v>0</v>
      </c>
      <c r="Y244" s="134">
        <f t="shared" si="103"/>
        <v>0</v>
      </c>
      <c r="Z244" s="134">
        <f t="shared" si="103"/>
        <v>0</v>
      </c>
      <c r="AA244" s="134">
        <f t="shared" si="103"/>
        <v>0</v>
      </c>
      <c r="AB244" s="134">
        <f t="shared" si="103"/>
        <v>0</v>
      </c>
      <c r="AC244" s="134">
        <f t="shared" si="103"/>
        <v>0</v>
      </c>
      <c r="AD244" s="134">
        <f t="shared" si="103"/>
        <v>0</v>
      </c>
      <c r="AE244" s="134">
        <f t="shared" si="103"/>
        <v>0</v>
      </c>
      <c r="AF244" s="135">
        <f t="shared" si="103"/>
        <v>0</v>
      </c>
      <c r="AG244" s="136">
        <f t="shared" si="103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19"/>
      <c r="AH245" s="47"/>
      <c r="AI245" s="48"/>
      <c r="AK245" s="50"/>
    </row>
    <row r="246" spans="1:37" x14ac:dyDescent="0.25">
      <c r="A246" s="100" t="s">
        <v>232</v>
      </c>
      <c r="B246" s="138">
        <f t="shared" ref="B246:B251" si="104">AF246</f>
        <v>0.3</v>
      </c>
      <c r="C246" s="138">
        <v>0.3</v>
      </c>
      <c r="D246" s="138">
        <f t="shared" ref="D246:S251" si="105">C246</f>
        <v>0.3</v>
      </c>
      <c r="E246" s="138">
        <f t="shared" si="105"/>
        <v>0.3</v>
      </c>
      <c r="F246" s="138">
        <f t="shared" si="105"/>
        <v>0.3</v>
      </c>
      <c r="G246" s="138">
        <f t="shared" si="105"/>
        <v>0.3</v>
      </c>
      <c r="H246" s="138">
        <f t="shared" si="105"/>
        <v>0.3</v>
      </c>
      <c r="I246" s="138">
        <f t="shared" si="105"/>
        <v>0.3</v>
      </c>
      <c r="J246" s="138">
        <f t="shared" si="105"/>
        <v>0.3</v>
      </c>
      <c r="K246" s="138">
        <f t="shared" si="105"/>
        <v>0.3</v>
      </c>
      <c r="L246" s="138">
        <f t="shared" si="105"/>
        <v>0.3</v>
      </c>
      <c r="M246" s="138">
        <f t="shared" si="105"/>
        <v>0.3</v>
      </c>
      <c r="N246" s="138">
        <f t="shared" si="105"/>
        <v>0.3</v>
      </c>
      <c r="O246" s="138">
        <f t="shared" si="105"/>
        <v>0.3</v>
      </c>
      <c r="P246" s="138">
        <f t="shared" si="105"/>
        <v>0.3</v>
      </c>
      <c r="Q246" s="138">
        <f t="shared" si="105"/>
        <v>0.3</v>
      </c>
      <c r="R246" s="138">
        <f t="shared" si="105"/>
        <v>0.3</v>
      </c>
      <c r="S246" s="138">
        <f t="shared" si="105"/>
        <v>0.3</v>
      </c>
      <c r="T246" s="138">
        <f t="shared" ref="T246:AF251" si="106">S246</f>
        <v>0.3</v>
      </c>
      <c r="U246" s="138">
        <f t="shared" si="106"/>
        <v>0.3</v>
      </c>
      <c r="V246" s="138">
        <f t="shared" si="106"/>
        <v>0.3</v>
      </c>
      <c r="W246" s="138">
        <f t="shared" si="106"/>
        <v>0.3</v>
      </c>
      <c r="X246" s="138">
        <f t="shared" si="106"/>
        <v>0.3</v>
      </c>
      <c r="Y246" s="138">
        <f t="shared" si="106"/>
        <v>0.3</v>
      </c>
      <c r="Z246" s="138">
        <f t="shared" si="106"/>
        <v>0.3</v>
      </c>
      <c r="AA246" s="138">
        <f t="shared" si="106"/>
        <v>0.3</v>
      </c>
      <c r="AB246" s="138">
        <f t="shared" si="106"/>
        <v>0.3</v>
      </c>
      <c r="AC246" s="138">
        <f t="shared" si="106"/>
        <v>0.3</v>
      </c>
      <c r="AD246" s="138">
        <f t="shared" si="106"/>
        <v>0.3</v>
      </c>
      <c r="AE246" s="138">
        <f t="shared" si="106"/>
        <v>0.3</v>
      </c>
      <c r="AF246" s="138">
        <f t="shared" si="106"/>
        <v>0.3</v>
      </c>
      <c r="AG246" s="139">
        <v>2.4</v>
      </c>
      <c r="AH246" s="47"/>
      <c r="AI246" s="48"/>
      <c r="AK246" s="50"/>
    </row>
    <row r="247" spans="1:37" x14ac:dyDescent="0.25">
      <c r="A247" s="103" t="s">
        <v>233</v>
      </c>
      <c r="B247" s="126">
        <f t="shared" si="104"/>
        <v>0.4</v>
      </c>
      <c r="C247" s="126">
        <v>0.4</v>
      </c>
      <c r="D247" s="126">
        <f t="shared" si="105"/>
        <v>0.4</v>
      </c>
      <c r="E247" s="126">
        <f t="shared" si="105"/>
        <v>0.4</v>
      </c>
      <c r="F247" s="126">
        <f t="shared" si="105"/>
        <v>0.4</v>
      </c>
      <c r="G247" s="126">
        <f t="shared" si="105"/>
        <v>0.4</v>
      </c>
      <c r="H247" s="126">
        <f t="shared" si="105"/>
        <v>0.4</v>
      </c>
      <c r="I247" s="126">
        <f t="shared" si="105"/>
        <v>0.4</v>
      </c>
      <c r="J247" s="126">
        <f t="shared" si="105"/>
        <v>0.4</v>
      </c>
      <c r="K247" s="126">
        <f t="shared" si="105"/>
        <v>0.4</v>
      </c>
      <c r="L247" s="126">
        <f t="shared" si="105"/>
        <v>0.4</v>
      </c>
      <c r="M247" s="126">
        <f t="shared" si="105"/>
        <v>0.4</v>
      </c>
      <c r="N247" s="126">
        <f t="shared" si="105"/>
        <v>0.4</v>
      </c>
      <c r="O247" s="126">
        <f t="shared" si="105"/>
        <v>0.4</v>
      </c>
      <c r="P247" s="126">
        <f t="shared" si="105"/>
        <v>0.4</v>
      </c>
      <c r="Q247" s="126">
        <f t="shared" si="105"/>
        <v>0.4</v>
      </c>
      <c r="R247" s="126">
        <f t="shared" si="105"/>
        <v>0.4</v>
      </c>
      <c r="S247" s="126">
        <f t="shared" si="105"/>
        <v>0.4</v>
      </c>
      <c r="T247" s="126">
        <f t="shared" si="106"/>
        <v>0.4</v>
      </c>
      <c r="U247" s="126">
        <f t="shared" si="106"/>
        <v>0.4</v>
      </c>
      <c r="V247" s="126">
        <f t="shared" si="106"/>
        <v>0.4</v>
      </c>
      <c r="W247" s="126">
        <f t="shared" si="106"/>
        <v>0.4</v>
      </c>
      <c r="X247" s="126">
        <f t="shared" si="106"/>
        <v>0.4</v>
      </c>
      <c r="Y247" s="126">
        <f t="shared" si="106"/>
        <v>0.4</v>
      </c>
      <c r="Z247" s="126">
        <f t="shared" si="106"/>
        <v>0.4</v>
      </c>
      <c r="AA247" s="126">
        <f t="shared" si="106"/>
        <v>0.4</v>
      </c>
      <c r="AB247" s="126">
        <f t="shared" si="106"/>
        <v>0.4</v>
      </c>
      <c r="AC247" s="126">
        <f t="shared" si="106"/>
        <v>0.4</v>
      </c>
      <c r="AD247" s="126">
        <f t="shared" si="106"/>
        <v>0.4</v>
      </c>
      <c r="AE247" s="126">
        <f t="shared" si="106"/>
        <v>0.4</v>
      </c>
      <c r="AF247" s="126">
        <f t="shared" si="106"/>
        <v>0.4</v>
      </c>
      <c r="AG247" s="140">
        <v>2</v>
      </c>
      <c r="AH247" s="47"/>
      <c r="AI247" s="48"/>
      <c r="AK247" s="50"/>
    </row>
    <row r="248" spans="1:37" x14ac:dyDescent="0.25">
      <c r="A248" s="103" t="s">
        <v>234</v>
      </c>
      <c r="B248" s="126">
        <f t="shared" si="104"/>
        <v>1.5</v>
      </c>
      <c r="C248" s="126">
        <v>1.5</v>
      </c>
      <c r="D248" s="126">
        <f t="shared" si="105"/>
        <v>1.5</v>
      </c>
      <c r="E248" s="126">
        <f t="shared" si="105"/>
        <v>1.5</v>
      </c>
      <c r="F248" s="126">
        <f t="shared" si="105"/>
        <v>1.5</v>
      </c>
      <c r="G248" s="126">
        <f t="shared" si="105"/>
        <v>1.5</v>
      </c>
      <c r="H248" s="126">
        <f t="shared" si="105"/>
        <v>1.5</v>
      </c>
      <c r="I248" s="126">
        <f t="shared" si="105"/>
        <v>1.5</v>
      </c>
      <c r="J248" s="126">
        <f t="shared" si="105"/>
        <v>1.5</v>
      </c>
      <c r="K248" s="126">
        <f t="shared" si="105"/>
        <v>1.5</v>
      </c>
      <c r="L248" s="126">
        <f t="shared" si="105"/>
        <v>1.5</v>
      </c>
      <c r="M248" s="126">
        <f t="shared" si="105"/>
        <v>1.5</v>
      </c>
      <c r="N248" s="126">
        <f t="shared" si="105"/>
        <v>1.5</v>
      </c>
      <c r="O248" s="126">
        <f t="shared" si="105"/>
        <v>1.5</v>
      </c>
      <c r="P248" s="126">
        <f t="shared" si="105"/>
        <v>1.5</v>
      </c>
      <c r="Q248" s="126">
        <f t="shared" si="105"/>
        <v>1.5</v>
      </c>
      <c r="R248" s="126">
        <f t="shared" si="105"/>
        <v>1.5</v>
      </c>
      <c r="S248" s="126">
        <f t="shared" si="105"/>
        <v>1.5</v>
      </c>
      <c r="T248" s="126">
        <f t="shared" si="106"/>
        <v>1.5</v>
      </c>
      <c r="U248" s="126">
        <f t="shared" si="106"/>
        <v>1.5</v>
      </c>
      <c r="V248" s="126">
        <f t="shared" si="106"/>
        <v>1.5</v>
      </c>
      <c r="W248" s="126">
        <f t="shared" si="106"/>
        <v>1.5</v>
      </c>
      <c r="X248" s="126">
        <f t="shared" si="106"/>
        <v>1.5</v>
      </c>
      <c r="Y248" s="126">
        <f t="shared" si="106"/>
        <v>1.5</v>
      </c>
      <c r="Z248" s="126">
        <f t="shared" si="106"/>
        <v>1.5</v>
      </c>
      <c r="AA248" s="126">
        <f t="shared" si="106"/>
        <v>1.5</v>
      </c>
      <c r="AB248" s="126">
        <f t="shared" si="106"/>
        <v>1.5</v>
      </c>
      <c r="AC248" s="126">
        <f t="shared" si="106"/>
        <v>1.5</v>
      </c>
      <c r="AD248" s="126">
        <f t="shared" si="106"/>
        <v>1.5</v>
      </c>
      <c r="AE248" s="126">
        <f t="shared" si="106"/>
        <v>1.5</v>
      </c>
      <c r="AF248" s="126">
        <f t="shared" si="106"/>
        <v>1.5</v>
      </c>
      <c r="AG248" s="140">
        <v>1.5</v>
      </c>
      <c r="AH248" s="47"/>
      <c r="AI248" s="48"/>
      <c r="AK248" s="50"/>
    </row>
    <row r="249" spans="1:37" x14ac:dyDescent="0.25">
      <c r="A249" s="103" t="s">
        <v>235</v>
      </c>
      <c r="B249" s="126">
        <f t="shared" si="104"/>
        <v>0.3</v>
      </c>
      <c r="C249" s="126">
        <v>0.3</v>
      </c>
      <c r="D249" s="126">
        <f t="shared" si="105"/>
        <v>0.3</v>
      </c>
      <c r="E249" s="126">
        <f t="shared" si="105"/>
        <v>0.3</v>
      </c>
      <c r="F249" s="126">
        <f t="shared" si="105"/>
        <v>0.3</v>
      </c>
      <c r="G249" s="126">
        <f t="shared" si="105"/>
        <v>0.3</v>
      </c>
      <c r="H249" s="126">
        <f t="shared" si="105"/>
        <v>0.3</v>
      </c>
      <c r="I249" s="126">
        <f t="shared" si="105"/>
        <v>0.3</v>
      </c>
      <c r="J249" s="126">
        <f t="shared" si="105"/>
        <v>0.3</v>
      </c>
      <c r="K249" s="126">
        <f t="shared" si="105"/>
        <v>0.3</v>
      </c>
      <c r="L249" s="126">
        <f t="shared" si="105"/>
        <v>0.3</v>
      </c>
      <c r="M249" s="126">
        <f t="shared" si="105"/>
        <v>0.3</v>
      </c>
      <c r="N249" s="126">
        <f t="shared" si="105"/>
        <v>0.3</v>
      </c>
      <c r="O249" s="126">
        <f t="shared" si="105"/>
        <v>0.3</v>
      </c>
      <c r="P249" s="126">
        <f t="shared" si="105"/>
        <v>0.3</v>
      </c>
      <c r="Q249" s="126">
        <f t="shared" si="105"/>
        <v>0.3</v>
      </c>
      <c r="R249" s="126">
        <f t="shared" si="105"/>
        <v>0.3</v>
      </c>
      <c r="S249" s="126">
        <f t="shared" si="105"/>
        <v>0.3</v>
      </c>
      <c r="T249" s="126">
        <f t="shared" si="106"/>
        <v>0.3</v>
      </c>
      <c r="U249" s="126">
        <f t="shared" si="106"/>
        <v>0.3</v>
      </c>
      <c r="V249" s="126">
        <f t="shared" si="106"/>
        <v>0.3</v>
      </c>
      <c r="W249" s="126">
        <f t="shared" si="106"/>
        <v>0.3</v>
      </c>
      <c r="X249" s="126">
        <f t="shared" si="106"/>
        <v>0.3</v>
      </c>
      <c r="Y249" s="126">
        <f t="shared" si="106"/>
        <v>0.3</v>
      </c>
      <c r="Z249" s="126">
        <f t="shared" si="106"/>
        <v>0.3</v>
      </c>
      <c r="AA249" s="126">
        <f t="shared" si="106"/>
        <v>0.3</v>
      </c>
      <c r="AB249" s="126">
        <f t="shared" si="106"/>
        <v>0.3</v>
      </c>
      <c r="AC249" s="126">
        <f t="shared" si="106"/>
        <v>0.3</v>
      </c>
      <c r="AD249" s="126">
        <f t="shared" si="106"/>
        <v>0.3</v>
      </c>
      <c r="AE249" s="126">
        <f t="shared" si="106"/>
        <v>0.3</v>
      </c>
      <c r="AF249" s="126">
        <f t="shared" si="106"/>
        <v>0.3</v>
      </c>
      <c r="AG249" s="140">
        <v>1</v>
      </c>
      <c r="AH249" s="47"/>
      <c r="AI249" s="48"/>
      <c r="AK249" s="50"/>
    </row>
    <row r="250" spans="1:37" x14ac:dyDescent="0.25">
      <c r="A250" s="103" t="s">
        <v>236</v>
      </c>
      <c r="B250" s="126">
        <f t="shared" si="104"/>
        <v>0.4</v>
      </c>
      <c r="C250" s="126">
        <v>0.4</v>
      </c>
      <c r="D250" s="126">
        <f t="shared" si="105"/>
        <v>0.4</v>
      </c>
      <c r="E250" s="126">
        <f t="shared" si="105"/>
        <v>0.4</v>
      </c>
      <c r="F250" s="126">
        <f t="shared" si="105"/>
        <v>0.4</v>
      </c>
      <c r="G250" s="126">
        <f t="shared" si="105"/>
        <v>0.4</v>
      </c>
      <c r="H250" s="126">
        <f t="shared" si="105"/>
        <v>0.4</v>
      </c>
      <c r="I250" s="126">
        <f t="shared" si="105"/>
        <v>0.4</v>
      </c>
      <c r="J250" s="126">
        <f t="shared" si="105"/>
        <v>0.4</v>
      </c>
      <c r="K250" s="126">
        <f t="shared" si="105"/>
        <v>0.4</v>
      </c>
      <c r="L250" s="126">
        <f t="shared" si="105"/>
        <v>0.4</v>
      </c>
      <c r="M250" s="126">
        <f t="shared" si="105"/>
        <v>0.4</v>
      </c>
      <c r="N250" s="126">
        <f t="shared" si="105"/>
        <v>0.4</v>
      </c>
      <c r="O250" s="126">
        <f t="shared" si="105"/>
        <v>0.4</v>
      </c>
      <c r="P250" s="126">
        <f t="shared" si="105"/>
        <v>0.4</v>
      </c>
      <c r="Q250" s="126">
        <f t="shared" si="105"/>
        <v>0.4</v>
      </c>
      <c r="R250" s="126">
        <f t="shared" si="105"/>
        <v>0.4</v>
      </c>
      <c r="S250" s="126">
        <f t="shared" si="105"/>
        <v>0.4</v>
      </c>
      <c r="T250" s="126">
        <f t="shared" si="106"/>
        <v>0.4</v>
      </c>
      <c r="U250" s="126">
        <f t="shared" si="106"/>
        <v>0.4</v>
      </c>
      <c r="V250" s="126">
        <f t="shared" si="106"/>
        <v>0.4</v>
      </c>
      <c r="W250" s="126">
        <f t="shared" si="106"/>
        <v>0.4</v>
      </c>
      <c r="X250" s="126">
        <f t="shared" si="106"/>
        <v>0.4</v>
      </c>
      <c r="Y250" s="126">
        <f t="shared" si="106"/>
        <v>0.4</v>
      </c>
      <c r="Z250" s="126">
        <f t="shared" si="106"/>
        <v>0.4</v>
      </c>
      <c r="AA250" s="126">
        <f t="shared" si="106"/>
        <v>0.4</v>
      </c>
      <c r="AB250" s="126">
        <f t="shared" si="106"/>
        <v>0.4</v>
      </c>
      <c r="AC250" s="126">
        <f t="shared" si="106"/>
        <v>0.4</v>
      </c>
      <c r="AD250" s="126">
        <f t="shared" si="106"/>
        <v>0.4</v>
      </c>
      <c r="AE250" s="126">
        <f t="shared" si="106"/>
        <v>0.4</v>
      </c>
      <c r="AF250" s="126">
        <f t="shared" si="106"/>
        <v>0.4</v>
      </c>
      <c r="AG250" s="140">
        <v>1</v>
      </c>
      <c r="AH250" s="47"/>
      <c r="AI250" s="48"/>
      <c r="AK250" s="50"/>
    </row>
    <row r="251" spans="1:37" ht="15.75" thickBot="1" x14ac:dyDescent="0.3">
      <c r="A251" s="116" t="s">
        <v>237</v>
      </c>
      <c r="B251" s="130">
        <f t="shared" si="104"/>
        <v>0.64</v>
      </c>
      <c r="C251" s="130">
        <v>0.64</v>
      </c>
      <c r="D251" s="130">
        <f t="shared" si="105"/>
        <v>0.64</v>
      </c>
      <c r="E251" s="130">
        <f t="shared" si="105"/>
        <v>0.64</v>
      </c>
      <c r="F251" s="130">
        <f t="shared" si="105"/>
        <v>0.64</v>
      </c>
      <c r="G251" s="130">
        <f t="shared" si="105"/>
        <v>0.64</v>
      </c>
      <c r="H251" s="130">
        <f t="shared" si="105"/>
        <v>0.64</v>
      </c>
      <c r="I251" s="130">
        <f t="shared" si="105"/>
        <v>0.64</v>
      </c>
      <c r="J251" s="130">
        <f t="shared" si="105"/>
        <v>0.64</v>
      </c>
      <c r="K251" s="130">
        <f t="shared" si="105"/>
        <v>0.64</v>
      </c>
      <c r="L251" s="130">
        <f t="shared" si="105"/>
        <v>0.64</v>
      </c>
      <c r="M251" s="130">
        <f t="shared" si="105"/>
        <v>0.64</v>
      </c>
      <c r="N251" s="130">
        <f t="shared" si="105"/>
        <v>0.64</v>
      </c>
      <c r="O251" s="130">
        <f t="shared" si="105"/>
        <v>0.64</v>
      </c>
      <c r="P251" s="130">
        <f t="shared" si="105"/>
        <v>0.64</v>
      </c>
      <c r="Q251" s="130">
        <f t="shared" si="105"/>
        <v>0.64</v>
      </c>
      <c r="R251" s="130">
        <f t="shared" si="105"/>
        <v>0.64</v>
      </c>
      <c r="S251" s="130">
        <f t="shared" si="105"/>
        <v>0.64</v>
      </c>
      <c r="T251" s="130">
        <f t="shared" si="106"/>
        <v>0.64</v>
      </c>
      <c r="U251" s="130">
        <f t="shared" si="106"/>
        <v>0.64</v>
      </c>
      <c r="V251" s="130">
        <f t="shared" si="106"/>
        <v>0.64</v>
      </c>
      <c r="W251" s="130">
        <f t="shared" si="106"/>
        <v>0.64</v>
      </c>
      <c r="X251" s="130">
        <f t="shared" si="106"/>
        <v>0.64</v>
      </c>
      <c r="Y251" s="130">
        <f t="shared" si="106"/>
        <v>0.64</v>
      </c>
      <c r="Z251" s="130">
        <f t="shared" si="106"/>
        <v>0.64</v>
      </c>
      <c r="AA251" s="130">
        <f t="shared" si="106"/>
        <v>0.64</v>
      </c>
      <c r="AB251" s="130">
        <f t="shared" si="106"/>
        <v>0.64</v>
      </c>
      <c r="AC251" s="130">
        <f t="shared" si="106"/>
        <v>0.64</v>
      </c>
      <c r="AD251" s="130">
        <f t="shared" si="106"/>
        <v>0.64</v>
      </c>
      <c r="AE251" s="130">
        <f t="shared" si="106"/>
        <v>0.64</v>
      </c>
      <c r="AF251" s="130">
        <f t="shared" si="106"/>
        <v>0.64</v>
      </c>
      <c r="AG251" s="141">
        <v>0.66</v>
      </c>
      <c r="AH251" s="47"/>
      <c r="AI251" s="48"/>
    </row>
    <row r="252" spans="1:37" ht="15.75" thickBot="1" x14ac:dyDescent="0.3">
      <c r="A252" s="142" t="s">
        <v>75</v>
      </c>
      <c r="B252" s="134">
        <f t="shared" ref="B252:AG252" si="107">SUM(B246:B251)</f>
        <v>3.54</v>
      </c>
      <c r="C252" s="134">
        <f t="shared" si="107"/>
        <v>3.54</v>
      </c>
      <c r="D252" s="134">
        <f t="shared" si="107"/>
        <v>3.54</v>
      </c>
      <c r="E252" s="134">
        <f t="shared" si="107"/>
        <v>3.54</v>
      </c>
      <c r="F252" s="134">
        <f t="shared" si="107"/>
        <v>3.54</v>
      </c>
      <c r="G252" s="134">
        <f t="shared" si="107"/>
        <v>3.54</v>
      </c>
      <c r="H252" s="134">
        <f t="shared" si="107"/>
        <v>3.54</v>
      </c>
      <c r="I252" s="134">
        <f t="shared" si="107"/>
        <v>3.54</v>
      </c>
      <c r="J252" s="134">
        <f t="shared" si="107"/>
        <v>3.54</v>
      </c>
      <c r="K252" s="134">
        <f t="shared" si="107"/>
        <v>3.54</v>
      </c>
      <c r="L252" s="134">
        <f t="shared" si="107"/>
        <v>3.54</v>
      </c>
      <c r="M252" s="134">
        <f t="shared" si="107"/>
        <v>3.54</v>
      </c>
      <c r="N252" s="134">
        <f t="shared" si="107"/>
        <v>3.54</v>
      </c>
      <c r="O252" s="134">
        <f t="shared" si="107"/>
        <v>3.54</v>
      </c>
      <c r="P252" s="134">
        <f t="shared" si="107"/>
        <v>3.54</v>
      </c>
      <c r="Q252" s="134">
        <f t="shared" si="107"/>
        <v>3.54</v>
      </c>
      <c r="R252" s="134">
        <f t="shared" si="107"/>
        <v>3.54</v>
      </c>
      <c r="S252" s="134">
        <f t="shared" si="107"/>
        <v>3.54</v>
      </c>
      <c r="T252" s="134">
        <f t="shared" si="107"/>
        <v>3.54</v>
      </c>
      <c r="U252" s="134">
        <f t="shared" si="107"/>
        <v>3.54</v>
      </c>
      <c r="V252" s="134">
        <f t="shared" si="107"/>
        <v>3.54</v>
      </c>
      <c r="W252" s="134">
        <f t="shared" si="107"/>
        <v>3.54</v>
      </c>
      <c r="X252" s="134">
        <f t="shared" si="107"/>
        <v>3.54</v>
      </c>
      <c r="Y252" s="134">
        <f t="shared" si="107"/>
        <v>3.54</v>
      </c>
      <c r="Z252" s="134">
        <f t="shared" si="107"/>
        <v>3.54</v>
      </c>
      <c r="AA252" s="134">
        <f t="shared" si="107"/>
        <v>3.54</v>
      </c>
      <c r="AB252" s="134">
        <f t="shared" si="107"/>
        <v>3.54</v>
      </c>
      <c r="AC252" s="134">
        <f t="shared" si="107"/>
        <v>3.54</v>
      </c>
      <c r="AD252" s="134">
        <f t="shared" si="107"/>
        <v>3.54</v>
      </c>
      <c r="AE252" s="134">
        <f t="shared" si="107"/>
        <v>3.54</v>
      </c>
      <c r="AF252" s="134">
        <f t="shared" si="107"/>
        <v>3.54</v>
      </c>
      <c r="AG252" s="143">
        <f t="shared" si="107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37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54" t="s">
        <v>243</v>
      </c>
      <c r="B256" s="155">
        <f>MAX(G99:N99)</f>
        <v>1814.68</v>
      </c>
      <c r="C256" s="156">
        <f>INDEX(G9:N9,1,MATCH(MAX(G99:N99),G99:N99,0))</f>
        <v>0.3125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50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157" t="str">
        <f ca="1">MID(CELL("filename",C7),FIND("]",CELL("filename",C7))+1,600)</f>
        <v>9</v>
      </c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50" x14ac:dyDescent="0.25">
      <c r="A258" s="257" t="s">
        <v>244</v>
      </c>
      <c r="B258" s="257"/>
      <c r="C258" s="43"/>
      <c r="D258" s="157" t="str">
        <f ca="1">"Pie Chart of Daily Peak Demand(Inclusive of Export) of Nepal ("&amp;A4&amp;" "&amp;B4&amp;")"</f>
        <v>Pie Chart of Daily Peak Demand(Inclusive of Export) of Nepal (Nepali Date: 2080/10/9)</v>
      </c>
      <c r="E258" s="43"/>
      <c r="F258" s="43"/>
      <c r="G258" s="157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157" t="str">
        <f ca="1">"Daily Load Curve(Excluding of Export) of Nepal ("&amp;A4&amp;" "&amp;B4&amp;")"</f>
        <v>Daily Load Curve(Excluding of Export) of Nepal (Nepali Date: 2080/10/9)</v>
      </c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50" ht="12.75" customHeight="1" thickBot="1" x14ac:dyDescent="0.3">
      <c r="A259" s="158" t="s">
        <v>7</v>
      </c>
      <c r="B259" s="159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50" ht="15.75" thickTop="1" x14ac:dyDescent="0.25">
      <c r="A260" s="158" t="s">
        <v>245</v>
      </c>
      <c r="B260" s="15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160" t="s">
        <v>246</v>
      </c>
      <c r="T260" s="161">
        <v>0</v>
      </c>
      <c r="U260" s="162">
        <v>4.1666666666666664E-2</v>
      </c>
      <c r="V260" s="163">
        <v>8.3333333333333301E-2</v>
      </c>
      <c r="W260" s="163">
        <v>0.125</v>
      </c>
      <c r="X260" s="163">
        <v>0.16666666666666699</v>
      </c>
      <c r="Y260" s="163">
        <v>0.20833333333333301</v>
      </c>
      <c r="Z260" s="163">
        <v>0.22916666666666666</v>
      </c>
      <c r="AA260" s="163">
        <v>0.25</v>
      </c>
      <c r="AB260" s="163">
        <v>0.27083333333333331</v>
      </c>
      <c r="AC260" s="163">
        <v>0.29166666666666669</v>
      </c>
      <c r="AD260" s="163">
        <v>0.3125</v>
      </c>
      <c r="AE260" s="164">
        <v>0.33333333333333331</v>
      </c>
      <c r="AF260" s="164">
        <v>0.375</v>
      </c>
      <c r="AG260" s="164">
        <v>0.41666666666666702</v>
      </c>
      <c r="AH260" s="164">
        <v>0.45833333333333298</v>
      </c>
      <c r="AI260" s="164">
        <v>0.5</v>
      </c>
      <c r="AJ260" s="164">
        <v>0.54166666666666696</v>
      </c>
      <c r="AK260" s="164">
        <v>0.58333333333333304</v>
      </c>
      <c r="AL260" s="164">
        <v>0.625</v>
      </c>
      <c r="AM260" s="164">
        <v>0.66666666666666696</v>
      </c>
      <c r="AN260" s="164">
        <v>0.70833333333333304</v>
      </c>
      <c r="AO260" s="164">
        <v>0.72916666666666663</v>
      </c>
      <c r="AP260" s="164">
        <v>0.75</v>
      </c>
      <c r="AQ260" s="164">
        <v>0.77083333333333337</v>
      </c>
      <c r="AR260" s="164">
        <v>0.79166666666666663</v>
      </c>
      <c r="AS260" s="164">
        <v>0.8125</v>
      </c>
      <c r="AT260" s="163">
        <v>0.83333333333333337</v>
      </c>
      <c r="AU260" s="163">
        <v>0.85416666666666663</v>
      </c>
      <c r="AV260" s="163">
        <v>0.875</v>
      </c>
      <c r="AW260" s="163">
        <v>0.91666666666666696</v>
      </c>
      <c r="AX260" s="163">
        <v>0.95833333333333304</v>
      </c>
    </row>
    <row r="261" spans="1:50" x14ac:dyDescent="0.25">
      <c r="A261" s="158" t="s">
        <v>247</v>
      </c>
      <c r="B261" s="15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 t="s">
        <v>248</v>
      </c>
      <c r="T261" s="165">
        <f t="shared" ref="T261:AX261" si="108">B99</f>
        <v>1176.3399999999999</v>
      </c>
      <c r="U261" s="165">
        <f t="shared" si="108"/>
        <v>1171.74</v>
      </c>
      <c r="V261" s="165">
        <f t="shared" si="108"/>
        <v>1143.1400000000001</v>
      </c>
      <c r="W261" s="165">
        <f t="shared" si="108"/>
        <v>1125.54</v>
      </c>
      <c r="X261" s="165">
        <f t="shared" si="108"/>
        <v>1161.8400000000001</v>
      </c>
      <c r="Y261" s="165">
        <f t="shared" si="108"/>
        <v>1227.7400000000002</v>
      </c>
      <c r="Z261" s="165">
        <f t="shared" si="108"/>
        <v>1289.44</v>
      </c>
      <c r="AA261" s="165">
        <f t="shared" si="108"/>
        <v>1399.14</v>
      </c>
      <c r="AB261" s="165">
        <f t="shared" si="108"/>
        <v>1495.7400000000002</v>
      </c>
      <c r="AC261" s="165">
        <f t="shared" si="108"/>
        <v>1665.44</v>
      </c>
      <c r="AD261" s="165">
        <f t="shared" si="108"/>
        <v>1814.68</v>
      </c>
      <c r="AE261" s="165">
        <f t="shared" si="108"/>
        <v>1795.7400000000002</v>
      </c>
      <c r="AF261" s="165">
        <f t="shared" si="108"/>
        <v>1712.9400000000003</v>
      </c>
      <c r="AG261" s="165">
        <f t="shared" si="108"/>
        <v>1662.1400000000003</v>
      </c>
      <c r="AH261" s="165">
        <f t="shared" si="108"/>
        <v>1598.64</v>
      </c>
      <c r="AI261" s="165">
        <f t="shared" si="108"/>
        <v>1598.14</v>
      </c>
      <c r="AJ261" s="165">
        <f t="shared" si="108"/>
        <v>1550.24</v>
      </c>
      <c r="AK261" s="165">
        <f t="shared" si="108"/>
        <v>1561.8400000000001</v>
      </c>
      <c r="AL261" s="165">
        <f t="shared" si="108"/>
        <v>1579.04</v>
      </c>
      <c r="AM261" s="165">
        <f t="shared" si="108"/>
        <v>1624.6399999999999</v>
      </c>
      <c r="AN261" s="165">
        <f t="shared" si="108"/>
        <v>1518.44</v>
      </c>
      <c r="AO261" s="165">
        <f t="shared" si="108"/>
        <v>1666.8400000000001</v>
      </c>
      <c r="AP261" s="165">
        <f t="shared" si="108"/>
        <v>1864.8400000000001</v>
      </c>
      <c r="AQ261" s="165">
        <f t="shared" si="108"/>
        <v>1952.04</v>
      </c>
      <c r="AR261" s="165">
        <f t="shared" si="108"/>
        <v>1899.5400000000002</v>
      </c>
      <c r="AS261" s="165">
        <f t="shared" si="108"/>
        <v>1886.2400000000002</v>
      </c>
      <c r="AT261" s="165">
        <f t="shared" si="108"/>
        <v>1829.1000000000001</v>
      </c>
      <c r="AU261" s="165">
        <f t="shared" si="108"/>
        <v>1741.99</v>
      </c>
      <c r="AV261" s="165">
        <f t="shared" si="108"/>
        <v>1604.14</v>
      </c>
      <c r="AW261" s="165">
        <f t="shared" si="108"/>
        <v>1415.79</v>
      </c>
      <c r="AX261" s="165">
        <f t="shared" si="108"/>
        <v>1281.5900000000001</v>
      </c>
    </row>
    <row r="262" spans="1:50" x14ac:dyDescent="0.25">
      <c r="A262" s="158" t="s">
        <v>249</v>
      </c>
      <c r="B262" s="15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50" x14ac:dyDescent="0.25">
      <c r="A263" s="158" t="s">
        <v>250</v>
      </c>
      <c r="B263" s="15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50" x14ac:dyDescent="0.25">
      <c r="A264" s="158" t="s">
        <v>251</v>
      </c>
      <c r="B264" s="15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50" x14ac:dyDescent="0.25">
      <c r="A265" s="158" t="s">
        <v>252</v>
      </c>
      <c r="B265" s="166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50" x14ac:dyDescent="0.25">
      <c r="A266" s="158" t="s">
        <v>253</v>
      </c>
      <c r="B266" s="15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50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50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50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50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50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50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1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1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1:34" x14ac:dyDescent="0.25">
      <c r="A282" s="167" t="s">
        <v>238</v>
      </c>
      <c r="B282" s="168">
        <f t="shared" ref="B282:AE282" si="109">C251</f>
        <v>0.64</v>
      </c>
      <c r="C282" s="168">
        <f t="shared" si="109"/>
        <v>0.64</v>
      </c>
      <c r="D282" s="168">
        <f t="shared" si="109"/>
        <v>0.64</v>
      </c>
      <c r="E282" s="168">
        <f t="shared" si="109"/>
        <v>0.64</v>
      </c>
      <c r="F282" s="168">
        <f t="shared" si="109"/>
        <v>0.64</v>
      </c>
      <c r="G282" s="168">
        <f t="shared" si="109"/>
        <v>0.64</v>
      </c>
      <c r="H282" s="168">
        <f t="shared" si="109"/>
        <v>0.64</v>
      </c>
      <c r="I282" s="168">
        <f t="shared" si="109"/>
        <v>0.64</v>
      </c>
      <c r="J282" s="168">
        <f t="shared" si="109"/>
        <v>0.64</v>
      </c>
      <c r="K282" s="168">
        <f t="shared" si="109"/>
        <v>0.64</v>
      </c>
      <c r="L282" s="168">
        <f t="shared" si="109"/>
        <v>0.64</v>
      </c>
      <c r="M282" s="168">
        <f t="shared" si="109"/>
        <v>0.64</v>
      </c>
      <c r="N282" s="168">
        <f t="shared" si="109"/>
        <v>0.64</v>
      </c>
      <c r="O282" s="168">
        <f t="shared" si="109"/>
        <v>0.64</v>
      </c>
      <c r="P282" s="168">
        <f t="shared" si="109"/>
        <v>0.64</v>
      </c>
      <c r="Q282" s="168">
        <f t="shared" si="109"/>
        <v>0.64</v>
      </c>
      <c r="R282" s="168">
        <f t="shared" si="109"/>
        <v>0.64</v>
      </c>
      <c r="S282" s="168">
        <f t="shared" si="109"/>
        <v>0.64</v>
      </c>
      <c r="T282" s="168">
        <f t="shared" si="109"/>
        <v>0.64</v>
      </c>
      <c r="U282" s="168">
        <f t="shared" si="109"/>
        <v>0.64</v>
      </c>
      <c r="V282" s="168">
        <f t="shared" si="109"/>
        <v>0.64</v>
      </c>
      <c r="W282" s="168">
        <f t="shared" si="109"/>
        <v>0.64</v>
      </c>
      <c r="X282" s="168">
        <f t="shared" si="109"/>
        <v>0.64</v>
      </c>
      <c r="Y282" s="168">
        <f t="shared" si="109"/>
        <v>0.64</v>
      </c>
      <c r="Z282" s="168">
        <f t="shared" si="109"/>
        <v>0.64</v>
      </c>
      <c r="AA282" s="168">
        <f t="shared" si="109"/>
        <v>0.64</v>
      </c>
      <c r="AB282" s="168">
        <f t="shared" si="109"/>
        <v>0.64</v>
      </c>
      <c r="AC282" s="168">
        <f t="shared" si="109"/>
        <v>0.64</v>
      </c>
      <c r="AD282" s="168">
        <f t="shared" si="109"/>
        <v>0.64</v>
      </c>
      <c r="AE282" s="168">
        <f t="shared" si="109"/>
        <v>0.64</v>
      </c>
      <c r="AF282" s="168">
        <f>B251</f>
        <v>0.64</v>
      </c>
      <c r="AG282" s="43"/>
      <c r="AH282" s="43"/>
    </row>
    <row r="283" spans="1:34" x14ac:dyDescent="0.25">
      <c r="A283" s="169" t="e">
        <f>#REF!</f>
        <v>#REF!</v>
      </c>
      <c r="B283" s="169" t="e">
        <f>IF(#REF!&lt;100,"",#REF!-520)</f>
        <v>#REF!</v>
      </c>
      <c r="C283" s="169" t="e">
        <f>IF(#REF!&lt;100,"",#REF!-520)</f>
        <v>#REF!</v>
      </c>
      <c r="D283" s="169" t="e">
        <f>IF(#REF!&lt;100,"",#REF!-520)</f>
        <v>#REF!</v>
      </c>
      <c r="E283" s="169" t="e">
        <f>IF(#REF!&lt;100,"",#REF!-520)</f>
        <v>#REF!</v>
      </c>
      <c r="F283" s="169" t="e">
        <f>IF(#REF!&lt;100,"",#REF!-520)</f>
        <v>#REF!</v>
      </c>
      <c r="G283" s="169" t="e">
        <f>IF(#REF!&lt;100,"",#REF!-520)</f>
        <v>#REF!</v>
      </c>
      <c r="H283" s="169" t="e">
        <f>IF(#REF!&lt;100,"",#REF!-520)</f>
        <v>#REF!</v>
      </c>
      <c r="I283" s="169" t="e">
        <f>IF(#REF!&lt;100,"",#REF!-520)</f>
        <v>#REF!</v>
      </c>
      <c r="J283" s="169" t="e">
        <f>IF(#REF!&lt;100,"",#REF!-520)</f>
        <v>#REF!</v>
      </c>
      <c r="K283" s="169" t="e">
        <f>IF(#REF!&lt;100,"",#REF!-520)</f>
        <v>#REF!</v>
      </c>
      <c r="L283" s="169" t="e">
        <f>IF(#REF!&lt;100,"",#REF!-520)</f>
        <v>#REF!</v>
      </c>
      <c r="M283" s="169" t="e">
        <f>IF(#REF!&lt;100,"",#REF!-520)</f>
        <v>#REF!</v>
      </c>
      <c r="N283" s="169" t="e">
        <f>IF(#REF!&lt;100,"",#REF!-520)</f>
        <v>#REF!</v>
      </c>
      <c r="O283" s="169" t="e">
        <f>IF(#REF!&lt;100,"",#REF!-520)</f>
        <v>#REF!</v>
      </c>
      <c r="P283" s="169" t="e">
        <f>IF(#REF!&lt;100,"",#REF!-520)</f>
        <v>#REF!</v>
      </c>
      <c r="Q283" s="169" t="e">
        <f>IF(#REF!&lt;100,"",#REF!-520)</f>
        <v>#REF!</v>
      </c>
      <c r="R283" s="169" t="e">
        <f>IF(#REF!&lt;100,"",#REF!-520)</f>
        <v>#REF!</v>
      </c>
      <c r="S283" s="169" t="e">
        <f>IF(#REF!&lt;100,"",#REF!-520)</f>
        <v>#REF!</v>
      </c>
      <c r="T283" s="169" t="e">
        <f>IF(#REF!&lt;100,"",#REF!-520)</f>
        <v>#REF!</v>
      </c>
      <c r="U283" s="169" t="e">
        <f>IF(#REF!&lt;100,"",#REF!-520)</f>
        <v>#REF!</v>
      </c>
      <c r="V283" s="169" t="e">
        <f>IF(#REF!&lt;100,"",#REF!-520)</f>
        <v>#REF!</v>
      </c>
      <c r="W283" s="169" t="e">
        <f>IF(#REF!&lt;100,"",#REF!-520)</f>
        <v>#REF!</v>
      </c>
      <c r="X283" s="169" t="e">
        <f>IF(#REF!&lt;100,"",#REF!-520)</f>
        <v>#REF!</v>
      </c>
      <c r="Y283" s="169" t="e">
        <f>IF(#REF!&lt;100,"",#REF!-520)</f>
        <v>#REF!</v>
      </c>
      <c r="Z283" s="169" t="e">
        <f>IF(#REF!&lt;100,"",#REF!-520)</f>
        <v>#REF!</v>
      </c>
      <c r="AA283" s="169" t="e">
        <f>IF(#REF!&lt;100,"",#REF!-520)</f>
        <v>#REF!</v>
      </c>
      <c r="AB283" s="169" t="e">
        <f>IF(#REF!&lt;100,"",#REF!-520)</f>
        <v>#REF!</v>
      </c>
      <c r="AC283" s="169" t="e">
        <f>IF(#REF!&lt;100,"",#REF!-520)</f>
        <v>#REF!</v>
      </c>
      <c r="AD283" s="169" t="e">
        <f>IF(#REF!&lt;100,"",#REF!-520)</f>
        <v>#REF!</v>
      </c>
      <c r="AE283" s="169" t="e">
        <f>IF(#REF!&lt;100,"",#REF!-520)</f>
        <v>#REF!</v>
      </c>
      <c r="AF283" s="169" t="e">
        <f>IF(#REF!&lt;100,"",#REF!-520)</f>
        <v>#REF!</v>
      </c>
      <c r="AG283" s="43"/>
      <c r="AH283" s="43"/>
    </row>
    <row r="284" spans="1:34" x14ac:dyDescent="0.25">
      <c r="A284" s="169" t="e">
        <f>#REF!</f>
        <v>#REF!</v>
      </c>
      <c r="B284" s="169" t="e">
        <f>IF(#REF!&lt;100,"",#REF!-620)</f>
        <v>#REF!</v>
      </c>
      <c r="C284" s="169" t="e">
        <f>IF(#REF!&lt;100,"",#REF!-620)</f>
        <v>#REF!</v>
      </c>
      <c r="D284" s="169" t="e">
        <f>IF(#REF!&lt;100,"",#REF!-620)</f>
        <v>#REF!</v>
      </c>
      <c r="E284" s="169" t="e">
        <f>IF(#REF!&lt;100,"",#REF!-620)</f>
        <v>#REF!</v>
      </c>
      <c r="F284" s="169" t="e">
        <f>IF(#REF!&lt;100,"",#REF!-620)</f>
        <v>#REF!</v>
      </c>
      <c r="G284" s="169" t="e">
        <f>IF(#REF!&lt;100,"",#REF!-620)</f>
        <v>#REF!</v>
      </c>
      <c r="H284" s="169" t="e">
        <f>IF(#REF!&lt;100,"",#REF!-620)</f>
        <v>#REF!</v>
      </c>
      <c r="I284" s="169" t="e">
        <f>IF(#REF!&lt;100,"",#REF!-620)</f>
        <v>#REF!</v>
      </c>
      <c r="J284" s="169" t="e">
        <f>IF(#REF!&lt;100,"",#REF!-620)</f>
        <v>#REF!</v>
      </c>
      <c r="K284" s="169" t="e">
        <f>IF(#REF!&lt;100,"",#REF!-620)</f>
        <v>#REF!</v>
      </c>
      <c r="L284" s="169" t="e">
        <f>IF(#REF!&lt;100,"",#REF!-620)</f>
        <v>#REF!</v>
      </c>
      <c r="M284" s="169" t="e">
        <f>IF(#REF!&lt;100,"",#REF!-620)</f>
        <v>#REF!</v>
      </c>
      <c r="N284" s="169" t="e">
        <f>IF(#REF!&lt;100,"",#REF!-620)</f>
        <v>#REF!</v>
      </c>
      <c r="O284" s="169" t="e">
        <f>IF(#REF!&lt;100,"",#REF!-620)</f>
        <v>#REF!</v>
      </c>
      <c r="P284" s="169" t="e">
        <f>IF(#REF!&lt;100,"",#REF!-620)</f>
        <v>#REF!</v>
      </c>
      <c r="Q284" s="169" t="e">
        <f>IF(#REF!&lt;100,"",#REF!-620)</f>
        <v>#REF!</v>
      </c>
      <c r="R284" s="169" t="e">
        <f>IF(#REF!&lt;100,"",#REF!-620)</f>
        <v>#REF!</v>
      </c>
      <c r="S284" s="169" t="e">
        <f>IF(#REF!&lt;100,"",#REF!-620)</f>
        <v>#REF!</v>
      </c>
      <c r="T284" s="169" t="e">
        <f>IF(#REF!&lt;100,"",#REF!-620)</f>
        <v>#REF!</v>
      </c>
      <c r="U284" s="169" t="e">
        <f>IF(#REF!&lt;100,"",#REF!-620)</f>
        <v>#REF!</v>
      </c>
      <c r="V284" s="169" t="e">
        <f>IF(#REF!&lt;100,"",#REF!-620)</f>
        <v>#REF!</v>
      </c>
      <c r="W284" s="169" t="e">
        <f>IF(#REF!&lt;100,"",#REF!-620)</f>
        <v>#REF!</v>
      </c>
      <c r="X284" s="169" t="e">
        <f>IF(#REF!&lt;100,"",#REF!-620)</f>
        <v>#REF!</v>
      </c>
      <c r="Y284" s="169" t="e">
        <f>IF(#REF!&lt;100,"",#REF!-620)</f>
        <v>#REF!</v>
      </c>
      <c r="Z284" s="169" t="e">
        <f>IF(#REF!&lt;100,"",#REF!-620)</f>
        <v>#REF!</v>
      </c>
      <c r="AA284" s="169" t="e">
        <f>IF(#REF!&lt;100,"",#REF!-620)</f>
        <v>#REF!</v>
      </c>
      <c r="AB284" s="169" t="e">
        <f>IF(#REF!&lt;100,"",#REF!-620)</f>
        <v>#REF!</v>
      </c>
      <c r="AC284" s="169" t="e">
        <f>IF(#REF!&lt;100,"",#REF!-620)</f>
        <v>#REF!</v>
      </c>
      <c r="AD284" s="169" t="e">
        <f>IF(#REF!&lt;100,"",#REF!-620)</f>
        <v>#REF!</v>
      </c>
      <c r="AE284" s="169" t="e">
        <f>IF(#REF!&lt;100,"",#REF!-620)</f>
        <v>#REF!</v>
      </c>
      <c r="AF284" s="169" t="e">
        <f>IF(#REF!&lt;100,"",#REF!-620)</f>
        <v>#REF!</v>
      </c>
      <c r="AG284" s="43"/>
      <c r="AH284" s="43"/>
    </row>
    <row r="285" spans="1:34" x14ac:dyDescent="0.25">
      <c r="A285" s="169" t="e">
        <f>#REF!</f>
        <v>#REF!</v>
      </c>
      <c r="B285" s="169" t="e">
        <f>IF(#REF!&lt;100,"",#REF!-330)</f>
        <v>#REF!</v>
      </c>
      <c r="C285" s="169" t="e">
        <f>IF(#REF!&lt;100,"",#REF!-330)</f>
        <v>#REF!</v>
      </c>
      <c r="D285" s="169" t="e">
        <f>IF(#REF!&lt;100,"",#REF!-330)</f>
        <v>#REF!</v>
      </c>
      <c r="E285" s="169" t="e">
        <f>IF(#REF!&lt;100,"",#REF!-330)</f>
        <v>#REF!</v>
      </c>
      <c r="F285" s="169" t="e">
        <f>IF(#REF!&lt;100,"",#REF!-330)</f>
        <v>#REF!</v>
      </c>
      <c r="G285" s="169" t="e">
        <f>IF(#REF!&lt;100,"",#REF!-330)</f>
        <v>#REF!</v>
      </c>
      <c r="H285" s="169" t="e">
        <f>IF(#REF!&lt;100,"",#REF!-330)</f>
        <v>#REF!</v>
      </c>
      <c r="I285" s="169" t="e">
        <f>IF(#REF!&lt;100,"",#REF!-330)</f>
        <v>#REF!</v>
      </c>
      <c r="J285" s="169" t="e">
        <f>IF(#REF!&lt;100,"",#REF!-330)</f>
        <v>#REF!</v>
      </c>
      <c r="K285" s="169" t="e">
        <f>IF(#REF!&lt;100,"",#REF!-330)</f>
        <v>#REF!</v>
      </c>
      <c r="L285" s="169" t="e">
        <f>IF(#REF!&lt;100,"",#REF!-330)</f>
        <v>#REF!</v>
      </c>
      <c r="M285" s="169" t="e">
        <f>IF(#REF!&lt;100,"",#REF!-330)</f>
        <v>#REF!</v>
      </c>
      <c r="N285" s="169" t="e">
        <f>IF(#REF!&lt;100,"",#REF!-330)</f>
        <v>#REF!</v>
      </c>
      <c r="O285" s="169" t="e">
        <f>IF(#REF!&lt;100,"",#REF!-330)</f>
        <v>#REF!</v>
      </c>
      <c r="P285" s="169" t="e">
        <f>IF(#REF!&lt;100,"",#REF!-330)</f>
        <v>#REF!</v>
      </c>
      <c r="Q285" s="169" t="e">
        <f>IF(#REF!&lt;100,"",#REF!-330)</f>
        <v>#REF!</v>
      </c>
      <c r="R285" s="169" t="e">
        <f>IF(#REF!&lt;100,"",#REF!-330)</f>
        <v>#REF!</v>
      </c>
      <c r="S285" s="169" t="e">
        <f>IF(#REF!&lt;100,"",#REF!-330)</f>
        <v>#REF!</v>
      </c>
      <c r="T285" s="169" t="e">
        <f>IF(#REF!&lt;100,"",#REF!-330)</f>
        <v>#REF!</v>
      </c>
      <c r="U285" s="169" t="e">
        <f>IF(#REF!&lt;100,"",#REF!-330)</f>
        <v>#REF!</v>
      </c>
      <c r="V285" s="169" t="e">
        <f>IF(#REF!&lt;100,"",#REF!-330)</f>
        <v>#REF!</v>
      </c>
      <c r="W285" s="169" t="e">
        <f>IF(#REF!&lt;100,"",#REF!-330)</f>
        <v>#REF!</v>
      </c>
      <c r="X285" s="169" t="e">
        <f>IF(#REF!&lt;100,"",#REF!-330)</f>
        <v>#REF!</v>
      </c>
      <c r="Y285" s="169" t="e">
        <f>IF(#REF!&lt;100,"",#REF!-330)</f>
        <v>#REF!</v>
      </c>
      <c r="Z285" s="169" t="e">
        <f>IF(#REF!&lt;100,"",#REF!-330)</f>
        <v>#REF!</v>
      </c>
      <c r="AA285" s="169" t="e">
        <f>IF(#REF!&lt;100,"",#REF!-330)</f>
        <v>#REF!</v>
      </c>
      <c r="AB285" s="169" t="e">
        <f>IF(#REF!&lt;100,"",#REF!-330)</f>
        <v>#REF!</v>
      </c>
      <c r="AC285" s="169" t="e">
        <f>IF(#REF!&lt;100,"",#REF!-330)</f>
        <v>#REF!</v>
      </c>
      <c r="AD285" s="169" t="e">
        <f>IF(#REF!&lt;100,"",#REF!-330)</f>
        <v>#REF!</v>
      </c>
      <c r="AE285" s="169" t="e">
        <f>IF(#REF!&lt;100,"",#REF!-330)</f>
        <v>#REF!</v>
      </c>
      <c r="AF285" s="169" t="e">
        <f>IF(#REF!&lt;100,"",#REF!-330)</f>
        <v>#REF!</v>
      </c>
      <c r="AG285" s="43"/>
      <c r="AH285" s="43"/>
    </row>
    <row r="286" spans="1:34" x14ac:dyDescent="0.25">
      <c r="A286" s="169" t="e">
        <f>#REF!</f>
        <v>#REF!</v>
      </c>
      <c r="B286" s="169" t="e">
        <f>IF(#REF!&lt;100,"",#REF!-1500)</f>
        <v>#REF!</v>
      </c>
      <c r="C286" s="169" t="e">
        <f>IF(#REF!&lt;100,"",#REF!-1500)</f>
        <v>#REF!</v>
      </c>
      <c r="D286" s="169" t="e">
        <f>IF(#REF!&lt;100,"",#REF!-1500)</f>
        <v>#REF!</v>
      </c>
      <c r="E286" s="169" t="e">
        <f>IF(#REF!&lt;100,"",#REF!-1500)</f>
        <v>#REF!</v>
      </c>
      <c r="F286" s="169" t="e">
        <f>IF(#REF!&lt;100,"",#REF!-1500)</f>
        <v>#REF!</v>
      </c>
      <c r="G286" s="169" t="e">
        <f>IF(#REF!&lt;100,"",#REF!-1500)</f>
        <v>#REF!</v>
      </c>
      <c r="H286" s="169" t="e">
        <f>IF(#REF!&lt;100,"",#REF!-1500)</f>
        <v>#REF!</v>
      </c>
      <c r="I286" s="169" t="e">
        <f>IF(#REF!&lt;100,"",#REF!-1500)</f>
        <v>#REF!</v>
      </c>
      <c r="J286" s="169" t="e">
        <f>IF(#REF!&lt;100,"",#REF!-1500)</f>
        <v>#REF!</v>
      </c>
      <c r="K286" s="169" t="e">
        <f>IF(#REF!&lt;100,"",#REF!-1500)</f>
        <v>#REF!</v>
      </c>
      <c r="L286" s="169" t="e">
        <f>IF(#REF!&lt;100,"",#REF!-1500)</f>
        <v>#REF!</v>
      </c>
      <c r="M286" s="169" t="e">
        <f>IF(#REF!&lt;100,"",#REF!-1500)</f>
        <v>#REF!</v>
      </c>
      <c r="N286" s="169" t="e">
        <f>IF(#REF!&lt;100,"",#REF!-1500)</f>
        <v>#REF!</v>
      </c>
      <c r="O286" s="169" t="e">
        <f>IF(#REF!&lt;100,"",#REF!-1500)</f>
        <v>#REF!</v>
      </c>
      <c r="P286" s="169" t="e">
        <f>IF(#REF!&lt;100,"",#REF!-1500)</f>
        <v>#REF!</v>
      </c>
      <c r="Q286" s="169" t="e">
        <f>IF(#REF!&lt;100,"",#REF!-1500)</f>
        <v>#REF!</v>
      </c>
      <c r="R286" s="169" t="e">
        <f>IF(#REF!&lt;100,"",#REF!-1500)</f>
        <v>#REF!</v>
      </c>
      <c r="S286" s="169" t="e">
        <f>IF(#REF!&lt;100,"",#REF!-1500)</f>
        <v>#REF!</v>
      </c>
      <c r="T286" s="169" t="e">
        <f>IF(#REF!&lt;100,"",#REF!-1500)</f>
        <v>#REF!</v>
      </c>
      <c r="U286" s="169" t="e">
        <f>IF(#REF!&lt;100,"",#REF!-1500)</f>
        <v>#REF!</v>
      </c>
      <c r="V286" s="169" t="e">
        <f>IF(#REF!&lt;100,"",#REF!-1500)</f>
        <v>#REF!</v>
      </c>
      <c r="W286" s="169" t="e">
        <f>IF(#REF!&lt;100,"",#REF!-1500)</f>
        <v>#REF!</v>
      </c>
      <c r="X286" s="169" t="e">
        <f>IF(#REF!&lt;100,"",#REF!-1500)</f>
        <v>#REF!</v>
      </c>
      <c r="Y286" s="169" t="e">
        <f>IF(#REF!&lt;100,"",#REF!-1500)</f>
        <v>#REF!</v>
      </c>
      <c r="Z286" s="169" t="e">
        <f>IF(#REF!&lt;100,"",#REF!-1500)</f>
        <v>#REF!</v>
      </c>
      <c r="AA286" s="169" t="e">
        <f>IF(#REF!&lt;100,"",#REF!-1500)</f>
        <v>#REF!</v>
      </c>
      <c r="AB286" s="169" t="e">
        <f>IF(#REF!&lt;100,"",#REF!-1500)</f>
        <v>#REF!</v>
      </c>
      <c r="AC286" s="169" t="e">
        <f>IF(#REF!&lt;100,"",#REF!-1500)</f>
        <v>#REF!</v>
      </c>
      <c r="AD286" s="169" t="e">
        <f>IF(#REF!&lt;100,"",#REF!-1500)</f>
        <v>#REF!</v>
      </c>
      <c r="AE286" s="169" t="e">
        <f>IF(#REF!&lt;100,"",#REF!-1500)</f>
        <v>#REF!</v>
      </c>
      <c r="AF286" s="169" t="e">
        <f>IF(#REF!&lt;100,"",#REF!-1500)</f>
        <v>#REF!</v>
      </c>
      <c r="AG286" s="43"/>
      <c r="AH286" s="43"/>
    </row>
    <row r="287" spans="1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1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2:34" x14ac:dyDescent="0.25"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2:34" x14ac:dyDescent="0.25"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2:34" x14ac:dyDescent="0.25"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2:34" x14ac:dyDescent="0.25"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2:34" x14ac:dyDescent="0.25"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2028" priority="1">
      <formula>$AH11=0</formula>
    </cfRule>
  </conditionalFormatting>
  <conditionalFormatting sqref="A132:A253">
    <cfRule type="expression" dxfId="2027" priority="6">
      <formula>$AH132=0</formula>
    </cfRule>
  </conditionalFormatting>
  <conditionalFormatting sqref="B8 M8 S8 AB8">
    <cfRule type="expression" dxfId="2026" priority="116">
      <formula>AND(C$9&gt;=8/24,C$9&lt;14/24)</formula>
    </cfRule>
    <cfRule type="expression" dxfId="2025" priority="115">
      <formula>AND(C$9&gt;=14/24,C$9&lt;20/24)</formula>
    </cfRule>
    <cfRule type="expression" dxfId="2024" priority="117">
      <formula>C$9&lt;8/24</formula>
    </cfRule>
  </conditionalFormatting>
  <conditionalFormatting sqref="B63:I74 J64:J74 J66:O74 P69:X74">
    <cfRule type="expression" dxfId="2023" priority="21">
      <formula>B$9&gt;=20/24</formula>
    </cfRule>
    <cfRule type="expression" dxfId="2022" priority="22">
      <formula>AND(B$9&gt;=14/24,B$9&lt;20/24)</formula>
    </cfRule>
    <cfRule type="expression" dxfId="2021" priority="23">
      <formula>AND(B$9&gt;=8/24,B$9&lt;14/24)</formula>
    </cfRule>
    <cfRule type="expression" dxfId="2020" priority="24">
      <formula>B$9&lt;8/24</formula>
    </cfRule>
  </conditionalFormatting>
  <conditionalFormatting sqref="B11:M54 N12:P54 Q13:X54">
    <cfRule type="expression" dxfId="2019" priority="15">
      <formula>B11&gt;$AG11</formula>
    </cfRule>
  </conditionalFormatting>
  <conditionalFormatting sqref="B53:X54">
    <cfRule type="expression" dxfId="2018" priority="14">
      <formula>B$9&lt;8/24</formula>
    </cfRule>
  </conditionalFormatting>
  <conditionalFormatting sqref="B55:X55">
    <cfRule type="expression" dxfId="2017" priority="35">
      <formula>B55&gt;$AG55</formula>
    </cfRule>
  </conditionalFormatting>
  <conditionalFormatting sqref="B9:AF52">
    <cfRule type="expression" dxfId="2016" priority="29">
      <formula>B$9&lt;8/24</formula>
    </cfRule>
    <cfRule type="expression" dxfId="2015" priority="26">
      <formula>B$9&gt;=20/24</formula>
    </cfRule>
    <cfRule type="expression" dxfId="2014" priority="27">
      <formula>AND(B$9&gt;=14/24,B$9&lt;20/24)</formula>
    </cfRule>
    <cfRule type="expression" dxfId="2013" priority="28">
      <formula>AND(B$9&gt;=8/24,B$9&lt;14/24)</formula>
    </cfRule>
  </conditionalFormatting>
  <conditionalFormatting sqref="B53:AF54">
    <cfRule type="expression" dxfId="2012" priority="11">
      <formula>B$9&gt;=20/24</formula>
    </cfRule>
    <cfRule type="expression" dxfId="2011" priority="12">
      <formula>AND(B$9&gt;=14/24,B$9&lt;20/24)</formula>
    </cfRule>
    <cfRule type="expression" dxfId="2010" priority="13">
      <formula>AND(B$9&gt;=8/24,B$9&lt;14/24)</formula>
    </cfRule>
  </conditionalFormatting>
  <conditionalFormatting sqref="B55:AF57">
    <cfRule type="expression" dxfId="2009" priority="31">
      <formula>B$9&gt;=20/24</formula>
    </cfRule>
    <cfRule type="expression" dxfId="2008" priority="33">
      <formula>AND(B$9&gt;=8/24,B$9&lt;14/24)</formula>
    </cfRule>
    <cfRule type="expression" dxfId="2007" priority="32">
      <formula>AND(B$9&gt;=14/24,B$9&lt;20/24)</formula>
    </cfRule>
  </conditionalFormatting>
  <conditionalFormatting sqref="B56:AF61">
    <cfRule type="expression" dxfId="2006" priority="30">
      <formula>B56&gt;$AG56</formula>
    </cfRule>
  </conditionalFormatting>
  <conditionalFormatting sqref="B59:AF61">
    <cfRule type="expression" dxfId="2005" priority="44">
      <formula>B$9&lt;8/24</formula>
    </cfRule>
    <cfRule type="expression" dxfId="2004" priority="43">
      <formula>AND(B$9&gt;=8/24,B$9&lt;14/24)</formula>
    </cfRule>
    <cfRule type="expression" dxfId="2003" priority="42">
      <formula>AND(B$9&gt;=14/24,B$9&lt;20/24)</formula>
    </cfRule>
    <cfRule type="expression" dxfId="2002" priority="41">
      <formula>B$9&gt;=20/24</formula>
    </cfRule>
  </conditionalFormatting>
  <conditionalFormatting sqref="B63:AF74">
    <cfRule type="expression" dxfId="2001" priority="20">
      <formula>B63&gt;$AG63</formula>
    </cfRule>
  </conditionalFormatting>
  <conditionalFormatting sqref="B77:AF79">
    <cfRule type="expression" dxfId="2000" priority="46">
      <formula>B$9&gt;=20/24</formula>
    </cfRule>
    <cfRule type="expression" dxfId="1999" priority="47">
      <formula>AND(B$9&gt;=14/24,B$9&lt;20/24)</formula>
    </cfRule>
    <cfRule type="expression" dxfId="1998" priority="48">
      <formula>AND(B$9&gt;=8/24,B$9&lt;14/24)</formula>
    </cfRule>
    <cfRule type="expression" dxfId="1997" priority="49">
      <formula>B$9&lt;8/24</formula>
    </cfRule>
    <cfRule type="expression" dxfId="1996" priority="45">
      <formula>B77&gt;$AG77</formula>
    </cfRule>
  </conditionalFormatting>
  <conditionalFormatting sqref="B81:AF99">
    <cfRule type="expression" dxfId="1995" priority="16">
      <formula>B$9&gt;=20/24</formula>
    </cfRule>
    <cfRule type="expression" dxfId="1994" priority="17">
      <formula>AND(B$9&gt;=14/24,B$9&lt;20/24)</formula>
    </cfRule>
    <cfRule type="expression" dxfId="1993" priority="19">
      <formula>B$9&lt;8/24</formula>
    </cfRule>
    <cfRule type="expression" dxfId="1992" priority="18">
      <formula>AND(B$9&gt;=8/24,B$9&lt;14/24)</formula>
    </cfRule>
  </conditionalFormatting>
  <conditionalFormatting sqref="B101:AF117">
    <cfRule type="expression" dxfId="1991" priority="8">
      <formula>AND(B$9&gt;=14/24,B$9&lt;20/24)</formula>
    </cfRule>
    <cfRule type="expression" dxfId="1990" priority="10">
      <formula>B$9&lt;8/24</formula>
    </cfRule>
    <cfRule type="expression" dxfId="1989" priority="9">
      <formula>AND(B$9&gt;=8/24,B$9&lt;14/24)</formula>
    </cfRule>
    <cfRule type="expression" dxfId="1988" priority="7">
      <formula>B$9&gt;=20/24</formula>
    </cfRule>
  </conditionalFormatting>
  <conditionalFormatting sqref="B119:AF137">
    <cfRule type="expression" dxfId="1987" priority="2">
      <formula>B$9&gt;=20/24</formula>
    </cfRule>
    <cfRule type="expression" dxfId="1986" priority="3">
      <formula>AND(B$9&gt;=14/24,B$9&lt;20/24)</formula>
    </cfRule>
    <cfRule type="expression" dxfId="1985" priority="4">
      <formula>AND(B$9&gt;=8/24,B$9&lt;14/24)</formula>
    </cfRule>
    <cfRule type="expression" dxfId="1984" priority="5">
      <formula>B$9&lt;8/24</formula>
    </cfRule>
  </conditionalFormatting>
  <conditionalFormatting sqref="B244:AF244 B246:B252 D246:AF252 U260:AF260">
    <cfRule type="expression" dxfId="1983" priority="111">
      <formula>B$9&lt;8/24</formula>
    </cfRule>
    <cfRule type="expression" dxfId="1982" priority="110">
      <formula>AND(B$9&gt;=8/24,B$9&lt;14/24)</formula>
    </cfRule>
    <cfRule type="expression" dxfId="1981" priority="109">
      <formula>AND(B$9&gt;=14/24,B$9&lt;20/24)</formula>
    </cfRule>
    <cfRule type="expression" dxfId="1980" priority="108">
      <formula>B$9&gt;=20/24</formula>
    </cfRule>
  </conditionalFormatting>
  <conditionalFormatting sqref="B62:AG62">
    <cfRule type="expression" dxfId="1979" priority="50">
      <formula>B62&gt;$AG62</formula>
    </cfRule>
    <cfRule type="expression" dxfId="1978" priority="51">
      <formula>B$9&gt;=20/24</formula>
    </cfRule>
    <cfRule type="expression" dxfId="1977" priority="52">
      <formula>AND(B$9&gt;=14/24,B$9&lt;20/24)</formula>
    </cfRule>
    <cfRule type="expression" dxfId="1976" priority="53">
      <formula>AND(B$9&gt;=8/24,B$9&lt;14/24)</formula>
    </cfRule>
    <cfRule type="expression" dxfId="1975" priority="54">
      <formula>B$9&lt;8/24</formula>
    </cfRule>
  </conditionalFormatting>
  <conditionalFormatting sqref="B75:AG76 B80:AG80">
    <cfRule type="expression" dxfId="1974" priority="36">
      <formula>B75&gt;$AG75</formula>
    </cfRule>
  </conditionalFormatting>
  <conditionalFormatting sqref="B80:AG80">
    <cfRule type="expression" dxfId="1973" priority="37">
      <formula>B$9&gt;=20/24</formula>
    </cfRule>
    <cfRule type="expression" dxfId="1972" priority="38">
      <formula>AND(B$9&gt;=14/24,B$9&lt;20/24)</formula>
    </cfRule>
    <cfRule type="expression" dxfId="1971" priority="40">
      <formula>B$9&lt;8/24</formula>
    </cfRule>
    <cfRule type="expression" dxfId="1970" priority="39">
      <formula>AND(B$9&gt;=8/24,B$9&lt;14/24)</formula>
    </cfRule>
  </conditionalFormatting>
  <conditionalFormatting sqref="F63:N65 O64:O65">
    <cfRule type="expression" dxfId="1969" priority="89">
      <formula>F$9&gt;=20/24</formula>
    </cfRule>
    <cfRule type="expression" dxfId="1968" priority="92">
      <formula>F$9&lt;8/24</formula>
    </cfRule>
    <cfRule type="expression" dxfId="1967" priority="91">
      <formula>AND(F$9&gt;=8/24,F$9&lt;14/24)</formula>
    </cfRule>
    <cfRule type="expression" dxfId="1966" priority="90">
      <formula>AND(F$9&gt;=14/24,F$9&lt;20/24)</formula>
    </cfRule>
  </conditionalFormatting>
  <conditionalFormatting sqref="F68:X68">
    <cfRule type="expression" dxfId="1965" priority="69">
      <formula>F$9&lt;8/24</formula>
    </cfRule>
    <cfRule type="expression" dxfId="1964" priority="66">
      <formula>F$9&gt;=20/24</formula>
    </cfRule>
    <cfRule type="expression" dxfId="1963" priority="67">
      <formula>AND(F$9&gt;=14/24,F$9&lt;20/24)</formula>
    </cfRule>
    <cfRule type="expression" dxfId="1962" priority="68">
      <formula>AND(F$9&gt;=8/24,F$9&lt;14/24)</formula>
    </cfRule>
  </conditionalFormatting>
  <conditionalFormatting sqref="F69:AF74">
    <cfRule type="expression" dxfId="1961" priority="56">
      <formula>F$9&gt;=20/24</formula>
    </cfRule>
    <cfRule type="expression" dxfId="1960" priority="57">
      <formula>AND(F$9&gt;=14/24,F$9&lt;20/24)</formula>
    </cfRule>
    <cfRule type="expression" dxfId="1959" priority="58">
      <formula>AND(F$9&gt;=8/24,F$9&lt;14/24)</formula>
    </cfRule>
    <cfRule type="expression" dxfId="1958" priority="59">
      <formula>F$9&lt;8/24</formula>
    </cfRule>
  </conditionalFormatting>
  <conditionalFormatting sqref="N11:R11 S11:X12 Y11:AF52 Q12:R12">
    <cfRule type="expression" dxfId="1957" priority="25">
      <formula>N11&gt;$AG11</formula>
    </cfRule>
  </conditionalFormatting>
  <conditionalFormatting sqref="N63:X67">
    <cfRule type="expression" dxfId="1956" priority="94">
      <formula>AND(N$9&gt;=14/24,N$9&lt;20/24)</formula>
    </cfRule>
    <cfRule type="expression" dxfId="1955" priority="93">
      <formula>N$9&gt;=20/24</formula>
    </cfRule>
    <cfRule type="expression" dxfId="1954" priority="95">
      <formula>AND(N$9&gt;=8/24,N$9&lt;14/24)</formula>
    </cfRule>
    <cfRule type="expression" dxfId="1953" priority="96">
      <formula>N$9&lt;8/24</formula>
    </cfRule>
  </conditionalFormatting>
  <conditionalFormatting sqref="O3:P3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O55:X56 B55:N57">
    <cfRule type="expression" dxfId="1952" priority="34">
      <formula>B$9&lt;8/24</formula>
    </cfRule>
  </conditionalFormatting>
  <conditionalFormatting sqref="S8 AB8 B8 M8">
    <cfRule type="expression" dxfId="1951" priority="114">
      <formula>C$9&gt;=20/24</formula>
    </cfRule>
  </conditionalFormatting>
  <conditionalFormatting sqref="S8">
    <cfRule type="expression" dxfId="1950" priority="102">
      <formula>AND(U$9&gt;=14/24,U$9&lt;20/24)</formula>
    </cfRule>
    <cfRule type="expression" dxfId="1949" priority="104">
      <formula>U$9&lt;8/24</formula>
    </cfRule>
    <cfRule type="expression" dxfId="1948" priority="103">
      <formula>AND(U$9&gt;=8/24,U$9&lt;14/24)</formula>
    </cfRule>
    <cfRule type="expression" dxfId="1947" priority="101">
      <formula>U$9&gt;=20/24</formula>
    </cfRule>
  </conditionalFormatting>
  <conditionalFormatting sqref="T260">
    <cfRule type="expression" dxfId="1946" priority="127">
      <formula>AND(AX$9&gt;=14/24,AX$9&lt;20/24)</formula>
    </cfRule>
    <cfRule type="expression" dxfId="1945" priority="126">
      <formula>AX$9&gt;=20/24</formula>
    </cfRule>
    <cfRule type="expression" dxfId="1944" priority="128">
      <formula>AND(AX$9&gt;=8/24,AX$9&lt;14/24)</formula>
    </cfRule>
    <cfRule type="expression" dxfId="1943" priority="129">
      <formula>AX$9&lt;8/24</formula>
    </cfRule>
  </conditionalFormatting>
  <conditionalFormatting sqref="V3 AB3">
    <cfRule type="iconSet" priority="113">
      <iconSet iconSet="3TrafficLights2" reverse="1">
        <cfvo type="percent" val="0"/>
        <cfvo type="num" val="1"/>
        <cfvo type="num" val="1"/>
      </iconSet>
    </cfRule>
  </conditionalFormatting>
  <conditionalFormatting sqref="Y53:Z56 AA53:AF57 O57:Z57">
    <cfRule type="expression" dxfId="1942" priority="64">
      <formula>O$9&lt;8/24</formula>
    </cfRule>
  </conditionalFormatting>
  <conditionalFormatting sqref="Y53:AF55">
    <cfRule type="expression" dxfId="1941" priority="65">
      <formula>Y53&gt;$AG53</formula>
    </cfRule>
  </conditionalFormatting>
  <conditionalFormatting sqref="Y63:AF68">
    <cfRule type="expression" dxfId="1940" priority="60">
      <formula>Y$9&gt;=20/24</formula>
    </cfRule>
    <cfRule type="expression" dxfId="1939" priority="61">
      <formula>AND(Y$9&gt;=14/24,Y$9&lt;20/24)</formula>
    </cfRule>
    <cfRule type="expression" dxfId="1938" priority="63">
      <formula>Y$9&lt;8/24</formula>
    </cfRule>
    <cfRule type="expression" dxfId="1937" priority="62">
      <formula>AND(Y$9&gt;=8/24,Y$9&lt;14/24)</formula>
    </cfRule>
  </conditionalFormatting>
  <conditionalFormatting sqref="AB8">
    <cfRule type="expression" dxfId="1936" priority="99">
      <formula>AND(AD$9&gt;=8/24,AD$9&lt;14/24)</formula>
    </cfRule>
    <cfRule type="expression" dxfId="1935" priority="100">
      <formula>AD$9&lt;8/24</formula>
    </cfRule>
    <cfRule type="expression" dxfId="1934" priority="97">
      <formula>AD$9&gt;=20/24</formula>
    </cfRule>
    <cfRule type="expression" dxfId="1933" priority="98">
      <formula>AND(AD$9&gt;=14/24,AD$9&lt;20/24)</formula>
    </cfRule>
  </conditionalFormatting>
  <conditionalFormatting sqref="AG58">
    <cfRule type="expression" dxfId="1932" priority="84">
      <formula>AG58&gt;$AG58</formula>
    </cfRule>
  </conditionalFormatting>
  <conditionalFormatting sqref="AG97">
    <cfRule type="expression" dxfId="1931" priority="88">
      <formula>AG$9&lt;8/24</formula>
    </cfRule>
    <cfRule type="expression" dxfId="1930" priority="85">
      <formula>AG$9&gt;=20/24</formula>
    </cfRule>
    <cfRule type="expression" dxfId="1929" priority="86">
      <formula>AND(AG$9&gt;=14/24,AG$9&lt;20/24)</formula>
    </cfRule>
    <cfRule type="expression" dxfId="1928" priority="87">
      <formula>AND(AG$9&gt;=8/24,AG$9&lt;14/24)</formula>
    </cfRule>
  </conditionalFormatting>
  <conditionalFormatting sqref="AG260">
    <cfRule type="expression" dxfId="1927" priority="119">
      <formula>AND(B$9&gt;=14/24,B$9&lt;20/24)</formula>
    </cfRule>
    <cfRule type="expression" dxfId="1926" priority="120">
      <formula>AND(B$9&gt;=8/24,B$9&lt;14/24)</formula>
    </cfRule>
    <cfRule type="expression" dxfId="1925" priority="121">
      <formula>B$9&lt;8/24</formula>
    </cfRule>
    <cfRule type="expression" dxfId="1924" priority="118">
      <formula>B$9&gt;=20/24</formula>
    </cfRule>
  </conditionalFormatting>
  <conditionalFormatting sqref="AH260:AX260">
    <cfRule type="expression" dxfId="1923" priority="122">
      <formula>AG$9&gt;=20/24</formula>
    </cfRule>
    <cfRule type="expression" dxfId="1922" priority="123">
      <formula>AND(AG$9&gt;=14/24,AG$9&lt;20/24)</formula>
    </cfRule>
    <cfRule type="expression" dxfId="1921" priority="124">
      <formula>AND(AG$9&gt;=8/24,AG$9&lt;14/24)</formula>
    </cfRule>
    <cfRule type="expression" dxfId="1920" priority="125">
      <formula>AG$9&lt;8/24</formula>
    </cfRule>
  </conditionalFormatting>
  <conditionalFormatting sqref="AL4:AL6">
    <cfRule type="iconSet" priority="107">
      <iconSet iconSet="3TrafficLights2" reverse="1">
        <cfvo type="percent" val="0"/>
        <cfvo type="num" val="1"/>
        <cfvo type="num" val="1"/>
      </iconSet>
    </cfRule>
  </conditionalFormatting>
  <conditionalFormatting sqref="AL19:AL20">
    <cfRule type="iconSet" priority="72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82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7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81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83">
      <iconSet iconSet="3TrafficLights2" reverse="1">
        <cfvo type="percent" val="0"/>
        <cfvo type="num" val="1"/>
        <cfvo type="num" val="1"/>
      </iconSet>
    </cfRule>
  </conditionalFormatting>
  <conditionalFormatting sqref="AL48 AL45:AL46 AL21:AL24 AL7:AL18 AL26:AL37 AL39:AL43 AL54:AL55">
    <cfRule type="iconSet" priority="130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7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1919" priority="131">
      <formula>AJ$9&gt;=20/24</formula>
    </cfRule>
    <cfRule type="expression" dxfId="1918" priority="132">
      <formula>AND(AJ$9&gt;=14/24,AJ$9&lt;20/24)</formula>
    </cfRule>
    <cfRule type="expression" dxfId="1917" priority="133">
      <formula>AND(AJ$9&gt;=8/24,AJ$9&lt;14/24)</formula>
    </cfRule>
    <cfRule type="expression" dxfId="1916" priority="134">
      <formula>AJ$9&lt;8/24</formula>
    </cfRule>
  </conditionalFormatting>
  <conditionalFormatting sqref="AL88:AN88 AL94:AN94">
    <cfRule type="expression" dxfId="1915" priority="80">
      <formula>AL$9&lt;8/24</formula>
    </cfRule>
    <cfRule type="expression" dxfId="1914" priority="79">
      <formula>AND(AL$9&gt;=8/24,AL$9&lt;14/24)</formula>
    </cfRule>
    <cfRule type="expression" dxfId="1913" priority="78">
      <formula>AND(AL$9&gt;=14/24,AL$9&lt;20/24)</formula>
    </cfRule>
    <cfRule type="expression" dxfId="1912" priority="77">
      <formula>AL$9&gt;=20/24</formula>
    </cfRule>
  </conditionalFormatting>
  <conditionalFormatting sqref="AN89:AN92">
    <cfRule type="expression" dxfId="1911" priority="76">
      <formula>AN$9&lt;8/24</formula>
    </cfRule>
    <cfRule type="expression" dxfId="1910" priority="75">
      <formula>AND(AN$9&gt;=8/24,AN$9&lt;14/24)</formula>
    </cfRule>
    <cfRule type="expression" dxfId="1909" priority="74">
      <formula>AND(AN$9&gt;=14/24,AN$9&lt;20/24)</formula>
    </cfRule>
    <cfRule type="expression" dxfId="1908" priority="73">
      <formula>AN$9&gt;=20/24</formula>
    </cfRule>
  </conditionalFormatting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44FFB-E131-4C3B-BDE2-06311F0B475B}">
  <sheetPr codeName="Sheet11"/>
  <dimension ref="A1:CJ293"/>
  <sheetViews>
    <sheetView zoomScale="106" workbookViewId="0">
      <pane xSplit="1" ySplit="10" topLeftCell="BC79" activePane="bottomRight" state="frozen"/>
      <selection activeCell="P118" sqref="P118"/>
      <selection pane="topRight" activeCell="P118" sqref="P118"/>
      <selection pane="bottomLeft" activeCell="P118" sqref="P118"/>
      <selection pane="bottomRight" activeCell="BG84" sqref="BG84:BL107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57" width="9.140625" style="1"/>
    <col min="58" max="58" width="22.28515625" style="1" bestFit="1" customWidth="1"/>
    <col min="59" max="16384" width="9.140625" style="1"/>
  </cols>
  <sheetData>
    <row r="1" spans="1:88" ht="36" hidden="1" customHeight="1" thickBot="1" x14ac:dyDescent="0.3">
      <c r="A1" s="275" t="s">
        <v>0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  <c r="AD1" s="275"/>
      <c r="AE1" s="275"/>
      <c r="AF1" s="275"/>
      <c r="AG1" s="276" t="s">
        <v>1</v>
      </c>
      <c r="AH1" s="276"/>
      <c r="AI1" s="276"/>
      <c r="AL1" s="2"/>
    </row>
    <row r="2" spans="1:88" ht="20.25" hidden="1" x14ac:dyDescent="0.25">
      <c r="A2" s="3"/>
      <c r="B2" s="277" t="s">
        <v>2</v>
      </c>
      <c r="C2" s="4"/>
      <c r="D2" s="279" t="s">
        <v>3</v>
      </c>
      <c r="E2" s="4"/>
      <c r="F2" s="279" t="s">
        <v>4</v>
      </c>
      <c r="G2" s="4"/>
      <c r="H2" s="279" t="s">
        <v>5</v>
      </c>
      <c r="I2" s="5"/>
      <c r="J2" s="281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78"/>
      <c r="C3" s="16"/>
      <c r="D3" s="280"/>
      <c r="E3" s="16"/>
      <c r="F3" s="280"/>
      <c r="G3" s="16"/>
      <c r="H3" s="280"/>
      <c r="I3" s="17"/>
      <c r="J3" s="281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70" t="str">
        <f ca="1">"2080/"&amp;"10/"&amp;INT(MID(CELL("filename",D6),FIND("]",CELL("filename",D6))+1,200))</f>
        <v>2080/10/10</v>
      </c>
      <c r="C4" s="270"/>
      <c r="D4" s="270"/>
      <c r="E4" s="271" t="str">
        <f ca="1">"2080/"&amp;"10/"&amp;INT(MID(CELL("filename",G6),FIND("]",CELL("filename",G6))+1,200))</f>
        <v>2080/10/10</v>
      </c>
      <c r="F4" s="271"/>
      <c r="G4" s="271"/>
      <c r="H4" s="271" t="str">
        <f ca="1">TEXT(E4,"dddd")</f>
        <v>Thursday</v>
      </c>
      <c r="I4" s="271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C92</f>
        <v>487</v>
      </c>
      <c r="C5" s="30">
        <f t="shared" si="0"/>
        <v>490</v>
      </c>
      <c r="D5" s="30">
        <f t="shared" si="0"/>
        <v>469.7</v>
      </c>
      <c r="E5" s="30">
        <f t="shared" si="0"/>
        <v>451</v>
      </c>
      <c r="F5" s="30">
        <f t="shared" si="0"/>
        <v>464.2</v>
      </c>
      <c r="G5" s="30">
        <f t="shared" si="0"/>
        <v>473</v>
      </c>
      <c r="H5" s="30">
        <f t="shared" si="0"/>
        <v>503</v>
      </c>
      <c r="I5" s="30">
        <f t="shared" si="0"/>
        <v>304</v>
      </c>
      <c r="J5" s="30">
        <f t="shared" si="0"/>
        <v>225</v>
      </c>
      <c r="K5" s="30">
        <f t="shared" si="0"/>
        <v>244.1</v>
      </c>
      <c r="L5" s="30">
        <f t="shared" si="0"/>
        <v>0</v>
      </c>
      <c r="M5" s="30">
        <f t="shared" si="0"/>
        <v>173.39999999999998</v>
      </c>
      <c r="N5" s="30">
        <f t="shared" si="0"/>
        <v>242.2</v>
      </c>
      <c r="O5" s="30">
        <f t="shared" si="0"/>
        <v>302.39999999999998</v>
      </c>
      <c r="P5" s="30">
        <f t="shared" si="0"/>
        <v>523</v>
      </c>
      <c r="Q5" s="30">
        <f t="shared" si="0"/>
        <v>650.9</v>
      </c>
      <c r="R5" s="30">
        <f t="shared" si="0"/>
        <v>620.9</v>
      </c>
      <c r="S5" s="30">
        <f t="shared" si="0"/>
        <v>694.2</v>
      </c>
      <c r="T5" s="30">
        <f t="shared" si="0"/>
        <v>744</v>
      </c>
      <c r="U5" s="30">
        <f t="shared" si="0"/>
        <v>511.4</v>
      </c>
      <c r="V5" s="30">
        <f t="shared" si="0"/>
        <v>337</v>
      </c>
      <c r="W5" s="30">
        <f t="shared" si="0"/>
        <v>300</v>
      </c>
      <c r="X5" s="30">
        <f t="shared" si="0"/>
        <v>318</v>
      </c>
      <c r="Y5" s="30">
        <f t="shared" si="0"/>
        <v>384</v>
      </c>
      <c r="Z5" s="30">
        <f t="shared" si="0"/>
        <v>384</v>
      </c>
      <c r="AA5" s="30">
        <f t="shared" si="0"/>
        <v>431.90000000000003</v>
      </c>
      <c r="AB5" s="30">
        <f t="shared" si="0"/>
        <v>431.90000000000003</v>
      </c>
      <c r="AC5" s="30">
        <f t="shared" si="0"/>
        <v>496.46</v>
      </c>
      <c r="AD5" s="30">
        <f t="shared" si="0"/>
        <v>510.59999999999997</v>
      </c>
      <c r="AE5" s="30">
        <f t="shared" si="0"/>
        <v>498.59999999999997</v>
      </c>
      <c r="AF5" s="30">
        <f>B92</f>
        <v>505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1858MW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Load=4</v>
      </c>
      <c r="B7" s="35">
        <f>B100</f>
        <v>689</v>
      </c>
      <c r="C7" s="35">
        <f t="shared" ref="C7:AF7" si="1">C100</f>
        <v>1185.29</v>
      </c>
      <c r="D7" s="35">
        <f t="shared" si="1"/>
        <v>1188.79</v>
      </c>
      <c r="E7" s="35">
        <f t="shared" si="1"/>
        <v>1149.79</v>
      </c>
      <c r="F7" s="35">
        <f t="shared" si="1"/>
        <v>1131.0900000000001</v>
      </c>
      <c r="G7" s="35">
        <f t="shared" si="1"/>
        <v>1242.3900000000001</v>
      </c>
      <c r="H7" s="35">
        <f t="shared" si="1"/>
        <v>1319.3899999999999</v>
      </c>
      <c r="I7" s="35">
        <f t="shared" si="1"/>
        <v>1401.39</v>
      </c>
      <c r="J7" s="35">
        <f t="shared" si="1"/>
        <v>1430.39</v>
      </c>
      <c r="K7" s="35">
        <f t="shared" si="1"/>
        <v>1678.99</v>
      </c>
      <c r="L7" s="35">
        <f t="shared" si="1"/>
        <v>1858.09</v>
      </c>
      <c r="M7" s="35">
        <f t="shared" si="1"/>
        <v>3.54</v>
      </c>
      <c r="N7" s="35">
        <f t="shared" si="1"/>
        <v>1843.69</v>
      </c>
      <c r="O7" s="35">
        <f t="shared" si="1"/>
        <v>1762.39</v>
      </c>
      <c r="P7" s="35">
        <f t="shared" si="1"/>
        <v>1704.9900000000002</v>
      </c>
      <c r="Q7" s="35">
        <f t="shared" si="1"/>
        <v>1688.49</v>
      </c>
      <c r="R7" s="35">
        <f t="shared" si="1"/>
        <v>1503.3400000000001</v>
      </c>
      <c r="S7" s="35">
        <f t="shared" si="1"/>
        <v>1414.2400000000002</v>
      </c>
      <c r="T7" s="35">
        <f t="shared" si="1"/>
        <v>1475.5400000000002</v>
      </c>
      <c r="U7" s="35">
        <f t="shared" si="1"/>
        <v>1537.7400000000002</v>
      </c>
      <c r="V7" s="35">
        <f t="shared" si="1"/>
        <v>1494.44</v>
      </c>
      <c r="W7" s="35">
        <f t="shared" si="1"/>
        <v>1656.88</v>
      </c>
      <c r="X7" s="35">
        <f t="shared" si="1"/>
        <v>1884.7800000000002</v>
      </c>
      <c r="Y7" s="35">
        <f t="shared" si="1"/>
        <v>1932.7800000000002</v>
      </c>
      <c r="Z7" s="35">
        <f t="shared" si="1"/>
        <v>1919.48</v>
      </c>
      <c r="AA7" s="35">
        <f t="shared" si="1"/>
        <v>1919.48</v>
      </c>
      <c r="AB7" s="35">
        <f t="shared" si="1"/>
        <v>1916.38</v>
      </c>
      <c r="AC7" s="35">
        <f t="shared" si="1"/>
        <v>1915.38</v>
      </c>
      <c r="AD7" s="35">
        <f t="shared" si="1"/>
        <v>1594.64</v>
      </c>
      <c r="AE7" s="35">
        <f t="shared" si="1"/>
        <v>1488.68</v>
      </c>
      <c r="AF7" s="35">
        <f t="shared" si="1"/>
        <v>1352.18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72" t="s">
        <v>14</v>
      </c>
      <c r="C8" s="273"/>
      <c r="D8" s="273"/>
      <c r="E8" s="273"/>
      <c r="F8" s="273"/>
      <c r="G8" s="273"/>
      <c r="H8" s="273"/>
      <c r="I8" s="273"/>
      <c r="J8" s="273"/>
      <c r="K8" s="273"/>
      <c r="L8" s="274"/>
      <c r="M8" s="265" t="s">
        <v>15</v>
      </c>
      <c r="N8" s="266"/>
      <c r="O8" s="266"/>
      <c r="P8" s="266"/>
      <c r="Q8" s="266"/>
      <c r="R8" s="267"/>
      <c r="S8" s="265" t="s">
        <v>16</v>
      </c>
      <c r="T8" s="266"/>
      <c r="U8" s="266"/>
      <c r="V8" s="266"/>
      <c r="W8" s="266"/>
      <c r="X8" s="266"/>
      <c r="Y8" s="266"/>
      <c r="Z8" s="266"/>
      <c r="AA8" s="267"/>
      <c r="AB8" s="265" t="s">
        <v>17</v>
      </c>
      <c r="AC8" s="266"/>
      <c r="AD8" s="266"/>
      <c r="AE8" s="266"/>
      <c r="AF8" s="267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68" t="s">
        <v>18</v>
      </c>
      <c r="B9" s="264">
        <v>0</v>
      </c>
      <c r="C9" s="264">
        <v>4.1666666666666664E-2</v>
      </c>
      <c r="D9" s="264">
        <v>8.3333333333333301E-2</v>
      </c>
      <c r="E9" s="264">
        <v>0.125</v>
      </c>
      <c r="F9" s="264">
        <v>0.16666666666666699</v>
      </c>
      <c r="G9" s="264">
        <v>0.20833333333333301</v>
      </c>
      <c r="H9" s="264">
        <v>0.22916666666666666</v>
      </c>
      <c r="I9" s="264">
        <v>0.25</v>
      </c>
      <c r="J9" s="264">
        <v>0.27083333333333331</v>
      </c>
      <c r="K9" s="264">
        <v>0.29166666666666669</v>
      </c>
      <c r="L9" s="264">
        <v>0.3125</v>
      </c>
      <c r="M9" s="262">
        <v>0.33333333333333331</v>
      </c>
      <c r="N9" s="262">
        <v>0.375</v>
      </c>
      <c r="O9" s="262">
        <v>0.41666666666666702</v>
      </c>
      <c r="P9" s="262">
        <v>0.45833333333333298</v>
      </c>
      <c r="Q9" s="262">
        <v>0.5</v>
      </c>
      <c r="R9" s="262">
        <v>0.54166666666666696</v>
      </c>
      <c r="S9" s="258">
        <v>0.58333333333333304</v>
      </c>
      <c r="T9" s="258">
        <v>0.625</v>
      </c>
      <c r="U9" s="258">
        <v>0.66666666666666696</v>
      </c>
      <c r="V9" s="258">
        <v>0.70833333333333304</v>
      </c>
      <c r="W9" s="258">
        <v>0.72916666666666663</v>
      </c>
      <c r="X9" s="258">
        <v>0.75</v>
      </c>
      <c r="Y9" s="258">
        <v>0.77083333333333337</v>
      </c>
      <c r="Z9" s="258">
        <v>0.79166666666666663</v>
      </c>
      <c r="AA9" s="258">
        <v>0.8125</v>
      </c>
      <c r="AB9" s="258">
        <v>0.83333333333333337</v>
      </c>
      <c r="AC9" s="258">
        <v>0.85416666666666663</v>
      </c>
      <c r="AD9" s="258">
        <v>0.875</v>
      </c>
      <c r="AE9" s="258">
        <v>0.91666666666666696</v>
      </c>
      <c r="AF9" s="258">
        <v>0.95833333333333304</v>
      </c>
      <c r="AG9" s="260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69"/>
      <c r="B10" s="259"/>
      <c r="C10" s="259"/>
      <c r="D10" s="259"/>
      <c r="E10" s="259"/>
      <c r="F10" s="259"/>
      <c r="G10" s="259"/>
      <c r="H10" s="259"/>
      <c r="I10" s="259"/>
      <c r="J10" s="259"/>
      <c r="K10" s="259"/>
      <c r="L10" s="259"/>
      <c r="M10" s="263"/>
      <c r="N10" s="263"/>
      <c r="O10" s="263"/>
      <c r="P10" s="263"/>
      <c r="Q10" s="263"/>
      <c r="R10" s="263"/>
      <c r="S10" s="259"/>
      <c r="T10" s="259"/>
      <c r="U10" s="259"/>
      <c r="V10" s="259"/>
      <c r="W10" s="259"/>
      <c r="X10" s="259"/>
      <c r="Y10" s="259"/>
      <c r="Z10" s="259"/>
      <c r="AA10" s="259"/>
      <c r="AB10" s="259"/>
      <c r="AC10" s="259"/>
      <c r="AD10" s="259"/>
      <c r="AE10" s="259"/>
      <c r="AF10" s="259"/>
      <c r="AG10" s="261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31.8</v>
      </c>
      <c r="C11" s="45">
        <v>31.8</v>
      </c>
      <c r="D11" s="45">
        <v>31.8</v>
      </c>
      <c r="E11" s="45">
        <v>31.3</v>
      </c>
      <c r="F11" s="45">
        <v>31.3</v>
      </c>
      <c r="G11" s="45">
        <v>31.3</v>
      </c>
      <c r="H11" s="45">
        <v>31.3</v>
      </c>
      <c r="I11" s="45">
        <v>31.3</v>
      </c>
      <c r="J11" s="45">
        <v>31.3</v>
      </c>
      <c r="K11" s="45">
        <v>31.3</v>
      </c>
      <c r="L11" s="45">
        <v>31.3</v>
      </c>
      <c r="M11" s="45" t="s">
        <v>422</v>
      </c>
      <c r="N11" s="45">
        <v>32.299999999999997</v>
      </c>
      <c r="O11" s="45">
        <v>32.299999999999997</v>
      </c>
      <c r="P11" s="45">
        <v>32.299999999999997</v>
      </c>
      <c r="Q11" s="45">
        <v>31.8</v>
      </c>
      <c r="R11" s="45">
        <v>32.799999999999997</v>
      </c>
      <c r="S11" s="45">
        <v>32.799999999999997</v>
      </c>
      <c r="T11" s="45">
        <v>32.799999999999997</v>
      </c>
      <c r="U11" s="45">
        <v>32.799999999999997</v>
      </c>
      <c r="V11" s="45">
        <v>32.799999999999997</v>
      </c>
      <c r="W11" s="45">
        <v>32.799999999999997</v>
      </c>
      <c r="X11" s="45">
        <v>32.799999999999997</v>
      </c>
      <c r="Y11" s="45">
        <v>32.799999999999997</v>
      </c>
      <c r="Z11" s="45">
        <v>32.799999999999997</v>
      </c>
      <c r="AA11" s="45">
        <v>32.799999999999997</v>
      </c>
      <c r="AB11" s="45">
        <v>32.799999999999997</v>
      </c>
      <c r="AC11" s="45">
        <v>32.799999999999997</v>
      </c>
      <c r="AD11" s="45">
        <v>32.799999999999997</v>
      </c>
      <c r="AE11" s="45">
        <v>32.799999999999997</v>
      </c>
      <c r="AF11" s="45">
        <v>32.799999999999997</v>
      </c>
      <c r="AG11" s="46">
        <v>86</v>
      </c>
      <c r="AH11" s="47">
        <f t="shared" ref="AH11:AH84" si="2">MAX(B11:AF11)</f>
        <v>32.799999999999997</v>
      </c>
      <c r="AI11" s="48">
        <f t="shared" ref="AI11:AI84" si="3">MIN(B11:AF11)</f>
        <v>31.3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262</v>
      </c>
      <c r="B12" s="45">
        <v>11.1</v>
      </c>
      <c r="C12" s="45">
        <v>11.1</v>
      </c>
      <c r="D12" s="45">
        <v>11.1</v>
      </c>
      <c r="E12" s="45">
        <v>11.1</v>
      </c>
      <c r="F12" s="45">
        <v>11.1</v>
      </c>
      <c r="G12" s="45">
        <v>11.1</v>
      </c>
      <c r="H12" s="45">
        <v>11.1</v>
      </c>
      <c r="I12" s="45">
        <v>11.1</v>
      </c>
      <c r="J12" s="45">
        <v>11.1</v>
      </c>
      <c r="K12" s="45">
        <v>11.1</v>
      </c>
      <c r="L12" s="45">
        <v>11.1</v>
      </c>
      <c r="M12" s="45" t="s">
        <v>428</v>
      </c>
      <c r="N12" s="45">
        <v>11.1</v>
      </c>
      <c r="O12" s="45">
        <v>11.1</v>
      </c>
      <c r="P12" s="45">
        <v>11.1</v>
      </c>
      <c r="Q12" s="45">
        <v>11.1</v>
      </c>
      <c r="R12" s="45">
        <v>11.1</v>
      </c>
      <c r="S12" s="45">
        <v>11.1</v>
      </c>
      <c r="T12" s="45">
        <v>11.1</v>
      </c>
      <c r="U12" s="45">
        <v>11.1</v>
      </c>
      <c r="V12" s="45">
        <v>11.1</v>
      </c>
      <c r="W12" s="45">
        <v>11.1</v>
      </c>
      <c r="X12" s="45">
        <v>11.1</v>
      </c>
      <c r="Y12" s="45">
        <v>11.1</v>
      </c>
      <c r="Z12" s="45">
        <v>11.1</v>
      </c>
      <c r="AA12" s="45">
        <v>11.1</v>
      </c>
      <c r="AB12" s="45">
        <v>11.1</v>
      </c>
      <c r="AC12" s="45">
        <v>11.1</v>
      </c>
      <c r="AD12" s="45">
        <v>11.1</v>
      </c>
      <c r="AE12" s="45">
        <v>11.1</v>
      </c>
      <c r="AF12" s="45">
        <v>11.1</v>
      </c>
      <c r="AG12" s="49">
        <v>54</v>
      </c>
      <c r="AH12" s="47">
        <f t="shared" si="2"/>
        <v>11.1</v>
      </c>
      <c r="AI12" s="48">
        <f t="shared" si="3"/>
        <v>11.1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15.5</v>
      </c>
      <c r="C13" s="45">
        <v>15.5</v>
      </c>
      <c r="D13" s="45">
        <v>15.5</v>
      </c>
      <c r="E13" s="45">
        <v>15.5</v>
      </c>
      <c r="F13" s="45">
        <v>15.5</v>
      </c>
      <c r="G13" s="45">
        <v>15.5</v>
      </c>
      <c r="H13" s="45">
        <v>15.5</v>
      </c>
      <c r="I13" s="45">
        <v>15.5</v>
      </c>
      <c r="J13" s="45">
        <v>15.5</v>
      </c>
      <c r="K13" s="45">
        <v>15.5</v>
      </c>
      <c r="L13" s="45">
        <v>15.5</v>
      </c>
      <c r="M13" s="45" t="s">
        <v>422</v>
      </c>
      <c r="N13" s="45">
        <v>15.5</v>
      </c>
      <c r="O13" s="45">
        <v>15.5</v>
      </c>
      <c r="P13" s="45">
        <v>15.5</v>
      </c>
      <c r="Q13" s="45">
        <v>15.5</v>
      </c>
      <c r="R13" s="45">
        <v>15.5</v>
      </c>
      <c r="S13" s="45">
        <v>15.5</v>
      </c>
      <c r="T13" s="45">
        <v>15.5</v>
      </c>
      <c r="U13" s="45">
        <v>15.5</v>
      </c>
      <c r="V13" s="45">
        <v>15.5</v>
      </c>
      <c r="W13" s="45">
        <v>15.5</v>
      </c>
      <c r="X13" s="45">
        <v>15.5</v>
      </c>
      <c r="Y13" s="45">
        <v>15.5</v>
      </c>
      <c r="Z13" s="45">
        <v>15.5</v>
      </c>
      <c r="AA13" s="45">
        <v>15.5</v>
      </c>
      <c r="AB13" s="45">
        <v>15.5</v>
      </c>
      <c r="AC13" s="45">
        <v>15.5</v>
      </c>
      <c r="AD13" s="45">
        <v>15.5</v>
      </c>
      <c r="AE13" s="45">
        <v>15.5</v>
      </c>
      <c r="AF13" s="45">
        <v>15.5</v>
      </c>
      <c r="AG13" s="49">
        <v>54</v>
      </c>
      <c r="AH13" s="47">
        <f t="shared" si="2"/>
        <v>15.5</v>
      </c>
      <c r="AI13" s="48">
        <f t="shared" si="3"/>
        <v>15.5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16.100000000000001</v>
      </c>
      <c r="C14" s="45">
        <v>16.100000000000001</v>
      </c>
      <c r="D14" s="45">
        <v>16.100000000000001</v>
      </c>
      <c r="E14" s="45">
        <v>15.5</v>
      </c>
      <c r="F14" s="45">
        <v>15.5</v>
      </c>
      <c r="G14" s="45">
        <v>15.5</v>
      </c>
      <c r="H14" s="45">
        <v>15.5</v>
      </c>
      <c r="I14" s="45">
        <v>15.5</v>
      </c>
      <c r="J14" s="45">
        <v>15.5</v>
      </c>
      <c r="K14" s="45">
        <v>15.5</v>
      </c>
      <c r="L14" s="45">
        <v>15.5</v>
      </c>
      <c r="M14" s="45" t="s">
        <v>426</v>
      </c>
      <c r="N14" s="45">
        <v>15.5</v>
      </c>
      <c r="O14" s="45">
        <v>15.5</v>
      </c>
      <c r="P14" s="45">
        <v>15.5</v>
      </c>
      <c r="Q14" s="45">
        <v>15.5</v>
      </c>
      <c r="R14" s="45">
        <v>14.5</v>
      </c>
      <c r="S14" s="45">
        <v>14.5</v>
      </c>
      <c r="T14" s="45">
        <v>14.5</v>
      </c>
      <c r="U14" s="45">
        <v>14.5</v>
      </c>
      <c r="V14" s="45">
        <v>14.5</v>
      </c>
      <c r="W14" s="45">
        <v>14.5</v>
      </c>
      <c r="X14" s="45">
        <v>14.5</v>
      </c>
      <c r="Y14" s="45">
        <v>14.5</v>
      </c>
      <c r="Z14" s="45">
        <v>14.5</v>
      </c>
      <c r="AA14" s="45">
        <v>14.5</v>
      </c>
      <c r="AB14" s="45">
        <v>14.5</v>
      </c>
      <c r="AC14" s="45">
        <v>14.5</v>
      </c>
      <c r="AD14" s="45">
        <v>14.5</v>
      </c>
      <c r="AE14" s="45">
        <v>14.5</v>
      </c>
      <c r="AF14" s="45">
        <v>14.5</v>
      </c>
      <c r="AG14" s="46">
        <v>52.4</v>
      </c>
      <c r="AH14" s="47">
        <f t="shared" si="2"/>
        <v>16.100000000000001</v>
      </c>
      <c r="AI14" s="48">
        <f t="shared" si="3"/>
        <v>14.5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33.700000000000003</v>
      </c>
      <c r="C15" s="45">
        <v>33.700000000000003</v>
      </c>
      <c r="D15" s="45">
        <v>33.700000000000003</v>
      </c>
      <c r="E15" s="45">
        <v>33.1</v>
      </c>
      <c r="F15" s="45">
        <v>33.1</v>
      </c>
      <c r="G15" s="45">
        <v>33.1</v>
      </c>
      <c r="H15" s="45">
        <v>33.1</v>
      </c>
      <c r="I15" s="45">
        <v>33.1</v>
      </c>
      <c r="J15" s="45">
        <v>33.1</v>
      </c>
      <c r="K15" s="45">
        <v>33.1</v>
      </c>
      <c r="L15" s="45">
        <v>33.1</v>
      </c>
      <c r="M15" s="51" t="s">
        <v>429</v>
      </c>
      <c r="N15" s="51">
        <v>33.1</v>
      </c>
      <c r="O15" s="51">
        <v>33.1</v>
      </c>
      <c r="P15" s="51">
        <v>33.1</v>
      </c>
      <c r="Q15" s="51">
        <v>33.1</v>
      </c>
      <c r="R15" s="51">
        <v>34.799999999999997</v>
      </c>
      <c r="S15" s="51">
        <v>34.799999999999997</v>
      </c>
      <c r="T15" s="51">
        <v>34.799999999999997</v>
      </c>
      <c r="U15" s="51">
        <v>34.799999999999997</v>
      </c>
      <c r="V15" s="51">
        <v>34.799999999999997</v>
      </c>
      <c r="W15" s="51">
        <v>34.799999999999997</v>
      </c>
      <c r="X15" s="51">
        <v>34.799999999999997</v>
      </c>
      <c r="Y15" s="51">
        <v>34.799999999999997</v>
      </c>
      <c r="Z15" s="51">
        <v>34.799999999999997</v>
      </c>
      <c r="AA15" s="51">
        <v>34.799999999999997</v>
      </c>
      <c r="AB15" s="51">
        <v>34.799999999999997</v>
      </c>
      <c r="AC15" s="51">
        <v>34.799999999999997</v>
      </c>
      <c r="AD15" s="51">
        <v>34.799999999999997</v>
      </c>
      <c r="AE15" s="51">
        <v>34.799999999999997</v>
      </c>
      <c r="AF15" s="51">
        <v>34.799999999999997</v>
      </c>
      <c r="AG15" s="49">
        <v>50</v>
      </c>
      <c r="AH15" s="47">
        <f t="shared" si="2"/>
        <v>34.799999999999997</v>
      </c>
      <c r="AI15" s="48">
        <f t="shared" si="3"/>
        <v>33.1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19.100000000000001</v>
      </c>
      <c r="C16" s="45">
        <v>19.100000000000001</v>
      </c>
      <c r="D16" s="45">
        <v>19.100000000000001</v>
      </c>
      <c r="E16" s="45">
        <v>19.100000000000001</v>
      </c>
      <c r="F16" s="45">
        <v>19.100000000000001</v>
      </c>
      <c r="G16" s="45">
        <v>19.100000000000001</v>
      </c>
      <c r="H16" s="45">
        <v>19.100000000000001</v>
      </c>
      <c r="I16" s="45">
        <v>19.100000000000001</v>
      </c>
      <c r="J16" s="45">
        <v>19.100000000000001</v>
      </c>
      <c r="K16" s="45">
        <v>19.100000000000001</v>
      </c>
      <c r="L16" s="45">
        <v>19.100000000000001</v>
      </c>
      <c r="M16" s="203" t="s">
        <v>424</v>
      </c>
      <c r="N16" s="45">
        <v>19.100000000000001</v>
      </c>
      <c r="O16" s="45">
        <v>19.100000000000001</v>
      </c>
      <c r="P16" s="45">
        <v>19.100000000000001</v>
      </c>
      <c r="Q16" s="45">
        <v>19.100000000000001</v>
      </c>
      <c r="R16" s="45">
        <v>16.5</v>
      </c>
      <c r="S16" s="45">
        <v>16.5</v>
      </c>
      <c r="T16" s="45">
        <v>16.5</v>
      </c>
      <c r="U16" s="45">
        <v>16.5</v>
      </c>
      <c r="V16" s="45">
        <v>16.5</v>
      </c>
      <c r="W16" s="45">
        <v>16.5</v>
      </c>
      <c r="X16" s="45">
        <v>16.5</v>
      </c>
      <c r="Y16" s="45">
        <v>16.5</v>
      </c>
      <c r="Z16" s="45">
        <v>16.5</v>
      </c>
      <c r="AA16" s="45">
        <v>16.5</v>
      </c>
      <c r="AB16" s="45">
        <v>16.5</v>
      </c>
      <c r="AC16" s="45">
        <v>16.5</v>
      </c>
      <c r="AD16" s="45">
        <v>16.5</v>
      </c>
      <c r="AE16" s="45">
        <v>16.5</v>
      </c>
      <c r="AF16" s="45">
        <v>16.5</v>
      </c>
      <c r="AG16" s="49">
        <v>45</v>
      </c>
      <c r="AH16" s="47">
        <f t="shared" si="2"/>
        <v>19.100000000000001</v>
      </c>
      <c r="AI16" s="48">
        <f t="shared" si="3"/>
        <v>16.5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16.5</v>
      </c>
      <c r="C17" s="45">
        <v>16.5</v>
      </c>
      <c r="D17" s="45">
        <v>16.5</v>
      </c>
      <c r="E17" s="45">
        <v>16.5</v>
      </c>
      <c r="F17" s="45">
        <v>16.5</v>
      </c>
      <c r="G17" s="45">
        <v>16.5</v>
      </c>
      <c r="H17" s="45">
        <v>16.5</v>
      </c>
      <c r="I17" s="45">
        <v>16.5</v>
      </c>
      <c r="J17" s="45">
        <v>16.5</v>
      </c>
      <c r="K17" s="45">
        <v>16.5</v>
      </c>
      <c r="L17" s="45">
        <v>16.5</v>
      </c>
      <c r="M17" s="45"/>
      <c r="N17" s="45">
        <v>16.5</v>
      </c>
      <c r="O17" s="45">
        <v>16.5</v>
      </c>
      <c r="P17" s="45">
        <v>16.5</v>
      </c>
      <c r="Q17" s="45">
        <v>16.5</v>
      </c>
      <c r="R17" s="45">
        <v>16.5</v>
      </c>
      <c r="S17" s="45">
        <v>16.5</v>
      </c>
      <c r="T17" s="45">
        <v>16.5</v>
      </c>
      <c r="U17" s="45">
        <v>16.5</v>
      </c>
      <c r="V17" s="45">
        <v>16.5</v>
      </c>
      <c r="W17" s="45">
        <v>16.5</v>
      </c>
      <c r="X17" s="45">
        <v>16.5</v>
      </c>
      <c r="Y17" s="45">
        <v>16.5</v>
      </c>
      <c r="Z17" s="45">
        <v>16.5</v>
      </c>
      <c r="AA17" s="45">
        <v>16.5</v>
      </c>
      <c r="AB17" s="45">
        <v>16.5</v>
      </c>
      <c r="AC17" s="45">
        <v>16.5</v>
      </c>
      <c r="AD17" s="45">
        <v>16.5</v>
      </c>
      <c r="AE17" s="45">
        <v>16.5</v>
      </c>
      <c r="AF17" s="45">
        <v>16.5</v>
      </c>
      <c r="AG17" s="49">
        <v>44</v>
      </c>
      <c r="AH17" s="47">
        <f>MAX(B17:AG17)</f>
        <v>44</v>
      </c>
      <c r="AI17" s="48">
        <f>MIN(B17:AG17)</f>
        <v>16.5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9.35</v>
      </c>
      <c r="C18" s="45">
        <v>9.35</v>
      </c>
      <c r="D18" s="45">
        <v>9.35</v>
      </c>
      <c r="E18" s="45">
        <v>9.35</v>
      </c>
      <c r="F18" s="45">
        <v>9.35</v>
      </c>
      <c r="G18" s="45">
        <v>9.35</v>
      </c>
      <c r="H18" s="45">
        <v>9.35</v>
      </c>
      <c r="I18" s="45">
        <v>9.35</v>
      </c>
      <c r="J18" s="45">
        <v>9.35</v>
      </c>
      <c r="K18" s="45">
        <v>9.35</v>
      </c>
      <c r="L18" s="45">
        <v>9.35</v>
      </c>
      <c r="M18" s="45"/>
      <c r="N18" s="45">
        <v>9.35</v>
      </c>
      <c r="O18" s="45">
        <v>9.35</v>
      </c>
      <c r="P18" s="45">
        <v>9.35</v>
      </c>
      <c r="Q18" s="45">
        <v>9.35</v>
      </c>
      <c r="R18" s="45">
        <v>9.5</v>
      </c>
      <c r="S18" s="45">
        <v>9.5</v>
      </c>
      <c r="T18" s="45">
        <v>9.5</v>
      </c>
      <c r="U18" s="45">
        <v>9.5</v>
      </c>
      <c r="V18" s="45">
        <v>9.5</v>
      </c>
      <c r="W18" s="45">
        <v>9.5</v>
      </c>
      <c r="X18" s="45">
        <v>9.5</v>
      </c>
      <c r="Y18" s="45">
        <v>9.5</v>
      </c>
      <c r="Z18" s="45">
        <v>9.5</v>
      </c>
      <c r="AA18" s="45">
        <v>9.5</v>
      </c>
      <c r="AB18" s="45">
        <v>9.5</v>
      </c>
      <c r="AC18" s="45">
        <v>9.5</v>
      </c>
      <c r="AD18" s="45">
        <v>9.5</v>
      </c>
      <c r="AE18" s="45">
        <v>9.5</v>
      </c>
      <c r="AF18" s="45">
        <v>9.5</v>
      </c>
      <c r="AG18" s="49">
        <v>42</v>
      </c>
      <c r="AH18" s="47">
        <f t="shared" si="2"/>
        <v>9.5</v>
      </c>
      <c r="AI18" s="48">
        <f t="shared" si="3"/>
        <v>9.35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263</v>
      </c>
      <c r="B19" s="45">
        <v>15.4</v>
      </c>
      <c r="C19" s="45">
        <v>15.4</v>
      </c>
      <c r="D19" s="45">
        <v>15.4</v>
      </c>
      <c r="E19" s="45">
        <v>15.4</v>
      </c>
      <c r="F19" s="45">
        <v>15.4</v>
      </c>
      <c r="G19" s="45">
        <v>15.4</v>
      </c>
      <c r="H19" s="45">
        <v>15.4</v>
      </c>
      <c r="I19" s="45">
        <v>15.4</v>
      </c>
      <c r="J19" s="45">
        <v>15.4</v>
      </c>
      <c r="K19" s="45">
        <v>15.4</v>
      </c>
      <c r="L19" s="45">
        <v>15.4</v>
      </c>
      <c r="M19" s="45" t="s">
        <v>425</v>
      </c>
      <c r="N19" s="45">
        <v>15.4</v>
      </c>
      <c r="O19" s="45">
        <v>15.4</v>
      </c>
      <c r="P19" s="45">
        <v>15.4</v>
      </c>
      <c r="Q19" s="45">
        <v>15.4</v>
      </c>
      <c r="R19" s="45">
        <v>15.4</v>
      </c>
      <c r="S19" s="45">
        <v>15.4</v>
      </c>
      <c r="T19" s="45">
        <v>15.4</v>
      </c>
      <c r="U19" s="45">
        <v>15.4</v>
      </c>
      <c r="V19" s="45">
        <v>15.4</v>
      </c>
      <c r="W19" s="45">
        <v>15.4</v>
      </c>
      <c r="X19" s="45">
        <v>15.4</v>
      </c>
      <c r="Y19" s="45">
        <v>15.4</v>
      </c>
      <c r="Z19" s="45">
        <v>15.4</v>
      </c>
      <c r="AA19" s="45">
        <v>15.4</v>
      </c>
      <c r="AB19" s="45">
        <v>15.4</v>
      </c>
      <c r="AC19" s="45">
        <v>15.4</v>
      </c>
      <c r="AD19" s="45">
        <v>15.4</v>
      </c>
      <c r="AE19" s="45">
        <v>15.4</v>
      </c>
      <c r="AF19" s="45">
        <v>15.4</v>
      </c>
      <c r="AG19" s="49">
        <v>38.46</v>
      </c>
      <c r="AH19" s="47">
        <f t="shared" si="2"/>
        <v>15.4</v>
      </c>
      <c r="AI19" s="48">
        <f t="shared" si="3"/>
        <v>15.4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10.199999999999999</v>
      </c>
      <c r="C20" s="45">
        <v>10.199999999999999</v>
      </c>
      <c r="D20" s="45">
        <v>10.199999999999999</v>
      </c>
      <c r="E20" s="45">
        <v>10.199999999999999</v>
      </c>
      <c r="F20" s="45">
        <v>10.199999999999999</v>
      </c>
      <c r="G20" s="45">
        <v>10.199999999999999</v>
      </c>
      <c r="H20" s="45">
        <v>10.199999999999999</v>
      </c>
      <c r="I20" s="45">
        <v>10.199999999999999</v>
      </c>
      <c r="J20" s="45">
        <v>10.199999999999999</v>
      </c>
      <c r="K20" s="45">
        <v>10.199999999999999</v>
      </c>
      <c r="L20" s="45">
        <v>10.199999999999999</v>
      </c>
      <c r="M20" s="45" t="s">
        <v>430</v>
      </c>
      <c r="N20" s="45">
        <v>10.199999999999999</v>
      </c>
      <c r="O20" s="45">
        <v>10.199999999999999</v>
      </c>
      <c r="P20" s="45">
        <v>10.199999999999999</v>
      </c>
      <c r="Q20" s="45">
        <v>10.199999999999999</v>
      </c>
      <c r="R20" s="45">
        <v>10.199999999999999</v>
      </c>
      <c r="S20" s="45">
        <v>10.199999999999999</v>
      </c>
      <c r="T20" s="45">
        <v>10.199999999999999</v>
      </c>
      <c r="U20" s="45">
        <v>10.199999999999999</v>
      </c>
      <c r="V20" s="45">
        <v>10.199999999999999</v>
      </c>
      <c r="W20" s="45">
        <v>10.199999999999999</v>
      </c>
      <c r="X20" s="45">
        <v>10.199999999999999</v>
      </c>
      <c r="Y20" s="45">
        <v>10.199999999999999</v>
      </c>
      <c r="Z20" s="45">
        <v>10.199999999999999</v>
      </c>
      <c r="AA20" s="45">
        <v>10.199999999999999</v>
      </c>
      <c r="AB20" s="45">
        <v>10.199999999999999</v>
      </c>
      <c r="AC20" s="45">
        <v>10.199999999999999</v>
      </c>
      <c r="AD20" s="45">
        <v>10.199999999999999</v>
      </c>
      <c r="AE20" s="45">
        <v>10.199999999999999</v>
      </c>
      <c r="AF20" s="45">
        <v>10.199999999999999</v>
      </c>
      <c r="AG20" s="49">
        <v>38.46</v>
      </c>
      <c r="AH20" s="47">
        <f t="shared" si="2"/>
        <v>10.199999999999999</v>
      </c>
      <c r="AI20" s="48">
        <f t="shared" si="3"/>
        <v>10.199999999999999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13.6</v>
      </c>
      <c r="C21" s="45">
        <v>13.6</v>
      </c>
      <c r="D21" s="45">
        <v>13.6</v>
      </c>
      <c r="E21" s="45">
        <v>13.6</v>
      </c>
      <c r="F21" s="45">
        <v>13.6</v>
      </c>
      <c r="G21" s="45">
        <v>13.6</v>
      </c>
      <c r="H21" s="45">
        <v>13.6</v>
      </c>
      <c r="I21" s="45">
        <v>13.6</v>
      </c>
      <c r="J21" s="45">
        <v>13.6</v>
      </c>
      <c r="K21" s="45">
        <v>13.6</v>
      </c>
      <c r="L21" s="45">
        <v>13.6</v>
      </c>
      <c r="M21" s="45" t="s">
        <v>422</v>
      </c>
      <c r="N21" s="45">
        <v>13.6</v>
      </c>
      <c r="O21" s="45">
        <v>13.6</v>
      </c>
      <c r="P21" s="45">
        <v>13.6</v>
      </c>
      <c r="Q21" s="45">
        <v>13.6</v>
      </c>
      <c r="R21" s="45">
        <v>13.6</v>
      </c>
      <c r="S21" s="45">
        <v>13.6</v>
      </c>
      <c r="T21" s="45">
        <v>13.6</v>
      </c>
      <c r="U21" s="45">
        <v>13.6</v>
      </c>
      <c r="V21" s="45">
        <v>13.6</v>
      </c>
      <c r="W21" s="45">
        <v>13.6</v>
      </c>
      <c r="X21" s="45">
        <v>13.6</v>
      </c>
      <c r="Y21" s="45">
        <v>13.6</v>
      </c>
      <c r="Z21" s="45">
        <v>13.6</v>
      </c>
      <c r="AA21" s="45">
        <v>13.6</v>
      </c>
      <c r="AB21" s="45">
        <v>13.6</v>
      </c>
      <c r="AC21" s="45">
        <v>13.6</v>
      </c>
      <c r="AD21" s="45">
        <v>13.6</v>
      </c>
      <c r="AE21" s="45">
        <v>13.6</v>
      </c>
      <c r="AF21" s="45">
        <v>13.6</v>
      </c>
      <c r="AG21" s="49">
        <v>36</v>
      </c>
      <c r="AH21" s="47">
        <f t="shared" si="2"/>
        <v>13.6</v>
      </c>
      <c r="AI21" s="48">
        <f t="shared" si="3"/>
        <v>13.6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9.3000000000000007</v>
      </c>
      <c r="C22" s="45">
        <v>9.3000000000000007</v>
      </c>
      <c r="D22" s="45">
        <v>9.3000000000000007</v>
      </c>
      <c r="E22" s="45">
        <v>9.3000000000000007</v>
      </c>
      <c r="F22" s="45">
        <v>9.3000000000000007</v>
      </c>
      <c r="G22" s="45">
        <v>9.3000000000000007</v>
      </c>
      <c r="H22" s="45">
        <v>9.3000000000000007</v>
      </c>
      <c r="I22" s="45">
        <v>9.3000000000000007</v>
      </c>
      <c r="J22" s="45">
        <v>9.3000000000000007</v>
      </c>
      <c r="K22" s="45">
        <v>9.3000000000000007</v>
      </c>
      <c r="L22" s="45">
        <v>9.3000000000000007</v>
      </c>
      <c r="M22" s="45" t="s">
        <v>426</v>
      </c>
      <c r="N22" s="45">
        <v>9.3000000000000007</v>
      </c>
      <c r="O22" s="45">
        <v>9.3000000000000007</v>
      </c>
      <c r="P22" s="45">
        <v>9.3000000000000007</v>
      </c>
      <c r="Q22" s="45">
        <v>9.3000000000000007</v>
      </c>
      <c r="R22" s="45">
        <v>9.6</v>
      </c>
      <c r="S22" s="45">
        <v>9.6</v>
      </c>
      <c r="T22" s="45">
        <v>9.6</v>
      </c>
      <c r="U22" s="45">
        <v>9.6</v>
      </c>
      <c r="V22" s="45">
        <v>9.6</v>
      </c>
      <c r="W22" s="45">
        <v>9.6</v>
      </c>
      <c r="X22" s="45">
        <v>9.6</v>
      </c>
      <c r="Y22" s="45">
        <v>9.6</v>
      </c>
      <c r="Z22" s="45">
        <v>9.6</v>
      </c>
      <c r="AA22" s="45">
        <v>9.6</v>
      </c>
      <c r="AB22" s="45">
        <v>9.6</v>
      </c>
      <c r="AC22" s="45">
        <v>9.6</v>
      </c>
      <c r="AD22" s="45">
        <v>9.6</v>
      </c>
      <c r="AE22" s="45">
        <v>9.6</v>
      </c>
      <c r="AF22" s="45">
        <v>9.6</v>
      </c>
      <c r="AG22" s="52">
        <v>30</v>
      </c>
      <c r="AH22" s="47">
        <f t="shared" si="2"/>
        <v>9.6</v>
      </c>
      <c r="AI22" s="48">
        <f t="shared" si="3"/>
        <v>9.3000000000000007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9</v>
      </c>
      <c r="C23" s="45">
        <v>9</v>
      </c>
      <c r="D23" s="45">
        <v>9</v>
      </c>
      <c r="E23" s="45">
        <v>9</v>
      </c>
      <c r="F23" s="45">
        <v>9</v>
      </c>
      <c r="G23" s="45">
        <v>9</v>
      </c>
      <c r="H23" s="45">
        <v>9</v>
      </c>
      <c r="I23" s="45">
        <v>9</v>
      </c>
      <c r="J23" s="45">
        <v>9</v>
      </c>
      <c r="K23" s="45">
        <v>9</v>
      </c>
      <c r="L23" s="45">
        <v>9</v>
      </c>
      <c r="M23" s="45" t="s">
        <v>423</v>
      </c>
      <c r="N23" s="45">
        <v>9</v>
      </c>
      <c r="O23" s="45">
        <v>9</v>
      </c>
      <c r="P23" s="45">
        <v>9</v>
      </c>
      <c r="Q23" s="45">
        <v>9</v>
      </c>
      <c r="R23" s="45">
        <v>9</v>
      </c>
      <c r="S23" s="45">
        <v>9</v>
      </c>
      <c r="T23" s="45">
        <v>9</v>
      </c>
      <c r="U23" s="45">
        <v>9</v>
      </c>
      <c r="V23" s="45">
        <v>9</v>
      </c>
      <c r="W23" s="45">
        <v>9</v>
      </c>
      <c r="X23" s="45">
        <v>9</v>
      </c>
      <c r="Y23" s="45">
        <v>9</v>
      </c>
      <c r="Z23" s="45">
        <v>9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9</v>
      </c>
      <c r="AG23" s="49">
        <v>24.2</v>
      </c>
      <c r="AH23" s="47">
        <f t="shared" si="2"/>
        <v>9</v>
      </c>
      <c r="AI23" s="48">
        <f t="shared" si="3"/>
        <v>9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9.5</v>
      </c>
      <c r="C24" s="45">
        <v>9.5</v>
      </c>
      <c r="D24" s="45">
        <v>9.5</v>
      </c>
      <c r="E24" s="45">
        <v>9.5</v>
      </c>
      <c r="F24" s="45">
        <v>9.5</v>
      </c>
      <c r="G24" s="45">
        <v>9.5</v>
      </c>
      <c r="H24" s="45">
        <v>9.5</v>
      </c>
      <c r="I24" s="45">
        <v>9.5</v>
      </c>
      <c r="J24" s="45">
        <v>9.5</v>
      </c>
      <c r="K24" s="45">
        <v>9.5</v>
      </c>
      <c r="L24" s="45">
        <v>9.5</v>
      </c>
      <c r="M24" s="45" t="s">
        <v>431</v>
      </c>
      <c r="N24" s="45">
        <v>9.5</v>
      </c>
      <c r="O24" s="45">
        <v>9.5</v>
      </c>
      <c r="P24" s="45">
        <v>9.5</v>
      </c>
      <c r="Q24" s="45">
        <v>9.5</v>
      </c>
      <c r="R24" s="45">
        <v>8.6</v>
      </c>
      <c r="S24" s="45">
        <v>8.6</v>
      </c>
      <c r="T24" s="45">
        <v>8.6</v>
      </c>
      <c r="U24" s="45">
        <v>8.6</v>
      </c>
      <c r="V24" s="45">
        <v>8.6</v>
      </c>
      <c r="W24" s="45">
        <v>8.6</v>
      </c>
      <c r="X24" s="45">
        <v>8.6</v>
      </c>
      <c r="Y24" s="45">
        <v>8.6</v>
      </c>
      <c r="Z24" s="45">
        <v>8.6</v>
      </c>
      <c r="AA24" s="45">
        <v>8.6</v>
      </c>
      <c r="AB24" s="45">
        <v>8.6</v>
      </c>
      <c r="AC24" s="45">
        <v>8.6</v>
      </c>
      <c r="AD24" s="45">
        <v>8.6</v>
      </c>
      <c r="AE24" s="45">
        <v>8.6</v>
      </c>
      <c r="AF24" s="45">
        <v>8.6</v>
      </c>
      <c r="AG24" s="49">
        <v>28</v>
      </c>
      <c r="AH24" s="47">
        <f t="shared" si="2"/>
        <v>9.5</v>
      </c>
      <c r="AI24" s="48">
        <f t="shared" si="3"/>
        <v>8.6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8</v>
      </c>
      <c r="C25" s="45">
        <v>8</v>
      </c>
      <c r="D25" s="45">
        <v>8</v>
      </c>
      <c r="E25" s="45">
        <v>8</v>
      </c>
      <c r="F25" s="45">
        <v>8</v>
      </c>
      <c r="G25" s="45">
        <v>8</v>
      </c>
      <c r="H25" s="45">
        <v>8</v>
      </c>
      <c r="I25" s="45">
        <v>8</v>
      </c>
      <c r="J25" s="45">
        <v>8</v>
      </c>
      <c r="K25" s="45">
        <v>8</v>
      </c>
      <c r="L25" s="45">
        <v>8</v>
      </c>
      <c r="M25" s="45" t="s">
        <v>427</v>
      </c>
      <c r="N25" s="45">
        <v>8</v>
      </c>
      <c r="O25" s="45">
        <v>8</v>
      </c>
      <c r="P25" s="45">
        <v>8</v>
      </c>
      <c r="Q25" s="45">
        <v>8</v>
      </c>
      <c r="R25" s="45">
        <v>10</v>
      </c>
      <c r="S25" s="45">
        <v>10</v>
      </c>
      <c r="T25" s="45">
        <v>10</v>
      </c>
      <c r="U25" s="45">
        <v>10</v>
      </c>
      <c r="V25" s="45">
        <v>10</v>
      </c>
      <c r="W25" s="45">
        <v>10</v>
      </c>
      <c r="X25" s="45">
        <v>10</v>
      </c>
      <c r="Y25" s="45">
        <v>10</v>
      </c>
      <c r="Z25" s="45">
        <v>10</v>
      </c>
      <c r="AA25" s="45">
        <v>10</v>
      </c>
      <c r="AB25" s="45">
        <v>10</v>
      </c>
      <c r="AC25" s="45">
        <v>10</v>
      </c>
      <c r="AD25" s="45">
        <v>10</v>
      </c>
      <c r="AE25" s="45">
        <v>10</v>
      </c>
      <c r="AF25" s="45">
        <v>10</v>
      </c>
      <c r="AG25" s="52">
        <v>30</v>
      </c>
      <c r="AH25" s="47">
        <f t="shared" si="2"/>
        <v>10</v>
      </c>
      <c r="AI25" s="48">
        <f t="shared" si="3"/>
        <v>8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9.6</v>
      </c>
      <c r="C26" s="45">
        <v>9.6</v>
      </c>
      <c r="D26" s="45">
        <v>9.6</v>
      </c>
      <c r="E26" s="45">
        <v>9.6</v>
      </c>
      <c r="F26" s="45">
        <v>9.6</v>
      </c>
      <c r="G26" s="45">
        <v>9.6</v>
      </c>
      <c r="H26" s="45">
        <v>9.6</v>
      </c>
      <c r="I26" s="45">
        <v>9.6</v>
      </c>
      <c r="J26" s="45">
        <v>9.6</v>
      </c>
      <c r="K26" s="45">
        <v>9.6</v>
      </c>
      <c r="L26" s="45">
        <v>9.6</v>
      </c>
      <c r="M26" s="45"/>
      <c r="N26" s="45">
        <v>9.6</v>
      </c>
      <c r="O26" s="45">
        <v>9.6</v>
      </c>
      <c r="P26" s="45">
        <v>9.6</v>
      </c>
      <c r="Q26" s="45">
        <v>9.6</v>
      </c>
      <c r="R26" s="45">
        <v>6.5</v>
      </c>
      <c r="S26" s="45">
        <v>6.5</v>
      </c>
      <c r="T26" s="45">
        <v>6.5</v>
      </c>
      <c r="U26" s="45">
        <v>6.5</v>
      </c>
      <c r="V26" s="45">
        <v>6.5</v>
      </c>
      <c r="W26" s="45">
        <v>6.5</v>
      </c>
      <c r="X26" s="45">
        <v>6.5</v>
      </c>
      <c r="Y26" s="45">
        <v>6.5</v>
      </c>
      <c r="Z26" s="45">
        <v>6.5</v>
      </c>
      <c r="AA26" s="45">
        <v>6.5</v>
      </c>
      <c r="AB26" s="45">
        <v>6.5</v>
      </c>
      <c r="AC26" s="45">
        <v>6.5</v>
      </c>
      <c r="AD26" s="45">
        <v>6.5</v>
      </c>
      <c r="AE26" s="45">
        <v>6.5</v>
      </c>
      <c r="AF26" s="45">
        <v>6.5</v>
      </c>
      <c r="AG26" s="49">
        <v>25</v>
      </c>
      <c r="AH26" s="47">
        <f t="shared" si="2"/>
        <v>9.6</v>
      </c>
      <c r="AI26" s="48">
        <f t="shared" si="3"/>
        <v>6.5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s="199" customFormat="1" ht="15.75" x14ac:dyDescent="0.25">
      <c r="A27" s="194" t="s">
        <v>33</v>
      </c>
      <c r="B27" s="195">
        <v>0</v>
      </c>
      <c r="C27" s="195">
        <v>0</v>
      </c>
      <c r="D27" s="195">
        <v>0</v>
      </c>
      <c r="E27" s="195">
        <v>5</v>
      </c>
      <c r="F27" s="195">
        <v>5</v>
      </c>
      <c r="G27" s="195">
        <v>5</v>
      </c>
      <c r="H27" s="195">
        <v>5</v>
      </c>
      <c r="I27" s="195">
        <v>5</v>
      </c>
      <c r="J27" s="195">
        <v>5</v>
      </c>
      <c r="K27" s="195">
        <v>5</v>
      </c>
      <c r="L27" s="195">
        <v>5</v>
      </c>
      <c r="M27" s="195"/>
      <c r="N27" s="195">
        <v>0</v>
      </c>
      <c r="O27" s="195">
        <v>5</v>
      </c>
      <c r="P27" s="195">
        <v>5</v>
      </c>
      <c r="Q27" s="195">
        <v>5</v>
      </c>
      <c r="R27" s="195">
        <v>5</v>
      </c>
      <c r="S27" s="195">
        <v>5</v>
      </c>
      <c r="T27" s="195">
        <v>5</v>
      </c>
      <c r="U27" s="195">
        <v>5</v>
      </c>
      <c r="V27" s="195">
        <v>5</v>
      </c>
      <c r="W27" s="195">
        <v>5</v>
      </c>
      <c r="X27" s="195">
        <v>5</v>
      </c>
      <c r="Y27" s="195">
        <v>5</v>
      </c>
      <c r="Z27" s="195">
        <v>5</v>
      </c>
      <c r="AA27" s="195">
        <v>5</v>
      </c>
      <c r="AB27" s="195">
        <v>5</v>
      </c>
      <c r="AC27" s="195">
        <v>5</v>
      </c>
      <c r="AD27" s="195">
        <v>5</v>
      </c>
      <c r="AE27" s="195">
        <v>5</v>
      </c>
      <c r="AF27" s="195">
        <v>5</v>
      </c>
      <c r="AG27" s="196">
        <v>25</v>
      </c>
      <c r="AH27" s="197">
        <f t="shared" si="2"/>
        <v>5</v>
      </c>
      <c r="AI27" s="198">
        <f t="shared" si="3"/>
        <v>0</v>
      </c>
      <c r="AK27" s="200"/>
      <c r="AL27" s="201"/>
      <c r="AM27" s="202"/>
      <c r="AN27" s="202"/>
      <c r="AO27" s="202"/>
      <c r="AP27" s="202"/>
      <c r="AQ27" s="202"/>
      <c r="AR27" s="202"/>
      <c r="AS27" s="202"/>
      <c r="AT27" s="202"/>
      <c r="AU27" s="202"/>
      <c r="AV27" s="202"/>
      <c r="AW27" s="202"/>
      <c r="AX27" s="202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02"/>
      <c r="BY27" s="202"/>
      <c r="BZ27" s="202"/>
      <c r="CA27" s="202"/>
      <c r="CB27" s="202"/>
      <c r="CC27" s="202"/>
      <c r="CD27" s="202"/>
      <c r="CE27" s="202"/>
      <c r="CF27" s="202"/>
      <c r="CG27" s="202"/>
      <c r="CH27" s="202"/>
      <c r="CI27" s="202"/>
      <c r="CJ27" s="202"/>
    </row>
    <row r="28" spans="1:88" x14ac:dyDescent="0.25">
      <c r="A28" s="44" t="s">
        <v>34</v>
      </c>
      <c r="B28" s="45">
        <v>7.5</v>
      </c>
      <c r="C28" s="45">
        <v>7.5</v>
      </c>
      <c r="D28" s="45">
        <v>7.5</v>
      </c>
      <c r="E28" s="45">
        <v>7.5</v>
      </c>
      <c r="F28" s="45">
        <v>7.5</v>
      </c>
      <c r="G28" s="45">
        <v>7.5</v>
      </c>
      <c r="H28" s="45">
        <v>7.5</v>
      </c>
      <c r="I28" s="45">
        <v>7.5</v>
      </c>
      <c r="J28" s="45">
        <v>7.5</v>
      </c>
      <c r="K28" s="45">
        <v>7.5</v>
      </c>
      <c r="L28" s="45">
        <v>7.5</v>
      </c>
      <c r="M28" s="45"/>
      <c r="N28" s="45">
        <v>7.5</v>
      </c>
      <c r="O28" s="45">
        <v>7.5</v>
      </c>
      <c r="P28" s="45">
        <v>7.5</v>
      </c>
      <c r="Q28" s="45">
        <v>7.5</v>
      </c>
      <c r="R28" s="45">
        <v>7.5</v>
      </c>
      <c r="S28" s="45">
        <v>7.5</v>
      </c>
      <c r="T28" s="45">
        <v>7.5</v>
      </c>
      <c r="U28" s="45">
        <v>7.5</v>
      </c>
      <c r="V28" s="45">
        <v>7.5</v>
      </c>
      <c r="W28" s="45">
        <v>7.5</v>
      </c>
      <c r="X28" s="45">
        <v>7.5</v>
      </c>
      <c r="Y28" s="45">
        <v>7.5</v>
      </c>
      <c r="Z28" s="45">
        <v>7.5</v>
      </c>
      <c r="AA28" s="45">
        <v>7.5</v>
      </c>
      <c r="AB28" s="45">
        <v>7.5</v>
      </c>
      <c r="AC28" s="45">
        <v>7.5</v>
      </c>
      <c r="AD28" s="45">
        <v>7.5</v>
      </c>
      <c r="AE28" s="45">
        <v>7.5</v>
      </c>
      <c r="AF28" s="45">
        <v>7.5</v>
      </c>
      <c r="AG28" s="49">
        <v>25</v>
      </c>
      <c r="AH28" s="47">
        <f t="shared" si="2"/>
        <v>7.5</v>
      </c>
      <c r="AI28" s="48">
        <f t="shared" si="3"/>
        <v>7.5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8.6</v>
      </c>
      <c r="C29" s="45">
        <v>8.6</v>
      </c>
      <c r="D29" s="45">
        <v>8.6</v>
      </c>
      <c r="E29" s="45">
        <v>8.6</v>
      </c>
      <c r="F29" s="45">
        <v>8.6</v>
      </c>
      <c r="G29" s="45">
        <v>8.6</v>
      </c>
      <c r="H29" s="45">
        <v>8.6</v>
      </c>
      <c r="I29" s="45">
        <v>8.6</v>
      </c>
      <c r="J29" s="45">
        <v>8.6</v>
      </c>
      <c r="K29" s="45">
        <v>8.6</v>
      </c>
      <c r="L29" s="45">
        <v>8.6</v>
      </c>
      <c r="M29" s="45"/>
      <c r="N29" s="45">
        <v>8.6</v>
      </c>
      <c r="O29" s="45">
        <v>8.6</v>
      </c>
      <c r="P29" s="45">
        <v>8.6</v>
      </c>
      <c r="Q29" s="45">
        <v>8.6</v>
      </c>
      <c r="R29" s="45">
        <v>9.6</v>
      </c>
      <c r="S29" s="45">
        <v>9.6</v>
      </c>
      <c r="T29" s="45">
        <v>9.6</v>
      </c>
      <c r="U29" s="45">
        <v>9.6</v>
      </c>
      <c r="V29" s="45">
        <v>9.6</v>
      </c>
      <c r="W29" s="45">
        <v>9.6</v>
      </c>
      <c r="X29" s="45">
        <v>9.6</v>
      </c>
      <c r="Y29" s="45">
        <v>9.6</v>
      </c>
      <c r="Z29" s="45">
        <v>9.6</v>
      </c>
      <c r="AA29" s="45">
        <v>9.6</v>
      </c>
      <c r="AB29" s="45">
        <v>9.6</v>
      </c>
      <c r="AC29" s="45">
        <v>9.6</v>
      </c>
      <c r="AD29" s="45">
        <v>9.6</v>
      </c>
      <c r="AE29" s="45">
        <v>9.6</v>
      </c>
      <c r="AF29" s="45">
        <v>9.6</v>
      </c>
      <c r="AG29" s="49">
        <v>25</v>
      </c>
      <c r="AH29" s="47">
        <f t="shared" si="2"/>
        <v>9.6</v>
      </c>
      <c r="AI29" s="48">
        <f t="shared" si="3"/>
        <v>8.6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8.1</v>
      </c>
      <c r="C30" s="45">
        <v>8.1</v>
      </c>
      <c r="D30" s="45">
        <v>8.1</v>
      </c>
      <c r="E30" s="45">
        <v>8.1</v>
      </c>
      <c r="F30" s="45">
        <v>8.1</v>
      </c>
      <c r="G30" s="45">
        <v>8.1</v>
      </c>
      <c r="H30" s="45">
        <v>8.1</v>
      </c>
      <c r="I30" s="45">
        <v>8.1</v>
      </c>
      <c r="J30" s="45">
        <v>8.1</v>
      </c>
      <c r="K30" s="45">
        <v>8.1</v>
      </c>
      <c r="L30" s="45">
        <v>8.1</v>
      </c>
      <c r="M30" s="45"/>
      <c r="N30" s="45">
        <v>8.1</v>
      </c>
      <c r="O30" s="45">
        <v>8.1</v>
      </c>
      <c r="P30" s="45">
        <v>8.1</v>
      </c>
      <c r="Q30" s="45">
        <v>8.1</v>
      </c>
      <c r="R30" s="45">
        <v>8.3000000000000007</v>
      </c>
      <c r="S30" s="45">
        <v>8.3000000000000007</v>
      </c>
      <c r="T30" s="45">
        <v>8.3000000000000007</v>
      </c>
      <c r="U30" s="45">
        <v>8.3000000000000007</v>
      </c>
      <c r="V30" s="45">
        <v>8.3000000000000007</v>
      </c>
      <c r="W30" s="45">
        <v>8.3000000000000007</v>
      </c>
      <c r="X30" s="45">
        <v>8.3000000000000007</v>
      </c>
      <c r="Y30" s="45">
        <v>8.3000000000000007</v>
      </c>
      <c r="Z30" s="45">
        <v>8.3000000000000007</v>
      </c>
      <c r="AA30" s="45">
        <v>8.3000000000000007</v>
      </c>
      <c r="AB30" s="45">
        <v>8.3000000000000007</v>
      </c>
      <c r="AC30" s="45">
        <v>8.3000000000000007</v>
      </c>
      <c r="AD30" s="45">
        <v>8.3000000000000007</v>
      </c>
      <c r="AE30" s="45">
        <v>8.3000000000000007</v>
      </c>
      <c r="AF30" s="45">
        <v>8.3000000000000007</v>
      </c>
      <c r="AG30" s="49">
        <v>23.5</v>
      </c>
      <c r="AH30" s="47">
        <f t="shared" si="2"/>
        <v>8.3000000000000007</v>
      </c>
      <c r="AI30" s="48">
        <f t="shared" si="3"/>
        <v>8.1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4.5</v>
      </c>
      <c r="C31" s="45">
        <v>4.5</v>
      </c>
      <c r="D31" s="45">
        <v>4.5</v>
      </c>
      <c r="E31" s="45">
        <v>4.5</v>
      </c>
      <c r="F31" s="45">
        <v>4.5</v>
      </c>
      <c r="G31" s="45">
        <v>4.5</v>
      </c>
      <c r="H31" s="45">
        <v>4.5</v>
      </c>
      <c r="I31" s="45">
        <v>4.5</v>
      </c>
      <c r="J31" s="45">
        <v>4.5</v>
      </c>
      <c r="K31" s="45">
        <v>4.5</v>
      </c>
      <c r="L31" s="45">
        <v>4.5</v>
      </c>
      <c r="M31" s="45"/>
      <c r="N31" s="45">
        <v>4.5</v>
      </c>
      <c r="O31" s="45">
        <v>4.5</v>
      </c>
      <c r="P31" s="45">
        <v>4.5</v>
      </c>
      <c r="Q31" s="45">
        <v>4.5</v>
      </c>
      <c r="R31" s="45">
        <v>4.5</v>
      </c>
      <c r="S31" s="45">
        <v>4.5</v>
      </c>
      <c r="T31" s="45">
        <v>4.5</v>
      </c>
      <c r="U31" s="45">
        <v>4.5</v>
      </c>
      <c r="V31" s="45">
        <v>4.5</v>
      </c>
      <c r="W31" s="45">
        <v>4.5</v>
      </c>
      <c r="X31" s="45">
        <v>4.5</v>
      </c>
      <c r="Y31" s="45">
        <v>4.5</v>
      </c>
      <c r="Z31" s="45">
        <v>4.5</v>
      </c>
      <c r="AA31" s="45">
        <v>4.5</v>
      </c>
      <c r="AB31" s="45">
        <v>4.5</v>
      </c>
      <c r="AC31" s="45">
        <v>4.5</v>
      </c>
      <c r="AD31" s="45">
        <v>4.5</v>
      </c>
      <c r="AE31" s="45">
        <v>4.5</v>
      </c>
      <c r="AF31" s="45">
        <v>4.5</v>
      </c>
      <c r="AG31" s="49">
        <v>22.2</v>
      </c>
      <c r="AH31" s="47">
        <f t="shared" si="2"/>
        <v>4.5</v>
      </c>
      <c r="AI31" s="48">
        <f t="shared" si="3"/>
        <v>4.5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/>
      <c r="N32" s="45">
        <v>5.5</v>
      </c>
      <c r="O32" s="45">
        <v>5.5</v>
      </c>
      <c r="P32" s="45">
        <v>5.5</v>
      </c>
      <c r="Q32" s="45">
        <v>5.5</v>
      </c>
      <c r="R32" s="45">
        <v>5.5</v>
      </c>
      <c r="S32" s="45">
        <v>5.5</v>
      </c>
      <c r="T32" s="45">
        <v>5.5</v>
      </c>
      <c r="U32" s="45">
        <v>5.5</v>
      </c>
      <c r="V32" s="45">
        <v>5.5</v>
      </c>
      <c r="W32" s="45">
        <v>5.5</v>
      </c>
      <c r="X32" s="45">
        <v>5.5</v>
      </c>
      <c r="Y32" s="45">
        <v>5.5</v>
      </c>
      <c r="Z32" s="45">
        <v>5.5</v>
      </c>
      <c r="AA32" s="45">
        <v>5.5</v>
      </c>
      <c r="AB32" s="45">
        <v>5.5</v>
      </c>
      <c r="AC32" s="45">
        <v>5.5</v>
      </c>
      <c r="AD32" s="45">
        <v>5.5</v>
      </c>
      <c r="AE32" s="45">
        <v>5.5</v>
      </c>
      <c r="AF32" s="45">
        <v>5.5</v>
      </c>
      <c r="AG32" s="49">
        <v>22.1</v>
      </c>
      <c r="AH32" s="47">
        <f t="shared" si="2"/>
        <v>5.5</v>
      </c>
      <c r="AI32" s="48">
        <f t="shared" si="3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/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22</v>
      </c>
      <c r="AH33" s="47">
        <f t="shared" si="2"/>
        <v>6</v>
      </c>
      <c r="AI33" s="48">
        <f t="shared" si="3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8.4</v>
      </c>
      <c r="C34" s="45">
        <v>8.4</v>
      </c>
      <c r="D34" s="45">
        <v>8.4</v>
      </c>
      <c r="E34" s="45">
        <v>8.4</v>
      </c>
      <c r="F34" s="45">
        <v>8.4</v>
      </c>
      <c r="G34" s="45">
        <v>8.4</v>
      </c>
      <c r="H34" s="45">
        <v>8.4</v>
      </c>
      <c r="I34" s="45">
        <v>8.4</v>
      </c>
      <c r="J34" s="45">
        <v>8.4</v>
      </c>
      <c r="K34" s="45">
        <v>8.4</v>
      </c>
      <c r="L34" s="45">
        <v>8.4</v>
      </c>
      <c r="M34" s="45"/>
      <c r="N34" s="45">
        <v>8.4</v>
      </c>
      <c r="O34" s="45">
        <v>8.4</v>
      </c>
      <c r="P34" s="45">
        <v>8.4</v>
      </c>
      <c r="Q34" s="45">
        <v>8.4</v>
      </c>
      <c r="R34" s="45">
        <v>6.8</v>
      </c>
      <c r="S34" s="45">
        <v>6.8</v>
      </c>
      <c r="T34" s="45">
        <v>6.8</v>
      </c>
      <c r="U34" s="45">
        <v>6.8</v>
      </c>
      <c r="V34" s="45">
        <v>6.8</v>
      </c>
      <c r="W34" s="45">
        <v>6.8</v>
      </c>
      <c r="X34" s="45">
        <v>6.8</v>
      </c>
      <c r="Y34" s="45">
        <v>6.8</v>
      </c>
      <c r="Z34" s="45">
        <v>6.8</v>
      </c>
      <c r="AA34" s="45">
        <v>6.8</v>
      </c>
      <c r="AB34" s="45">
        <v>6.8</v>
      </c>
      <c r="AC34" s="45">
        <v>6.8</v>
      </c>
      <c r="AD34" s="45">
        <v>6.8</v>
      </c>
      <c r="AE34" s="45">
        <v>6.8</v>
      </c>
      <c r="AF34" s="45">
        <v>6.8</v>
      </c>
      <c r="AG34" s="49">
        <v>22</v>
      </c>
      <c r="AH34" s="47">
        <f t="shared" si="2"/>
        <v>8.4</v>
      </c>
      <c r="AI34" s="48">
        <f t="shared" si="3"/>
        <v>6.8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6.5</v>
      </c>
      <c r="C35" s="45">
        <v>6.5</v>
      </c>
      <c r="D35" s="45">
        <v>6.5</v>
      </c>
      <c r="E35" s="45">
        <v>6.5</v>
      </c>
      <c r="F35" s="45">
        <v>6.5</v>
      </c>
      <c r="G35" s="45">
        <v>6.5</v>
      </c>
      <c r="H35" s="45">
        <v>6.5</v>
      </c>
      <c r="I35" s="45">
        <v>6.5</v>
      </c>
      <c r="J35" s="45">
        <v>6.5</v>
      </c>
      <c r="K35" s="45">
        <v>6.5</v>
      </c>
      <c r="L35" s="45">
        <v>6.5</v>
      </c>
      <c r="M35" s="45"/>
      <c r="N35" s="45">
        <v>6.5</v>
      </c>
      <c r="O35" s="45">
        <v>6.5</v>
      </c>
      <c r="P35" s="45">
        <v>6.5</v>
      </c>
      <c r="Q35" s="45">
        <v>6.5</v>
      </c>
      <c r="R35" s="45">
        <v>6.5</v>
      </c>
      <c r="S35" s="45">
        <v>6.5</v>
      </c>
      <c r="T35" s="45">
        <v>6.5</v>
      </c>
      <c r="U35" s="45">
        <v>6.5</v>
      </c>
      <c r="V35" s="45">
        <v>6.5</v>
      </c>
      <c r="W35" s="45">
        <v>6.5</v>
      </c>
      <c r="X35" s="45">
        <v>6.5</v>
      </c>
      <c r="Y35" s="45">
        <v>6.5</v>
      </c>
      <c r="Z35" s="45">
        <v>6.5</v>
      </c>
      <c r="AA35" s="45">
        <v>6.5</v>
      </c>
      <c r="AB35" s="45">
        <v>6.5</v>
      </c>
      <c r="AC35" s="45">
        <v>6.5</v>
      </c>
      <c r="AD35" s="45">
        <v>6.5</v>
      </c>
      <c r="AE35" s="45">
        <v>6.5</v>
      </c>
      <c r="AF35" s="45">
        <v>6.5</v>
      </c>
      <c r="AG35" s="49">
        <v>20</v>
      </c>
      <c r="AH35" s="47">
        <f t="shared" si="2"/>
        <v>6.5</v>
      </c>
      <c r="AI35" s="48">
        <f t="shared" si="3"/>
        <v>6.5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264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/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2"/>
        <v>4</v>
      </c>
      <c r="AI36" s="48">
        <f t="shared" si="3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5.5</v>
      </c>
      <c r="C37" s="45">
        <v>5.5</v>
      </c>
      <c r="D37" s="45">
        <v>5.5</v>
      </c>
      <c r="E37" s="45">
        <v>5.5</v>
      </c>
      <c r="F37" s="45">
        <v>5.5</v>
      </c>
      <c r="G37" s="45">
        <v>5.5</v>
      </c>
      <c r="H37" s="45">
        <v>5.5</v>
      </c>
      <c r="I37" s="45">
        <v>5.5</v>
      </c>
      <c r="J37" s="45">
        <v>5.5</v>
      </c>
      <c r="K37" s="45">
        <v>5.5</v>
      </c>
      <c r="L37" s="45">
        <v>5.5</v>
      </c>
      <c r="M37" s="45"/>
      <c r="N37" s="45">
        <v>5.5</v>
      </c>
      <c r="O37" s="45">
        <v>5.5</v>
      </c>
      <c r="P37" s="45">
        <v>5.5</v>
      </c>
      <c r="Q37" s="45">
        <v>5.5</v>
      </c>
      <c r="R37" s="45">
        <v>5.5</v>
      </c>
      <c r="S37" s="45">
        <v>5.5</v>
      </c>
      <c r="T37" s="45">
        <v>5.5</v>
      </c>
      <c r="U37" s="45">
        <v>5.5</v>
      </c>
      <c r="V37" s="45">
        <v>5.5</v>
      </c>
      <c r="W37" s="45">
        <v>5.5</v>
      </c>
      <c r="X37" s="45">
        <v>5.5</v>
      </c>
      <c r="Y37" s="45">
        <v>5.5</v>
      </c>
      <c r="Z37" s="45">
        <v>5.5</v>
      </c>
      <c r="AA37" s="45">
        <v>5.5</v>
      </c>
      <c r="AB37" s="45">
        <v>5.5</v>
      </c>
      <c r="AC37" s="45">
        <v>5.5</v>
      </c>
      <c r="AD37" s="45">
        <v>5.5</v>
      </c>
      <c r="AE37" s="45">
        <v>5.5</v>
      </c>
      <c r="AF37" s="45">
        <v>5.5</v>
      </c>
      <c r="AG37" s="49">
        <v>18</v>
      </c>
      <c r="AH37" s="47">
        <f t="shared" si="2"/>
        <v>5.5</v>
      </c>
      <c r="AI37" s="48">
        <f t="shared" si="3"/>
        <v>5.5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/>
      <c r="N38" s="45">
        <v>7.2</v>
      </c>
      <c r="O38" s="45">
        <v>7.2</v>
      </c>
      <c r="P38" s="45">
        <v>7.2</v>
      </c>
      <c r="Q38" s="45">
        <v>7.2</v>
      </c>
      <c r="R38" s="45">
        <v>7.2</v>
      </c>
      <c r="S38" s="45">
        <v>7.2</v>
      </c>
      <c r="T38" s="45">
        <v>7.2</v>
      </c>
      <c r="U38" s="45">
        <v>7.2</v>
      </c>
      <c r="V38" s="45">
        <v>7.2</v>
      </c>
      <c r="W38" s="45">
        <v>7.2</v>
      </c>
      <c r="X38" s="45">
        <v>7.2</v>
      </c>
      <c r="Y38" s="45">
        <v>7.2</v>
      </c>
      <c r="Z38" s="45">
        <v>7.2</v>
      </c>
      <c r="AA38" s="45">
        <v>7.2</v>
      </c>
      <c r="AB38" s="45">
        <v>7.2</v>
      </c>
      <c r="AC38" s="45">
        <v>7.2</v>
      </c>
      <c r="AD38" s="45">
        <v>7.2</v>
      </c>
      <c r="AE38" s="45">
        <v>7.2</v>
      </c>
      <c r="AF38" s="45">
        <v>7.2</v>
      </c>
      <c r="AG38" s="49">
        <v>14.9</v>
      </c>
      <c r="AH38" s="47">
        <f t="shared" si="2"/>
        <v>7.2</v>
      </c>
      <c r="AI38" s="48">
        <f t="shared" si="3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/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265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/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2"/>
        <v>5</v>
      </c>
      <c r="AI40" s="48">
        <f t="shared" si="3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266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/>
      <c r="N41" s="45">
        <v>4</v>
      </c>
      <c r="O41" s="45">
        <v>4</v>
      </c>
      <c r="P41" s="45">
        <v>4</v>
      </c>
      <c r="Q41" s="45">
        <v>4</v>
      </c>
      <c r="R41" s="45">
        <v>4</v>
      </c>
      <c r="S41" s="45">
        <v>4</v>
      </c>
      <c r="T41" s="45">
        <v>4</v>
      </c>
      <c r="U41" s="45">
        <v>4</v>
      </c>
      <c r="V41" s="45">
        <v>4</v>
      </c>
      <c r="W41" s="45">
        <v>4</v>
      </c>
      <c r="X41" s="45">
        <v>4</v>
      </c>
      <c r="Y41" s="45">
        <v>4</v>
      </c>
      <c r="Z41" s="45">
        <v>4</v>
      </c>
      <c r="AA41" s="45">
        <v>4</v>
      </c>
      <c r="AB41" s="45">
        <v>4</v>
      </c>
      <c r="AC41" s="45">
        <v>4</v>
      </c>
      <c r="AD41" s="45">
        <v>4</v>
      </c>
      <c r="AE41" s="45">
        <v>4</v>
      </c>
      <c r="AF41" s="45">
        <v>4</v>
      </c>
      <c r="AG41" s="49">
        <v>14.9</v>
      </c>
      <c r="AH41" s="47">
        <f t="shared" si="2"/>
        <v>4</v>
      </c>
      <c r="AI41" s="48">
        <f t="shared" si="3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/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2"/>
        <v>1.8</v>
      </c>
      <c r="AI42" s="48">
        <f t="shared" si="3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/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2"/>
        <v>3.8</v>
      </c>
      <c r="AI43" s="48">
        <f t="shared" si="3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4</v>
      </c>
      <c r="C44" s="45">
        <v>4</v>
      </c>
      <c r="D44" s="45">
        <v>4</v>
      </c>
      <c r="E44" s="45">
        <v>4</v>
      </c>
      <c r="F44" s="45">
        <v>4</v>
      </c>
      <c r="G44" s="45">
        <v>4</v>
      </c>
      <c r="H44" s="45">
        <v>4</v>
      </c>
      <c r="I44" s="45">
        <v>4</v>
      </c>
      <c r="J44" s="45">
        <v>4</v>
      </c>
      <c r="K44" s="45">
        <v>4</v>
      </c>
      <c r="L44" s="45">
        <v>4</v>
      </c>
      <c r="M44" s="45"/>
      <c r="N44" s="45">
        <v>4</v>
      </c>
      <c r="O44" s="45">
        <v>4</v>
      </c>
      <c r="P44" s="45">
        <v>4</v>
      </c>
      <c r="Q44" s="45">
        <v>4</v>
      </c>
      <c r="R44" s="45">
        <v>4</v>
      </c>
      <c r="S44" s="45">
        <v>4</v>
      </c>
      <c r="T44" s="45">
        <v>4</v>
      </c>
      <c r="U44" s="45">
        <v>4</v>
      </c>
      <c r="V44" s="45">
        <v>4</v>
      </c>
      <c r="W44" s="45">
        <v>4</v>
      </c>
      <c r="X44" s="45">
        <v>4</v>
      </c>
      <c r="Y44" s="45">
        <v>4</v>
      </c>
      <c r="Z44" s="45">
        <v>4</v>
      </c>
      <c r="AA44" s="45">
        <v>4</v>
      </c>
      <c r="AB44" s="45">
        <v>4</v>
      </c>
      <c r="AC44" s="45">
        <v>4</v>
      </c>
      <c r="AD44" s="45">
        <v>4</v>
      </c>
      <c r="AE44" s="45">
        <v>4</v>
      </c>
      <c r="AF44" s="45">
        <v>4</v>
      </c>
      <c r="AG44" s="49">
        <v>12</v>
      </c>
      <c r="AH44" s="47">
        <f t="shared" si="2"/>
        <v>4</v>
      </c>
      <c r="AI44" s="48">
        <f t="shared" si="3"/>
        <v>4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/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49">
        <v>12</v>
      </c>
      <c r="AH45" s="47">
        <f t="shared" si="2"/>
        <v>9</v>
      </c>
      <c r="AI45" s="48">
        <f t="shared" si="3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/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2"/>
        <v>3</v>
      </c>
      <c r="AI46" s="48">
        <f t="shared" si="3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/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2"/>
        <v>3.5</v>
      </c>
      <c r="AI47" s="48">
        <f t="shared" si="3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/>
      <c r="N48" s="45">
        <v>5</v>
      </c>
      <c r="O48" s="45">
        <v>5</v>
      </c>
      <c r="P48" s="45">
        <v>5</v>
      </c>
      <c r="Q48" s="45">
        <v>5</v>
      </c>
      <c r="R48" s="45">
        <v>5</v>
      </c>
      <c r="S48" s="45">
        <v>5</v>
      </c>
      <c r="T48" s="45">
        <v>5</v>
      </c>
      <c r="U48" s="45">
        <v>5</v>
      </c>
      <c r="V48" s="45">
        <v>5</v>
      </c>
      <c r="W48" s="45">
        <v>5</v>
      </c>
      <c r="X48" s="45">
        <v>5</v>
      </c>
      <c r="Y48" s="45">
        <v>5</v>
      </c>
      <c r="Z48" s="45">
        <v>5</v>
      </c>
      <c r="AA48" s="45">
        <v>5</v>
      </c>
      <c r="AB48" s="45">
        <v>5</v>
      </c>
      <c r="AC48" s="45">
        <v>5</v>
      </c>
      <c r="AD48" s="45">
        <v>5</v>
      </c>
      <c r="AE48" s="45">
        <v>5</v>
      </c>
      <c r="AF48" s="45">
        <v>5</v>
      </c>
      <c r="AG48" s="52">
        <v>11.88</v>
      </c>
      <c r="AH48" s="47">
        <f t="shared" si="2"/>
        <v>5</v>
      </c>
      <c r="AI48" s="48">
        <f t="shared" si="3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/>
      <c r="N49" s="45">
        <v>3</v>
      </c>
      <c r="O49" s="45">
        <v>3</v>
      </c>
      <c r="P49" s="45">
        <v>3</v>
      </c>
      <c r="Q49" s="45">
        <v>3</v>
      </c>
      <c r="R49" s="45">
        <v>3</v>
      </c>
      <c r="S49" s="45">
        <v>3</v>
      </c>
      <c r="T49" s="45">
        <v>3</v>
      </c>
      <c r="U49" s="45">
        <v>3</v>
      </c>
      <c r="V49" s="45">
        <v>3</v>
      </c>
      <c r="W49" s="45">
        <v>3</v>
      </c>
      <c r="X49" s="45">
        <v>3</v>
      </c>
      <c r="Y49" s="45">
        <v>3</v>
      </c>
      <c r="Z49" s="45">
        <v>3</v>
      </c>
      <c r="AA49" s="45">
        <v>3</v>
      </c>
      <c r="AB49" s="45">
        <v>3</v>
      </c>
      <c r="AC49" s="45">
        <v>3</v>
      </c>
      <c r="AD49" s="45">
        <v>3</v>
      </c>
      <c r="AE49" s="45">
        <v>3</v>
      </c>
      <c r="AF49" s="45">
        <v>3</v>
      </c>
      <c r="AG49" s="55">
        <v>11</v>
      </c>
      <c r="AH49" s="47">
        <f t="shared" si="2"/>
        <v>3</v>
      </c>
      <c r="AI49" s="48">
        <f t="shared" si="3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267</v>
      </c>
      <c r="B50" s="45">
        <v>3.3</v>
      </c>
      <c r="C50" s="45">
        <v>3.3</v>
      </c>
      <c r="D50" s="45">
        <v>3.3</v>
      </c>
      <c r="E50" s="45">
        <v>3.3</v>
      </c>
      <c r="F50" s="45">
        <v>3.3</v>
      </c>
      <c r="G50" s="45">
        <v>3.3</v>
      </c>
      <c r="H50" s="45">
        <v>3.3</v>
      </c>
      <c r="I50" s="45">
        <v>3.3</v>
      </c>
      <c r="J50" s="45">
        <v>3.3</v>
      </c>
      <c r="K50" s="45">
        <v>3.3</v>
      </c>
      <c r="L50" s="45">
        <v>3.3</v>
      </c>
      <c r="M50" s="45"/>
      <c r="N50" s="45">
        <v>3.3</v>
      </c>
      <c r="O50" s="45">
        <v>3.3</v>
      </c>
      <c r="P50" s="45">
        <v>3.3</v>
      </c>
      <c r="Q50" s="45">
        <v>3.3</v>
      </c>
      <c r="R50" s="45">
        <v>3.3</v>
      </c>
      <c r="S50" s="45">
        <v>3.3</v>
      </c>
      <c r="T50" s="45">
        <v>3.3</v>
      </c>
      <c r="U50" s="45">
        <v>3.3</v>
      </c>
      <c r="V50" s="45">
        <v>3.3</v>
      </c>
      <c r="W50" s="45">
        <v>3.3</v>
      </c>
      <c r="X50" s="45">
        <v>3.3</v>
      </c>
      <c r="Y50" s="45">
        <v>3.3</v>
      </c>
      <c r="Z50" s="45">
        <v>3.3</v>
      </c>
      <c r="AA50" s="45">
        <v>3.3</v>
      </c>
      <c r="AB50" s="45">
        <v>3.3</v>
      </c>
      <c r="AC50" s="45">
        <v>3.3</v>
      </c>
      <c r="AD50" s="45">
        <v>3.3</v>
      </c>
      <c r="AE50" s="45">
        <v>3.3</v>
      </c>
      <c r="AF50" s="45">
        <v>3.3</v>
      </c>
      <c r="AG50" s="55">
        <v>11</v>
      </c>
      <c r="AH50" s="47">
        <f t="shared" si="2"/>
        <v>3.3</v>
      </c>
      <c r="AI50" s="48">
        <f t="shared" si="3"/>
        <v>3.3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268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/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"/>
        <v>3</v>
      </c>
      <c r="AI51" s="48">
        <f t="shared" si="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/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2"/>
        <v>4</v>
      </c>
      <c r="AI52" s="48">
        <f t="shared" si="3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/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"/>
        <v>4.5</v>
      </c>
      <c r="AI53" s="48">
        <f t="shared" si="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/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269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/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"/>
        <v>0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175</v>
      </c>
      <c r="C56" s="57">
        <v>175</v>
      </c>
      <c r="D56" s="57">
        <v>175</v>
      </c>
      <c r="E56" s="57">
        <v>175</v>
      </c>
      <c r="F56" s="57">
        <v>175</v>
      </c>
      <c r="G56" s="57">
        <v>175</v>
      </c>
      <c r="H56" s="57">
        <v>175</v>
      </c>
      <c r="I56" s="57">
        <v>175</v>
      </c>
      <c r="J56" s="57">
        <v>175</v>
      </c>
      <c r="K56" s="57">
        <v>175</v>
      </c>
      <c r="L56" s="57">
        <v>175</v>
      </c>
      <c r="M56" s="57"/>
      <c r="N56" s="57">
        <v>175</v>
      </c>
      <c r="O56" s="57">
        <v>175</v>
      </c>
      <c r="P56" s="57">
        <v>175</v>
      </c>
      <c r="Q56" s="57">
        <v>175</v>
      </c>
      <c r="R56" s="57">
        <v>175</v>
      </c>
      <c r="S56" s="57">
        <v>175</v>
      </c>
      <c r="T56" s="57">
        <v>175</v>
      </c>
      <c r="U56" s="57">
        <v>175</v>
      </c>
      <c r="V56" s="57">
        <v>175</v>
      </c>
      <c r="W56" s="57">
        <v>175</v>
      </c>
      <c r="X56" s="57">
        <v>175</v>
      </c>
      <c r="Y56" s="57">
        <v>175</v>
      </c>
      <c r="Z56" s="57">
        <v>175</v>
      </c>
      <c r="AA56" s="57">
        <v>175</v>
      </c>
      <c r="AB56" s="57">
        <v>175</v>
      </c>
      <c r="AC56" s="57">
        <v>175</v>
      </c>
      <c r="AD56" s="57">
        <v>175</v>
      </c>
      <c r="AE56" s="57">
        <v>175</v>
      </c>
      <c r="AF56" s="57">
        <v>175</v>
      </c>
      <c r="AG56" s="55">
        <v>85</v>
      </c>
      <c r="AH56" s="47">
        <f t="shared" si="2"/>
        <v>175</v>
      </c>
      <c r="AI56" s="48">
        <f t="shared" si="3"/>
        <v>175</v>
      </c>
      <c r="AK56" s="50"/>
    </row>
    <row r="57" spans="1:88" ht="15.75" thickBot="1" x14ac:dyDescent="0.3">
      <c r="A57" s="58" t="s">
        <v>57</v>
      </c>
      <c r="B57" s="57">
        <v>19.100000000000001</v>
      </c>
      <c r="C57" s="57">
        <v>19.100000000000001</v>
      </c>
      <c r="D57" s="57">
        <v>19.100000000000001</v>
      </c>
      <c r="E57" s="57">
        <v>19.100000000000001</v>
      </c>
      <c r="F57" s="57">
        <v>26</v>
      </c>
      <c r="G57" s="57">
        <v>28.8</v>
      </c>
      <c r="H57" s="57">
        <v>28.8</v>
      </c>
      <c r="I57" s="57">
        <v>28.8</v>
      </c>
      <c r="J57" s="57">
        <v>28.8</v>
      </c>
      <c r="K57" s="57">
        <v>28.8</v>
      </c>
      <c r="L57" s="57">
        <v>28.8</v>
      </c>
      <c r="M57" s="51"/>
      <c r="N57" s="51">
        <f>18.4+5.2</f>
        <v>23.599999999999998</v>
      </c>
      <c r="O57" s="51">
        <f>20.9+8.6</f>
        <v>29.5</v>
      </c>
      <c r="P57" s="51">
        <f>20.9+8.6</f>
        <v>29.5</v>
      </c>
      <c r="Q57" s="51">
        <f>11.9+4.5</f>
        <v>16.399999999999999</v>
      </c>
      <c r="R57" s="51">
        <f>8.5+15.3</f>
        <v>23.8</v>
      </c>
      <c r="S57" s="51">
        <f>8.5+15.3</f>
        <v>23.8</v>
      </c>
      <c r="T57" s="51">
        <f>8.5+15.3</f>
        <v>23.8</v>
      </c>
      <c r="U57" s="51">
        <f>8.5+15.3</f>
        <v>23.8</v>
      </c>
      <c r="V57" s="51">
        <f>8.5+15.3</f>
        <v>23.8</v>
      </c>
      <c r="W57" s="51">
        <v>26.5</v>
      </c>
      <c r="X57" s="51">
        <v>26.5</v>
      </c>
      <c r="Y57" s="51">
        <v>26.5</v>
      </c>
      <c r="Z57" s="51">
        <v>26.5</v>
      </c>
      <c r="AA57" s="51">
        <v>26.5</v>
      </c>
      <c r="AB57" s="51">
        <v>26.5</v>
      </c>
      <c r="AC57" s="51">
        <v>26.5</v>
      </c>
      <c r="AD57" s="51">
        <v>26.5</v>
      </c>
      <c r="AE57" s="51">
        <v>26.5</v>
      </c>
      <c r="AF57" s="51">
        <v>26.5</v>
      </c>
      <c r="AG57" s="55">
        <v>240</v>
      </c>
      <c r="AH57" s="47">
        <f t="shared" si="2"/>
        <v>29.5</v>
      </c>
      <c r="AI57" s="48">
        <f t="shared" si="3"/>
        <v>16.399999999999999</v>
      </c>
      <c r="AK57" s="50"/>
    </row>
    <row r="58" spans="1:88" ht="15.75" thickBot="1" x14ac:dyDescent="0.3">
      <c r="A58" s="59" t="s">
        <v>58</v>
      </c>
      <c r="B58" s="60">
        <v>7.2</v>
      </c>
      <c r="C58" s="60">
        <f>SUM(C11:C56)</f>
        <v>541.45000000000005</v>
      </c>
      <c r="D58" s="60">
        <f t="shared" ref="D58:AA58" si="4">SUM(D11:D56)</f>
        <v>541.45000000000005</v>
      </c>
      <c r="E58" s="60">
        <f t="shared" si="4"/>
        <v>544.75</v>
      </c>
      <c r="F58" s="60">
        <f t="shared" si="4"/>
        <v>544.75</v>
      </c>
      <c r="G58" s="60">
        <f t="shared" si="4"/>
        <v>544.75</v>
      </c>
      <c r="H58" s="60">
        <f t="shared" si="4"/>
        <v>544.75</v>
      </c>
      <c r="I58" s="60">
        <f t="shared" ref="I58:J58" si="5">SUM(I11:I56)</f>
        <v>544.75</v>
      </c>
      <c r="J58" s="60">
        <f t="shared" si="5"/>
        <v>544.75</v>
      </c>
      <c r="K58" s="60">
        <f t="shared" si="4"/>
        <v>544.75</v>
      </c>
      <c r="L58" s="60">
        <f t="shared" ref="L58" si="6">SUM(L11:L56)</f>
        <v>544.75</v>
      </c>
      <c r="M58" s="60">
        <f t="shared" si="4"/>
        <v>0</v>
      </c>
      <c r="N58" s="60">
        <f t="shared" si="4"/>
        <v>540.75</v>
      </c>
      <c r="O58" s="60">
        <f t="shared" si="4"/>
        <v>545.75</v>
      </c>
      <c r="P58" s="60">
        <f t="shared" si="4"/>
        <v>545.75</v>
      </c>
      <c r="Q58" s="60">
        <f t="shared" si="4"/>
        <v>545.25</v>
      </c>
      <c r="R58" s="60">
        <f t="shared" ref="R58" si="7">SUM(R11:R56)</f>
        <v>542.40000000000009</v>
      </c>
      <c r="S58" s="60">
        <f t="shared" si="4"/>
        <v>542.40000000000009</v>
      </c>
      <c r="T58" s="60">
        <f t="shared" si="4"/>
        <v>542.40000000000009</v>
      </c>
      <c r="U58" s="60">
        <f t="shared" si="4"/>
        <v>542.40000000000009</v>
      </c>
      <c r="V58" s="60">
        <f t="shared" si="4"/>
        <v>542.40000000000009</v>
      </c>
      <c r="W58" s="60">
        <f t="shared" si="4"/>
        <v>542.40000000000009</v>
      </c>
      <c r="X58" s="60">
        <f t="shared" si="4"/>
        <v>542.40000000000009</v>
      </c>
      <c r="Y58" s="60">
        <f t="shared" si="4"/>
        <v>542.40000000000009</v>
      </c>
      <c r="Z58" s="60">
        <f t="shared" si="4"/>
        <v>542.40000000000009</v>
      </c>
      <c r="AA58" s="60">
        <f t="shared" si="4"/>
        <v>542.40000000000009</v>
      </c>
      <c r="AB58" s="60">
        <f t="shared" ref="AB58:AC58" si="8">SUM(AB11:AB56)</f>
        <v>542.40000000000009</v>
      </c>
      <c r="AC58" s="60">
        <f t="shared" si="8"/>
        <v>542.40000000000009</v>
      </c>
      <c r="AD58" s="60">
        <f t="shared" ref="AD58:AE58" si="9">SUM(AD11:AD56)</f>
        <v>542.40000000000009</v>
      </c>
      <c r="AE58" s="60">
        <f t="shared" si="9"/>
        <v>542.40000000000009</v>
      </c>
      <c r="AF58" s="60">
        <f t="shared" ref="AF58" si="10">SUM(AF11:AF56)</f>
        <v>542.40000000000009</v>
      </c>
      <c r="AG58" s="61">
        <f>SUM(AG14:AG56)</f>
        <v>1042.4000000000001</v>
      </c>
      <c r="AH58" s="47">
        <f t="shared" si="2"/>
        <v>545.75</v>
      </c>
      <c r="AI58" s="48">
        <f t="shared" si="3"/>
        <v>0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150</v>
      </c>
      <c r="K59" s="45">
        <v>300</v>
      </c>
      <c r="L59" s="45">
        <v>380</v>
      </c>
      <c r="M59" s="45"/>
      <c r="N59" s="63">
        <v>340</v>
      </c>
      <c r="O59" s="63">
        <v>180</v>
      </c>
      <c r="P59" s="63">
        <v>100</v>
      </c>
      <c r="Q59" s="63">
        <v>60</v>
      </c>
      <c r="R59" s="63">
        <v>0</v>
      </c>
      <c r="S59" s="63">
        <v>0</v>
      </c>
      <c r="T59" s="63">
        <v>0</v>
      </c>
      <c r="U59" s="63">
        <v>0</v>
      </c>
      <c r="V59" s="63">
        <v>152</v>
      </c>
      <c r="W59" s="45">
        <v>170</v>
      </c>
      <c r="X59" s="45">
        <v>275</v>
      </c>
      <c r="Y59" s="45">
        <v>280</v>
      </c>
      <c r="Z59" s="45">
        <v>200</v>
      </c>
      <c r="AA59" s="45">
        <v>200</v>
      </c>
      <c r="AB59" s="45">
        <v>150</v>
      </c>
      <c r="AC59" s="45">
        <v>150</v>
      </c>
      <c r="AD59" s="45">
        <v>0</v>
      </c>
      <c r="AE59" s="45">
        <v>0</v>
      </c>
      <c r="AF59" s="45">
        <v>0</v>
      </c>
      <c r="AG59" s="52">
        <v>456</v>
      </c>
      <c r="AH59" s="47">
        <f t="shared" si="2"/>
        <v>380</v>
      </c>
      <c r="AI59" s="48">
        <f t="shared" si="3"/>
        <v>0</v>
      </c>
      <c r="AK59" s="50"/>
    </row>
    <row r="60" spans="1:88" x14ac:dyDescent="0.25">
      <c r="A60" s="64" t="s">
        <v>60</v>
      </c>
      <c r="B60" s="65">
        <v>36</v>
      </c>
      <c r="C60" s="65">
        <v>36</v>
      </c>
      <c r="D60" s="65">
        <v>36</v>
      </c>
      <c r="E60" s="65">
        <v>36</v>
      </c>
      <c r="F60" s="65">
        <v>36</v>
      </c>
      <c r="G60" s="65">
        <v>36</v>
      </c>
      <c r="H60" s="65">
        <v>36</v>
      </c>
      <c r="I60" s="65">
        <v>36</v>
      </c>
      <c r="J60" s="65">
        <v>36</v>
      </c>
      <c r="K60" s="65">
        <v>36</v>
      </c>
      <c r="L60" s="65">
        <v>36</v>
      </c>
      <c r="M60" s="65"/>
      <c r="N60" s="65">
        <v>36</v>
      </c>
      <c r="O60" s="65">
        <v>36</v>
      </c>
      <c r="P60" s="65">
        <v>36</v>
      </c>
      <c r="Q60" s="65">
        <v>36</v>
      </c>
      <c r="R60" s="65">
        <v>36</v>
      </c>
      <c r="S60" s="65">
        <v>36</v>
      </c>
      <c r="T60" s="65">
        <v>36</v>
      </c>
      <c r="U60" s="65">
        <v>36</v>
      </c>
      <c r="V60" s="65">
        <v>36</v>
      </c>
      <c r="W60" s="65">
        <v>36</v>
      </c>
      <c r="X60" s="65">
        <v>36</v>
      </c>
      <c r="Y60" s="65">
        <v>36</v>
      </c>
      <c r="Z60" s="65">
        <v>36</v>
      </c>
      <c r="AA60" s="65">
        <v>36</v>
      </c>
      <c r="AB60" s="65">
        <v>36</v>
      </c>
      <c r="AC60" s="65">
        <v>36</v>
      </c>
      <c r="AD60" s="65">
        <v>36</v>
      </c>
      <c r="AE60" s="65">
        <v>36</v>
      </c>
      <c r="AF60" s="65">
        <v>36</v>
      </c>
      <c r="AG60" s="55">
        <v>60</v>
      </c>
      <c r="AH60" s="47">
        <f t="shared" si="2"/>
        <v>36</v>
      </c>
      <c r="AI60" s="48">
        <f t="shared" si="3"/>
        <v>36</v>
      </c>
      <c r="AK60" s="50"/>
    </row>
    <row r="61" spans="1:88" ht="15.75" thickBot="1" x14ac:dyDescent="0.3">
      <c r="A61" s="66" t="s">
        <v>61</v>
      </c>
      <c r="B61" s="67">
        <v>16.100000000000001</v>
      </c>
      <c r="C61" s="67">
        <v>16.100000000000001</v>
      </c>
      <c r="D61" s="67">
        <v>10.6</v>
      </c>
      <c r="E61" s="67">
        <v>10.6</v>
      </c>
      <c r="F61" s="67">
        <v>10.6</v>
      </c>
      <c r="G61" s="67">
        <v>10.6</v>
      </c>
      <c r="H61" s="67">
        <v>10.6</v>
      </c>
      <c r="I61" s="67">
        <v>10.6</v>
      </c>
      <c r="J61" s="67">
        <v>10.6</v>
      </c>
      <c r="K61" s="67">
        <v>10.6</v>
      </c>
      <c r="L61" s="67">
        <v>10.6</v>
      </c>
      <c r="M61" s="67"/>
      <c r="N61" s="67">
        <v>13.1</v>
      </c>
      <c r="O61" s="67">
        <v>13.1</v>
      </c>
      <c r="P61" s="67">
        <v>13.1</v>
      </c>
      <c r="Q61" s="67">
        <v>13.1</v>
      </c>
      <c r="R61" s="67">
        <v>9.6999999999999993</v>
      </c>
      <c r="S61" s="67">
        <v>9.6999999999999993</v>
      </c>
      <c r="T61" s="67">
        <v>9.6999999999999993</v>
      </c>
      <c r="U61" s="67">
        <v>9.6999999999999993</v>
      </c>
      <c r="V61" s="67">
        <v>9.6999999999999993</v>
      </c>
      <c r="W61" s="67">
        <v>9.74</v>
      </c>
      <c r="X61" s="67">
        <v>9.74</v>
      </c>
      <c r="Y61" s="67">
        <v>9.74</v>
      </c>
      <c r="Z61" s="67">
        <v>9.74</v>
      </c>
      <c r="AA61" s="67">
        <v>9.74</v>
      </c>
      <c r="AB61" s="67">
        <v>9.74</v>
      </c>
      <c r="AC61" s="67">
        <v>9.74</v>
      </c>
      <c r="AD61" s="67">
        <v>9.74</v>
      </c>
      <c r="AE61" s="67">
        <v>9.74</v>
      </c>
      <c r="AF61" s="67">
        <v>9.74</v>
      </c>
      <c r="AG61" s="68">
        <v>22.1</v>
      </c>
      <c r="AH61" s="47">
        <f t="shared" si="2"/>
        <v>16.100000000000001</v>
      </c>
      <c r="AI61" s="48">
        <f t="shared" si="3"/>
        <v>9.6999999999999993</v>
      </c>
      <c r="AK61" s="50"/>
    </row>
    <row r="62" spans="1:88" ht="15.75" thickBot="1" x14ac:dyDescent="0.3">
      <c r="A62" s="69" t="s">
        <v>62</v>
      </c>
      <c r="B62" s="60">
        <v>1.8</v>
      </c>
      <c r="C62" s="60">
        <f t="shared" ref="C62:AG62" si="11">SUM(C59:C61)</f>
        <v>52.1</v>
      </c>
      <c r="D62" s="60">
        <f t="shared" si="11"/>
        <v>46.6</v>
      </c>
      <c r="E62" s="60">
        <f t="shared" si="11"/>
        <v>46.6</v>
      </c>
      <c r="F62" s="60">
        <f t="shared" ref="F62" si="12">SUM(F59:F61)</f>
        <v>46.6</v>
      </c>
      <c r="G62" s="60">
        <f t="shared" si="11"/>
        <v>46.6</v>
      </c>
      <c r="H62" s="60">
        <f t="shared" si="11"/>
        <v>46.6</v>
      </c>
      <c r="I62" s="60">
        <f t="shared" ref="I62:J62" si="13">SUM(I59:I61)</f>
        <v>46.6</v>
      </c>
      <c r="J62" s="60">
        <f t="shared" si="13"/>
        <v>196.6</v>
      </c>
      <c r="K62" s="60">
        <f t="shared" si="11"/>
        <v>346.6</v>
      </c>
      <c r="L62" s="60">
        <f t="shared" ref="L62" si="14">SUM(L59:L61)</f>
        <v>426.6</v>
      </c>
      <c r="M62" s="60">
        <f t="shared" si="11"/>
        <v>0</v>
      </c>
      <c r="N62" s="60">
        <f t="shared" si="11"/>
        <v>389.1</v>
      </c>
      <c r="O62" s="60">
        <f t="shared" si="11"/>
        <v>229.1</v>
      </c>
      <c r="P62" s="60">
        <f t="shared" si="11"/>
        <v>149.1</v>
      </c>
      <c r="Q62" s="60">
        <f t="shared" si="11"/>
        <v>109.1</v>
      </c>
      <c r="R62" s="60">
        <f t="shared" ref="R62" si="15">SUM(R59:R61)</f>
        <v>45.7</v>
      </c>
      <c r="S62" s="60">
        <f t="shared" si="11"/>
        <v>45.7</v>
      </c>
      <c r="T62" s="60">
        <f t="shared" si="11"/>
        <v>45.7</v>
      </c>
      <c r="U62" s="60">
        <f t="shared" si="11"/>
        <v>45.7</v>
      </c>
      <c r="V62" s="60">
        <f t="shared" si="11"/>
        <v>197.7</v>
      </c>
      <c r="W62" s="60">
        <f t="shared" si="11"/>
        <v>215.74</v>
      </c>
      <c r="X62" s="60">
        <f t="shared" si="11"/>
        <v>320.74</v>
      </c>
      <c r="Y62" s="60">
        <f t="shared" si="11"/>
        <v>325.74</v>
      </c>
      <c r="Z62" s="60">
        <f t="shared" si="11"/>
        <v>245.74</v>
      </c>
      <c r="AA62" s="60">
        <f t="shared" si="11"/>
        <v>245.74</v>
      </c>
      <c r="AB62" s="60">
        <f t="shared" ref="AB62:AC62" si="16">SUM(AB59:AB61)</f>
        <v>195.74</v>
      </c>
      <c r="AC62" s="60">
        <f t="shared" si="16"/>
        <v>195.74</v>
      </c>
      <c r="AD62" s="60">
        <f t="shared" ref="AD62:AE62" si="17">SUM(AD59:AD61)</f>
        <v>45.74</v>
      </c>
      <c r="AE62" s="60">
        <f t="shared" si="17"/>
        <v>45.74</v>
      </c>
      <c r="AF62" s="60">
        <f t="shared" ref="AF62" si="18">SUM(AF59:AF61)</f>
        <v>45.74</v>
      </c>
      <c r="AG62" s="61">
        <f t="shared" si="11"/>
        <v>538.1</v>
      </c>
      <c r="AH62" s="47">
        <f t="shared" si="2"/>
        <v>426.6</v>
      </c>
      <c r="AI62" s="48">
        <f t="shared" si="3"/>
        <v>0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30</v>
      </c>
      <c r="H63" s="45">
        <v>70</v>
      </c>
      <c r="I63" s="45">
        <v>97</v>
      </c>
      <c r="J63" s="45">
        <v>142.1</v>
      </c>
      <c r="K63" s="45">
        <v>130</v>
      </c>
      <c r="L63" s="45">
        <v>130</v>
      </c>
      <c r="M63" s="45"/>
      <c r="N63" s="45">
        <v>119.3</v>
      </c>
      <c r="O63" s="45">
        <v>111.8</v>
      </c>
      <c r="P63" s="45">
        <v>111.8</v>
      </c>
      <c r="Q63" s="45">
        <v>102</v>
      </c>
      <c r="R63" s="45">
        <v>61.1</v>
      </c>
      <c r="S63" s="45">
        <v>30.6</v>
      </c>
      <c r="T63" s="45">
        <v>26</v>
      </c>
      <c r="U63" s="45">
        <v>25.5</v>
      </c>
      <c r="V63" s="45">
        <v>0</v>
      </c>
      <c r="W63" s="45">
        <v>81.8</v>
      </c>
      <c r="X63" s="45">
        <v>139</v>
      </c>
      <c r="Y63" s="45">
        <v>139</v>
      </c>
      <c r="Z63" s="45">
        <v>134</v>
      </c>
      <c r="AA63" s="45">
        <v>134</v>
      </c>
      <c r="AB63" s="45">
        <v>134</v>
      </c>
      <c r="AC63" s="45">
        <v>134</v>
      </c>
      <c r="AD63" s="45">
        <v>61</v>
      </c>
      <c r="AE63" s="45">
        <v>30.3</v>
      </c>
      <c r="AF63" s="45">
        <v>0</v>
      </c>
      <c r="AG63" s="52">
        <v>144</v>
      </c>
      <c r="AH63" s="47">
        <f t="shared" si="2"/>
        <v>142.1</v>
      </c>
      <c r="AI63" s="48">
        <f t="shared" si="3"/>
        <v>0</v>
      </c>
      <c r="AK63" s="50"/>
    </row>
    <row r="64" spans="1:88" x14ac:dyDescent="0.25">
      <c r="A64" s="54" t="s">
        <v>64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35</v>
      </c>
      <c r="H64" s="65">
        <v>35</v>
      </c>
      <c r="I64" s="65">
        <v>60</v>
      </c>
      <c r="J64" s="65">
        <v>70</v>
      </c>
      <c r="K64" s="65">
        <v>60</v>
      </c>
      <c r="L64" s="65">
        <v>60</v>
      </c>
      <c r="M64" s="65"/>
      <c r="N64" s="65">
        <v>67.400000000000006</v>
      </c>
      <c r="O64" s="65">
        <v>67.900000000000006</v>
      </c>
      <c r="P64" s="65">
        <v>67.900000000000006</v>
      </c>
      <c r="Q64" s="65">
        <v>34</v>
      </c>
      <c r="R64" s="65">
        <v>23.3</v>
      </c>
      <c r="S64" s="65">
        <v>0</v>
      </c>
      <c r="T64" s="65">
        <v>0</v>
      </c>
      <c r="U64" s="45">
        <v>0</v>
      </c>
      <c r="V64" s="45">
        <v>24.6</v>
      </c>
      <c r="W64" s="45">
        <v>30.9</v>
      </c>
      <c r="X64" s="45">
        <v>69.5</v>
      </c>
      <c r="Y64" s="45">
        <v>69.5</v>
      </c>
      <c r="Z64" s="45">
        <v>64</v>
      </c>
      <c r="AA64" s="45">
        <v>64</v>
      </c>
      <c r="AB64" s="45">
        <v>64</v>
      </c>
      <c r="AC64" s="45">
        <v>64</v>
      </c>
      <c r="AD64" s="45">
        <v>47.8</v>
      </c>
      <c r="AE64" s="45">
        <v>23.7</v>
      </c>
      <c r="AF64" s="45">
        <v>0</v>
      </c>
      <c r="AG64" s="55">
        <v>70</v>
      </c>
      <c r="AH64" s="47">
        <f t="shared" si="2"/>
        <v>70</v>
      </c>
      <c r="AI64" s="48">
        <f t="shared" si="3"/>
        <v>0</v>
      </c>
      <c r="AK64" s="50"/>
    </row>
    <row r="65" spans="1:75" x14ac:dyDescent="0.25">
      <c r="A65" s="54" t="s">
        <v>65</v>
      </c>
      <c r="B65" s="65">
        <v>0</v>
      </c>
      <c r="C65" s="65">
        <v>16</v>
      </c>
      <c r="D65" s="65">
        <v>22</v>
      </c>
      <c r="E65" s="65">
        <v>0</v>
      </c>
      <c r="F65" s="65">
        <v>0</v>
      </c>
      <c r="G65" s="65">
        <v>23.1</v>
      </c>
      <c r="H65" s="65">
        <v>46</v>
      </c>
      <c r="I65" s="65">
        <v>46</v>
      </c>
      <c r="J65" s="65">
        <v>68.900000000000006</v>
      </c>
      <c r="K65" s="65">
        <v>60.6</v>
      </c>
      <c r="L65" s="65">
        <v>60.6</v>
      </c>
      <c r="M65" s="65"/>
      <c r="N65" s="65">
        <v>67.7</v>
      </c>
      <c r="O65" s="65">
        <v>66.3</v>
      </c>
      <c r="P65" s="65">
        <v>66.3</v>
      </c>
      <c r="Q65" s="65">
        <v>41.9</v>
      </c>
      <c r="R65" s="65">
        <v>16.5</v>
      </c>
      <c r="S65" s="65">
        <v>16.5</v>
      </c>
      <c r="T65" s="65">
        <v>0</v>
      </c>
      <c r="U65" s="45">
        <v>0</v>
      </c>
      <c r="V65" s="45">
        <v>22.6</v>
      </c>
      <c r="W65" s="45">
        <v>57.7</v>
      </c>
      <c r="X65" s="45">
        <v>62</v>
      </c>
      <c r="Y65" s="45">
        <v>62</v>
      </c>
      <c r="Z65" s="45">
        <v>68</v>
      </c>
      <c r="AA65" s="45">
        <v>68</v>
      </c>
      <c r="AB65" s="45">
        <v>68</v>
      </c>
      <c r="AC65" s="45">
        <v>68</v>
      </c>
      <c r="AD65" s="45">
        <v>52.9</v>
      </c>
      <c r="AE65" s="45">
        <v>32.200000000000003</v>
      </c>
      <c r="AF65" s="45">
        <v>14.6</v>
      </c>
      <c r="AG65" s="55">
        <v>69</v>
      </c>
      <c r="AH65" s="47">
        <f t="shared" si="2"/>
        <v>68.900000000000006</v>
      </c>
      <c r="AI65" s="48">
        <f t="shared" si="3"/>
        <v>0</v>
      </c>
      <c r="AK65" s="50"/>
    </row>
    <row r="66" spans="1:75" x14ac:dyDescent="0.25">
      <c r="A66" s="54" t="s">
        <v>66</v>
      </c>
      <c r="B66" s="65">
        <v>44.3</v>
      </c>
      <c r="C66" s="65">
        <v>44.3</v>
      </c>
      <c r="D66" s="65">
        <v>44.3</v>
      </c>
      <c r="E66" s="65">
        <v>44.3</v>
      </c>
      <c r="F66" s="65">
        <v>44.3</v>
      </c>
      <c r="G66" s="65">
        <v>44.3</v>
      </c>
      <c r="H66" s="65">
        <v>44.6</v>
      </c>
      <c r="I66" s="65">
        <v>44.6</v>
      </c>
      <c r="J66" s="65">
        <v>44.6</v>
      </c>
      <c r="K66" s="65">
        <v>44.6</v>
      </c>
      <c r="L66" s="65">
        <v>44.6</v>
      </c>
      <c r="M66" s="65"/>
      <c r="N66" s="65">
        <v>30.5</v>
      </c>
      <c r="O66" s="65">
        <v>60.4</v>
      </c>
      <c r="P66" s="65">
        <v>46.1</v>
      </c>
      <c r="Q66" s="65">
        <v>45.9</v>
      </c>
      <c r="R66" s="65">
        <v>43.8</v>
      </c>
      <c r="S66" s="65">
        <v>43.8</v>
      </c>
      <c r="T66" s="65">
        <v>45</v>
      </c>
      <c r="U66" s="45">
        <v>43.8</v>
      </c>
      <c r="V66" s="45">
        <v>43.8</v>
      </c>
      <c r="W66" s="45">
        <v>39.799999999999997</v>
      </c>
      <c r="X66" s="45">
        <v>39.799999999999997</v>
      </c>
      <c r="Y66" s="45">
        <v>39.799999999999997</v>
      </c>
      <c r="Z66" s="45">
        <v>45</v>
      </c>
      <c r="AA66" s="45">
        <v>45</v>
      </c>
      <c r="AB66" s="45">
        <v>45</v>
      </c>
      <c r="AC66" s="45">
        <v>45</v>
      </c>
      <c r="AD66" s="45">
        <v>45</v>
      </c>
      <c r="AE66" s="45">
        <v>45</v>
      </c>
      <c r="AF66" s="45">
        <v>45</v>
      </c>
      <c r="AG66" s="55">
        <v>60</v>
      </c>
      <c r="AH66" s="47">
        <f t="shared" si="2"/>
        <v>60.4</v>
      </c>
      <c r="AI66" s="48">
        <f t="shared" si="3"/>
        <v>30.5</v>
      </c>
      <c r="AK66" s="50"/>
    </row>
    <row r="67" spans="1:75" x14ac:dyDescent="0.25">
      <c r="A67" s="54" t="s">
        <v>67</v>
      </c>
      <c r="B67" s="65">
        <v>0</v>
      </c>
      <c r="C67" s="65">
        <v>0</v>
      </c>
      <c r="D67" s="65">
        <v>0</v>
      </c>
      <c r="E67" s="65">
        <v>0</v>
      </c>
      <c r="F67" s="65">
        <v>0</v>
      </c>
      <c r="G67" s="65">
        <v>10</v>
      </c>
      <c r="H67" s="65">
        <v>15</v>
      </c>
      <c r="I67" s="65">
        <v>15</v>
      </c>
      <c r="J67" s="65">
        <v>15</v>
      </c>
      <c r="K67" s="65">
        <v>23</v>
      </c>
      <c r="L67" s="65">
        <v>23</v>
      </c>
      <c r="M67" s="65"/>
      <c r="N67" s="65">
        <v>28</v>
      </c>
      <c r="O67" s="65">
        <v>23</v>
      </c>
      <c r="P67" s="65">
        <v>10</v>
      </c>
      <c r="Q67" s="65">
        <v>10</v>
      </c>
      <c r="R67" s="65">
        <v>10</v>
      </c>
      <c r="S67" s="65">
        <v>0</v>
      </c>
      <c r="T67" s="65">
        <v>0</v>
      </c>
      <c r="U67" s="45">
        <v>0</v>
      </c>
      <c r="V67" s="45">
        <v>10</v>
      </c>
      <c r="W67" s="45">
        <v>10</v>
      </c>
      <c r="X67" s="45">
        <v>10</v>
      </c>
      <c r="Y67" s="45">
        <v>15</v>
      </c>
      <c r="Z67" s="45">
        <v>15</v>
      </c>
      <c r="AA67" s="45">
        <v>15</v>
      </c>
      <c r="AB67" s="45">
        <v>15</v>
      </c>
      <c r="AC67" s="45">
        <v>15</v>
      </c>
      <c r="AD67" s="45">
        <v>15</v>
      </c>
      <c r="AE67" s="45">
        <v>10</v>
      </c>
      <c r="AF67" s="45">
        <v>0</v>
      </c>
      <c r="AG67" s="55">
        <v>30</v>
      </c>
      <c r="AH67" s="47">
        <f t="shared" si="2"/>
        <v>28</v>
      </c>
      <c r="AI67" s="48">
        <f t="shared" si="3"/>
        <v>0</v>
      </c>
      <c r="AK67" s="50"/>
      <c r="AZ67" s="251">
        <v>1</v>
      </c>
      <c r="BA67" s="251">
        <v>2</v>
      </c>
      <c r="BB67" s="251">
        <v>3</v>
      </c>
      <c r="BC67" s="251">
        <v>4</v>
      </c>
      <c r="BD67" s="251">
        <v>5</v>
      </c>
      <c r="BE67" s="251">
        <v>6</v>
      </c>
      <c r="BF67" s="251">
        <v>7</v>
      </c>
      <c r="BG67" s="251">
        <v>8</v>
      </c>
      <c r="BH67" s="251">
        <v>9</v>
      </c>
      <c r="BI67" s="251">
        <v>10</v>
      </c>
      <c r="BJ67" s="251">
        <v>11</v>
      </c>
      <c r="BK67" s="251">
        <v>12</v>
      </c>
      <c r="BL67" s="251">
        <v>13</v>
      </c>
      <c r="BM67" s="251">
        <v>14</v>
      </c>
      <c r="BN67" s="251">
        <v>15</v>
      </c>
      <c r="BO67" s="251">
        <v>16</v>
      </c>
      <c r="BP67" s="251">
        <v>17</v>
      </c>
      <c r="BQ67" s="251">
        <v>18</v>
      </c>
      <c r="BR67" s="251">
        <v>19</v>
      </c>
      <c r="BS67" s="251">
        <v>20</v>
      </c>
      <c r="BT67" s="251">
        <v>21</v>
      </c>
      <c r="BU67" s="251">
        <v>22</v>
      </c>
      <c r="BV67" s="251">
        <v>23</v>
      </c>
      <c r="BW67" s="251">
        <v>24</v>
      </c>
    </row>
    <row r="68" spans="1:75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</v>
      </c>
      <c r="M68" s="65"/>
      <c r="N68" s="65">
        <v>2.4</v>
      </c>
      <c r="O68" s="65">
        <v>7.4</v>
      </c>
      <c r="P68" s="65">
        <v>8.5</v>
      </c>
      <c r="Q68" s="65">
        <v>13.9</v>
      </c>
      <c r="R68" s="65">
        <v>6.4</v>
      </c>
      <c r="S68" s="65">
        <v>5.8</v>
      </c>
      <c r="T68" s="65">
        <v>8.4</v>
      </c>
      <c r="U68" s="45">
        <v>2.9</v>
      </c>
      <c r="V68" s="45">
        <v>0.4</v>
      </c>
      <c r="W68" s="45">
        <v>0</v>
      </c>
      <c r="X68" s="45">
        <v>0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55">
        <v>25</v>
      </c>
      <c r="AH68" s="47">
        <f t="shared" si="2"/>
        <v>13.9</v>
      </c>
      <c r="AI68" s="48">
        <f t="shared" si="3"/>
        <v>0</v>
      </c>
      <c r="AK68" s="50"/>
      <c r="AY68" s="1" t="s">
        <v>381</v>
      </c>
      <c r="AZ68" s="252">
        <f>ROUND(C81,0)</f>
        <v>67</v>
      </c>
      <c r="BA68" s="251">
        <f t="shared" ref="BA68:BD72" si="19">D81</f>
        <v>62</v>
      </c>
      <c r="BB68" s="251">
        <f t="shared" si="19"/>
        <v>62.9</v>
      </c>
      <c r="BC68" s="251">
        <f t="shared" si="19"/>
        <v>62</v>
      </c>
      <c r="BD68" s="251">
        <f t="shared" si="19"/>
        <v>65.2</v>
      </c>
      <c r="BE68" s="252">
        <f>I81</f>
        <v>61</v>
      </c>
      <c r="BF68" s="252">
        <f>K81</f>
        <v>45</v>
      </c>
      <c r="BG68" s="252">
        <f t="shared" ref="BG68:BP68" si="20">M81</f>
        <v>0</v>
      </c>
      <c r="BH68" s="252">
        <f t="shared" si="20"/>
        <v>62.8</v>
      </c>
      <c r="BI68" s="252">
        <f t="shared" si="20"/>
        <v>66</v>
      </c>
      <c r="BJ68" s="252">
        <f t="shared" si="20"/>
        <v>68.400000000000006</v>
      </c>
      <c r="BK68" s="252">
        <f t="shared" si="20"/>
        <v>66</v>
      </c>
      <c r="BL68" s="252">
        <f t="shared" si="20"/>
        <v>62.4</v>
      </c>
      <c r="BM68" s="252">
        <f t="shared" si="20"/>
        <v>34.299999999999997</v>
      </c>
      <c r="BN68" s="252">
        <f t="shared" si="20"/>
        <v>54.2</v>
      </c>
      <c r="BO68" s="252">
        <f t="shared" si="20"/>
        <v>69</v>
      </c>
      <c r="BP68" s="252">
        <f t="shared" si="20"/>
        <v>57</v>
      </c>
      <c r="BQ68" s="252">
        <f>X81</f>
        <v>65</v>
      </c>
      <c r="BR68" s="252">
        <f>Z81</f>
        <v>46</v>
      </c>
      <c r="BS68" s="251">
        <f>AB81</f>
        <v>41.8</v>
      </c>
      <c r="BT68" s="251">
        <f>AD81</f>
        <v>54.7</v>
      </c>
      <c r="BU68" s="251">
        <f>AE81</f>
        <v>59.7</v>
      </c>
      <c r="BV68" s="251">
        <f>AF81</f>
        <v>50.4</v>
      </c>
      <c r="BW68" s="251">
        <f>B81</f>
        <v>68</v>
      </c>
    </row>
    <row r="69" spans="1:75" x14ac:dyDescent="0.25">
      <c r="A69" s="54" t="s">
        <v>69</v>
      </c>
      <c r="B69" s="65">
        <v>15</v>
      </c>
      <c r="C69" s="65">
        <v>15</v>
      </c>
      <c r="D69" s="65">
        <v>15</v>
      </c>
      <c r="E69" s="65">
        <v>15</v>
      </c>
      <c r="F69" s="65">
        <v>15</v>
      </c>
      <c r="G69" s="65">
        <v>15</v>
      </c>
      <c r="H69" s="65">
        <v>15</v>
      </c>
      <c r="I69" s="65">
        <v>15</v>
      </c>
      <c r="J69" s="65">
        <v>15</v>
      </c>
      <c r="K69" s="65">
        <v>15</v>
      </c>
      <c r="L69" s="65">
        <v>15</v>
      </c>
      <c r="M69" s="65"/>
      <c r="N69" s="65">
        <v>15</v>
      </c>
      <c r="O69" s="65">
        <v>15</v>
      </c>
      <c r="P69" s="65">
        <v>15</v>
      </c>
      <c r="Q69" s="65">
        <v>15</v>
      </c>
      <c r="R69" s="65">
        <v>15</v>
      </c>
      <c r="S69" s="65">
        <v>15</v>
      </c>
      <c r="T69" s="65">
        <v>15</v>
      </c>
      <c r="U69" s="65">
        <v>15</v>
      </c>
      <c r="V69" s="65">
        <v>15</v>
      </c>
      <c r="W69" s="65">
        <v>15</v>
      </c>
      <c r="X69" s="65">
        <v>15</v>
      </c>
      <c r="Y69" s="65">
        <v>15</v>
      </c>
      <c r="Z69" s="65">
        <v>15</v>
      </c>
      <c r="AA69" s="65">
        <v>15</v>
      </c>
      <c r="AB69" s="65">
        <v>15</v>
      </c>
      <c r="AC69" s="65">
        <v>15</v>
      </c>
      <c r="AD69" s="65">
        <v>15</v>
      </c>
      <c r="AE69" s="65">
        <v>15</v>
      </c>
      <c r="AF69" s="65">
        <v>15</v>
      </c>
      <c r="AG69" s="55">
        <v>24</v>
      </c>
      <c r="AH69" s="47">
        <f t="shared" si="2"/>
        <v>15</v>
      </c>
      <c r="AI69" s="48">
        <f t="shared" si="3"/>
        <v>15</v>
      </c>
      <c r="AK69" s="50"/>
      <c r="AY69" s="1" t="s">
        <v>631</v>
      </c>
      <c r="AZ69" s="252">
        <f>ROUND(C82,0)</f>
        <v>0</v>
      </c>
      <c r="BA69" s="251">
        <f t="shared" si="19"/>
        <v>0</v>
      </c>
      <c r="BB69" s="251">
        <f t="shared" si="19"/>
        <v>0</v>
      </c>
      <c r="BC69" s="251">
        <f t="shared" si="19"/>
        <v>0</v>
      </c>
      <c r="BD69" s="251">
        <f t="shared" si="19"/>
        <v>0</v>
      </c>
      <c r="BE69" s="252">
        <f t="shared" ref="BE69:BE72" si="21">I82</f>
        <v>0</v>
      </c>
      <c r="BF69" s="252">
        <f t="shared" ref="BF69:BF72" si="22">K82</f>
        <v>0</v>
      </c>
      <c r="BG69" s="252">
        <f t="shared" ref="BG69:BG72" si="23">M82</f>
        <v>0</v>
      </c>
      <c r="BH69" s="252">
        <f t="shared" ref="BH69:BP72" si="24">N82</f>
        <v>0</v>
      </c>
      <c r="BI69" s="252">
        <f t="shared" si="24"/>
        <v>0</v>
      </c>
      <c r="BJ69" s="252">
        <f t="shared" si="24"/>
        <v>0</v>
      </c>
      <c r="BK69" s="252">
        <f t="shared" si="24"/>
        <v>0</v>
      </c>
      <c r="BL69" s="252">
        <f t="shared" si="24"/>
        <v>0</v>
      </c>
      <c r="BM69" s="252">
        <f t="shared" si="24"/>
        <v>0</v>
      </c>
      <c r="BN69" s="252">
        <f t="shared" si="24"/>
        <v>0</v>
      </c>
      <c r="BO69" s="252">
        <f t="shared" si="24"/>
        <v>0</v>
      </c>
      <c r="BP69" s="252">
        <f t="shared" si="24"/>
        <v>0</v>
      </c>
      <c r="BQ69" s="252">
        <f t="shared" ref="BQ69:BQ72" si="25">X82</f>
        <v>0</v>
      </c>
      <c r="BR69" s="252">
        <f t="shared" ref="BR69:BR72" si="26">Z82</f>
        <v>0</v>
      </c>
      <c r="BS69" s="251">
        <f t="shared" ref="BS69:BS72" si="27">AB82</f>
        <v>0</v>
      </c>
      <c r="BT69" s="251">
        <f t="shared" ref="BT69:BT72" si="28">AD82</f>
        <v>0</v>
      </c>
      <c r="BU69" s="251">
        <f t="shared" ref="BU69:BV72" si="29">AE82</f>
        <v>0</v>
      </c>
      <c r="BV69" s="251">
        <f t="shared" si="29"/>
        <v>0</v>
      </c>
      <c r="BW69" s="251">
        <f t="shared" ref="BW69:BW72" si="30">B82</f>
        <v>0</v>
      </c>
    </row>
    <row r="70" spans="1:75" x14ac:dyDescent="0.25">
      <c r="A70" s="54" t="s">
        <v>70</v>
      </c>
      <c r="B70" s="65">
        <v>4</v>
      </c>
      <c r="C70" s="65">
        <v>4</v>
      </c>
      <c r="D70" s="65">
        <v>4</v>
      </c>
      <c r="E70" s="65">
        <v>4</v>
      </c>
      <c r="F70" s="65">
        <v>4</v>
      </c>
      <c r="G70" s="65">
        <v>4</v>
      </c>
      <c r="H70" s="65">
        <v>4</v>
      </c>
      <c r="I70" s="65">
        <v>4</v>
      </c>
      <c r="J70" s="65">
        <v>4</v>
      </c>
      <c r="K70" s="65">
        <v>4</v>
      </c>
      <c r="L70" s="65">
        <v>4</v>
      </c>
      <c r="M70" s="65"/>
      <c r="N70" s="65">
        <v>4</v>
      </c>
      <c r="O70" s="65">
        <v>4</v>
      </c>
      <c r="P70" s="65">
        <v>4</v>
      </c>
      <c r="Q70" s="65">
        <v>4</v>
      </c>
      <c r="R70" s="65">
        <v>4</v>
      </c>
      <c r="S70" s="65">
        <v>4</v>
      </c>
      <c r="T70" s="65">
        <v>4</v>
      </c>
      <c r="U70" s="65">
        <v>4</v>
      </c>
      <c r="V70" s="65">
        <v>4</v>
      </c>
      <c r="W70" s="65">
        <v>4</v>
      </c>
      <c r="X70" s="65">
        <v>4</v>
      </c>
      <c r="Y70" s="65">
        <v>4</v>
      </c>
      <c r="Z70" s="65">
        <v>4</v>
      </c>
      <c r="AA70" s="65">
        <v>4</v>
      </c>
      <c r="AB70" s="65">
        <v>4</v>
      </c>
      <c r="AC70" s="65">
        <v>4</v>
      </c>
      <c r="AD70" s="65">
        <v>4</v>
      </c>
      <c r="AE70" s="65">
        <v>4</v>
      </c>
      <c r="AF70" s="65">
        <v>4</v>
      </c>
      <c r="AG70" s="55">
        <v>15</v>
      </c>
      <c r="AH70" s="47">
        <f t="shared" si="2"/>
        <v>4</v>
      </c>
      <c r="AI70" s="48">
        <f t="shared" si="3"/>
        <v>4</v>
      </c>
      <c r="AK70" s="50"/>
      <c r="AL70" s="70"/>
      <c r="AO70" s="70"/>
      <c r="AY70" s="1" t="s">
        <v>632</v>
      </c>
      <c r="AZ70" s="252">
        <f>ROUND(C83,0)</f>
        <v>420</v>
      </c>
      <c r="BA70" s="251">
        <f t="shared" si="19"/>
        <v>428</v>
      </c>
      <c r="BB70" s="251">
        <f t="shared" si="19"/>
        <v>406.8</v>
      </c>
      <c r="BC70" s="251">
        <f t="shared" si="19"/>
        <v>389</v>
      </c>
      <c r="BD70" s="251">
        <f t="shared" si="19"/>
        <v>399</v>
      </c>
      <c r="BE70" s="252">
        <f t="shared" si="21"/>
        <v>442</v>
      </c>
      <c r="BF70" s="252">
        <f t="shared" si="22"/>
        <v>155</v>
      </c>
      <c r="BG70" s="252">
        <f t="shared" si="23"/>
        <v>0</v>
      </c>
      <c r="BH70" s="252">
        <f t="shared" si="24"/>
        <v>66.599999999999994</v>
      </c>
      <c r="BI70" s="252">
        <f t="shared" si="24"/>
        <v>136.19999999999999</v>
      </c>
      <c r="BJ70" s="252">
        <f t="shared" si="24"/>
        <v>190</v>
      </c>
      <c r="BK70" s="252">
        <f t="shared" si="24"/>
        <v>412</v>
      </c>
      <c r="BL70" s="252">
        <f t="shared" si="24"/>
        <v>447.6</v>
      </c>
      <c r="BM70" s="252">
        <f t="shared" si="24"/>
        <v>447</v>
      </c>
      <c r="BN70" s="252">
        <f t="shared" si="24"/>
        <v>463</v>
      </c>
      <c r="BO70" s="252">
        <f t="shared" si="24"/>
        <v>479</v>
      </c>
      <c r="BP70" s="252">
        <f t="shared" si="24"/>
        <v>329</v>
      </c>
      <c r="BQ70" s="252">
        <f t="shared" si="25"/>
        <v>146</v>
      </c>
      <c r="BR70" s="252">
        <f t="shared" si="26"/>
        <v>246</v>
      </c>
      <c r="BS70" s="251">
        <f t="shared" si="27"/>
        <v>287.5</v>
      </c>
      <c r="BT70" s="251">
        <f t="shared" si="28"/>
        <v>387.96</v>
      </c>
      <c r="BU70" s="251">
        <f t="shared" si="29"/>
        <v>391.4</v>
      </c>
      <c r="BV70" s="251">
        <f t="shared" si="29"/>
        <v>384.4</v>
      </c>
      <c r="BW70" s="251">
        <f t="shared" si="30"/>
        <v>395</v>
      </c>
    </row>
    <row r="71" spans="1:75" s="70" customFormat="1" x14ac:dyDescent="0.25">
      <c r="A71" s="54" t="s">
        <v>71</v>
      </c>
      <c r="B71" s="65">
        <v>9.8000000000000007</v>
      </c>
      <c r="C71" s="65">
        <v>9.8000000000000007</v>
      </c>
      <c r="D71" s="65">
        <v>9.8000000000000007</v>
      </c>
      <c r="E71" s="65">
        <v>9.8000000000000007</v>
      </c>
      <c r="F71" s="65">
        <v>9.8000000000000007</v>
      </c>
      <c r="G71" s="65">
        <v>9.8000000000000007</v>
      </c>
      <c r="H71" s="65">
        <v>9.8000000000000007</v>
      </c>
      <c r="I71" s="65">
        <v>9.8000000000000007</v>
      </c>
      <c r="J71" s="65">
        <v>9.8000000000000007</v>
      </c>
      <c r="K71" s="65">
        <v>9.8000000000000007</v>
      </c>
      <c r="L71" s="65">
        <v>9.8000000000000007</v>
      </c>
      <c r="M71" s="65"/>
      <c r="N71" s="65">
        <v>9.8000000000000007</v>
      </c>
      <c r="O71" s="65">
        <v>9.8000000000000007</v>
      </c>
      <c r="P71" s="65">
        <v>9.8000000000000007</v>
      </c>
      <c r="Q71" s="65">
        <v>9.8000000000000007</v>
      </c>
      <c r="R71" s="65">
        <v>9.9</v>
      </c>
      <c r="S71" s="65">
        <v>9.9</v>
      </c>
      <c r="T71" s="65">
        <v>9.9</v>
      </c>
      <c r="U71" s="65">
        <v>9.9</v>
      </c>
      <c r="V71" s="65">
        <v>9.9</v>
      </c>
      <c r="W71" s="65">
        <v>9.9</v>
      </c>
      <c r="X71" s="65">
        <v>9.9</v>
      </c>
      <c r="Y71" s="65">
        <v>9.9</v>
      </c>
      <c r="Z71" s="65">
        <v>9.9</v>
      </c>
      <c r="AA71" s="65">
        <v>9.9</v>
      </c>
      <c r="AB71" s="65">
        <v>9.9</v>
      </c>
      <c r="AC71" s="65">
        <v>9.9</v>
      </c>
      <c r="AD71" s="65">
        <v>9.9</v>
      </c>
      <c r="AE71" s="65">
        <v>9.9</v>
      </c>
      <c r="AF71" s="65">
        <v>9.9</v>
      </c>
      <c r="AG71" s="55">
        <v>14.1</v>
      </c>
      <c r="AH71" s="47">
        <f t="shared" si="2"/>
        <v>9.9</v>
      </c>
      <c r="AI71" s="48">
        <f t="shared" si="3"/>
        <v>9.8000000000000007</v>
      </c>
      <c r="AJ71" s="1"/>
      <c r="AK71" s="50"/>
      <c r="AL71" s="1"/>
      <c r="AM71" s="1"/>
      <c r="AN71" s="1"/>
      <c r="AO71" s="1"/>
      <c r="AY71" s="70" t="s">
        <v>633</v>
      </c>
      <c r="AZ71" s="252">
        <f>ROUND(C84,0)</f>
        <v>0</v>
      </c>
      <c r="BA71" s="251">
        <f t="shared" si="19"/>
        <v>0</v>
      </c>
      <c r="BB71" s="251">
        <f t="shared" si="19"/>
        <v>0</v>
      </c>
      <c r="BC71" s="251">
        <f t="shared" si="19"/>
        <v>0</v>
      </c>
      <c r="BD71" s="251">
        <f t="shared" si="19"/>
        <v>0</v>
      </c>
      <c r="BE71" s="252">
        <f t="shared" si="21"/>
        <v>0</v>
      </c>
      <c r="BF71" s="252">
        <f t="shared" si="22"/>
        <v>0</v>
      </c>
      <c r="BG71" s="252">
        <f t="shared" si="23"/>
        <v>0</v>
      </c>
      <c r="BH71" s="252">
        <f t="shared" si="24"/>
        <v>0</v>
      </c>
      <c r="BI71" s="252">
        <f t="shared" si="24"/>
        <v>0</v>
      </c>
      <c r="BJ71" s="252">
        <f t="shared" si="24"/>
        <v>0</v>
      </c>
      <c r="BK71" s="252">
        <f t="shared" si="24"/>
        <v>0</v>
      </c>
      <c r="BL71" s="252">
        <f t="shared" si="24"/>
        <v>0</v>
      </c>
      <c r="BM71" s="252">
        <f t="shared" si="24"/>
        <v>38</v>
      </c>
      <c r="BN71" s="252">
        <f t="shared" si="24"/>
        <v>43</v>
      </c>
      <c r="BO71" s="252">
        <f t="shared" si="24"/>
        <v>57</v>
      </c>
      <c r="BP71" s="252">
        <f t="shared" si="24"/>
        <v>32.4</v>
      </c>
      <c r="BQ71" s="252">
        <f t="shared" si="25"/>
        <v>0</v>
      </c>
      <c r="BR71" s="252">
        <f t="shared" si="26"/>
        <v>0</v>
      </c>
      <c r="BS71" s="251">
        <f t="shared" si="27"/>
        <v>0</v>
      </c>
      <c r="BT71" s="251">
        <f t="shared" si="28"/>
        <v>0</v>
      </c>
      <c r="BU71" s="251">
        <f t="shared" si="29"/>
        <v>0</v>
      </c>
      <c r="BV71" s="251">
        <f t="shared" si="29"/>
        <v>0</v>
      </c>
      <c r="BW71" s="251">
        <f t="shared" si="30"/>
        <v>0</v>
      </c>
    </row>
    <row r="72" spans="1:75" x14ac:dyDescent="0.25">
      <c r="A72" s="71" t="s">
        <v>72</v>
      </c>
      <c r="B72" s="65">
        <v>4.5999999999999996</v>
      </c>
      <c r="C72" s="65">
        <v>4.5999999999999996</v>
      </c>
      <c r="D72" s="65">
        <v>4.5999999999999996</v>
      </c>
      <c r="E72" s="65">
        <v>4.5999999999999996</v>
      </c>
      <c r="F72" s="65">
        <v>4.5999999999999996</v>
      </c>
      <c r="G72" s="65">
        <v>4.5999999999999996</v>
      </c>
      <c r="H72" s="65">
        <v>4.5999999999999996</v>
      </c>
      <c r="I72" s="65">
        <v>4.5999999999999996</v>
      </c>
      <c r="J72" s="65">
        <v>4.5999999999999996</v>
      </c>
      <c r="K72" s="65">
        <v>4.5999999999999996</v>
      </c>
      <c r="L72" s="65">
        <v>4.5999999999999996</v>
      </c>
      <c r="M72" s="65"/>
      <c r="N72" s="65">
        <v>6.8</v>
      </c>
      <c r="O72" s="65">
        <v>6.8</v>
      </c>
      <c r="P72" s="65">
        <v>6.8</v>
      </c>
      <c r="Q72" s="65">
        <v>6.8</v>
      </c>
      <c r="R72" s="65">
        <v>3.4</v>
      </c>
      <c r="S72" s="65">
        <v>3.4</v>
      </c>
      <c r="T72" s="65">
        <v>3.4</v>
      </c>
      <c r="U72" s="65">
        <v>3.4</v>
      </c>
      <c r="V72" s="65">
        <v>3.4</v>
      </c>
      <c r="W72" s="65">
        <v>3.4</v>
      </c>
      <c r="X72" s="65">
        <v>3.4</v>
      </c>
      <c r="Y72" s="65">
        <v>3.4</v>
      </c>
      <c r="Z72" s="65">
        <v>3.4</v>
      </c>
      <c r="AA72" s="65">
        <v>3.4</v>
      </c>
      <c r="AB72" s="65">
        <v>3.4</v>
      </c>
      <c r="AC72" s="65">
        <v>3.4</v>
      </c>
      <c r="AD72" s="65">
        <v>3.4</v>
      </c>
      <c r="AE72" s="65">
        <v>3.4</v>
      </c>
      <c r="AF72" s="65">
        <v>3.4</v>
      </c>
      <c r="AG72" s="55">
        <v>14</v>
      </c>
      <c r="AH72" s="47">
        <f t="shared" si="2"/>
        <v>6.8</v>
      </c>
      <c r="AI72" s="48">
        <f t="shared" si="3"/>
        <v>3.4</v>
      </c>
      <c r="AK72" s="50"/>
      <c r="AY72" s="1" t="s">
        <v>634</v>
      </c>
      <c r="AZ72" s="252">
        <f>ROUND(C85,0)</f>
        <v>0</v>
      </c>
      <c r="BA72" s="251">
        <f t="shared" si="19"/>
        <v>0</v>
      </c>
      <c r="BB72" s="251">
        <f t="shared" si="19"/>
        <v>0</v>
      </c>
      <c r="BC72" s="251">
        <f t="shared" si="19"/>
        <v>0</v>
      </c>
      <c r="BD72" s="251">
        <f t="shared" si="19"/>
        <v>0</v>
      </c>
      <c r="BE72" s="252">
        <f t="shared" si="21"/>
        <v>0</v>
      </c>
      <c r="BF72" s="252">
        <f t="shared" si="22"/>
        <v>0</v>
      </c>
      <c r="BG72" s="252">
        <f t="shared" si="23"/>
        <v>0</v>
      </c>
      <c r="BH72" s="252">
        <f t="shared" si="24"/>
        <v>0</v>
      </c>
      <c r="BI72" s="252">
        <f t="shared" si="24"/>
        <v>0</v>
      </c>
      <c r="BJ72" s="252">
        <f t="shared" si="24"/>
        <v>0</v>
      </c>
      <c r="BK72" s="252">
        <f t="shared" si="24"/>
        <v>0</v>
      </c>
      <c r="BL72" s="252">
        <f t="shared" si="24"/>
        <v>92.3</v>
      </c>
      <c r="BM72" s="252">
        <f t="shared" si="24"/>
        <v>52.6</v>
      </c>
      <c r="BN72" s="252">
        <f t="shared" si="24"/>
        <v>80</v>
      </c>
      <c r="BO72" s="252">
        <f t="shared" si="24"/>
        <v>84</v>
      </c>
      <c r="BP72" s="252">
        <f t="shared" si="24"/>
        <v>40</v>
      </c>
      <c r="BQ72" s="252">
        <f t="shared" si="25"/>
        <v>46</v>
      </c>
      <c r="BR72" s="252">
        <f t="shared" si="26"/>
        <v>48</v>
      </c>
      <c r="BS72" s="251">
        <f t="shared" si="27"/>
        <v>51.8</v>
      </c>
      <c r="BT72" s="251">
        <f t="shared" si="28"/>
        <v>0</v>
      </c>
      <c r="BU72" s="251">
        <f t="shared" si="29"/>
        <v>0</v>
      </c>
      <c r="BV72" s="251">
        <f t="shared" si="29"/>
        <v>0</v>
      </c>
      <c r="BW72" s="251">
        <f t="shared" si="30"/>
        <v>0</v>
      </c>
    </row>
    <row r="73" spans="1:75" x14ac:dyDescent="0.25">
      <c r="A73" s="54" t="s">
        <v>73</v>
      </c>
      <c r="B73" s="65">
        <v>4.5</v>
      </c>
      <c r="C73" s="65">
        <v>4.5</v>
      </c>
      <c r="D73" s="65">
        <v>4.5</v>
      </c>
      <c r="E73" s="65">
        <v>4.5</v>
      </c>
      <c r="F73" s="65">
        <v>4.5</v>
      </c>
      <c r="G73" s="65">
        <v>4.5</v>
      </c>
      <c r="H73" s="65">
        <v>4.5</v>
      </c>
      <c r="I73" s="65">
        <v>4.5</v>
      </c>
      <c r="J73" s="65">
        <v>4.5</v>
      </c>
      <c r="K73" s="65">
        <v>4.5</v>
      </c>
      <c r="L73" s="65">
        <v>4.5</v>
      </c>
      <c r="M73" s="65"/>
      <c r="N73" s="65">
        <v>4.5</v>
      </c>
      <c r="O73" s="65">
        <v>4.5</v>
      </c>
      <c r="P73" s="65">
        <v>4.5</v>
      </c>
      <c r="Q73" s="65">
        <v>4.5</v>
      </c>
      <c r="R73" s="65">
        <v>4.5</v>
      </c>
      <c r="S73" s="65">
        <v>4.5</v>
      </c>
      <c r="T73" s="65">
        <v>4.5</v>
      </c>
      <c r="U73" s="65">
        <v>4.5</v>
      </c>
      <c r="V73" s="65">
        <v>4.5</v>
      </c>
      <c r="W73" s="65">
        <v>4.5</v>
      </c>
      <c r="X73" s="65">
        <v>4.5</v>
      </c>
      <c r="Y73" s="65">
        <v>4.5</v>
      </c>
      <c r="Z73" s="65">
        <v>4.5</v>
      </c>
      <c r="AA73" s="65">
        <v>4.5</v>
      </c>
      <c r="AB73" s="65">
        <v>4.5</v>
      </c>
      <c r="AC73" s="65">
        <v>4.5</v>
      </c>
      <c r="AD73" s="65">
        <v>4.5</v>
      </c>
      <c r="AE73" s="65">
        <v>4.5</v>
      </c>
      <c r="AF73" s="65">
        <v>4.5</v>
      </c>
      <c r="AG73" s="55">
        <v>10.050000000000001</v>
      </c>
      <c r="AH73" s="47">
        <f t="shared" si="2"/>
        <v>4.5</v>
      </c>
      <c r="AI73" s="48">
        <f t="shared" si="3"/>
        <v>4.5</v>
      </c>
      <c r="AK73" s="50"/>
      <c r="AY73" s="1" t="s">
        <v>635</v>
      </c>
      <c r="AZ73" s="252">
        <f>ROUND(C91,0)</f>
        <v>0</v>
      </c>
      <c r="BA73" s="252">
        <f>D91</f>
        <v>0</v>
      </c>
      <c r="BB73" s="252">
        <f>E91</f>
        <v>0</v>
      </c>
      <c r="BC73" s="252">
        <f>F91</f>
        <v>0</v>
      </c>
      <c r="BD73" s="252">
        <f>G91</f>
        <v>0</v>
      </c>
      <c r="BE73" s="252">
        <f>I91</f>
        <v>0</v>
      </c>
      <c r="BF73" s="252">
        <f>K91</f>
        <v>25</v>
      </c>
      <c r="BG73" s="252">
        <f t="shared" ref="BG73:BP73" si="31">M91</f>
        <v>0</v>
      </c>
      <c r="BH73" s="252">
        <f t="shared" si="31"/>
        <v>44</v>
      </c>
      <c r="BI73" s="252">
        <f t="shared" si="31"/>
        <v>40</v>
      </c>
      <c r="BJ73" s="252">
        <f t="shared" si="31"/>
        <v>44</v>
      </c>
      <c r="BK73" s="252">
        <f t="shared" si="31"/>
        <v>45</v>
      </c>
      <c r="BL73" s="252">
        <f t="shared" si="31"/>
        <v>48.6</v>
      </c>
      <c r="BM73" s="252">
        <f t="shared" si="31"/>
        <v>49</v>
      </c>
      <c r="BN73" s="252">
        <f t="shared" si="31"/>
        <v>54</v>
      </c>
      <c r="BO73" s="252">
        <f t="shared" si="31"/>
        <v>55</v>
      </c>
      <c r="BP73" s="252">
        <f t="shared" si="31"/>
        <v>53</v>
      </c>
      <c r="BQ73" s="252">
        <f>X91</f>
        <v>43</v>
      </c>
      <c r="BR73" s="252">
        <f>Z91</f>
        <v>44</v>
      </c>
      <c r="BS73" s="252">
        <f>AB91</f>
        <v>50.8</v>
      </c>
      <c r="BT73" s="252">
        <f>AD91</f>
        <v>53.8</v>
      </c>
      <c r="BU73" s="252">
        <f>AE91</f>
        <v>59.5</v>
      </c>
      <c r="BV73" s="252">
        <f>AF91</f>
        <v>63.8</v>
      </c>
      <c r="BW73" s="252">
        <f>B91</f>
        <v>42</v>
      </c>
    </row>
    <row r="74" spans="1:75" x14ac:dyDescent="0.25">
      <c r="A74" s="54" t="s">
        <v>74</v>
      </c>
      <c r="B74" s="65">
        <v>3</v>
      </c>
      <c r="C74" s="65">
        <v>3</v>
      </c>
      <c r="D74" s="65">
        <v>3</v>
      </c>
      <c r="E74" s="65">
        <v>3</v>
      </c>
      <c r="F74" s="65">
        <v>3</v>
      </c>
      <c r="G74" s="65">
        <v>3</v>
      </c>
      <c r="H74" s="65">
        <v>3</v>
      </c>
      <c r="I74" s="65">
        <v>3</v>
      </c>
      <c r="J74" s="65">
        <v>3</v>
      </c>
      <c r="K74" s="65">
        <v>3</v>
      </c>
      <c r="L74" s="65">
        <v>3</v>
      </c>
      <c r="M74" s="65"/>
      <c r="N74" s="65">
        <v>3</v>
      </c>
      <c r="O74" s="65">
        <v>3</v>
      </c>
      <c r="P74" s="65">
        <v>3</v>
      </c>
      <c r="Q74" s="65">
        <v>3</v>
      </c>
      <c r="R74" s="65">
        <v>3</v>
      </c>
      <c r="S74" s="65">
        <v>3</v>
      </c>
      <c r="T74" s="65">
        <v>3</v>
      </c>
      <c r="U74" s="65">
        <v>3</v>
      </c>
      <c r="V74" s="65">
        <v>3</v>
      </c>
      <c r="W74" s="65">
        <v>3</v>
      </c>
      <c r="X74" s="65">
        <v>3</v>
      </c>
      <c r="Y74" s="65">
        <v>3</v>
      </c>
      <c r="Z74" s="65">
        <v>3</v>
      </c>
      <c r="AA74" s="65">
        <v>3</v>
      </c>
      <c r="AB74" s="65">
        <v>3</v>
      </c>
      <c r="AC74" s="65">
        <v>3</v>
      </c>
      <c r="AD74" s="65">
        <v>3</v>
      </c>
      <c r="AE74" s="65">
        <v>3</v>
      </c>
      <c r="AF74" s="65">
        <v>3</v>
      </c>
      <c r="AG74" s="55">
        <v>6.2</v>
      </c>
      <c r="AH74" s="47">
        <f t="shared" si="2"/>
        <v>3</v>
      </c>
      <c r="AI74" s="48">
        <f t="shared" si="3"/>
        <v>3</v>
      </c>
      <c r="AK74" s="50"/>
      <c r="AZ74" s="252"/>
      <c r="BA74" s="251"/>
      <c r="BB74" s="251"/>
      <c r="BC74" s="251"/>
      <c r="BD74" s="251"/>
      <c r="BE74" s="252"/>
      <c r="BF74" s="252"/>
      <c r="BG74" s="252"/>
      <c r="BH74" s="252"/>
      <c r="BI74" s="252"/>
      <c r="BJ74" s="252"/>
      <c r="BK74" s="252"/>
      <c r="BL74" s="252"/>
      <c r="BM74" s="252"/>
      <c r="BN74" s="252"/>
      <c r="BO74" s="252"/>
      <c r="BP74" s="252"/>
      <c r="BQ74" s="252"/>
      <c r="BR74" s="252"/>
      <c r="BS74" s="251"/>
      <c r="BT74" s="251"/>
      <c r="BU74" s="251"/>
      <c r="BV74" s="251"/>
      <c r="BW74" s="251"/>
    </row>
    <row r="75" spans="1:75" ht="15.75" thickBot="1" x14ac:dyDescent="0.3">
      <c r="A75" s="56" t="s">
        <v>75</v>
      </c>
      <c r="B75" s="72">
        <v>0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3.54</v>
      </c>
      <c r="Z75" s="72">
        <v>3.54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2"/>
        <v>3.54</v>
      </c>
      <c r="AI75" s="48">
        <f t="shared" si="3"/>
        <v>0</v>
      </c>
      <c r="AK75" s="50"/>
      <c r="AZ75" s="252">
        <f>VALUE(AZ68)</f>
        <v>67</v>
      </c>
      <c r="BA75" s="252">
        <f t="shared" ref="BA75:BW75" si="32">VALUE(BA68)</f>
        <v>62</v>
      </c>
      <c r="BB75" s="252">
        <f t="shared" si="32"/>
        <v>62.9</v>
      </c>
      <c r="BC75" s="252">
        <f t="shared" si="32"/>
        <v>62</v>
      </c>
      <c r="BD75" s="252">
        <f t="shared" si="32"/>
        <v>65.2</v>
      </c>
      <c r="BE75" s="252">
        <f t="shared" si="32"/>
        <v>61</v>
      </c>
      <c r="BF75" s="252">
        <f t="shared" si="32"/>
        <v>45</v>
      </c>
      <c r="BG75" s="252">
        <f t="shared" si="32"/>
        <v>0</v>
      </c>
      <c r="BH75" s="252">
        <f t="shared" si="32"/>
        <v>62.8</v>
      </c>
      <c r="BI75" s="252">
        <f t="shared" si="32"/>
        <v>66</v>
      </c>
      <c r="BJ75" s="252">
        <f t="shared" si="32"/>
        <v>68.400000000000006</v>
      </c>
      <c r="BK75" s="252">
        <f t="shared" si="32"/>
        <v>66</v>
      </c>
      <c r="BL75" s="252">
        <f t="shared" si="32"/>
        <v>62.4</v>
      </c>
      <c r="BM75" s="252">
        <f t="shared" si="32"/>
        <v>34.299999999999997</v>
      </c>
      <c r="BN75" s="252">
        <f t="shared" si="32"/>
        <v>54.2</v>
      </c>
      <c r="BO75" s="252">
        <f t="shared" si="32"/>
        <v>69</v>
      </c>
      <c r="BP75" s="252">
        <f t="shared" si="32"/>
        <v>57</v>
      </c>
      <c r="BQ75" s="252">
        <f t="shared" si="32"/>
        <v>65</v>
      </c>
      <c r="BR75" s="252">
        <f t="shared" si="32"/>
        <v>46</v>
      </c>
      <c r="BS75" s="252">
        <f t="shared" si="32"/>
        <v>41.8</v>
      </c>
      <c r="BT75" s="252">
        <f t="shared" si="32"/>
        <v>54.7</v>
      </c>
      <c r="BU75" s="252">
        <f t="shared" si="32"/>
        <v>59.7</v>
      </c>
      <c r="BV75" s="252">
        <f t="shared" si="32"/>
        <v>50.4</v>
      </c>
      <c r="BW75" s="252">
        <f t="shared" si="32"/>
        <v>68</v>
      </c>
    </row>
    <row r="76" spans="1:75" ht="15.75" thickBot="1" x14ac:dyDescent="0.3">
      <c r="A76" s="74" t="s">
        <v>76</v>
      </c>
      <c r="B76" s="60">
        <v>175</v>
      </c>
      <c r="C76" s="60">
        <f t="shared" ref="C76:AG76" si="33">SUM(C63:C75)</f>
        <v>104.74</v>
      </c>
      <c r="D76" s="60">
        <f t="shared" si="33"/>
        <v>110.74</v>
      </c>
      <c r="E76" s="60">
        <f t="shared" si="33"/>
        <v>88.74</v>
      </c>
      <c r="F76" s="60">
        <f t="shared" si="33"/>
        <v>88.74</v>
      </c>
      <c r="G76" s="60">
        <f t="shared" si="33"/>
        <v>186.83999999999997</v>
      </c>
      <c r="H76" s="60">
        <f t="shared" si="33"/>
        <v>255.04</v>
      </c>
      <c r="I76" s="60">
        <f t="shared" si="33"/>
        <v>307.04000000000008</v>
      </c>
      <c r="J76" s="60">
        <f t="shared" si="33"/>
        <v>385.04000000000008</v>
      </c>
      <c r="K76" s="60">
        <f t="shared" si="33"/>
        <v>362.64000000000004</v>
      </c>
      <c r="L76" s="60">
        <f t="shared" ref="L76" si="34">SUM(L63:L75)</f>
        <v>362.64000000000004</v>
      </c>
      <c r="M76" s="60">
        <f t="shared" si="33"/>
        <v>3.54</v>
      </c>
      <c r="N76" s="60">
        <f t="shared" si="33"/>
        <v>361.94</v>
      </c>
      <c r="O76" s="60">
        <f t="shared" si="33"/>
        <v>383.44</v>
      </c>
      <c r="P76" s="60">
        <f t="shared" si="33"/>
        <v>357.24000000000007</v>
      </c>
      <c r="Q76" s="60">
        <f t="shared" si="33"/>
        <v>294.34000000000009</v>
      </c>
      <c r="R76" s="60">
        <f t="shared" ref="R76" si="35">SUM(R63:R75)</f>
        <v>204.44</v>
      </c>
      <c r="S76" s="60">
        <f t="shared" si="33"/>
        <v>140.04</v>
      </c>
      <c r="T76" s="60">
        <f t="shared" si="33"/>
        <v>122.74000000000002</v>
      </c>
      <c r="U76" s="60">
        <f t="shared" si="33"/>
        <v>115.54000000000002</v>
      </c>
      <c r="V76" s="60">
        <f t="shared" si="33"/>
        <v>144.74</v>
      </c>
      <c r="W76" s="60">
        <f t="shared" si="33"/>
        <v>263.54000000000002</v>
      </c>
      <c r="X76" s="60">
        <f t="shared" si="33"/>
        <v>363.64</v>
      </c>
      <c r="Y76" s="60">
        <f t="shared" si="33"/>
        <v>368.64</v>
      </c>
      <c r="Z76" s="60">
        <f t="shared" si="33"/>
        <v>369.34</v>
      </c>
      <c r="AA76" s="60">
        <f t="shared" si="33"/>
        <v>369.34</v>
      </c>
      <c r="AB76" s="60">
        <f t="shared" ref="AB76:AC76" si="36">SUM(AB63:AB75)</f>
        <v>369.34</v>
      </c>
      <c r="AC76" s="60">
        <f t="shared" si="36"/>
        <v>369.34</v>
      </c>
      <c r="AD76" s="60">
        <f t="shared" ref="AD76:AE76" si="37">SUM(AD63:AD75)</f>
        <v>265.04000000000002</v>
      </c>
      <c r="AE76" s="60">
        <f t="shared" si="37"/>
        <v>184.54</v>
      </c>
      <c r="AF76" s="60">
        <f t="shared" ref="AF76" si="38">SUM(AF63:AF75)</f>
        <v>102.94000000000001</v>
      </c>
      <c r="AG76" s="61">
        <f t="shared" si="33"/>
        <v>489.91</v>
      </c>
      <c r="AH76" s="47">
        <f t="shared" si="2"/>
        <v>385.04000000000008</v>
      </c>
      <c r="AI76" s="48">
        <f t="shared" si="3"/>
        <v>3.54</v>
      </c>
      <c r="AK76" s="50"/>
      <c r="AZ76" s="252">
        <f t="shared" ref="AZ76:BW80" si="39">VALUE(AZ69)</f>
        <v>0</v>
      </c>
      <c r="BA76" s="252">
        <f t="shared" si="39"/>
        <v>0</v>
      </c>
      <c r="BB76" s="252">
        <f t="shared" si="39"/>
        <v>0</v>
      </c>
      <c r="BC76" s="252">
        <f t="shared" si="39"/>
        <v>0</v>
      </c>
      <c r="BD76" s="252">
        <f t="shared" si="39"/>
        <v>0</v>
      </c>
      <c r="BE76" s="252">
        <f t="shared" si="39"/>
        <v>0</v>
      </c>
      <c r="BF76" s="252">
        <f t="shared" si="39"/>
        <v>0</v>
      </c>
      <c r="BG76" s="252">
        <f t="shared" si="39"/>
        <v>0</v>
      </c>
      <c r="BH76" s="252">
        <f t="shared" si="39"/>
        <v>0</v>
      </c>
      <c r="BI76" s="252">
        <f t="shared" si="39"/>
        <v>0</v>
      </c>
      <c r="BJ76" s="252">
        <f t="shared" si="39"/>
        <v>0</v>
      </c>
      <c r="BK76" s="252">
        <f t="shared" si="39"/>
        <v>0</v>
      </c>
      <c r="BL76" s="252">
        <f t="shared" si="39"/>
        <v>0</v>
      </c>
      <c r="BM76" s="252">
        <f t="shared" si="39"/>
        <v>0</v>
      </c>
      <c r="BN76" s="252">
        <f t="shared" si="39"/>
        <v>0</v>
      </c>
      <c r="BO76" s="252">
        <f t="shared" si="39"/>
        <v>0</v>
      </c>
      <c r="BP76" s="252">
        <f t="shared" si="39"/>
        <v>0</v>
      </c>
      <c r="BQ76" s="252">
        <f t="shared" si="39"/>
        <v>0</v>
      </c>
      <c r="BR76" s="252">
        <f t="shared" si="39"/>
        <v>0</v>
      </c>
      <c r="BS76" s="252">
        <f t="shared" si="39"/>
        <v>0</v>
      </c>
      <c r="BT76" s="252">
        <f t="shared" si="39"/>
        <v>0</v>
      </c>
      <c r="BU76" s="252">
        <f t="shared" si="39"/>
        <v>0</v>
      </c>
      <c r="BV76" s="252">
        <f t="shared" si="39"/>
        <v>0</v>
      </c>
      <c r="BW76" s="252">
        <f t="shared" si="39"/>
        <v>0</v>
      </c>
    </row>
    <row r="77" spans="1:75" x14ac:dyDescent="0.25">
      <c r="A77" s="44" t="s">
        <v>77</v>
      </c>
      <c r="B77" s="45">
        <v>0</v>
      </c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>
        <v>59.6</v>
      </c>
      <c r="O77" s="45">
        <v>43.5</v>
      </c>
      <c r="P77" s="45">
        <v>44</v>
      </c>
      <c r="Q77" s="45">
        <v>60</v>
      </c>
      <c r="R77" s="45">
        <v>39.9</v>
      </c>
      <c r="S77" s="45">
        <v>43.5</v>
      </c>
      <c r="T77" s="45">
        <v>45</v>
      </c>
      <c r="U77" s="45">
        <v>55</v>
      </c>
      <c r="V77" s="45">
        <v>60</v>
      </c>
      <c r="W77" s="45">
        <v>60</v>
      </c>
      <c r="X77" s="45">
        <v>50</v>
      </c>
      <c r="Y77" s="45">
        <v>60</v>
      </c>
      <c r="Z77" s="45">
        <v>60</v>
      </c>
      <c r="AA77" s="45">
        <v>60</v>
      </c>
      <c r="AB77" s="45">
        <v>60</v>
      </c>
      <c r="AC77" s="45">
        <v>60</v>
      </c>
      <c r="AD77" s="45">
        <v>60</v>
      </c>
      <c r="AE77" s="45">
        <v>30</v>
      </c>
      <c r="AF77" s="45">
        <v>10</v>
      </c>
      <c r="AG77" s="52">
        <v>60</v>
      </c>
      <c r="AH77" s="47">
        <f t="shared" si="2"/>
        <v>60</v>
      </c>
      <c r="AI77" s="48">
        <f t="shared" si="3"/>
        <v>0</v>
      </c>
      <c r="AK77" s="50"/>
      <c r="AZ77" s="252">
        <f t="shared" si="39"/>
        <v>420</v>
      </c>
      <c r="BA77" s="252">
        <f t="shared" si="39"/>
        <v>428</v>
      </c>
      <c r="BB77" s="252">
        <f t="shared" si="39"/>
        <v>406.8</v>
      </c>
      <c r="BC77" s="252">
        <f t="shared" si="39"/>
        <v>389</v>
      </c>
      <c r="BD77" s="252">
        <f t="shared" si="39"/>
        <v>399</v>
      </c>
      <c r="BE77" s="252">
        <f t="shared" si="39"/>
        <v>442</v>
      </c>
      <c r="BF77" s="252">
        <f t="shared" si="39"/>
        <v>155</v>
      </c>
      <c r="BG77" s="252">
        <f t="shared" si="39"/>
        <v>0</v>
      </c>
      <c r="BH77" s="252">
        <f t="shared" si="39"/>
        <v>66.599999999999994</v>
      </c>
      <c r="BI77" s="252">
        <f t="shared" si="39"/>
        <v>136.19999999999999</v>
      </c>
      <c r="BJ77" s="252">
        <f t="shared" si="39"/>
        <v>190</v>
      </c>
      <c r="BK77" s="252">
        <f t="shared" si="39"/>
        <v>412</v>
      </c>
      <c r="BL77" s="252">
        <f t="shared" si="39"/>
        <v>447.6</v>
      </c>
      <c r="BM77" s="252">
        <f t="shared" si="39"/>
        <v>447</v>
      </c>
      <c r="BN77" s="252">
        <f t="shared" si="39"/>
        <v>463</v>
      </c>
      <c r="BO77" s="252">
        <f t="shared" si="39"/>
        <v>479</v>
      </c>
      <c r="BP77" s="252">
        <f t="shared" si="39"/>
        <v>329</v>
      </c>
      <c r="BQ77" s="252">
        <f t="shared" si="39"/>
        <v>146</v>
      </c>
      <c r="BR77" s="252">
        <f t="shared" si="39"/>
        <v>246</v>
      </c>
      <c r="BS77" s="252">
        <f t="shared" si="39"/>
        <v>287.5</v>
      </c>
      <c r="BT77" s="252">
        <f t="shared" si="39"/>
        <v>387.96</v>
      </c>
      <c r="BU77" s="252">
        <f t="shared" si="39"/>
        <v>391.4</v>
      </c>
      <c r="BV77" s="252">
        <f t="shared" si="39"/>
        <v>384.4</v>
      </c>
      <c r="BW77" s="252">
        <f t="shared" si="39"/>
        <v>395</v>
      </c>
    </row>
    <row r="78" spans="1:75" x14ac:dyDescent="0.25">
      <c r="A78" s="54" t="s">
        <v>78</v>
      </c>
      <c r="B78" s="45">
        <v>0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>
        <v>28.5</v>
      </c>
      <c r="O78" s="65">
        <v>28.1</v>
      </c>
      <c r="P78" s="65">
        <v>19.399999999999999</v>
      </c>
      <c r="Q78" s="65">
        <v>27</v>
      </c>
      <c r="R78" s="65">
        <v>15.4</v>
      </c>
      <c r="S78" s="65">
        <v>15.9</v>
      </c>
      <c r="T78" s="65">
        <v>18.7</v>
      </c>
      <c r="U78" s="65">
        <v>25.7</v>
      </c>
      <c r="V78" s="65">
        <v>28</v>
      </c>
      <c r="W78" s="65">
        <v>28</v>
      </c>
      <c r="X78" s="65">
        <v>21</v>
      </c>
      <c r="Y78" s="65">
        <v>28</v>
      </c>
      <c r="Z78" s="65">
        <v>28</v>
      </c>
      <c r="AA78" s="65">
        <v>28</v>
      </c>
      <c r="AB78" s="65">
        <v>28</v>
      </c>
      <c r="AC78" s="65">
        <v>28</v>
      </c>
      <c r="AD78" s="65">
        <v>28</v>
      </c>
      <c r="AE78" s="65">
        <v>21.5</v>
      </c>
      <c r="AF78" s="65">
        <v>4.8</v>
      </c>
      <c r="AG78" s="55">
        <v>32</v>
      </c>
      <c r="AH78" s="47">
        <f t="shared" si="2"/>
        <v>28.5</v>
      </c>
      <c r="AI78" s="48">
        <f t="shared" si="3"/>
        <v>0</v>
      </c>
      <c r="AK78" s="50"/>
      <c r="AZ78" s="252">
        <f t="shared" si="39"/>
        <v>0</v>
      </c>
      <c r="BA78" s="252">
        <f t="shared" si="39"/>
        <v>0</v>
      </c>
      <c r="BB78" s="252">
        <f t="shared" si="39"/>
        <v>0</v>
      </c>
      <c r="BC78" s="252">
        <f t="shared" si="39"/>
        <v>0</v>
      </c>
      <c r="BD78" s="252">
        <f t="shared" si="39"/>
        <v>0</v>
      </c>
      <c r="BE78" s="252">
        <f t="shared" si="39"/>
        <v>0</v>
      </c>
      <c r="BF78" s="252">
        <f t="shared" si="39"/>
        <v>0</v>
      </c>
      <c r="BG78" s="252">
        <f t="shared" si="39"/>
        <v>0</v>
      </c>
      <c r="BH78" s="252">
        <f t="shared" si="39"/>
        <v>0</v>
      </c>
      <c r="BI78" s="252">
        <f t="shared" si="39"/>
        <v>0</v>
      </c>
      <c r="BJ78" s="252">
        <f t="shared" si="39"/>
        <v>0</v>
      </c>
      <c r="BK78" s="252">
        <f t="shared" si="39"/>
        <v>0</v>
      </c>
      <c r="BL78" s="252">
        <f t="shared" si="39"/>
        <v>0</v>
      </c>
      <c r="BM78" s="252">
        <f t="shared" si="39"/>
        <v>38</v>
      </c>
      <c r="BN78" s="252">
        <f t="shared" si="39"/>
        <v>43</v>
      </c>
      <c r="BO78" s="252">
        <f t="shared" si="39"/>
        <v>57</v>
      </c>
      <c r="BP78" s="252">
        <f t="shared" si="39"/>
        <v>32.4</v>
      </c>
      <c r="BQ78" s="252">
        <f t="shared" si="39"/>
        <v>0</v>
      </c>
      <c r="BR78" s="252">
        <f t="shared" si="39"/>
        <v>0</v>
      </c>
      <c r="BS78" s="252">
        <f t="shared" si="39"/>
        <v>0</v>
      </c>
      <c r="BT78" s="252">
        <f t="shared" si="39"/>
        <v>0</v>
      </c>
      <c r="BU78" s="252">
        <f t="shared" si="39"/>
        <v>0</v>
      </c>
      <c r="BV78" s="252">
        <f t="shared" si="39"/>
        <v>0</v>
      </c>
      <c r="BW78" s="252">
        <f t="shared" si="39"/>
        <v>0</v>
      </c>
    </row>
    <row r="79" spans="1:75" ht="15.75" thickBot="1" x14ac:dyDescent="0.3">
      <c r="A79" s="71" t="s">
        <v>79</v>
      </c>
      <c r="B79" s="45">
        <v>0</v>
      </c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>
        <v>10.4</v>
      </c>
      <c r="O79" s="67">
        <v>10.3</v>
      </c>
      <c r="P79" s="67">
        <v>7.1</v>
      </c>
      <c r="Q79" s="67">
        <v>9.8000000000000007</v>
      </c>
      <c r="R79" s="67">
        <v>5.6</v>
      </c>
      <c r="S79" s="67">
        <v>5.8</v>
      </c>
      <c r="T79" s="67">
        <v>6.8</v>
      </c>
      <c r="U79" s="67">
        <v>9.4</v>
      </c>
      <c r="V79" s="67">
        <v>10.199999999999999</v>
      </c>
      <c r="W79" s="67">
        <v>10.199999999999999</v>
      </c>
      <c r="X79" s="67">
        <v>7</v>
      </c>
      <c r="Y79" s="67">
        <v>10</v>
      </c>
      <c r="Z79" s="67">
        <v>10</v>
      </c>
      <c r="AA79" s="67">
        <v>10</v>
      </c>
      <c r="AB79" s="67">
        <v>10</v>
      </c>
      <c r="AC79" s="67">
        <v>10</v>
      </c>
      <c r="AD79" s="67">
        <v>10</v>
      </c>
      <c r="AE79" s="67">
        <v>7.9</v>
      </c>
      <c r="AF79" s="67">
        <v>1.7</v>
      </c>
      <c r="AG79" s="68">
        <v>14</v>
      </c>
      <c r="AH79" s="47">
        <f t="shared" si="2"/>
        <v>10.4</v>
      </c>
      <c r="AI79" s="48">
        <f t="shared" si="3"/>
        <v>0</v>
      </c>
      <c r="AK79" s="50"/>
      <c r="AZ79" s="252">
        <f t="shared" si="39"/>
        <v>0</v>
      </c>
      <c r="BA79" s="252">
        <f t="shared" si="39"/>
        <v>0</v>
      </c>
      <c r="BB79" s="252">
        <f t="shared" si="39"/>
        <v>0</v>
      </c>
      <c r="BC79" s="252">
        <f t="shared" si="39"/>
        <v>0</v>
      </c>
      <c r="BD79" s="252">
        <f t="shared" si="39"/>
        <v>0</v>
      </c>
      <c r="BE79" s="252">
        <f t="shared" si="39"/>
        <v>0</v>
      </c>
      <c r="BF79" s="252">
        <f t="shared" si="39"/>
        <v>0</v>
      </c>
      <c r="BG79" s="252">
        <f t="shared" si="39"/>
        <v>0</v>
      </c>
      <c r="BH79" s="252">
        <f t="shared" si="39"/>
        <v>0</v>
      </c>
      <c r="BI79" s="252">
        <f t="shared" si="39"/>
        <v>0</v>
      </c>
      <c r="BJ79" s="252">
        <f t="shared" si="39"/>
        <v>0</v>
      </c>
      <c r="BK79" s="252">
        <f t="shared" si="39"/>
        <v>0</v>
      </c>
      <c r="BL79" s="252">
        <f t="shared" si="39"/>
        <v>92.3</v>
      </c>
      <c r="BM79" s="252">
        <f t="shared" si="39"/>
        <v>52.6</v>
      </c>
      <c r="BN79" s="252">
        <f t="shared" si="39"/>
        <v>80</v>
      </c>
      <c r="BO79" s="252">
        <f t="shared" si="39"/>
        <v>84</v>
      </c>
      <c r="BP79" s="252">
        <f t="shared" si="39"/>
        <v>40</v>
      </c>
      <c r="BQ79" s="252">
        <f t="shared" si="39"/>
        <v>46</v>
      </c>
      <c r="BR79" s="252">
        <f t="shared" si="39"/>
        <v>48</v>
      </c>
      <c r="BS79" s="252">
        <f t="shared" si="39"/>
        <v>51.8</v>
      </c>
      <c r="BT79" s="252">
        <f t="shared" si="39"/>
        <v>0</v>
      </c>
      <c r="BU79" s="252">
        <f t="shared" si="39"/>
        <v>0</v>
      </c>
      <c r="BV79" s="252">
        <f t="shared" si="39"/>
        <v>0</v>
      </c>
      <c r="BW79" s="252">
        <f t="shared" si="39"/>
        <v>0</v>
      </c>
    </row>
    <row r="80" spans="1:75" ht="15.75" thickBot="1" x14ac:dyDescent="0.3">
      <c r="A80" s="74" t="s">
        <v>80</v>
      </c>
      <c r="B80" s="60">
        <f t="shared" ref="B80:AA80" si="40">B77+B78+B79</f>
        <v>0</v>
      </c>
      <c r="C80" s="60">
        <f t="shared" si="40"/>
        <v>0</v>
      </c>
      <c r="D80" s="60">
        <f t="shared" si="40"/>
        <v>0</v>
      </c>
      <c r="E80" s="60">
        <f t="shared" si="40"/>
        <v>0</v>
      </c>
      <c r="F80" s="60">
        <f t="shared" si="40"/>
        <v>0</v>
      </c>
      <c r="G80" s="60">
        <f t="shared" si="40"/>
        <v>0</v>
      </c>
      <c r="H80" s="60">
        <f t="shared" si="40"/>
        <v>0</v>
      </c>
      <c r="I80" s="60">
        <f t="shared" si="40"/>
        <v>0</v>
      </c>
      <c r="J80" s="60">
        <f t="shared" si="40"/>
        <v>0</v>
      </c>
      <c r="K80" s="60">
        <f t="shared" si="40"/>
        <v>0</v>
      </c>
      <c r="L80" s="60">
        <f t="shared" ref="L80" si="41">L77+L78+L79</f>
        <v>0</v>
      </c>
      <c r="M80" s="60">
        <f t="shared" si="40"/>
        <v>0</v>
      </c>
      <c r="N80" s="60">
        <f t="shared" si="40"/>
        <v>98.5</v>
      </c>
      <c r="O80" s="60">
        <f t="shared" si="40"/>
        <v>81.899999999999991</v>
      </c>
      <c r="P80" s="60">
        <f t="shared" si="40"/>
        <v>70.5</v>
      </c>
      <c r="Q80" s="60">
        <f t="shared" si="40"/>
        <v>96.8</v>
      </c>
      <c r="R80" s="60">
        <f t="shared" ref="R80" si="42">R77+R78+R79</f>
        <v>60.9</v>
      </c>
      <c r="S80" s="60">
        <f t="shared" si="40"/>
        <v>65.2</v>
      </c>
      <c r="T80" s="60">
        <f t="shared" si="40"/>
        <v>70.5</v>
      </c>
      <c r="U80" s="60">
        <f t="shared" si="40"/>
        <v>90.100000000000009</v>
      </c>
      <c r="V80" s="60">
        <f t="shared" si="40"/>
        <v>98.2</v>
      </c>
      <c r="W80" s="60">
        <f t="shared" si="40"/>
        <v>98.2</v>
      </c>
      <c r="X80" s="60">
        <f t="shared" si="40"/>
        <v>78</v>
      </c>
      <c r="Y80" s="60">
        <f t="shared" si="40"/>
        <v>98</v>
      </c>
      <c r="Z80" s="60">
        <f t="shared" si="40"/>
        <v>98</v>
      </c>
      <c r="AA80" s="60">
        <f t="shared" si="40"/>
        <v>98</v>
      </c>
      <c r="AB80" s="60">
        <f t="shared" ref="AB80:AC80" si="43">AB77+AB78+AB79</f>
        <v>98</v>
      </c>
      <c r="AC80" s="60">
        <f t="shared" si="43"/>
        <v>98</v>
      </c>
      <c r="AD80" s="60">
        <f t="shared" ref="AD80:AE80" si="44">AD77+AD78+AD79</f>
        <v>98</v>
      </c>
      <c r="AE80" s="60">
        <f t="shared" si="44"/>
        <v>59.4</v>
      </c>
      <c r="AF80" s="60">
        <f t="shared" ref="AF80" si="45">AF77+AF78+AF79</f>
        <v>16.5</v>
      </c>
      <c r="AG80" s="61">
        <f>SUM(AG77:AG79)</f>
        <v>106</v>
      </c>
      <c r="AH80" s="47">
        <f t="shared" si="2"/>
        <v>98.5</v>
      </c>
      <c r="AI80" s="48">
        <f t="shared" si="3"/>
        <v>0</v>
      </c>
      <c r="AK80" s="50"/>
      <c r="AZ80" s="252">
        <f t="shared" si="39"/>
        <v>0</v>
      </c>
      <c r="BA80" s="252">
        <f t="shared" si="39"/>
        <v>0</v>
      </c>
      <c r="BB80" s="252">
        <f t="shared" si="39"/>
        <v>0</v>
      </c>
      <c r="BC80" s="252">
        <f t="shared" si="39"/>
        <v>0</v>
      </c>
      <c r="BD80" s="252">
        <f t="shared" si="39"/>
        <v>0</v>
      </c>
      <c r="BE80" s="252">
        <f t="shared" si="39"/>
        <v>0</v>
      </c>
      <c r="BF80" s="252">
        <f t="shared" si="39"/>
        <v>25</v>
      </c>
      <c r="BG80" s="252">
        <f t="shared" si="39"/>
        <v>0</v>
      </c>
      <c r="BH80" s="252">
        <f t="shared" si="39"/>
        <v>44</v>
      </c>
      <c r="BI80" s="252">
        <f t="shared" si="39"/>
        <v>40</v>
      </c>
      <c r="BJ80" s="252">
        <f t="shared" si="39"/>
        <v>44</v>
      </c>
      <c r="BK80" s="252">
        <f t="shared" si="39"/>
        <v>45</v>
      </c>
      <c r="BL80" s="252">
        <f t="shared" si="39"/>
        <v>48.6</v>
      </c>
      <c r="BM80" s="252">
        <f t="shared" si="39"/>
        <v>49</v>
      </c>
      <c r="BN80" s="252">
        <f t="shared" si="39"/>
        <v>54</v>
      </c>
      <c r="BO80" s="252">
        <f t="shared" si="39"/>
        <v>55</v>
      </c>
      <c r="BP80" s="252">
        <f t="shared" si="39"/>
        <v>53</v>
      </c>
      <c r="BQ80" s="252">
        <f t="shared" si="39"/>
        <v>43</v>
      </c>
      <c r="BR80" s="252">
        <f t="shared" si="39"/>
        <v>44</v>
      </c>
      <c r="BS80" s="252">
        <f t="shared" si="39"/>
        <v>50.8</v>
      </c>
      <c r="BT80" s="252">
        <f t="shared" si="39"/>
        <v>53.8</v>
      </c>
      <c r="BU80" s="252">
        <f t="shared" si="39"/>
        <v>59.5</v>
      </c>
      <c r="BV80" s="252">
        <f t="shared" si="39"/>
        <v>63.8</v>
      </c>
      <c r="BW80" s="252">
        <f t="shared" si="39"/>
        <v>42</v>
      </c>
    </row>
    <row r="81" spans="1:64" x14ac:dyDescent="0.25">
      <c r="A81" s="44" t="s">
        <v>81</v>
      </c>
      <c r="B81" s="45">
        <v>68</v>
      </c>
      <c r="C81" s="45">
        <v>67</v>
      </c>
      <c r="D81" s="45">
        <v>62</v>
      </c>
      <c r="E81" s="45">
        <v>62.9</v>
      </c>
      <c r="F81" s="45">
        <v>62</v>
      </c>
      <c r="G81" s="45">
        <v>65.2</v>
      </c>
      <c r="H81" s="45">
        <v>64</v>
      </c>
      <c r="I81" s="45">
        <v>61</v>
      </c>
      <c r="J81" s="45">
        <v>68</v>
      </c>
      <c r="K81" s="45">
        <v>45</v>
      </c>
      <c r="L81" s="45">
        <v>45</v>
      </c>
      <c r="M81" s="45"/>
      <c r="N81" s="45">
        <v>62.8</v>
      </c>
      <c r="O81" s="45">
        <v>66</v>
      </c>
      <c r="P81" s="45">
        <v>68.400000000000006</v>
      </c>
      <c r="Q81" s="45">
        <v>66</v>
      </c>
      <c r="R81" s="45">
        <v>62.4</v>
      </c>
      <c r="S81" s="45">
        <v>34.299999999999997</v>
      </c>
      <c r="T81" s="45">
        <v>54.2</v>
      </c>
      <c r="U81" s="45">
        <v>69</v>
      </c>
      <c r="V81" s="45">
        <v>57</v>
      </c>
      <c r="W81" s="45">
        <v>60</v>
      </c>
      <c r="X81" s="45">
        <v>65</v>
      </c>
      <c r="Y81" s="45">
        <v>43</v>
      </c>
      <c r="Z81" s="45">
        <v>46</v>
      </c>
      <c r="AA81" s="45">
        <v>45</v>
      </c>
      <c r="AB81" s="45">
        <v>41.8</v>
      </c>
      <c r="AC81" s="45">
        <v>41.8</v>
      </c>
      <c r="AD81" s="45">
        <v>54.7</v>
      </c>
      <c r="AE81" s="45">
        <v>59.7</v>
      </c>
      <c r="AF81" s="45">
        <v>50.4</v>
      </c>
      <c r="AG81" s="52"/>
      <c r="AH81" s="47">
        <f t="shared" si="2"/>
        <v>69</v>
      </c>
      <c r="AI81" s="48">
        <f t="shared" si="3"/>
        <v>34.299999999999997</v>
      </c>
      <c r="AK81" s="50"/>
      <c r="AY81" s="252"/>
    </row>
    <row r="82" spans="1:64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55"/>
      <c r="AH82" s="47">
        <f t="shared" si="2"/>
        <v>0</v>
      </c>
      <c r="AI82" s="48">
        <f t="shared" si="3"/>
        <v>0</v>
      </c>
      <c r="AK82" s="50"/>
      <c r="AY82" s="252"/>
      <c r="BF82" s="252"/>
      <c r="BG82" s="252"/>
      <c r="BH82" s="252"/>
      <c r="BI82" s="252"/>
      <c r="BJ82" s="252"/>
      <c r="BK82" s="252"/>
    </row>
    <row r="83" spans="1:64" x14ac:dyDescent="0.25">
      <c r="A83" s="54" t="s">
        <v>83</v>
      </c>
      <c r="B83" s="65">
        <v>395</v>
      </c>
      <c r="C83" s="65">
        <v>420</v>
      </c>
      <c r="D83" s="65">
        <v>428</v>
      </c>
      <c r="E83" s="65">
        <v>406.8</v>
      </c>
      <c r="F83" s="65">
        <v>389</v>
      </c>
      <c r="G83" s="65">
        <v>399</v>
      </c>
      <c r="H83" s="65">
        <v>409</v>
      </c>
      <c r="I83" s="65">
        <v>442</v>
      </c>
      <c r="J83" s="65">
        <v>236</v>
      </c>
      <c r="K83" s="65">
        <v>155</v>
      </c>
      <c r="L83" s="65">
        <v>155</v>
      </c>
      <c r="M83" s="65"/>
      <c r="N83" s="65">
        <v>66.599999999999994</v>
      </c>
      <c r="O83" s="65">
        <v>136.19999999999999</v>
      </c>
      <c r="P83" s="65">
        <v>190</v>
      </c>
      <c r="Q83" s="65">
        <v>412</v>
      </c>
      <c r="R83" s="65">
        <v>447.6</v>
      </c>
      <c r="S83" s="65">
        <v>447</v>
      </c>
      <c r="T83" s="65">
        <v>463</v>
      </c>
      <c r="U83" s="65">
        <v>479</v>
      </c>
      <c r="V83" s="65">
        <v>329</v>
      </c>
      <c r="W83" s="65">
        <v>187</v>
      </c>
      <c r="X83" s="65">
        <v>146</v>
      </c>
      <c r="Y83" s="65">
        <v>185</v>
      </c>
      <c r="Z83" s="65">
        <v>246</v>
      </c>
      <c r="AA83" s="65">
        <v>245</v>
      </c>
      <c r="AB83" s="65">
        <v>287.5</v>
      </c>
      <c r="AC83" s="65">
        <v>287.5</v>
      </c>
      <c r="AD83" s="65">
        <v>387.96</v>
      </c>
      <c r="AE83" s="65">
        <v>391.4</v>
      </c>
      <c r="AF83" s="65">
        <v>384.4</v>
      </c>
      <c r="AG83" s="75"/>
      <c r="AH83" s="47">
        <f t="shared" si="2"/>
        <v>479</v>
      </c>
      <c r="AI83" s="48">
        <f t="shared" si="3"/>
        <v>66.599999999999994</v>
      </c>
      <c r="AK83" s="50"/>
      <c r="AY83" s="252"/>
      <c r="BF83" s="251"/>
      <c r="BG83" s="251"/>
      <c r="BH83" s="251"/>
      <c r="BI83" s="251"/>
      <c r="BJ83" s="251"/>
      <c r="BK83" s="252"/>
    </row>
    <row r="84" spans="1:64" x14ac:dyDescent="0.25">
      <c r="A84" s="54" t="s">
        <v>84</v>
      </c>
      <c r="B84" s="65"/>
      <c r="C84" s="65"/>
      <c r="D84" s="65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>
        <v>38</v>
      </c>
      <c r="T84" s="76">
        <v>43</v>
      </c>
      <c r="U84" s="76">
        <v>57</v>
      </c>
      <c r="V84" s="76">
        <v>32.4</v>
      </c>
      <c r="W84" s="76">
        <v>0</v>
      </c>
      <c r="X84" s="76">
        <v>0</v>
      </c>
      <c r="Y84" s="76">
        <v>0</v>
      </c>
      <c r="Z84" s="76">
        <v>0</v>
      </c>
      <c r="AA84" s="76">
        <v>0</v>
      </c>
      <c r="AB84" s="76">
        <v>0</v>
      </c>
      <c r="AC84" s="76">
        <v>0</v>
      </c>
      <c r="AD84" s="76">
        <v>0</v>
      </c>
      <c r="AE84" s="76">
        <v>0</v>
      </c>
      <c r="AF84" s="76">
        <v>0</v>
      </c>
      <c r="AG84" s="75"/>
      <c r="AH84" s="47">
        <f t="shared" si="2"/>
        <v>57</v>
      </c>
      <c r="AI84" s="48">
        <f t="shared" si="3"/>
        <v>0</v>
      </c>
      <c r="AK84" s="50"/>
      <c r="AY84" s="252"/>
      <c r="BF84" s="251"/>
      <c r="BG84" s="252">
        <f t="array" ref="BG84:BL107">TRANSPOSE(AZ68:BW73)</f>
        <v>67</v>
      </c>
      <c r="BH84" s="252">
        <v>0</v>
      </c>
      <c r="BI84" s="252">
        <v>420</v>
      </c>
      <c r="BJ84" s="252">
        <v>0</v>
      </c>
      <c r="BK84" s="252">
        <v>0</v>
      </c>
      <c r="BL84" s="252">
        <v>0</v>
      </c>
    </row>
    <row r="85" spans="1:64" x14ac:dyDescent="0.25">
      <c r="A85" s="54" t="s">
        <v>85</v>
      </c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>
        <v>92.3</v>
      </c>
      <c r="S85" s="45">
        <v>52.6</v>
      </c>
      <c r="T85" s="45">
        <v>80</v>
      </c>
      <c r="U85" s="45">
        <v>84</v>
      </c>
      <c r="V85" s="45">
        <v>40</v>
      </c>
      <c r="W85" s="45">
        <v>43</v>
      </c>
      <c r="X85" s="45">
        <v>46</v>
      </c>
      <c r="Y85" s="45">
        <v>46</v>
      </c>
      <c r="Z85" s="45">
        <v>48</v>
      </c>
      <c r="AA85" s="45">
        <v>50</v>
      </c>
      <c r="AB85" s="45">
        <f>25.9*2</f>
        <v>51.8</v>
      </c>
      <c r="AC85" s="45">
        <f>25.9*2</f>
        <v>51.8</v>
      </c>
      <c r="AD85" s="45">
        <v>0</v>
      </c>
      <c r="AE85" s="45">
        <v>0</v>
      </c>
      <c r="AF85" s="45">
        <v>0</v>
      </c>
      <c r="AG85" s="75"/>
      <c r="AH85" s="47">
        <f t="shared" ref="AH85:AH130" si="46">MAX(B85:AF85)</f>
        <v>92.3</v>
      </c>
      <c r="AI85" s="48">
        <f t="shared" ref="AI85:AI130" si="47">MIN(B85:AF85)</f>
        <v>0</v>
      </c>
      <c r="AK85" s="50"/>
      <c r="AY85" s="252"/>
      <c r="BF85" s="251"/>
      <c r="BG85" s="252">
        <v>62</v>
      </c>
      <c r="BH85" s="252">
        <v>0</v>
      </c>
      <c r="BI85" s="252">
        <v>428</v>
      </c>
      <c r="BJ85" s="252">
        <v>0</v>
      </c>
      <c r="BK85" s="252">
        <v>0</v>
      </c>
      <c r="BL85" s="252">
        <v>0</v>
      </c>
    </row>
    <row r="86" spans="1:64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5"/>
      <c r="AH86" s="47">
        <f t="shared" si="46"/>
        <v>0</v>
      </c>
      <c r="AI86" s="48">
        <f t="shared" si="47"/>
        <v>0</v>
      </c>
      <c r="AK86" s="50"/>
      <c r="AY86" s="252"/>
      <c r="BF86" s="251"/>
      <c r="BG86" s="252">
        <v>62.9</v>
      </c>
      <c r="BH86" s="252">
        <v>0</v>
      </c>
      <c r="BI86" s="252">
        <v>406.8</v>
      </c>
      <c r="BJ86" s="252">
        <v>0</v>
      </c>
      <c r="BK86" s="252">
        <v>0</v>
      </c>
      <c r="BL86" s="252">
        <v>0</v>
      </c>
    </row>
    <row r="87" spans="1:64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5"/>
      <c r="AH87" s="47">
        <f t="shared" si="46"/>
        <v>0</v>
      </c>
      <c r="AI87" s="48">
        <f t="shared" si="47"/>
        <v>0</v>
      </c>
      <c r="AK87" s="50"/>
      <c r="AL87" s="78" t="s">
        <v>88</v>
      </c>
      <c r="AM87" s="78"/>
      <c r="AY87" s="252"/>
      <c r="BF87" s="252"/>
      <c r="BG87" s="252">
        <v>62</v>
      </c>
      <c r="BH87" s="252">
        <v>0</v>
      </c>
      <c r="BI87" s="252">
        <v>389</v>
      </c>
      <c r="BJ87" s="252">
        <v>0</v>
      </c>
      <c r="BK87" s="252">
        <v>0</v>
      </c>
      <c r="BL87" s="252">
        <v>0</v>
      </c>
    </row>
    <row r="88" spans="1:64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5"/>
      <c r="AH88" s="47">
        <f t="shared" si="46"/>
        <v>0</v>
      </c>
      <c r="AI88" s="48">
        <f t="shared" si="47"/>
        <v>0</v>
      </c>
      <c r="AK88" s="79"/>
      <c r="AL88" s="80"/>
      <c r="AM88" s="80"/>
      <c r="AN88" s="81"/>
      <c r="AY88" s="252"/>
      <c r="BF88" s="252"/>
      <c r="BG88" s="252">
        <v>65.2</v>
      </c>
      <c r="BH88" s="252">
        <v>0</v>
      </c>
      <c r="BI88" s="252">
        <v>399</v>
      </c>
      <c r="BJ88" s="252">
        <v>0</v>
      </c>
      <c r="BK88" s="252">
        <v>0</v>
      </c>
      <c r="BL88" s="252">
        <v>0</v>
      </c>
    </row>
    <row r="89" spans="1:64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5"/>
      <c r="AH89" s="47">
        <f t="shared" si="46"/>
        <v>0</v>
      </c>
      <c r="AI89" s="48">
        <f t="shared" si="47"/>
        <v>0</v>
      </c>
      <c r="AK89" s="82" t="s">
        <v>91</v>
      </c>
      <c r="AL89" s="65"/>
      <c r="AM89" s="76"/>
      <c r="AN89" s="83"/>
      <c r="AY89" s="252"/>
      <c r="BF89" s="252"/>
      <c r="BG89" s="252">
        <v>61</v>
      </c>
      <c r="BH89" s="252">
        <v>0</v>
      </c>
      <c r="BI89" s="252">
        <v>442</v>
      </c>
      <c r="BJ89" s="252">
        <v>0</v>
      </c>
      <c r="BK89" s="252">
        <v>0</v>
      </c>
      <c r="BL89" s="252">
        <v>0</v>
      </c>
    </row>
    <row r="90" spans="1:64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85"/>
      <c r="AH90" s="47">
        <f t="shared" si="46"/>
        <v>0</v>
      </c>
      <c r="AI90" s="48">
        <f t="shared" si="47"/>
        <v>0</v>
      </c>
      <c r="AK90" s="82" t="s">
        <v>93</v>
      </c>
      <c r="AL90" s="76"/>
      <c r="AM90" s="76"/>
      <c r="AN90" s="83"/>
      <c r="AY90" s="252"/>
      <c r="BF90" s="252"/>
      <c r="BG90" s="252">
        <v>45</v>
      </c>
      <c r="BH90" s="252">
        <v>0</v>
      </c>
      <c r="BI90" s="252">
        <v>155</v>
      </c>
      <c r="BJ90" s="252">
        <v>0</v>
      </c>
      <c r="BK90" s="252">
        <v>0</v>
      </c>
      <c r="BL90" s="252">
        <v>25</v>
      </c>
    </row>
    <row r="91" spans="1:64" ht="15.75" thickBot="1" x14ac:dyDescent="0.3">
      <c r="A91" s="84" t="s">
        <v>421</v>
      </c>
      <c r="B91" s="77">
        <v>42</v>
      </c>
      <c r="C91" s="77">
        <v>0</v>
      </c>
      <c r="D91" s="77">
        <v>0</v>
      </c>
      <c r="E91" s="77">
        <v>0</v>
      </c>
      <c r="F91" s="77">
        <v>0</v>
      </c>
      <c r="G91" s="77"/>
      <c r="H91" s="77"/>
      <c r="I91" s="77"/>
      <c r="J91" s="77"/>
      <c r="K91" s="77">
        <v>25</v>
      </c>
      <c r="L91" s="77">
        <v>44.1</v>
      </c>
      <c r="M91" s="77"/>
      <c r="N91" s="77">
        <f>44</f>
        <v>44</v>
      </c>
      <c r="O91" s="77">
        <v>40</v>
      </c>
      <c r="P91" s="77">
        <v>44</v>
      </c>
      <c r="Q91" s="77">
        <v>45</v>
      </c>
      <c r="R91" s="77">
        <v>48.6</v>
      </c>
      <c r="S91" s="77">
        <v>49</v>
      </c>
      <c r="T91" s="77">
        <v>54</v>
      </c>
      <c r="U91" s="77">
        <v>55</v>
      </c>
      <c r="V91" s="77">
        <v>53</v>
      </c>
      <c r="W91" s="77">
        <v>47</v>
      </c>
      <c r="X91" s="77">
        <v>43</v>
      </c>
      <c r="Y91" s="77">
        <v>44</v>
      </c>
      <c r="Z91" s="77">
        <v>44</v>
      </c>
      <c r="AA91" s="77">
        <v>44</v>
      </c>
      <c r="AB91" s="77">
        <f>42.8+8</f>
        <v>50.8</v>
      </c>
      <c r="AC91" s="77">
        <f>42.8+8</f>
        <v>50.8</v>
      </c>
      <c r="AD91" s="77">
        <f>45.8+8</f>
        <v>53.8</v>
      </c>
      <c r="AE91" s="77">
        <f>51.5+8</f>
        <v>59.5</v>
      </c>
      <c r="AF91" s="77">
        <f>55.8+8</f>
        <v>63.8</v>
      </c>
      <c r="AG91" s="85"/>
      <c r="AH91" s="47">
        <f t="shared" si="46"/>
        <v>63.8</v>
      </c>
      <c r="AI91" s="48">
        <f t="shared" si="47"/>
        <v>0</v>
      </c>
      <c r="AK91" s="86"/>
      <c r="AL91" s="45"/>
      <c r="AM91" s="45"/>
      <c r="AN91" s="87"/>
      <c r="AY91" s="252"/>
      <c r="BF91" s="252"/>
      <c r="BG91" s="252">
        <v>0</v>
      </c>
      <c r="BH91" s="252">
        <v>0</v>
      </c>
      <c r="BI91" s="252">
        <v>0</v>
      </c>
      <c r="BJ91" s="252">
        <v>0</v>
      </c>
      <c r="BK91" s="252">
        <v>0</v>
      </c>
      <c r="BL91" s="252">
        <v>0</v>
      </c>
    </row>
    <row r="92" spans="1:64" ht="15.75" thickBot="1" x14ac:dyDescent="0.3">
      <c r="A92" s="74" t="s">
        <v>95</v>
      </c>
      <c r="B92" s="60">
        <f t="shared" ref="B92:AA92" si="48">SUMIF(B81:B91,"&gt;0")</f>
        <v>505</v>
      </c>
      <c r="C92" s="60">
        <f t="shared" si="48"/>
        <v>487</v>
      </c>
      <c r="D92" s="60">
        <f t="shared" si="48"/>
        <v>490</v>
      </c>
      <c r="E92" s="60">
        <f t="shared" si="48"/>
        <v>469.7</v>
      </c>
      <c r="F92" s="60">
        <f t="shared" si="48"/>
        <v>451</v>
      </c>
      <c r="G92" s="60">
        <f t="shared" si="48"/>
        <v>464.2</v>
      </c>
      <c r="H92" s="60">
        <f t="shared" si="48"/>
        <v>473</v>
      </c>
      <c r="I92" s="60">
        <f t="shared" si="48"/>
        <v>503</v>
      </c>
      <c r="J92" s="60">
        <f t="shared" si="48"/>
        <v>304</v>
      </c>
      <c r="K92" s="60">
        <f t="shared" si="48"/>
        <v>225</v>
      </c>
      <c r="L92" s="60">
        <f t="shared" si="48"/>
        <v>244.1</v>
      </c>
      <c r="M92" s="60">
        <f t="shared" si="48"/>
        <v>0</v>
      </c>
      <c r="N92" s="60">
        <f t="shared" si="48"/>
        <v>173.39999999999998</v>
      </c>
      <c r="O92" s="60">
        <f t="shared" si="48"/>
        <v>242.2</v>
      </c>
      <c r="P92" s="60">
        <f t="shared" si="48"/>
        <v>302.39999999999998</v>
      </c>
      <c r="Q92" s="60">
        <f t="shared" si="48"/>
        <v>523</v>
      </c>
      <c r="R92" s="60">
        <f t="shared" ref="R92" si="49">SUMIF(R81:R91,"&gt;0")</f>
        <v>650.9</v>
      </c>
      <c r="S92" s="60">
        <f t="shared" si="48"/>
        <v>620.9</v>
      </c>
      <c r="T92" s="60">
        <f t="shared" si="48"/>
        <v>694.2</v>
      </c>
      <c r="U92" s="60">
        <f t="shared" si="48"/>
        <v>744</v>
      </c>
      <c r="V92" s="60">
        <f t="shared" si="48"/>
        <v>511.4</v>
      </c>
      <c r="W92" s="60">
        <f t="shared" si="48"/>
        <v>337</v>
      </c>
      <c r="X92" s="60">
        <f t="shared" si="48"/>
        <v>300</v>
      </c>
      <c r="Y92" s="60">
        <f t="shared" si="48"/>
        <v>318</v>
      </c>
      <c r="Z92" s="60">
        <f t="shared" si="48"/>
        <v>384</v>
      </c>
      <c r="AA92" s="60">
        <f t="shared" si="48"/>
        <v>384</v>
      </c>
      <c r="AB92" s="60">
        <f t="shared" ref="AB92:AC92" si="50">SUMIF(AB81:AB91,"&gt;0")</f>
        <v>431.90000000000003</v>
      </c>
      <c r="AC92" s="60">
        <f t="shared" si="50"/>
        <v>431.90000000000003</v>
      </c>
      <c r="AD92" s="60">
        <f t="shared" ref="AD92:AE92" si="51">SUMIF(AD81:AD91,"&gt;0")</f>
        <v>496.46</v>
      </c>
      <c r="AE92" s="60">
        <f t="shared" si="51"/>
        <v>510.59999999999997</v>
      </c>
      <c r="AF92" s="60">
        <f t="shared" ref="AF92" si="52">SUMIF(AF81:AF91,"&gt;0")</f>
        <v>498.59999999999997</v>
      </c>
      <c r="AG92" s="88">
        <f>SUM(AG81:AG91)</f>
        <v>0</v>
      </c>
      <c r="AH92" s="47">
        <f t="shared" si="46"/>
        <v>744</v>
      </c>
      <c r="AI92" s="48">
        <f t="shared" si="47"/>
        <v>0</v>
      </c>
      <c r="AK92" s="86"/>
      <c r="AL92" s="77"/>
      <c r="AM92" s="89"/>
      <c r="AN92" s="255"/>
      <c r="AY92" s="252"/>
      <c r="BF92" s="252"/>
      <c r="BG92" s="252">
        <v>62.8</v>
      </c>
      <c r="BH92" s="252">
        <v>0</v>
      </c>
      <c r="BI92" s="252">
        <v>66.599999999999994</v>
      </c>
      <c r="BJ92" s="252">
        <v>0</v>
      </c>
      <c r="BK92" s="252">
        <v>0</v>
      </c>
      <c r="BL92" s="252">
        <v>44</v>
      </c>
    </row>
    <row r="93" spans="1:64" x14ac:dyDescent="0.25">
      <c r="A93" s="44" t="s">
        <v>96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46"/>
        <v>0</v>
      </c>
      <c r="AI93" s="48">
        <f t="shared" si="47"/>
        <v>0</v>
      </c>
      <c r="AK93" s="86"/>
      <c r="AL93" s="77"/>
      <c r="AM93" s="77"/>
      <c r="AN93" s="256"/>
      <c r="BF93" s="252"/>
      <c r="BG93" s="252">
        <v>66</v>
      </c>
      <c r="BH93" s="252">
        <v>0</v>
      </c>
      <c r="BI93" s="252">
        <v>136.19999999999999</v>
      </c>
      <c r="BJ93" s="252">
        <v>0</v>
      </c>
      <c r="BK93" s="252">
        <v>0</v>
      </c>
      <c r="BL93" s="252">
        <v>40</v>
      </c>
    </row>
    <row r="94" spans="1:64" ht="15.75" thickBot="1" x14ac:dyDescent="0.3">
      <c r="A94" s="54" t="s">
        <v>97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46"/>
        <v>0</v>
      </c>
      <c r="AI94" s="48">
        <f t="shared" si="47"/>
        <v>0</v>
      </c>
      <c r="AK94" s="91"/>
      <c r="AL94" s="92"/>
      <c r="AM94" s="92"/>
      <c r="AN94" s="93"/>
      <c r="BF94" s="252"/>
      <c r="BG94" s="252">
        <v>68.400000000000006</v>
      </c>
      <c r="BH94" s="252">
        <v>0</v>
      </c>
      <c r="BI94" s="252">
        <v>190</v>
      </c>
      <c r="BJ94" s="252">
        <v>0</v>
      </c>
      <c r="BK94" s="252">
        <v>0</v>
      </c>
      <c r="BL94" s="252">
        <v>44</v>
      </c>
    </row>
    <row r="95" spans="1:64" ht="15.75" thickBot="1" x14ac:dyDescent="0.3">
      <c r="A95" s="84" t="s">
        <v>98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46"/>
        <v>0</v>
      </c>
      <c r="AI95" s="48">
        <f t="shared" si="47"/>
        <v>0</v>
      </c>
      <c r="BF95" s="252"/>
      <c r="BG95" s="252">
        <v>66</v>
      </c>
      <c r="BH95" s="252">
        <v>0</v>
      </c>
      <c r="BI95" s="252">
        <v>412</v>
      </c>
      <c r="BJ95" s="252">
        <v>0</v>
      </c>
      <c r="BK95" s="252">
        <v>0</v>
      </c>
      <c r="BL95" s="252">
        <v>45</v>
      </c>
    </row>
    <row r="96" spans="1:64" ht="15.75" thickBot="1" x14ac:dyDescent="0.3">
      <c r="A96" s="74" t="s">
        <v>99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>
        <v>0</v>
      </c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46"/>
        <v>0</v>
      </c>
      <c r="AI96" s="48">
        <f t="shared" si="47"/>
        <v>0</v>
      </c>
      <c r="BF96" s="252"/>
      <c r="BG96" s="252">
        <v>62.4</v>
      </c>
      <c r="BH96" s="252">
        <v>0</v>
      </c>
      <c r="BI96" s="252">
        <v>447.6</v>
      </c>
      <c r="BJ96" s="252">
        <v>0</v>
      </c>
      <c r="BK96" s="252">
        <v>92.3</v>
      </c>
      <c r="BL96" s="252">
        <v>48.6</v>
      </c>
    </row>
    <row r="97" spans="1:64" ht="15.75" thickBot="1" x14ac:dyDescent="0.3">
      <c r="A97" s="74" t="s">
        <v>100</v>
      </c>
      <c r="B97" s="95">
        <f t="shared" ref="B97:AG97" si="53">B58+B62+B80+B76+B92+B96</f>
        <v>689</v>
      </c>
      <c r="C97" s="95">
        <f t="shared" si="53"/>
        <v>1185.29</v>
      </c>
      <c r="D97" s="95">
        <f t="shared" si="53"/>
        <v>1188.79</v>
      </c>
      <c r="E97" s="95">
        <f t="shared" si="53"/>
        <v>1149.79</v>
      </c>
      <c r="F97" s="95">
        <f t="shared" si="53"/>
        <v>1131.0900000000001</v>
      </c>
      <c r="G97" s="95">
        <f t="shared" si="53"/>
        <v>1242.3900000000001</v>
      </c>
      <c r="H97" s="95">
        <f t="shared" si="53"/>
        <v>1319.3899999999999</v>
      </c>
      <c r="I97" s="95">
        <f t="shared" si="53"/>
        <v>1401.39</v>
      </c>
      <c r="J97" s="95">
        <f t="shared" si="53"/>
        <v>1430.39</v>
      </c>
      <c r="K97" s="95">
        <f t="shared" si="53"/>
        <v>1478.99</v>
      </c>
      <c r="L97" s="95">
        <f t="shared" si="53"/>
        <v>1578.09</v>
      </c>
      <c r="M97" s="95">
        <f t="shared" si="53"/>
        <v>3.54</v>
      </c>
      <c r="N97" s="95">
        <f t="shared" si="53"/>
        <v>1563.69</v>
      </c>
      <c r="O97" s="95">
        <f t="shared" si="53"/>
        <v>1482.39</v>
      </c>
      <c r="P97" s="95">
        <f t="shared" si="53"/>
        <v>1424.9900000000002</v>
      </c>
      <c r="Q97" s="95">
        <f t="shared" si="53"/>
        <v>1568.49</v>
      </c>
      <c r="R97" s="95">
        <f t="shared" ref="R97" si="54">R58+R62+R80+R76+R92+R96</f>
        <v>1504.3400000000001</v>
      </c>
      <c r="S97" s="95">
        <f t="shared" si="53"/>
        <v>1414.2400000000002</v>
      </c>
      <c r="T97" s="95">
        <f t="shared" si="53"/>
        <v>1475.5400000000002</v>
      </c>
      <c r="U97" s="95">
        <f t="shared" si="53"/>
        <v>1537.7400000000002</v>
      </c>
      <c r="V97" s="95">
        <f t="shared" si="53"/>
        <v>1494.44</v>
      </c>
      <c r="W97" s="95">
        <f t="shared" si="53"/>
        <v>1456.88</v>
      </c>
      <c r="X97" s="95">
        <f t="shared" si="53"/>
        <v>1604.7800000000002</v>
      </c>
      <c r="Y97" s="95">
        <f t="shared" si="53"/>
        <v>1652.7800000000002</v>
      </c>
      <c r="Z97" s="95">
        <f t="shared" si="53"/>
        <v>1639.48</v>
      </c>
      <c r="AA97" s="95">
        <f t="shared" si="53"/>
        <v>1639.48</v>
      </c>
      <c r="AB97" s="95">
        <f t="shared" ref="AB97:AC97" si="55">AB58+AB62+AB80+AB76+AB92+AB96</f>
        <v>1637.38</v>
      </c>
      <c r="AC97" s="95">
        <f t="shared" si="55"/>
        <v>1637.38</v>
      </c>
      <c r="AD97" s="95">
        <f t="shared" ref="AD97:AE97" si="56">AD58+AD62+AD80+AD76+AD92+AD96</f>
        <v>1447.64</v>
      </c>
      <c r="AE97" s="95">
        <f t="shared" si="56"/>
        <v>1342.68</v>
      </c>
      <c r="AF97" s="95">
        <f t="shared" ref="AF97" si="57">AF58+AF62+AF80+AF76+AF92+AF96</f>
        <v>1206.18</v>
      </c>
      <c r="AG97" s="61">
        <f t="shared" si="53"/>
        <v>2231.81</v>
      </c>
      <c r="AH97" s="47">
        <f t="shared" si="46"/>
        <v>1652.7800000000002</v>
      </c>
      <c r="AI97" s="48">
        <f t="shared" si="47"/>
        <v>3.54</v>
      </c>
      <c r="BF97" s="252"/>
      <c r="BG97" s="252">
        <v>34.299999999999997</v>
      </c>
      <c r="BH97" s="252">
        <v>0</v>
      </c>
      <c r="BI97" s="252">
        <v>447</v>
      </c>
      <c r="BJ97" s="252">
        <v>38</v>
      </c>
      <c r="BK97" s="252">
        <v>52.6</v>
      </c>
      <c r="BL97" s="252">
        <v>49</v>
      </c>
    </row>
    <row r="98" spans="1:64" ht="15.75" thickBot="1" x14ac:dyDescent="0.3">
      <c r="A98" s="96" t="s">
        <v>101</v>
      </c>
      <c r="B98" s="97"/>
      <c r="C98" s="97"/>
      <c r="D98" s="97"/>
      <c r="E98" s="97"/>
      <c r="F98" s="97"/>
      <c r="G98" s="97"/>
      <c r="H98" s="97"/>
      <c r="I98" s="97"/>
      <c r="J98" s="97"/>
      <c r="K98" s="97">
        <v>200</v>
      </c>
      <c r="L98" s="97">
        <v>280</v>
      </c>
      <c r="M98" s="97"/>
      <c r="N98" s="97">
        <v>280</v>
      </c>
      <c r="O98" s="97">
        <v>280</v>
      </c>
      <c r="P98" s="97">
        <v>280</v>
      </c>
      <c r="Q98" s="97">
        <v>120</v>
      </c>
      <c r="R98" s="97">
        <v>0</v>
      </c>
      <c r="S98" s="97"/>
      <c r="T98" s="97"/>
      <c r="U98" s="97"/>
      <c r="V98" s="97"/>
      <c r="W98" s="97">
        <v>200</v>
      </c>
      <c r="X98" s="97">
        <v>280</v>
      </c>
      <c r="Y98" s="97">
        <v>280</v>
      </c>
      <c r="Z98" s="97">
        <v>280</v>
      </c>
      <c r="AA98" s="97">
        <v>280</v>
      </c>
      <c r="AB98" s="97">
        <v>280</v>
      </c>
      <c r="AC98" s="97">
        <v>280</v>
      </c>
      <c r="AD98" s="97">
        <v>150</v>
      </c>
      <c r="AE98" s="97">
        <v>150</v>
      </c>
      <c r="AF98" s="97">
        <v>151</v>
      </c>
      <c r="AG98" s="88"/>
      <c r="AH98" s="47">
        <f t="shared" si="46"/>
        <v>280</v>
      </c>
      <c r="AI98" s="48">
        <f t="shared" si="47"/>
        <v>0</v>
      </c>
      <c r="BF98" s="252"/>
      <c r="BG98" s="252">
        <v>54.2</v>
      </c>
      <c r="BH98" s="252">
        <v>0</v>
      </c>
      <c r="BI98" s="252">
        <v>463</v>
      </c>
      <c r="BJ98" s="252">
        <v>43</v>
      </c>
      <c r="BK98" s="252">
        <v>80</v>
      </c>
      <c r="BL98" s="252">
        <v>54</v>
      </c>
    </row>
    <row r="99" spans="1:64" ht="15.75" thickBot="1" x14ac:dyDescent="0.3">
      <c r="A99" s="74" t="s">
        <v>102</v>
      </c>
      <c r="B99" s="95">
        <f t="shared" ref="B99:AA99" si="58">B97+B98</f>
        <v>689</v>
      </c>
      <c r="C99" s="95">
        <f t="shared" si="58"/>
        <v>1185.29</v>
      </c>
      <c r="D99" s="95">
        <f t="shared" si="58"/>
        <v>1188.79</v>
      </c>
      <c r="E99" s="95">
        <f t="shared" si="58"/>
        <v>1149.79</v>
      </c>
      <c r="F99" s="95">
        <f t="shared" si="58"/>
        <v>1131.0900000000001</v>
      </c>
      <c r="G99" s="95">
        <f t="shared" si="58"/>
        <v>1242.3900000000001</v>
      </c>
      <c r="H99" s="95">
        <f t="shared" si="58"/>
        <v>1319.3899999999999</v>
      </c>
      <c r="I99" s="95">
        <f t="shared" si="58"/>
        <v>1401.39</v>
      </c>
      <c r="J99" s="95">
        <f t="shared" si="58"/>
        <v>1430.39</v>
      </c>
      <c r="K99" s="95">
        <f t="shared" si="58"/>
        <v>1678.99</v>
      </c>
      <c r="L99" s="95">
        <f t="shared" si="58"/>
        <v>1858.09</v>
      </c>
      <c r="M99" s="95">
        <f t="shared" si="58"/>
        <v>3.54</v>
      </c>
      <c r="N99" s="95">
        <f t="shared" si="58"/>
        <v>1843.69</v>
      </c>
      <c r="O99" s="95">
        <f t="shared" si="58"/>
        <v>1762.39</v>
      </c>
      <c r="P99" s="95">
        <f t="shared" si="58"/>
        <v>1704.9900000000002</v>
      </c>
      <c r="Q99" s="95">
        <f t="shared" si="58"/>
        <v>1688.49</v>
      </c>
      <c r="R99" s="95">
        <f t="shared" ref="R99" si="59">R97+R98</f>
        <v>1504.3400000000001</v>
      </c>
      <c r="S99" s="95">
        <f t="shared" si="58"/>
        <v>1414.2400000000002</v>
      </c>
      <c r="T99" s="95">
        <f t="shared" si="58"/>
        <v>1475.5400000000002</v>
      </c>
      <c r="U99" s="95">
        <f t="shared" si="58"/>
        <v>1537.7400000000002</v>
      </c>
      <c r="V99" s="95">
        <f t="shared" si="58"/>
        <v>1494.44</v>
      </c>
      <c r="W99" s="95">
        <f t="shared" si="58"/>
        <v>1656.88</v>
      </c>
      <c r="X99" s="95">
        <f t="shared" si="58"/>
        <v>1884.7800000000002</v>
      </c>
      <c r="Y99" s="95">
        <f t="shared" si="58"/>
        <v>1932.7800000000002</v>
      </c>
      <c r="Z99" s="95">
        <f t="shared" si="58"/>
        <v>1919.48</v>
      </c>
      <c r="AA99" s="95">
        <f t="shared" si="58"/>
        <v>1919.48</v>
      </c>
      <c r="AB99" s="95">
        <f t="shared" ref="AB99:AC99" si="60">AB97+AB98</f>
        <v>1917.38</v>
      </c>
      <c r="AC99" s="95">
        <f t="shared" si="60"/>
        <v>1917.38</v>
      </c>
      <c r="AD99" s="95">
        <f t="shared" ref="AD99:AE99" si="61">AD97+AD98</f>
        <v>1597.64</v>
      </c>
      <c r="AE99" s="95">
        <f t="shared" si="61"/>
        <v>1492.68</v>
      </c>
      <c r="AF99" s="95">
        <f t="shared" ref="AF99" si="62">AF97+AF98</f>
        <v>1357.18</v>
      </c>
      <c r="AG99" s="88">
        <f>AG96+AG92+AG80+AG76+AG58+AG98</f>
        <v>1693.71</v>
      </c>
      <c r="AH99" s="47">
        <f t="shared" si="46"/>
        <v>1932.7800000000002</v>
      </c>
      <c r="AI99" s="48">
        <f t="shared" si="47"/>
        <v>3.54</v>
      </c>
      <c r="BF99" s="252"/>
      <c r="BG99" s="252">
        <v>69</v>
      </c>
      <c r="BH99" s="252">
        <v>0</v>
      </c>
      <c r="BI99" s="252">
        <v>479</v>
      </c>
      <c r="BJ99" s="252">
        <v>57</v>
      </c>
      <c r="BK99" s="252">
        <v>84</v>
      </c>
      <c r="BL99" s="252">
        <v>55</v>
      </c>
    </row>
    <row r="100" spans="1:64" ht="15.75" thickBot="1" x14ac:dyDescent="0.3">
      <c r="A100" s="74" t="s">
        <v>103</v>
      </c>
      <c r="B100" s="95">
        <f t="shared" ref="B100:M100" si="63">B99-(B107)</f>
        <v>689</v>
      </c>
      <c r="C100" s="95">
        <f t="shared" si="63"/>
        <v>1185.29</v>
      </c>
      <c r="D100" s="95">
        <f t="shared" si="63"/>
        <v>1188.79</v>
      </c>
      <c r="E100" s="95">
        <f t="shared" si="63"/>
        <v>1149.79</v>
      </c>
      <c r="F100" s="95">
        <f t="shared" si="63"/>
        <v>1131.0900000000001</v>
      </c>
      <c r="G100" s="95">
        <f t="shared" si="63"/>
        <v>1242.3900000000001</v>
      </c>
      <c r="H100" s="95">
        <f t="shared" si="63"/>
        <v>1319.3899999999999</v>
      </c>
      <c r="I100" s="95">
        <f t="shared" si="63"/>
        <v>1401.39</v>
      </c>
      <c r="J100" s="95">
        <f t="shared" si="63"/>
        <v>1430.39</v>
      </c>
      <c r="K100" s="95">
        <f t="shared" si="63"/>
        <v>1678.99</v>
      </c>
      <c r="L100" s="95">
        <f t="shared" si="63"/>
        <v>1858.09</v>
      </c>
      <c r="M100" s="95">
        <f t="shared" si="63"/>
        <v>3.54</v>
      </c>
      <c r="N100" s="95">
        <f>N99-(N107)</f>
        <v>1843.69</v>
      </c>
      <c r="O100" s="95">
        <f t="shared" ref="O100:AA100" si="64">O99-(O107)</f>
        <v>1762.39</v>
      </c>
      <c r="P100" s="95">
        <f t="shared" si="64"/>
        <v>1704.9900000000002</v>
      </c>
      <c r="Q100" s="95">
        <f t="shared" si="64"/>
        <v>1688.49</v>
      </c>
      <c r="R100" s="95">
        <f t="shared" ref="R100" si="65">R99-(R107)</f>
        <v>1503.3400000000001</v>
      </c>
      <c r="S100" s="95">
        <f t="shared" si="64"/>
        <v>1414.2400000000002</v>
      </c>
      <c r="T100" s="95">
        <f t="shared" si="64"/>
        <v>1475.5400000000002</v>
      </c>
      <c r="U100" s="95">
        <f t="shared" si="64"/>
        <v>1537.7400000000002</v>
      </c>
      <c r="V100" s="95">
        <f t="shared" si="64"/>
        <v>1494.44</v>
      </c>
      <c r="W100" s="95">
        <f t="shared" si="64"/>
        <v>1656.88</v>
      </c>
      <c r="X100" s="95">
        <f t="shared" si="64"/>
        <v>1884.7800000000002</v>
      </c>
      <c r="Y100" s="95">
        <f t="shared" si="64"/>
        <v>1932.7800000000002</v>
      </c>
      <c r="Z100" s="95">
        <f t="shared" si="64"/>
        <v>1919.48</v>
      </c>
      <c r="AA100" s="95">
        <f t="shared" si="64"/>
        <v>1919.48</v>
      </c>
      <c r="AB100" s="95">
        <f t="shared" ref="AB100:AC100" si="66">AB99-(AB107)</f>
        <v>1916.38</v>
      </c>
      <c r="AC100" s="95">
        <f t="shared" si="66"/>
        <v>1915.38</v>
      </c>
      <c r="AD100" s="95">
        <f t="shared" ref="AD100:AE100" si="67">AD99-(AD107)</f>
        <v>1594.64</v>
      </c>
      <c r="AE100" s="95">
        <f t="shared" si="67"/>
        <v>1488.68</v>
      </c>
      <c r="AF100" s="95">
        <f t="shared" ref="AF100" si="68">AF99-(AF107)</f>
        <v>1352.18</v>
      </c>
      <c r="AG100" s="88"/>
      <c r="AH100" s="47">
        <f t="shared" si="46"/>
        <v>1932.7800000000002</v>
      </c>
      <c r="AI100" s="48">
        <f t="shared" si="47"/>
        <v>3.54</v>
      </c>
      <c r="BF100" s="252"/>
      <c r="BG100" s="252">
        <v>57</v>
      </c>
      <c r="BH100" s="252">
        <v>0</v>
      </c>
      <c r="BI100" s="252">
        <v>329</v>
      </c>
      <c r="BJ100" s="252">
        <v>32.4</v>
      </c>
      <c r="BK100" s="252">
        <v>40</v>
      </c>
      <c r="BL100" s="252">
        <v>53</v>
      </c>
    </row>
    <row r="101" spans="1:64" x14ac:dyDescent="0.25">
      <c r="A101" s="44" t="s">
        <v>84</v>
      </c>
      <c r="B101" s="76">
        <f>IF(B84&lt;0,B84*-1,0)</f>
        <v>0</v>
      </c>
      <c r="C101" s="76">
        <f t="shared" ref="C101:AA101" si="69">IF(C84&lt;0,C84*-1,0)</f>
        <v>0</v>
      </c>
      <c r="D101" s="76">
        <f t="shared" si="69"/>
        <v>0</v>
      </c>
      <c r="E101" s="76">
        <f t="shared" si="69"/>
        <v>0</v>
      </c>
      <c r="F101" s="76">
        <f t="shared" si="69"/>
        <v>0</v>
      </c>
      <c r="G101" s="76">
        <f t="shared" si="69"/>
        <v>0</v>
      </c>
      <c r="H101" s="76">
        <f t="shared" si="69"/>
        <v>0</v>
      </c>
      <c r="I101" s="76">
        <f t="shared" si="69"/>
        <v>0</v>
      </c>
      <c r="J101" s="76">
        <f t="shared" si="69"/>
        <v>0</v>
      </c>
      <c r="K101" s="76">
        <f t="shared" si="69"/>
        <v>0</v>
      </c>
      <c r="L101" s="76">
        <f t="shared" si="69"/>
        <v>0</v>
      </c>
      <c r="M101" s="76">
        <f t="shared" si="69"/>
        <v>0</v>
      </c>
      <c r="N101" s="76">
        <f t="shared" si="69"/>
        <v>0</v>
      </c>
      <c r="O101" s="76">
        <f t="shared" si="69"/>
        <v>0</v>
      </c>
      <c r="P101" s="76">
        <f t="shared" si="69"/>
        <v>0</v>
      </c>
      <c r="Q101" s="76">
        <f t="shared" si="69"/>
        <v>0</v>
      </c>
      <c r="R101" s="76">
        <f t="shared" ref="R101" si="70">IF(R84&lt;0,R84*-1,0)</f>
        <v>0</v>
      </c>
      <c r="S101" s="76">
        <f t="shared" si="69"/>
        <v>0</v>
      </c>
      <c r="T101" s="76">
        <f t="shared" si="69"/>
        <v>0</v>
      </c>
      <c r="U101" s="76">
        <f t="shared" si="69"/>
        <v>0</v>
      </c>
      <c r="V101" s="76">
        <f t="shared" si="69"/>
        <v>0</v>
      </c>
      <c r="W101" s="76">
        <f t="shared" si="69"/>
        <v>0</v>
      </c>
      <c r="X101" s="76">
        <f t="shared" si="69"/>
        <v>0</v>
      </c>
      <c r="Y101" s="76">
        <f t="shared" si="69"/>
        <v>0</v>
      </c>
      <c r="Z101" s="76">
        <f t="shared" si="69"/>
        <v>0</v>
      </c>
      <c r="AA101" s="76">
        <f t="shared" si="69"/>
        <v>0</v>
      </c>
      <c r="AB101" s="76">
        <f t="shared" ref="AB101:AC101" si="71">IF(AB84&lt;0,AB84*-1,0)</f>
        <v>0</v>
      </c>
      <c r="AC101" s="76">
        <f t="shared" si="71"/>
        <v>0</v>
      </c>
      <c r="AD101" s="76">
        <f t="shared" ref="AD101:AE101" si="72">IF(AD84&lt;0,AD84*-1,0)</f>
        <v>0</v>
      </c>
      <c r="AE101" s="76">
        <f t="shared" si="72"/>
        <v>0</v>
      </c>
      <c r="AF101" s="76">
        <f t="shared" ref="AF101" si="73">IF(AF84&lt;0,AF84*-1,0)</f>
        <v>0</v>
      </c>
      <c r="AG101" s="52"/>
      <c r="AH101" s="47">
        <f t="shared" si="46"/>
        <v>0</v>
      </c>
      <c r="AI101" s="48">
        <f t="shared" si="47"/>
        <v>0</v>
      </c>
      <c r="BF101" s="251"/>
      <c r="BG101" s="252">
        <v>65</v>
      </c>
      <c r="BH101" s="252">
        <v>0</v>
      </c>
      <c r="BI101" s="252">
        <v>146</v>
      </c>
      <c r="BJ101" s="252">
        <v>0</v>
      </c>
      <c r="BK101" s="252">
        <v>46</v>
      </c>
      <c r="BL101" s="252">
        <v>43</v>
      </c>
    </row>
    <row r="102" spans="1:64" x14ac:dyDescent="0.25">
      <c r="A102" s="54" t="s">
        <v>82</v>
      </c>
      <c r="B102" s="76">
        <f>IF(B82&lt;0,B82*-1,0)</f>
        <v>0</v>
      </c>
      <c r="C102" s="76">
        <f t="shared" ref="C102:AA102" si="74">IF(C82&lt;0,C82*-1,0)</f>
        <v>0</v>
      </c>
      <c r="D102" s="76">
        <f t="shared" si="74"/>
        <v>0</v>
      </c>
      <c r="E102" s="76">
        <f t="shared" si="74"/>
        <v>0</v>
      </c>
      <c r="F102" s="76">
        <f t="shared" si="74"/>
        <v>0</v>
      </c>
      <c r="G102" s="76">
        <f t="shared" si="74"/>
        <v>0</v>
      </c>
      <c r="H102" s="76">
        <f t="shared" si="74"/>
        <v>0</v>
      </c>
      <c r="I102" s="76">
        <f t="shared" si="74"/>
        <v>0</v>
      </c>
      <c r="J102" s="76">
        <f t="shared" si="74"/>
        <v>0</v>
      </c>
      <c r="K102" s="76">
        <f t="shared" si="74"/>
        <v>0</v>
      </c>
      <c r="L102" s="76">
        <f t="shared" si="74"/>
        <v>0</v>
      </c>
      <c r="M102" s="76">
        <f t="shared" si="74"/>
        <v>0</v>
      </c>
      <c r="N102" s="76">
        <f t="shared" si="74"/>
        <v>0</v>
      </c>
      <c r="O102" s="76">
        <f t="shared" si="74"/>
        <v>0</v>
      </c>
      <c r="P102" s="76">
        <f t="shared" si="74"/>
        <v>0</v>
      </c>
      <c r="Q102" s="76">
        <f t="shared" si="74"/>
        <v>0</v>
      </c>
      <c r="R102" s="76">
        <f t="shared" ref="R102" si="75">IF(R82&lt;0,R82*-1,0)</f>
        <v>0</v>
      </c>
      <c r="S102" s="76">
        <f t="shared" si="74"/>
        <v>0</v>
      </c>
      <c r="T102" s="76">
        <f t="shared" si="74"/>
        <v>0</v>
      </c>
      <c r="U102" s="76">
        <f t="shared" si="74"/>
        <v>0</v>
      </c>
      <c r="V102" s="76">
        <f t="shared" si="74"/>
        <v>0</v>
      </c>
      <c r="W102" s="76">
        <f t="shared" si="74"/>
        <v>0</v>
      </c>
      <c r="X102" s="76">
        <f t="shared" si="74"/>
        <v>0</v>
      </c>
      <c r="Y102" s="76">
        <f t="shared" si="74"/>
        <v>0</v>
      </c>
      <c r="Z102" s="76">
        <f t="shared" si="74"/>
        <v>0</v>
      </c>
      <c r="AA102" s="76">
        <f t="shared" si="74"/>
        <v>0</v>
      </c>
      <c r="AB102" s="76">
        <f t="shared" ref="AB102:AC102" si="76">IF(AB82&lt;0,AB82*-1,0)</f>
        <v>0</v>
      </c>
      <c r="AC102" s="76">
        <f t="shared" si="76"/>
        <v>0</v>
      </c>
      <c r="AD102" s="76">
        <f t="shared" ref="AD102:AE102" si="77">IF(AD82&lt;0,AD82*-1,0)</f>
        <v>0</v>
      </c>
      <c r="AE102" s="76">
        <f t="shared" si="77"/>
        <v>0</v>
      </c>
      <c r="AF102" s="76">
        <f t="shared" ref="AF102" si="78">IF(AF82&lt;0,AF82*-1,0)</f>
        <v>0</v>
      </c>
      <c r="AG102" s="55"/>
      <c r="AH102" s="47">
        <f t="shared" si="46"/>
        <v>0</v>
      </c>
      <c r="AI102" s="48">
        <f t="shared" si="47"/>
        <v>0</v>
      </c>
      <c r="BF102" s="251"/>
      <c r="BG102" s="252">
        <v>46</v>
      </c>
      <c r="BH102" s="252">
        <v>0</v>
      </c>
      <c r="BI102" s="252">
        <v>246</v>
      </c>
      <c r="BJ102" s="252">
        <v>0</v>
      </c>
      <c r="BK102" s="252">
        <v>48</v>
      </c>
      <c r="BL102" s="252">
        <v>44</v>
      </c>
    </row>
    <row r="103" spans="1:64" x14ac:dyDescent="0.25">
      <c r="A103" s="84" t="s">
        <v>104</v>
      </c>
      <c r="B103" s="76">
        <f>IF(B85&lt;0,B85*-1,0)</f>
        <v>0</v>
      </c>
      <c r="C103" s="76">
        <f t="shared" ref="C103:AA103" si="79">IF(C85&lt;0,C85*-1,0)</f>
        <v>0</v>
      </c>
      <c r="D103" s="76">
        <f t="shared" si="79"/>
        <v>0</v>
      </c>
      <c r="E103" s="76">
        <f t="shared" si="79"/>
        <v>0</v>
      </c>
      <c r="F103" s="76">
        <f t="shared" si="79"/>
        <v>0</v>
      </c>
      <c r="G103" s="76">
        <f t="shared" si="79"/>
        <v>0</v>
      </c>
      <c r="H103" s="76">
        <f t="shared" si="79"/>
        <v>0</v>
      </c>
      <c r="I103" s="76">
        <f t="shared" si="79"/>
        <v>0</v>
      </c>
      <c r="J103" s="76">
        <f t="shared" si="79"/>
        <v>0</v>
      </c>
      <c r="K103" s="76">
        <f t="shared" si="79"/>
        <v>0</v>
      </c>
      <c r="L103" s="76">
        <f t="shared" si="79"/>
        <v>0</v>
      </c>
      <c r="M103" s="76">
        <f t="shared" si="79"/>
        <v>0</v>
      </c>
      <c r="N103" s="76">
        <f t="shared" si="79"/>
        <v>0</v>
      </c>
      <c r="O103" s="76">
        <f t="shared" si="79"/>
        <v>0</v>
      </c>
      <c r="P103" s="76">
        <f t="shared" si="79"/>
        <v>0</v>
      </c>
      <c r="Q103" s="76">
        <f t="shared" si="79"/>
        <v>0</v>
      </c>
      <c r="R103" s="76">
        <f t="shared" ref="R103" si="80">IF(R85&lt;0,R85*-1,0)</f>
        <v>0</v>
      </c>
      <c r="S103" s="76">
        <f t="shared" si="79"/>
        <v>0</v>
      </c>
      <c r="T103" s="76">
        <f t="shared" si="79"/>
        <v>0</v>
      </c>
      <c r="U103" s="76">
        <f t="shared" si="79"/>
        <v>0</v>
      </c>
      <c r="V103" s="76">
        <f t="shared" si="79"/>
        <v>0</v>
      </c>
      <c r="W103" s="76">
        <f t="shared" si="79"/>
        <v>0</v>
      </c>
      <c r="X103" s="76">
        <f t="shared" si="79"/>
        <v>0</v>
      </c>
      <c r="Y103" s="76">
        <f t="shared" si="79"/>
        <v>0</v>
      </c>
      <c r="Z103" s="76">
        <f t="shared" si="79"/>
        <v>0</v>
      </c>
      <c r="AA103" s="76">
        <f t="shared" si="79"/>
        <v>0</v>
      </c>
      <c r="AB103" s="76">
        <f t="shared" ref="AB103:AC103" si="81">IF(AB85&lt;0,AB85*-1,0)</f>
        <v>0</v>
      </c>
      <c r="AC103" s="76">
        <f t="shared" si="81"/>
        <v>0</v>
      </c>
      <c r="AD103" s="76">
        <f t="shared" ref="AD103:AE103" si="82">IF(AD85&lt;0,AD85*-1,0)</f>
        <v>0</v>
      </c>
      <c r="AE103" s="76">
        <f t="shared" si="82"/>
        <v>0</v>
      </c>
      <c r="AF103" s="76">
        <f t="shared" ref="AF103" si="83">IF(AF85&lt;0,AF85*-1,0)</f>
        <v>0</v>
      </c>
      <c r="AG103" s="98"/>
      <c r="AH103" s="47">
        <f t="shared" si="46"/>
        <v>0</v>
      </c>
      <c r="AI103" s="48">
        <f t="shared" si="47"/>
        <v>0</v>
      </c>
      <c r="BF103" s="251"/>
      <c r="BG103" s="252">
        <v>41.8</v>
      </c>
      <c r="BH103" s="252">
        <v>0</v>
      </c>
      <c r="BI103" s="252">
        <v>287.5</v>
      </c>
      <c r="BJ103" s="252">
        <v>0</v>
      </c>
      <c r="BK103" s="252">
        <v>51.8</v>
      </c>
      <c r="BL103" s="252">
        <v>50.8</v>
      </c>
    </row>
    <row r="104" spans="1:64" x14ac:dyDescent="0.25">
      <c r="A104" s="84" t="s">
        <v>105</v>
      </c>
      <c r="B104" s="76">
        <f>IF(B83&lt;0,B83*-1,0)</f>
        <v>0</v>
      </c>
      <c r="C104" s="76">
        <f t="shared" ref="C104:AA104" si="84">IF(C83&lt;0,C83*-1,0)</f>
        <v>0</v>
      </c>
      <c r="D104" s="76">
        <f t="shared" si="84"/>
        <v>0</v>
      </c>
      <c r="E104" s="76">
        <f t="shared" si="84"/>
        <v>0</v>
      </c>
      <c r="F104" s="76">
        <f t="shared" si="84"/>
        <v>0</v>
      </c>
      <c r="G104" s="76">
        <f t="shared" si="84"/>
        <v>0</v>
      </c>
      <c r="H104" s="76">
        <f t="shared" si="84"/>
        <v>0</v>
      </c>
      <c r="I104" s="76">
        <f t="shared" si="84"/>
        <v>0</v>
      </c>
      <c r="J104" s="76">
        <f t="shared" si="84"/>
        <v>0</v>
      </c>
      <c r="K104" s="76">
        <f t="shared" si="84"/>
        <v>0</v>
      </c>
      <c r="L104" s="76">
        <f t="shared" si="84"/>
        <v>0</v>
      </c>
      <c r="M104" s="76">
        <f t="shared" si="84"/>
        <v>0</v>
      </c>
      <c r="N104" s="76">
        <f t="shared" si="84"/>
        <v>0</v>
      </c>
      <c r="O104" s="76">
        <f t="shared" si="84"/>
        <v>0</v>
      </c>
      <c r="P104" s="76">
        <f t="shared" si="84"/>
        <v>0</v>
      </c>
      <c r="Q104" s="76">
        <f t="shared" si="84"/>
        <v>0</v>
      </c>
      <c r="R104" s="76">
        <f t="shared" ref="R104" si="85">IF(R83&lt;0,R83*-1,0)</f>
        <v>0</v>
      </c>
      <c r="S104" s="76">
        <f t="shared" si="84"/>
        <v>0</v>
      </c>
      <c r="T104" s="76">
        <f t="shared" si="84"/>
        <v>0</v>
      </c>
      <c r="U104" s="76">
        <f t="shared" si="84"/>
        <v>0</v>
      </c>
      <c r="V104" s="76">
        <f t="shared" si="84"/>
        <v>0</v>
      </c>
      <c r="W104" s="76">
        <f t="shared" si="84"/>
        <v>0</v>
      </c>
      <c r="X104" s="76">
        <f t="shared" si="84"/>
        <v>0</v>
      </c>
      <c r="Y104" s="76">
        <f t="shared" si="84"/>
        <v>0</v>
      </c>
      <c r="Z104" s="76">
        <f t="shared" si="84"/>
        <v>0</v>
      </c>
      <c r="AA104" s="76">
        <f t="shared" si="84"/>
        <v>0</v>
      </c>
      <c r="AB104" s="76">
        <f t="shared" ref="AB104:AC104" si="86">IF(AB83&lt;0,AB83*-1,0)</f>
        <v>0</v>
      </c>
      <c r="AC104" s="76">
        <f t="shared" si="86"/>
        <v>0</v>
      </c>
      <c r="AD104" s="76">
        <f t="shared" ref="AD104:AE104" si="87">IF(AD83&lt;0,AD83*-1,0)</f>
        <v>0</v>
      </c>
      <c r="AE104" s="76">
        <f t="shared" si="87"/>
        <v>0</v>
      </c>
      <c r="AF104" s="76">
        <f t="shared" ref="AF104" si="88">IF(AF83&lt;0,AF83*-1,0)</f>
        <v>0</v>
      </c>
      <c r="AG104" s="98"/>
      <c r="AH104" s="47">
        <f t="shared" si="46"/>
        <v>0</v>
      </c>
      <c r="AI104" s="48">
        <f t="shared" si="47"/>
        <v>0</v>
      </c>
      <c r="BF104" s="251"/>
      <c r="BG104" s="252">
        <v>54.7</v>
      </c>
      <c r="BH104" s="252">
        <v>0</v>
      </c>
      <c r="BI104" s="252">
        <v>387.96</v>
      </c>
      <c r="BJ104" s="252">
        <v>0</v>
      </c>
      <c r="BK104" s="252">
        <v>0</v>
      </c>
      <c r="BL104" s="252">
        <v>53.8</v>
      </c>
    </row>
    <row r="105" spans="1:64" x14ac:dyDescent="0.25">
      <c r="A105" s="84" t="s">
        <v>81</v>
      </c>
      <c r="B105" s="76">
        <f>IF(B81&lt;0,B81*-1,0)</f>
        <v>0</v>
      </c>
      <c r="C105" s="76">
        <f t="shared" ref="C105:AA105" si="89">IF(C81&lt;0,C81*-1,0)</f>
        <v>0</v>
      </c>
      <c r="D105" s="76">
        <f t="shared" si="89"/>
        <v>0</v>
      </c>
      <c r="E105" s="76">
        <f t="shared" si="89"/>
        <v>0</v>
      </c>
      <c r="F105" s="76">
        <f t="shared" si="89"/>
        <v>0</v>
      </c>
      <c r="G105" s="76">
        <f t="shared" si="89"/>
        <v>0</v>
      </c>
      <c r="H105" s="76">
        <f t="shared" si="89"/>
        <v>0</v>
      </c>
      <c r="I105" s="76">
        <f t="shared" si="89"/>
        <v>0</v>
      </c>
      <c r="J105" s="76">
        <f t="shared" si="89"/>
        <v>0</v>
      </c>
      <c r="K105" s="76">
        <f t="shared" si="89"/>
        <v>0</v>
      </c>
      <c r="L105" s="76">
        <f t="shared" si="89"/>
        <v>0</v>
      </c>
      <c r="M105" s="76">
        <f t="shared" si="89"/>
        <v>0</v>
      </c>
      <c r="N105" s="76">
        <f t="shared" si="89"/>
        <v>0</v>
      </c>
      <c r="O105" s="76">
        <f t="shared" si="89"/>
        <v>0</v>
      </c>
      <c r="P105" s="76">
        <f t="shared" si="89"/>
        <v>0</v>
      </c>
      <c r="Q105" s="76">
        <f t="shared" si="89"/>
        <v>0</v>
      </c>
      <c r="R105" s="76">
        <f t="shared" ref="R105" si="90">IF(R81&lt;0,R81*-1,0)</f>
        <v>0</v>
      </c>
      <c r="S105" s="76">
        <f t="shared" si="89"/>
        <v>0</v>
      </c>
      <c r="T105" s="76">
        <f t="shared" si="89"/>
        <v>0</v>
      </c>
      <c r="U105" s="76">
        <f t="shared" si="89"/>
        <v>0</v>
      </c>
      <c r="V105" s="76">
        <f t="shared" si="89"/>
        <v>0</v>
      </c>
      <c r="W105" s="76">
        <f t="shared" si="89"/>
        <v>0</v>
      </c>
      <c r="X105" s="76">
        <f t="shared" si="89"/>
        <v>0</v>
      </c>
      <c r="Y105" s="76">
        <f t="shared" si="89"/>
        <v>0</v>
      </c>
      <c r="Z105" s="76">
        <f t="shared" si="89"/>
        <v>0</v>
      </c>
      <c r="AA105" s="76">
        <f t="shared" si="89"/>
        <v>0</v>
      </c>
      <c r="AB105" s="76">
        <f t="shared" ref="AB105:AC105" si="91">IF(AB81&lt;0,AB81*-1,0)</f>
        <v>0</v>
      </c>
      <c r="AC105" s="76">
        <f t="shared" si="91"/>
        <v>0</v>
      </c>
      <c r="AD105" s="76">
        <f t="shared" ref="AD105:AE105" si="92">IF(AD81&lt;0,AD81*-1,0)</f>
        <v>0</v>
      </c>
      <c r="AE105" s="76">
        <f t="shared" si="92"/>
        <v>0</v>
      </c>
      <c r="AF105" s="76">
        <f t="shared" ref="AF105" si="93">IF(AF81&lt;0,AF81*-1,0)</f>
        <v>0</v>
      </c>
      <c r="AG105" s="98"/>
      <c r="AH105" s="47">
        <f t="shared" si="46"/>
        <v>0</v>
      </c>
      <c r="AI105" s="48">
        <f t="shared" si="47"/>
        <v>0</v>
      </c>
      <c r="BF105" s="251"/>
      <c r="BG105" s="252">
        <v>59.7</v>
      </c>
      <c r="BH105" s="252">
        <v>0</v>
      </c>
      <c r="BI105" s="252">
        <v>391.4</v>
      </c>
      <c r="BJ105" s="252">
        <v>0</v>
      </c>
      <c r="BK105" s="252">
        <v>0</v>
      </c>
      <c r="BL105" s="252">
        <v>59.5</v>
      </c>
    </row>
    <row r="106" spans="1:64" ht="15.75" thickBot="1" x14ac:dyDescent="0.3">
      <c r="A106" s="84" t="s">
        <v>106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1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0</v>
      </c>
      <c r="AB106" s="94">
        <v>1</v>
      </c>
      <c r="AC106" s="94">
        <v>2</v>
      </c>
      <c r="AD106" s="94">
        <v>3</v>
      </c>
      <c r="AE106" s="94">
        <v>4</v>
      </c>
      <c r="AF106" s="94">
        <v>5</v>
      </c>
      <c r="AG106" s="85"/>
      <c r="AH106" s="47">
        <f t="shared" si="46"/>
        <v>5</v>
      </c>
      <c r="AI106" s="48">
        <f t="shared" si="47"/>
        <v>0</v>
      </c>
      <c r="BG106" s="252">
        <v>50.4</v>
      </c>
      <c r="BH106" s="252">
        <v>0</v>
      </c>
      <c r="BI106" s="252">
        <v>384.4</v>
      </c>
      <c r="BJ106" s="252">
        <v>0</v>
      </c>
      <c r="BK106" s="252">
        <v>0</v>
      </c>
      <c r="BL106" s="252">
        <v>63.8</v>
      </c>
    </row>
    <row r="107" spans="1:64" ht="15.75" thickBot="1" x14ac:dyDescent="0.3">
      <c r="A107" s="99" t="s">
        <v>107</v>
      </c>
      <c r="B107" s="60">
        <f>SUM(B101:B106)</f>
        <v>0</v>
      </c>
      <c r="C107" s="60">
        <f t="shared" ref="C107:AA107" si="94">SUM(C101:C106)</f>
        <v>0</v>
      </c>
      <c r="D107" s="60">
        <f t="shared" si="94"/>
        <v>0</v>
      </c>
      <c r="E107" s="60">
        <f t="shared" si="94"/>
        <v>0</v>
      </c>
      <c r="F107" s="60">
        <f t="shared" si="94"/>
        <v>0</v>
      </c>
      <c r="G107" s="60">
        <f t="shared" si="94"/>
        <v>0</v>
      </c>
      <c r="H107" s="60">
        <f t="shared" si="94"/>
        <v>0</v>
      </c>
      <c r="I107" s="60">
        <f t="shared" si="94"/>
        <v>0</v>
      </c>
      <c r="J107" s="60">
        <f t="shared" si="94"/>
        <v>0</v>
      </c>
      <c r="K107" s="60">
        <f t="shared" si="94"/>
        <v>0</v>
      </c>
      <c r="L107" s="60">
        <f t="shared" si="94"/>
        <v>0</v>
      </c>
      <c r="M107" s="60">
        <f t="shared" si="94"/>
        <v>0</v>
      </c>
      <c r="N107" s="60">
        <f t="shared" si="94"/>
        <v>0</v>
      </c>
      <c r="O107" s="60">
        <f t="shared" si="94"/>
        <v>0</v>
      </c>
      <c r="P107" s="60">
        <f t="shared" si="94"/>
        <v>0</v>
      </c>
      <c r="Q107" s="60">
        <f t="shared" si="94"/>
        <v>0</v>
      </c>
      <c r="R107" s="60">
        <f t="shared" ref="R107" si="95">SUM(R101:R106)</f>
        <v>1</v>
      </c>
      <c r="S107" s="60">
        <f t="shared" si="94"/>
        <v>0</v>
      </c>
      <c r="T107" s="60">
        <f t="shared" si="94"/>
        <v>0</v>
      </c>
      <c r="U107" s="60">
        <f t="shared" si="94"/>
        <v>0</v>
      </c>
      <c r="V107" s="60">
        <f t="shared" si="94"/>
        <v>0</v>
      </c>
      <c r="W107" s="60">
        <f t="shared" si="94"/>
        <v>0</v>
      </c>
      <c r="X107" s="60">
        <f t="shared" si="94"/>
        <v>0</v>
      </c>
      <c r="Y107" s="60">
        <f t="shared" si="94"/>
        <v>0</v>
      </c>
      <c r="Z107" s="60">
        <f t="shared" si="94"/>
        <v>0</v>
      </c>
      <c r="AA107" s="60">
        <f t="shared" si="94"/>
        <v>0</v>
      </c>
      <c r="AB107" s="60">
        <f t="shared" ref="AB107:AC107" si="96">SUM(AB101:AB106)</f>
        <v>1</v>
      </c>
      <c r="AC107" s="60">
        <f t="shared" si="96"/>
        <v>2</v>
      </c>
      <c r="AD107" s="60">
        <f t="shared" ref="AD107:AE107" si="97">SUM(AD101:AD106)</f>
        <v>3</v>
      </c>
      <c r="AE107" s="60">
        <f t="shared" si="97"/>
        <v>4</v>
      </c>
      <c r="AF107" s="60">
        <f t="shared" ref="AF107" si="98">SUM(AF101:AF106)</f>
        <v>5</v>
      </c>
      <c r="AG107" s="88"/>
      <c r="AH107" s="47">
        <f t="shared" si="46"/>
        <v>5</v>
      </c>
      <c r="AI107" s="48">
        <f t="shared" si="47"/>
        <v>0</v>
      </c>
      <c r="AK107" s="50"/>
      <c r="BG107" s="252">
        <v>68</v>
      </c>
      <c r="BH107" s="252">
        <v>0</v>
      </c>
      <c r="BI107" s="252">
        <v>395</v>
      </c>
      <c r="BJ107" s="252">
        <v>0</v>
      </c>
      <c r="BK107" s="252">
        <v>0</v>
      </c>
      <c r="BL107" s="252">
        <v>42</v>
      </c>
    </row>
    <row r="108" spans="1:64" ht="15.75" thickBot="1" x14ac:dyDescent="0.3">
      <c r="A108" s="74" t="s">
        <v>108</v>
      </c>
      <c r="B108" s="60">
        <f t="shared" ref="B108:AA108" si="99">B92-B107</f>
        <v>505</v>
      </c>
      <c r="C108" s="60">
        <f t="shared" si="99"/>
        <v>487</v>
      </c>
      <c r="D108" s="60">
        <f t="shared" si="99"/>
        <v>490</v>
      </c>
      <c r="E108" s="60">
        <f t="shared" si="99"/>
        <v>469.7</v>
      </c>
      <c r="F108" s="60">
        <f t="shared" si="99"/>
        <v>451</v>
      </c>
      <c r="G108" s="60">
        <f t="shared" si="99"/>
        <v>464.2</v>
      </c>
      <c r="H108" s="60">
        <f t="shared" si="99"/>
        <v>473</v>
      </c>
      <c r="I108" s="60">
        <f t="shared" si="99"/>
        <v>503</v>
      </c>
      <c r="J108" s="60">
        <f t="shared" si="99"/>
        <v>304</v>
      </c>
      <c r="K108" s="60">
        <f t="shared" si="99"/>
        <v>225</v>
      </c>
      <c r="L108" s="60">
        <f t="shared" si="99"/>
        <v>244.1</v>
      </c>
      <c r="M108" s="60">
        <f t="shared" si="99"/>
        <v>0</v>
      </c>
      <c r="N108" s="60">
        <f t="shared" si="99"/>
        <v>173.39999999999998</v>
      </c>
      <c r="O108" s="60">
        <f t="shared" si="99"/>
        <v>242.2</v>
      </c>
      <c r="P108" s="60">
        <f t="shared" si="99"/>
        <v>302.39999999999998</v>
      </c>
      <c r="Q108" s="60">
        <f t="shared" si="99"/>
        <v>523</v>
      </c>
      <c r="R108" s="60">
        <f t="shared" ref="R108" si="100">R92-R107</f>
        <v>649.9</v>
      </c>
      <c r="S108" s="60">
        <f t="shared" si="99"/>
        <v>620.9</v>
      </c>
      <c r="T108" s="60">
        <f t="shared" si="99"/>
        <v>694.2</v>
      </c>
      <c r="U108" s="60">
        <f t="shared" si="99"/>
        <v>744</v>
      </c>
      <c r="V108" s="60">
        <f t="shared" si="99"/>
        <v>511.4</v>
      </c>
      <c r="W108" s="60">
        <f t="shared" si="99"/>
        <v>337</v>
      </c>
      <c r="X108" s="60">
        <f t="shared" si="99"/>
        <v>300</v>
      </c>
      <c r="Y108" s="60">
        <f t="shared" si="99"/>
        <v>318</v>
      </c>
      <c r="Z108" s="60">
        <f t="shared" si="99"/>
        <v>384</v>
      </c>
      <c r="AA108" s="60">
        <f t="shared" si="99"/>
        <v>384</v>
      </c>
      <c r="AB108" s="60">
        <f t="shared" ref="AB108:AC108" si="101">AB92-AB107</f>
        <v>430.90000000000003</v>
      </c>
      <c r="AC108" s="60">
        <f t="shared" si="101"/>
        <v>429.90000000000003</v>
      </c>
      <c r="AD108" s="60">
        <f t="shared" ref="AD108:AE108" si="102">AD92-AD107</f>
        <v>493.46</v>
      </c>
      <c r="AE108" s="60">
        <f t="shared" si="102"/>
        <v>506.59999999999997</v>
      </c>
      <c r="AF108" s="60">
        <f t="shared" ref="AF108" si="103">AF92-AF107</f>
        <v>493.59999999999997</v>
      </c>
      <c r="AG108" s="88"/>
      <c r="AH108" s="47">
        <f t="shared" si="46"/>
        <v>744</v>
      </c>
      <c r="AI108" s="48">
        <f t="shared" si="47"/>
        <v>0</v>
      </c>
    </row>
    <row r="109" spans="1:64" x14ac:dyDescent="0.25">
      <c r="A109" s="100" t="s">
        <v>109</v>
      </c>
      <c r="B109" s="101">
        <v>50.012999999999998</v>
      </c>
      <c r="C109" s="101">
        <v>49.973999999999997</v>
      </c>
      <c r="D109" s="101">
        <v>49.935000000000002</v>
      </c>
      <c r="E109" s="101">
        <v>49.996000000000002</v>
      </c>
      <c r="F109" s="101">
        <v>50.027999999999999</v>
      </c>
      <c r="G109" s="101">
        <v>49.988</v>
      </c>
      <c r="H109" s="101">
        <v>50.015999999999998</v>
      </c>
      <c r="I109" s="101">
        <v>50.097000000000001</v>
      </c>
      <c r="J109" s="101">
        <v>49.939</v>
      </c>
      <c r="K109" s="101">
        <v>50.023000000000003</v>
      </c>
      <c r="L109" s="101">
        <v>49.97</v>
      </c>
      <c r="M109" s="101"/>
      <c r="N109" s="101">
        <v>50.003</v>
      </c>
      <c r="O109" s="101">
        <v>50.021099999999997</v>
      </c>
      <c r="P109" s="101">
        <v>50.03</v>
      </c>
      <c r="Q109" s="101">
        <v>50.08</v>
      </c>
      <c r="R109" s="101">
        <v>50.04</v>
      </c>
      <c r="S109" s="101">
        <v>50.002000000000002</v>
      </c>
      <c r="T109" s="101">
        <v>49.951999999999998</v>
      </c>
      <c r="U109" s="101">
        <v>49.930999999999997</v>
      </c>
      <c r="V109" s="101">
        <v>49.939</v>
      </c>
      <c r="W109" s="101">
        <v>49.923000000000002</v>
      </c>
      <c r="X109" s="101">
        <v>49.929000000000002</v>
      </c>
      <c r="Y109" s="101">
        <v>49.86</v>
      </c>
      <c r="Z109" s="101">
        <v>49.875999999999998</v>
      </c>
      <c r="AA109" s="101">
        <v>49.875999999999998</v>
      </c>
      <c r="AB109" s="101">
        <v>50.03</v>
      </c>
      <c r="AC109" s="101">
        <v>50.03</v>
      </c>
      <c r="AD109" s="101">
        <v>50.03</v>
      </c>
      <c r="AE109" s="101">
        <v>50.07</v>
      </c>
      <c r="AF109" s="101">
        <v>50.01</v>
      </c>
      <c r="AG109" s="102"/>
      <c r="AH109" s="47">
        <f t="shared" si="46"/>
        <v>50.097000000000001</v>
      </c>
      <c r="AI109" s="48">
        <f t="shared" si="47"/>
        <v>49.86</v>
      </c>
    </row>
    <row r="110" spans="1:64" x14ac:dyDescent="0.25">
      <c r="A110" s="103" t="s">
        <v>110</v>
      </c>
      <c r="B110" s="65">
        <v>130.80000000000001</v>
      </c>
      <c r="C110" s="65">
        <v>128.9</v>
      </c>
      <c r="D110" s="65">
        <v>127.9</v>
      </c>
      <c r="E110" s="65">
        <v>129.9</v>
      </c>
      <c r="F110" s="65">
        <v>131.1</v>
      </c>
      <c r="G110" s="65">
        <v>127.7</v>
      </c>
      <c r="H110" s="65">
        <v>127.5</v>
      </c>
      <c r="I110" s="65">
        <v>125.3</v>
      </c>
      <c r="J110" s="65">
        <v>126.3</v>
      </c>
      <c r="K110" s="65">
        <v>125.6</v>
      </c>
      <c r="L110" s="65">
        <v>124.4</v>
      </c>
      <c r="M110" s="65"/>
      <c r="N110" s="65">
        <v>127.6</v>
      </c>
      <c r="O110" s="65">
        <v>128.69999999999999</v>
      </c>
      <c r="P110" s="65">
        <v>127.7</v>
      </c>
      <c r="Q110" s="65">
        <v>126.3</v>
      </c>
      <c r="R110" s="65">
        <v>124.6</v>
      </c>
      <c r="S110" s="65">
        <v>125.3</v>
      </c>
      <c r="T110" s="65">
        <v>123.9</v>
      </c>
      <c r="U110" s="65">
        <v>126</v>
      </c>
      <c r="V110" s="65">
        <v>126</v>
      </c>
      <c r="W110" s="65">
        <v>128.6</v>
      </c>
      <c r="X110" s="65">
        <v>127.4</v>
      </c>
      <c r="Y110" s="65">
        <v>127</v>
      </c>
      <c r="Z110" s="65">
        <v>127.9</v>
      </c>
      <c r="AA110" s="65">
        <v>127.9</v>
      </c>
      <c r="AB110" s="65">
        <v>129.80000000000001</v>
      </c>
      <c r="AC110" s="65">
        <v>129.80000000000001</v>
      </c>
      <c r="AD110" s="65">
        <v>129.80000000000001</v>
      </c>
      <c r="AE110" s="65">
        <v>129.80000000000001</v>
      </c>
      <c r="AF110" s="65">
        <v>129.1</v>
      </c>
      <c r="AG110" s="104"/>
      <c r="AH110" s="47">
        <f t="shared" si="46"/>
        <v>131.1</v>
      </c>
      <c r="AI110" s="48">
        <f t="shared" si="47"/>
        <v>123.9</v>
      </c>
    </row>
    <row r="111" spans="1:64" x14ac:dyDescent="0.25">
      <c r="A111" s="103" t="s">
        <v>111</v>
      </c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104"/>
      <c r="AH111" s="47">
        <f t="shared" si="46"/>
        <v>0</v>
      </c>
      <c r="AI111" s="48">
        <f t="shared" si="47"/>
        <v>0</v>
      </c>
    </row>
    <row r="112" spans="1:64" x14ac:dyDescent="0.25">
      <c r="A112" s="103" t="s">
        <v>112</v>
      </c>
      <c r="B112" s="65">
        <v>130.19999999999999</v>
      </c>
      <c r="C112" s="65">
        <v>128.69999999999999</v>
      </c>
      <c r="D112" s="65">
        <v>132.1</v>
      </c>
      <c r="E112" s="65">
        <v>131.1</v>
      </c>
      <c r="F112" s="65">
        <v>131.1</v>
      </c>
      <c r="G112" s="65">
        <v>127.8</v>
      </c>
      <c r="H112" s="65">
        <v>128.80000000000001</v>
      </c>
      <c r="I112" s="65">
        <v>122.8</v>
      </c>
      <c r="J112" s="65">
        <v>125.1</v>
      </c>
      <c r="K112" s="65">
        <v>130.9</v>
      </c>
      <c r="L112" s="65">
        <v>123.9</v>
      </c>
      <c r="M112" s="65"/>
      <c r="N112" s="65">
        <v>129</v>
      </c>
      <c r="O112" s="65">
        <v>131.1</v>
      </c>
      <c r="P112" s="65">
        <v>128.4</v>
      </c>
      <c r="Q112" s="65">
        <v>126.9</v>
      </c>
      <c r="R112" s="65">
        <v>127.3</v>
      </c>
      <c r="S112" s="65">
        <v>125.3</v>
      </c>
      <c r="T112" s="65">
        <v>126.2</v>
      </c>
      <c r="U112" s="65">
        <v>127.5</v>
      </c>
      <c r="V112" s="65">
        <v>127.5</v>
      </c>
      <c r="W112" s="65">
        <v>130.80000000000001</v>
      </c>
      <c r="X112" s="65">
        <v>128</v>
      </c>
      <c r="Y112" s="65">
        <v>131.19999999999999</v>
      </c>
      <c r="Z112" s="65">
        <v>131.30000000000001</v>
      </c>
      <c r="AA112" s="65">
        <v>131.30000000000001</v>
      </c>
      <c r="AB112" s="65">
        <v>131.30000000000001</v>
      </c>
      <c r="AC112" s="65">
        <v>131.30000000000001</v>
      </c>
      <c r="AD112" s="65">
        <v>131.30000000000001</v>
      </c>
      <c r="AE112" s="65">
        <v>131.30000000000001</v>
      </c>
      <c r="AF112" s="65">
        <v>130.4</v>
      </c>
      <c r="AG112" s="104"/>
      <c r="AH112" s="47">
        <f t="shared" si="46"/>
        <v>132.1</v>
      </c>
      <c r="AI112" s="48">
        <f t="shared" si="47"/>
        <v>122.8</v>
      </c>
    </row>
    <row r="113" spans="1:35" x14ac:dyDescent="0.25">
      <c r="A113" s="105" t="s">
        <v>113</v>
      </c>
      <c r="B113" s="65">
        <v>134.30000000000001</v>
      </c>
      <c r="C113" s="65">
        <v>132.4</v>
      </c>
      <c r="D113" s="65">
        <v>135.80000000000001</v>
      </c>
      <c r="E113" s="65">
        <v>136.1</v>
      </c>
      <c r="F113" s="65">
        <v>135.4</v>
      </c>
      <c r="G113" s="65">
        <v>133.6</v>
      </c>
      <c r="H113" s="65">
        <v>133.6</v>
      </c>
      <c r="I113" s="65">
        <v>127.7</v>
      </c>
      <c r="J113" s="65">
        <v>128.9</v>
      </c>
      <c r="K113" s="65">
        <v>133.9</v>
      </c>
      <c r="L113" s="65">
        <v>125.6</v>
      </c>
      <c r="M113" s="65"/>
      <c r="N113" s="65">
        <v>128.69999999999999</v>
      </c>
      <c r="O113" s="65">
        <v>131.5</v>
      </c>
      <c r="P113" s="65">
        <v>129.80000000000001</v>
      </c>
      <c r="Q113" s="65">
        <v>129.19999999999999</v>
      </c>
      <c r="R113" s="65">
        <v>129.69999999999999</v>
      </c>
      <c r="S113" s="65">
        <v>128</v>
      </c>
      <c r="T113" s="65">
        <v>128.6</v>
      </c>
      <c r="U113" s="65">
        <v>129</v>
      </c>
      <c r="V113" s="65">
        <v>129</v>
      </c>
      <c r="W113" s="65">
        <v>131.9</v>
      </c>
      <c r="X113" s="65">
        <v>127</v>
      </c>
      <c r="Y113" s="65">
        <v>131.80000000000001</v>
      </c>
      <c r="Z113" s="65">
        <v>132.6</v>
      </c>
      <c r="AA113" s="65">
        <v>132.6</v>
      </c>
      <c r="AB113" s="65">
        <v>132.6</v>
      </c>
      <c r="AC113" s="65">
        <v>132.6</v>
      </c>
      <c r="AD113" s="65">
        <v>132.6</v>
      </c>
      <c r="AE113" s="65">
        <v>132.6</v>
      </c>
      <c r="AF113" s="65">
        <v>132.69999999999999</v>
      </c>
      <c r="AG113" s="104"/>
      <c r="AH113" s="47">
        <f t="shared" si="46"/>
        <v>136.1</v>
      </c>
      <c r="AI113" s="48">
        <f t="shared" si="47"/>
        <v>125.6</v>
      </c>
    </row>
    <row r="114" spans="1:35" x14ac:dyDescent="0.25">
      <c r="A114" s="105" t="s">
        <v>114</v>
      </c>
      <c r="B114" s="106">
        <v>134.80000000000001</v>
      </c>
      <c r="C114" s="106">
        <v>131.80000000000001</v>
      </c>
      <c r="D114" s="106">
        <v>130.5</v>
      </c>
      <c r="E114" s="106">
        <v>132.5</v>
      </c>
      <c r="F114" s="106">
        <v>133.30000000000001</v>
      </c>
      <c r="G114" s="106">
        <v>132.30000000000001</v>
      </c>
      <c r="H114" s="106">
        <v>131.19999999999999</v>
      </c>
      <c r="I114" s="106">
        <v>134.30000000000001</v>
      </c>
      <c r="J114" s="106">
        <v>133.1</v>
      </c>
      <c r="K114" s="106">
        <v>134.19999999999999</v>
      </c>
      <c r="L114" s="106">
        <v>135.19999999999999</v>
      </c>
      <c r="M114" s="106"/>
      <c r="N114" s="106">
        <v>133.4</v>
      </c>
      <c r="O114" s="106">
        <v>133.80000000000001</v>
      </c>
      <c r="P114" s="106">
        <v>133.1</v>
      </c>
      <c r="Q114" s="106">
        <v>132.6</v>
      </c>
      <c r="R114" s="106">
        <v>131.4</v>
      </c>
      <c r="S114" s="106">
        <v>132.30000000000001</v>
      </c>
      <c r="T114" s="106">
        <v>132.9</v>
      </c>
      <c r="U114" s="106">
        <v>133</v>
      </c>
      <c r="V114" s="106">
        <v>133</v>
      </c>
      <c r="W114" s="106">
        <v>134</v>
      </c>
      <c r="X114" s="106">
        <v>131</v>
      </c>
      <c r="Y114" s="106">
        <v>130.6</v>
      </c>
      <c r="Z114" s="106">
        <v>132.6</v>
      </c>
      <c r="AA114" s="106">
        <v>132.6</v>
      </c>
      <c r="AB114" s="106">
        <v>132.6</v>
      </c>
      <c r="AC114" s="106">
        <v>132.6</v>
      </c>
      <c r="AD114" s="106">
        <v>132.6</v>
      </c>
      <c r="AE114" s="106">
        <v>132.6</v>
      </c>
      <c r="AF114" s="106">
        <v>134</v>
      </c>
      <c r="AG114" s="107"/>
      <c r="AH114" s="47">
        <f t="shared" si="46"/>
        <v>135.19999999999999</v>
      </c>
      <c r="AI114" s="48">
        <f t="shared" si="47"/>
        <v>130.5</v>
      </c>
    </row>
    <row r="115" spans="1:35" x14ac:dyDescent="0.25">
      <c r="A115" s="103" t="s">
        <v>115</v>
      </c>
      <c r="B115" s="65">
        <v>137</v>
      </c>
      <c r="C115" s="65">
        <v>133.69999999999999</v>
      </c>
      <c r="D115" s="65">
        <v>132.19999999999999</v>
      </c>
      <c r="E115" s="65">
        <v>132.5</v>
      </c>
      <c r="F115" s="65">
        <v>132.30000000000001</v>
      </c>
      <c r="G115" s="65">
        <v>129.5</v>
      </c>
      <c r="H115" s="65">
        <v>131.69999999999999</v>
      </c>
      <c r="I115" s="65">
        <v>132.69999999999999</v>
      </c>
      <c r="J115" s="65">
        <v>129.30000000000001</v>
      </c>
      <c r="K115" s="65">
        <v>133.9</v>
      </c>
      <c r="L115" s="65">
        <v>133.4</v>
      </c>
      <c r="M115" s="65"/>
      <c r="N115" s="65">
        <v>128.69999999999999</v>
      </c>
      <c r="O115" s="65">
        <v>129.1</v>
      </c>
      <c r="P115" s="65">
        <v>127</v>
      </c>
      <c r="Q115" s="65">
        <v>132.1</v>
      </c>
      <c r="R115" s="65">
        <v>129.6</v>
      </c>
      <c r="S115" s="65">
        <v>130.9</v>
      </c>
      <c r="T115" s="65">
        <v>131.9</v>
      </c>
      <c r="U115" s="65">
        <v>132</v>
      </c>
      <c r="V115" s="65">
        <v>132</v>
      </c>
      <c r="W115" s="65">
        <v>134</v>
      </c>
      <c r="X115" s="65">
        <v>133</v>
      </c>
      <c r="Y115" s="65">
        <v>132.9</v>
      </c>
      <c r="Z115" s="65">
        <v>134.80000000000001</v>
      </c>
      <c r="AA115" s="65">
        <v>134.80000000000001</v>
      </c>
      <c r="AB115" s="65">
        <v>134.80000000000001</v>
      </c>
      <c r="AC115" s="65">
        <v>134.80000000000001</v>
      </c>
      <c r="AD115" s="65">
        <v>134.80000000000001</v>
      </c>
      <c r="AE115" s="65">
        <v>134.80000000000001</v>
      </c>
      <c r="AF115" s="65">
        <v>131.6</v>
      </c>
      <c r="AG115" s="104"/>
      <c r="AH115" s="47">
        <f t="shared" si="46"/>
        <v>137</v>
      </c>
      <c r="AI115" s="48">
        <f t="shared" si="47"/>
        <v>127</v>
      </c>
    </row>
    <row r="116" spans="1:35" ht="15.75" thickBot="1" x14ac:dyDescent="0.3">
      <c r="A116" s="103" t="s">
        <v>116</v>
      </c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108"/>
      <c r="AH116" s="47">
        <f t="shared" si="46"/>
        <v>0</v>
      </c>
      <c r="AI116" s="48">
        <f t="shared" si="47"/>
        <v>0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 t="s">
        <v>117</v>
      </c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46"/>
        <v>0</v>
      </c>
      <c r="AI117" s="48">
        <f t="shared" si="47"/>
        <v>0</v>
      </c>
    </row>
    <row r="118" spans="1:35" ht="15.75" thickBot="1" x14ac:dyDescent="0.3">
      <c r="A118" s="110" t="s">
        <v>118</v>
      </c>
      <c r="B118" s="111">
        <f t="shared" ref="B118:O118" si="104">SUM(B22,B28,B31:B32,B66,B68:B69,B71,B73,B119:B123,B155,B161,B167,B176,B178,B190,B197,B200:B201,B208,B210,B212,B216:B218,B220:B222,B227,B233:B234,B236:B238,B246,B251)</f>
        <v>143.63999999999999</v>
      </c>
      <c r="C118" s="111">
        <f t="shared" si="104"/>
        <v>121.74</v>
      </c>
      <c r="D118" s="111">
        <f t="shared" si="104"/>
        <v>115.33999999999999</v>
      </c>
      <c r="E118" s="111">
        <f t="shared" si="104"/>
        <v>132.13999999999999</v>
      </c>
      <c r="F118" s="111">
        <f t="shared" si="104"/>
        <v>147.65600000000001</v>
      </c>
      <c r="G118" s="111">
        <f t="shared" si="104"/>
        <v>174.76399999999998</v>
      </c>
      <c r="H118" s="111">
        <f t="shared" si="104"/>
        <v>225.33199999999999</v>
      </c>
      <c r="I118" s="111">
        <f t="shared" si="104"/>
        <v>271.30199999999996</v>
      </c>
      <c r="J118" s="111">
        <f t="shared" si="104"/>
        <v>298.42</v>
      </c>
      <c r="K118" s="111">
        <f t="shared" si="104"/>
        <v>364.05599999999998</v>
      </c>
      <c r="L118" s="111">
        <f t="shared" si="104"/>
        <v>430.32800000000003</v>
      </c>
      <c r="M118" s="111">
        <f t="shared" si="104"/>
        <v>0.94</v>
      </c>
      <c r="N118" s="111">
        <f t="shared" si="104"/>
        <v>362.42799999999994</v>
      </c>
      <c r="O118" s="111">
        <f t="shared" si="104"/>
        <v>369.28800000000001</v>
      </c>
      <c r="P118" s="111">
        <v>42</v>
      </c>
      <c r="Q118" s="111">
        <f t="shared" ref="Q118:AA118" si="105">SUM(Q22,Q28,Q31:Q32,Q66,Q68:Q69,Q71,Q73,Q119:Q123,Q155,Q161,Q167,Q176,Q178,Q190,Q197,Q200:Q201,Q208,Q210,Q212,Q216:Q218,Q220:Q222,Q227,Q233:Q234,Q236:Q238,Q246,Q251)</f>
        <v>309.82</v>
      </c>
      <c r="R118" s="111">
        <f t="shared" si="105"/>
        <v>308.92</v>
      </c>
      <c r="S118" s="111">
        <f t="shared" si="105"/>
        <v>309.83999999999997</v>
      </c>
      <c r="T118" s="111">
        <f t="shared" si="105"/>
        <v>323.94</v>
      </c>
      <c r="U118" s="111">
        <f t="shared" si="105"/>
        <v>296.74</v>
      </c>
      <c r="V118" s="111">
        <f t="shared" si="105"/>
        <v>331.04</v>
      </c>
      <c r="W118" s="111">
        <f t="shared" si="105"/>
        <v>347.64</v>
      </c>
      <c r="X118" s="111">
        <f t="shared" si="105"/>
        <v>417.04</v>
      </c>
      <c r="Y118" s="111">
        <f t="shared" si="105"/>
        <v>422.36</v>
      </c>
      <c r="Z118" s="111">
        <f t="shared" si="105"/>
        <v>417.98000000000008</v>
      </c>
      <c r="AA118" s="111">
        <f t="shared" si="105"/>
        <v>417.98000000000008</v>
      </c>
      <c r="AB118" s="111">
        <f t="shared" ref="AB118:AC118" si="106">SUM(AB22,AB28,AB31:AB32,AB66,AB68:AB69,AB71,AB73,AB119:AB123,AB155,AB161,AB167,AB176,AB178,AB190,AB197,AB200:AB201,AB208,AB210,AB212,AB216:AB218,AB220:AB222,AB227,AB233:AB234,AB236:AB238,AB246,AB251)</f>
        <v>349.22</v>
      </c>
      <c r="AC118" s="111">
        <f t="shared" si="106"/>
        <v>349.22</v>
      </c>
      <c r="AD118" s="111">
        <f t="shared" ref="AD118:AE118" si="107">SUM(AD22,AD28,AD31:AD32,AD66,AD68:AD69,AD71,AD73,AD119:AD123,AD155,AD161,AD167,AD176,AD178,AD190,AD197,AD200:AD201,AD208,AD210,AD212,AD216:AD218,AD220:AD222,AD227,AD233:AD234,AD236:AD238,AD246,AD251)</f>
        <v>349.22</v>
      </c>
      <c r="AE118" s="111">
        <f t="shared" si="107"/>
        <v>215.44</v>
      </c>
      <c r="AF118" s="111">
        <f t="shared" ref="AF118" si="108">SUM(AF22,AF28,AF31:AF32,AF66,AF68:AF69,AF71,AF73,AF119:AF123,AF155,AF161,AF167,AF176,AF178,AF190,AF197,AF200:AF201,AF208,AF210,AF212,AF216:AF218,AF220:AF222,AF227,AF233:AF234,AF236:AF238,AF246,AF251)</f>
        <v>196.32</v>
      </c>
      <c r="AG118" s="112"/>
      <c r="AH118" s="47">
        <f t="shared" si="46"/>
        <v>430.32800000000003</v>
      </c>
      <c r="AI118" s="48">
        <f t="shared" si="47"/>
        <v>0.94</v>
      </c>
    </row>
    <row r="119" spans="1:35" x14ac:dyDescent="0.25">
      <c r="A119" s="172" t="s">
        <v>119</v>
      </c>
      <c r="B119" s="113">
        <v>-4.4000000000000004</v>
      </c>
      <c r="C119" s="113">
        <v>-9</v>
      </c>
      <c r="D119" s="113">
        <v>-9</v>
      </c>
      <c r="E119" s="113">
        <v>-12.6</v>
      </c>
      <c r="F119" s="113">
        <v>-12.6</v>
      </c>
      <c r="G119" s="113">
        <v>-0.9</v>
      </c>
      <c r="H119" s="113">
        <v>10.9</v>
      </c>
      <c r="I119" s="113">
        <v>23.9</v>
      </c>
      <c r="J119" s="113">
        <v>42.2</v>
      </c>
      <c r="K119" s="113">
        <v>31.9</v>
      </c>
      <c r="L119" s="113">
        <v>39.6</v>
      </c>
      <c r="M119" s="113"/>
      <c r="N119" s="113">
        <v>38.200000000000003</v>
      </c>
      <c r="O119" s="113">
        <v>49.6</v>
      </c>
      <c r="P119" s="113">
        <v>50.6</v>
      </c>
      <c r="Q119" s="113">
        <v>23.1</v>
      </c>
      <c r="R119" s="113">
        <v>6.1</v>
      </c>
      <c r="S119" s="113">
        <v>9.1</v>
      </c>
      <c r="T119" s="113">
        <v>6.8</v>
      </c>
      <c r="U119" s="113">
        <v>6.9</v>
      </c>
      <c r="V119" s="113">
        <v>31.7</v>
      </c>
      <c r="W119" s="113">
        <v>35</v>
      </c>
      <c r="X119" s="113">
        <v>46</v>
      </c>
      <c r="Y119" s="113">
        <v>38.200000000000003</v>
      </c>
      <c r="Z119" s="113">
        <v>37.299999999999997</v>
      </c>
      <c r="AA119" s="113">
        <v>37.299999999999997</v>
      </c>
      <c r="AB119" s="113">
        <v>41.4</v>
      </c>
      <c r="AC119" s="113">
        <v>41.4</v>
      </c>
      <c r="AD119" s="113">
        <v>41.4</v>
      </c>
      <c r="AE119" s="113">
        <v>21.8</v>
      </c>
      <c r="AF119" s="113">
        <v>-4.3</v>
      </c>
      <c r="AG119" s="114">
        <v>75</v>
      </c>
      <c r="AH119" s="47">
        <f t="shared" si="46"/>
        <v>50.6</v>
      </c>
      <c r="AI119" s="48">
        <f t="shared" si="47"/>
        <v>-12.6</v>
      </c>
    </row>
    <row r="120" spans="1:35" x14ac:dyDescent="0.25">
      <c r="A120" s="173" t="s">
        <v>120</v>
      </c>
      <c r="B120" s="115">
        <v>-0.3</v>
      </c>
      <c r="C120" s="115">
        <v>-8.6</v>
      </c>
      <c r="D120" s="115">
        <v>-7</v>
      </c>
      <c r="E120" s="115">
        <v>-11.5</v>
      </c>
      <c r="F120" s="115">
        <v>-11</v>
      </c>
      <c r="G120" s="115">
        <v>5.9</v>
      </c>
      <c r="H120" s="115">
        <v>23.2</v>
      </c>
      <c r="I120" s="115">
        <v>38.9</v>
      </c>
      <c r="J120" s="115">
        <v>60.1</v>
      </c>
      <c r="K120" s="115">
        <v>45.1</v>
      </c>
      <c r="L120" s="115">
        <v>54.3</v>
      </c>
      <c r="M120" s="115"/>
      <c r="N120" s="115">
        <v>52.7</v>
      </c>
      <c r="O120" s="115">
        <v>69.3</v>
      </c>
      <c r="P120" s="115">
        <v>47</v>
      </c>
      <c r="Q120" s="115">
        <v>35.6</v>
      </c>
      <c r="R120" s="115">
        <v>11.4</v>
      </c>
      <c r="S120" s="115">
        <v>13.5</v>
      </c>
      <c r="T120" s="115">
        <v>11.5</v>
      </c>
      <c r="U120" s="115">
        <v>11.2</v>
      </c>
      <c r="V120" s="115">
        <v>43.2</v>
      </c>
      <c r="W120" s="115">
        <v>47.6</v>
      </c>
      <c r="X120" s="115">
        <v>64</v>
      </c>
      <c r="Y120" s="115">
        <v>53</v>
      </c>
      <c r="Z120" s="115">
        <v>50.4</v>
      </c>
      <c r="AA120" s="115">
        <v>50.4</v>
      </c>
      <c r="AB120" s="115">
        <v>55.7</v>
      </c>
      <c r="AC120" s="115">
        <v>55.7</v>
      </c>
      <c r="AD120" s="115">
        <v>55.7</v>
      </c>
      <c r="AE120" s="115">
        <v>32.299999999999997</v>
      </c>
      <c r="AF120" s="115">
        <v>-4.7</v>
      </c>
      <c r="AG120" s="114">
        <v>240</v>
      </c>
      <c r="AH120" s="47">
        <f t="shared" si="46"/>
        <v>69.3</v>
      </c>
      <c r="AI120" s="48">
        <f t="shared" si="47"/>
        <v>-11.5</v>
      </c>
    </row>
    <row r="121" spans="1:35" x14ac:dyDescent="0.25">
      <c r="A121" s="173" t="s">
        <v>121</v>
      </c>
      <c r="B121" s="115">
        <v>-38</v>
      </c>
      <c r="C121" s="115">
        <v>-42</v>
      </c>
      <c r="D121" s="115">
        <v>-50</v>
      </c>
      <c r="E121" s="115">
        <v>-43.2</v>
      </c>
      <c r="F121" s="115">
        <v>-39.799999999999997</v>
      </c>
      <c r="G121" s="115">
        <v>-44.9</v>
      </c>
      <c r="H121" s="115">
        <v>-29.8</v>
      </c>
      <c r="I121" s="115">
        <v>-20.73</v>
      </c>
      <c r="J121" s="115">
        <v>-19.5</v>
      </c>
      <c r="K121" s="115">
        <v>14.7</v>
      </c>
      <c r="L121" s="115">
        <v>39</v>
      </c>
      <c r="M121" s="115"/>
      <c r="N121" s="115">
        <f>28.6+23.1</f>
        <v>51.7</v>
      </c>
      <c r="O121" s="115">
        <f>20+14.2</f>
        <v>34.200000000000003</v>
      </c>
      <c r="P121" s="115">
        <v>25</v>
      </c>
      <c r="Q121" s="115">
        <f>8+0</f>
        <v>8</v>
      </c>
      <c r="R121" s="115">
        <f>19.8+17.1</f>
        <v>36.900000000000006</v>
      </c>
      <c r="S121" s="115">
        <v>41</v>
      </c>
      <c r="T121" s="115">
        <v>46</v>
      </c>
      <c r="U121" s="115">
        <v>23.5</v>
      </c>
      <c r="V121" s="115">
        <v>31.5</v>
      </c>
      <c r="W121" s="115">
        <v>34.799999999999997</v>
      </c>
      <c r="X121" s="115">
        <v>69</v>
      </c>
      <c r="Y121" s="115">
        <v>80</v>
      </c>
      <c r="Z121" s="115">
        <v>80</v>
      </c>
      <c r="AA121" s="115">
        <v>80</v>
      </c>
      <c r="AB121" s="115">
        <v>30</v>
      </c>
      <c r="AC121" s="115">
        <v>30</v>
      </c>
      <c r="AD121" s="115">
        <v>30</v>
      </c>
      <c r="AE121" s="115">
        <v>-20</v>
      </c>
      <c r="AF121" s="115">
        <v>-4</v>
      </c>
      <c r="AG121" s="114">
        <v>240</v>
      </c>
      <c r="AH121" s="47">
        <f t="shared" si="46"/>
        <v>80</v>
      </c>
      <c r="AI121" s="48">
        <f t="shared" si="47"/>
        <v>-50</v>
      </c>
    </row>
    <row r="122" spans="1:35" ht="15.75" thickBot="1" x14ac:dyDescent="0.3">
      <c r="A122" s="173" t="s">
        <v>122</v>
      </c>
      <c r="B122" s="115"/>
      <c r="C122" s="115"/>
      <c r="D122" s="115"/>
      <c r="E122" s="115"/>
      <c r="F122" s="115"/>
      <c r="G122" s="115"/>
      <c r="H122" s="115"/>
      <c r="I122" s="115"/>
      <c r="J122" s="115"/>
      <c r="K122" s="115">
        <v>20</v>
      </c>
      <c r="L122" s="115">
        <v>29</v>
      </c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15"/>
      <c r="AF122" s="115"/>
      <c r="AG122" s="114">
        <v>60</v>
      </c>
      <c r="AH122" s="47">
        <f t="shared" si="46"/>
        <v>29</v>
      </c>
      <c r="AI122" s="48">
        <f t="shared" si="47"/>
        <v>20</v>
      </c>
    </row>
    <row r="123" spans="1:35" x14ac:dyDescent="0.25">
      <c r="A123" s="172" t="s">
        <v>260</v>
      </c>
      <c r="B123" s="117">
        <v>85</v>
      </c>
      <c r="C123" s="117">
        <v>80</v>
      </c>
      <c r="D123" s="117">
        <v>80</v>
      </c>
      <c r="E123" s="117">
        <v>98.1</v>
      </c>
      <c r="F123" s="117">
        <f>1.64*66.9</f>
        <v>109.71600000000001</v>
      </c>
      <c r="G123" s="117">
        <f>1.64*69.1</f>
        <v>113.32399999999998</v>
      </c>
      <c r="H123" s="117">
        <f>1.64*72.8</f>
        <v>119.39199999999998</v>
      </c>
      <c r="I123" s="117">
        <f>1.64*77.8</f>
        <v>127.59199999999998</v>
      </c>
      <c r="J123" s="117">
        <f>1.64*69.5</f>
        <v>113.97999999999999</v>
      </c>
      <c r="K123" s="117">
        <f>1.64*91.9</f>
        <v>150.71600000000001</v>
      </c>
      <c r="L123" s="117">
        <f>1.64*101.7</f>
        <v>166.78799999999998</v>
      </c>
      <c r="M123" s="117"/>
      <c r="N123" s="117">
        <f>79.2*1.64</f>
        <v>129.88800000000001</v>
      </c>
      <c r="O123" s="117">
        <f>55.7*1.64</f>
        <v>91.347999999999999</v>
      </c>
      <c r="P123" s="117">
        <f>65*1.64</f>
        <v>106.6</v>
      </c>
      <c r="Q123" s="117">
        <f>77*1.64</f>
        <v>126.27999999999999</v>
      </c>
      <c r="R123" s="117">
        <f>91.8*1.6</f>
        <v>146.88</v>
      </c>
      <c r="S123" s="117">
        <f>87*1.6</f>
        <v>139.20000000000002</v>
      </c>
      <c r="T123" s="117">
        <f>93*1.6</f>
        <v>148.80000000000001</v>
      </c>
      <c r="U123" s="117">
        <v>151</v>
      </c>
      <c r="V123" s="117">
        <v>123</v>
      </c>
      <c r="W123" s="117">
        <v>133</v>
      </c>
      <c r="X123" s="117">
        <f>88*1.6</f>
        <v>140.80000000000001</v>
      </c>
      <c r="Y123" s="117">
        <f>96.2*1.6</f>
        <v>153.92000000000002</v>
      </c>
      <c r="Z123" s="117">
        <f>92.4*1.6</f>
        <v>147.84</v>
      </c>
      <c r="AA123" s="117">
        <f>92.4*1.6</f>
        <v>147.84</v>
      </c>
      <c r="AB123" s="117">
        <f>74.8*1.6</f>
        <v>119.68</v>
      </c>
      <c r="AC123" s="117">
        <f>74.8*1.6</f>
        <v>119.68</v>
      </c>
      <c r="AD123" s="117">
        <f>74.8*1.6</f>
        <v>119.68</v>
      </c>
      <c r="AE123" s="117">
        <f>52.6*1.5</f>
        <v>78.900000000000006</v>
      </c>
      <c r="AF123" s="117">
        <f>66.8*1.6</f>
        <v>106.88</v>
      </c>
      <c r="AG123" s="118">
        <v>120</v>
      </c>
      <c r="AH123" s="47">
        <f t="shared" si="46"/>
        <v>166.78799999999998</v>
      </c>
      <c r="AI123" s="48">
        <f t="shared" si="47"/>
        <v>78.900000000000006</v>
      </c>
    </row>
    <row r="124" spans="1:35" x14ac:dyDescent="0.25">
      <c r="A124" s="173" t="s">
        <v>259</v>
      </c>
      <c r="B124" s="117">
        <v>83</v>
      </c>
      <c r="C124" s="117">
        <v>85</v>
      </c>
      <c r="D124" s="117">
        <v>87</v>
      </c>
      <c r="E124" s="117">
        <v>83.6</v>
      </c>
      <c r="F124" s="117">
        <v>81.2</v>
      </c>
      <c r="G124" s="117">
        <v>84</v>
      </c>
      <c r="H124" s="117">
        <v>86.7</v>
      </c>
      <c r="I124" s="117">
        <v>90.9</v>
      </c>
      <c r="J124" s="117">
        <v>84.4</v>
      </c>
      <c r="K124" s="117">
        <v>102.6</v>
      </c>
      <c r="L124" s="117">
        <v>109.6</v>
      </c>
      <c r="M124" s="117"/>
      <c r="N124" s="117">
        <v>90.9</v>
      </c>
      <c r="O124" s="117">
        <v>67.7</v>
      </c>
      <c r="P124" s="117">
        <v>78.8</v>
      </c>
      <c r="Q124" s="117">
        <v>91</v>
      </c>
      <c r="R124" s="117">
        <v>101.5</v>
      </c>
      <c r="S124" s="117">
        <v>97</v>
      </c>
      <c r="T124" s="117">
        <v>103</v>
      </c>
      <c r="U124" s="117">
        <v>102.6</v>
      </c>
      <c r="V124" s="117">
        <v>89</v>
      </c>
      <c r="W124" s="117">
        <v>93.8</v>
      </c>
      <c r="X124" s="117">
        <v>99</v>
      </c>
      <c r="Y124" s="117">
        <v>105</v>
      </c>
      <c r="Z124" s="117">
        <v>102.3</v>
      </c>
      <c r="AA124" s="117">
        <v>102.3</v>
      </c>
      <c r="AB124" s="117">
        <v>87.8</v>
      </c>
      <c r="AC124" s="117">
        <v>87.8</v>
      </c>
      <c r="AD124" s="117">
        <v>87.8</v>
      </c>
      <c r="AE124" s="117">
        <v>70.099999999999994</v>
      </c>
      <c r="AF124" s="117">
        <v>82.5</v>
      </c>
      <c r="AG124" s="118"/>
      <c r="AH124" s="47">
        <f t="shared" si="46"/>
        <v>109.6</v>
      </c>
      <c r="AI124" s="48">
        <f t="shared" si="47"/>
        <v>67.7</v>
      </c>
    </row>
    <row r="125" spans="1:35" x14ac:dyDescent="0.25">
      <c r="A125" s="173" t="s">
        <v>256</v>
      </c>
      <c r="B125" s="117">
        <v>-62</v>
      </c>
      <c r="C125" s="117">
        <v>74</v>
      </c>
      <c r="D125" s="117">
        <v>76</v>
      </c>
      <c r="E125" s="117">
        <v>78.5</v>
      </c>
      <c r="F125" s="117">
        <v>70.8</v>
      </c>
      <c r="G125" s="117">
        <v>60.1</v>
      </c>
      <c r="H125" s="117">
        <v>38.5</v>
      </c>
      <c r="I125" s="117">
        <v>17.5</v>
      </c>
      <c r="J125" s="117">
        <v>-8.3000000000000007</v>
      </c>
      <c r="K125" s="117">
        <v>-9.5</v>
      </c>
      <c r="L125" s="117">
        <v>-23.8</v>
      </c>
      <c r="M125" s="117"/>
      <c r="N125" s="117">
        <v>-57.3</v>
      </c>
      <c r="O125" s="117">
        <v>-76.900000000000006</v>
      </c>
      <c r="P125" s="117">
        <v>-20</v>
      </c>
      <c r="Q125" s="117">
        <v>2.6</v>
      </c>
      <c r="R125" s="117">
        <v>21.9</v>
      </c>
      <c r="S125" s="117">
        <v>9</v>
      </c>
      <c r="T125" s="117">
        <v>13</v>
      </c>
      <c r="U125" s="117">
        <v>1.2</v>
      </c>
      <c r="V125" s="117">
        <v>-54.6</v>
      </c>
      <c r="W125" s="117">
        <v>-57.6</v>
      </c>
      <c r="X125" s="117">
        <v>-80</v>
      </c>
      <c r="Y125" s="117">
        <v>-73</v>
      </c>
      <c r="Z125" s="117">
        <v>-76</v>
      </c>
      <c r="AA125" s="117">
        <v>-76</v>
      </c>
      <c r="AB125" s="117">
        <v>-79.599999999999994</v>
      </c>
      <c r="AC125" s="117">
        <v>-79.599999999999994</v>
      </c>
      <c r="AD125" s="117">
        <v>-79.599999999999994</v>
      </c>
      <c r="AE125" s="117">
        <v>-8.6999999999999993</v>
      </c>
      <c r="AF125" s="117">
        <v>55.4</v>
      </c>
      <c r="AG125" s="118"/>
      <c r="AH125" s="47">
        <f t="shared" si="46"/>
        <v>78.5</v>
      </c>
      <c r="AI125" s="48">
        <f t="shared" si="47"/>
        <v>-80</v>
      </c>
    </row>
    <row r="126" spans="1:35" ht="15.75" thickBot="1" x14ac:dyDescent="0.3">
      <c r="A126" s="173" t="s">
        <v>255</v>
      </c>
      <c r="B126" s="117">
        <v>100</v>
      </c>
      <c r="C126" s="117">
        <v>105</v>
      </c>
      <c r="D126" s="117">
        <v>110</v>
      </c>
      <c r="E126" s="117">
        <v>105</v>
      </c>
      <c r="F126" s="117">
        <v>99.3</v>
      </c>
      <c r="G126" s="117">
        <v>99.5</v>
      </c>
      <c r="H126" s="117">
        <v>105.6</v>
      </c>
      <c r="I126" s="117">
        <v>102.3</v>
      </c>
      <c r="J126" s="117">
        <v>85</v>
      </c>
      <c r="K126" s="117">
        <v>93.6</v>
      </c>
      <c r="L126" s="117">
        <v>86.6</v>
      </c>
      <c r="M126" s="117"/>
      <c r="N126" s="117">
        <v>62.2</v>
      </c>
      <c r="O126" s="117">
        <v>46.1</v>
      </c>
      <c r="P126" s="117">
        <v>77.5</v>
      </c>
      <c r="Q126" s="117">
        <v>103.6</v>
      </c>
      <c r="R126" s="117">
        <v>94.8</v>
      </c>
      <c r="S126" s="117">
        <v>85</v>
      </c>
      <c r="T126" s="117">
        <v>92</v>
      </c>
      <c r="U126" s="117">
        <v>91.3</v>
      </c>
      <c r="V126" s="117">
        <v>60.2</v>
      </c>
      <c r="W126" s="117">
        <v>63.8</v>
      </c>
      <c r="X126" s="117">
        <v>65</v>
      </c>
      <c r="Y126" s="117">
        <v>76</v>
      </c>
      <c r="Z126" s="117">
        <v>75</v>
      </c>
      <c r="AA126" s="117">
        <v>75</v>
      </c>
      <c r="AB126" s="117">
        <v>55.5</v>
      </c>
      <c r="AC126" s="117">
        <v>55.5</v>
      </c>
      <c r="AD126" s="117">
        <v>55.5</v>
      </c>
      <c r="AE126" s="117">
        <v>83.7</v>
      </c>
      <c r="AF126" s="117">
        <v>94.6</v>
      </c>
      <c r="AG126" s="114"/>
      <c r="AH126" s="47">
        <f t="shared" si="46"/>
        <v>110</v>
      </c>
      <c r="AI126" s="48">
        <f t="shared" si="47"/>
        <v>46.1</v>
      </c>
    </row>
    <row r="127" spans="1:35" x14ac:dyDescent="0.25">
      <c r="A127" s="172" t="s">
        <v>257</v>
      </c>
      <c r="B127" s="117">
        <v>28</v>
      </c>
      <c r="C127" s="117">
        <v>41</v>
      </c>
      <c r="D127" s="117">
        <v>42</v>
      </c>
      <c r="E127" s="117">
        <v>39.200000000000003</v>
      </c>
      <c r="F127" s="117">
        <v>39.799999999999997</v>
      </c>
      <c r="G127" s="117">
        <v>33.299999999999997</v>
      </c>
      <c r="H127" s="117">
        <v>31.5</v>
      </c>
      <c r="I127" s="117">
        <v>23.4</v>
      </c>
      <c r="J127" s="117">
        <v>-8.5</v>
      </c>
      <c r="K127" s="117">
        <v>5.5</v>
      </c>
      <c r="L127" s="117">
        <v>-3.5</v>
      </c>
      <c r="M127" s="117"/>
      <c r="N127" s="117"/>
      <c r="O127" s="117"/>
      <c r="P127" s="117"/>
      <c r="Q127" s="117"/>
      <c r="R127" s="117">
        <v>29</v>
      </c>
      <c r="S127" s="117">
        <v>25.3</v>
      </c>
      <c r="T127" s="117">
        <v>21</v>
      </c>
      <c r="U127" s="117">
        <v>18.2</v>
      </c>
      <c r="V127" s="117">
        <v>7.7</v>
      </c>
      <c r="W127" s="117">
        <v>6.6</v>
      </c>
      <c r="X127" s="117">
        <v>0</v>
      </c>
      <c r="Y127" s="117">
        <v>14</v>
      </c>
      <c r="Z127" s="117">
        <v>17</v>
      </c>
      <c r="AA127" s="117">
        <v>17</v>
      </c>
      <c r="AB127" s="117">
        <v>13.2</v>
      </c>
      <c r="AC127" s="117">
        <v>13.2</v>
      </c>
      <c r="AD127" s="117">
        <v>13.2</v>
      </c>
      <c r="AE127" s="117">
        <v>9.6</v>
      </c>
      <c r="AF127" s="117">
        <v>20.3</v>
      </c>
      <c r="AG127" s="114"/>
      <c r="AH127" s="47">
        <f t="shared" si="46"/>
        <v>42</v>
      </c>
      <c r="AI127" s="48">
        <f t="shared" si="47"/>
        <v>-8.5</v>
      </c>
    </row>
    <row r="128" spans="1:35" x14ac:dyDescent="0.25">
      <c r="A128" s="173" t="s">
        <v>124</v>
      </c>
      <c r="B128" s="106">
        <v>-6</v>
      </c>
      <c r="C128" s="106">
        <v>-3</v>
      </c>
      <c r="D128" s="106">
        <v>-2</v>
      </c>
      <c r="E128" s="106">
        <v>3.2</v>
      </c>
      <c r="F128" s="106">
        <v>1.4</v>
      </c>
      <c r="G128" s="106">
        <v>-2.5</v>
      </c>
      <c r="H128" s="106">
        <v>-10.9</v>
      </c>
      <c r="I128" s="106">
        <v>-22</v>
      </c>
      <c r="J128" s="106">
        <v>-24.4</v>
      </c>
      <c r="K128" s="106">
        <v>-19.100000000000001</v>
      </c>
      <c r="L128" s="106">
        <v>-38.299999999999997</v>
      </c>
      <c r="M128" s="106"/>
      <c r="N128" s="106">
        <f>--39.5</f>
        <v>39.5</v>
      </c>
      <c r="O128" s="106">
        <v>-25.3</v>
      </c>
      <c r="P128" s="106">
        <v>-20.9</v>
      </c>
      <c r="Q128" s="106">
        <v>-21.1</v>
      </c>
      <c r="R128" s="106">
        <v>-10.6</v>
      </c>
      <c r="S128" s="106">
        <v>-10</v>
      </c>
      <c r="T128" s="106">
        <v>-11</v>
      </c>
      <c r="U128" s="106">
        <v>-19</v>
      </c>
      <c r="V128" s="106">
        <v>-35.200000000000003</v>
      </c>
      <c r="W128" s="106">
        <v>-36.299999999999997</v>
      </c>
      <c r="X128" s="106">
        <v>-51</v>
      </c>
      <c r="Y128" s="106">
        <v>-40.1</v>
      </c>
      <c r="Z128" s="106">
        <v>-37</v>
      </c>
      <c r="AA128" s="106">
        <v>-37</v>
      </c>
      <c r="AB128" s="106">
        <v>-37</v>
      </c>
      <c r="AC128" s="106">
        <v>-37</v>
      </c>
      <c r="AD128" s="106">
        <v>-37</v>
      </c>
      <c r="AE128" s="106">
        <v>-8.5</v>
      </c>
      <c r="AF128" s="106">
        <v>-2.1</v>
      </c>
      <c r="AG128" s="114"/>
      <c r="AH128" s="47">
        <f t="shared" si="46"/>
        <v>39.5</v>
      </c>
      <c r="AI128" s="48">
        <f t="shared" si="47"/>
        <v>-51</v>
      </c>
    </row>
    <row r="129" spans="1:37" x14ac:dyDescent="0.25">
      <c r="A129" s="173" t="s">
        <v>261</v>
      </c>
      <c r="B129" s="106">
        <v>21</v>
      </c>
      <c r="C129" s="106">
        <v>21</v>
      </c>
      <c r="D129" s="106">
        <v>21.6</v>
      </c>
      <c r="E129" s="106">
        <v>19.399999999999999</v>
      </c>
      <c r="F129" s="106">
        <v>19</v>
      </c>
      <c r="G129" s="106">
        <v>22.5</v>
      </c>
      <c r="H129" s="106">
        <v>24</v>
      </c>
      <c r="I129" s="106">
        <v>22</v>
      </c>
      <c r="J129" s="106">
        <v>22.4</v>
      </c>
      <c r="K129" s="106">
        <v>12.3</v>
      </c>
      <c r="L129" s="106">
        <v>12.7</v>
      </c>
      <c r="M129" s="106"/>
      <c r="N129" s="106">
        <v>11.7</v>
      </c>
      <c r="O129" s="106">
        <v>10.6</v>
      </c>
      <c r="P129" s="106">
        <v>10.3</v>
      </c>
      <c r="Q129" s="106">
        <v>17.5</v>
      </c>
      <c r="R129" s="106">
        <v>19.5</v>
      </c>
      <c r="S129" s="106">
        <v>16</v>
      </c>
      <c r="T129" s="106">
        <v>17</v>
      </c>
      <c r="U129" s="106">
        <v>20.5</v>
      </c>
      <c r="V129" s="106">
        <v>11.7</v>
      </c>
      <c r="W129" s="106">
        <v>11.5</v>
      </c>
      <c r="X129" s="106">
        <v>13</v>
      </c>
      <c r="Y129" s="106">
        <v>12.3</v>
      </c>
      <c r="Z129" s="106">
        <v>12</v>
      </c>
      <c r="AA129" s="106">
        <v>12</v>
      </c>
      <c r="AB129" s="106">
        <v>10.1</v>
      </c>
      <c r="AC129" s="106">
        <v>10.1</v>
      </c>
      <c r="AD129" s="106">
        <v>10.1</v>
      </c>
      <c r="AE129" s="106">
        <v>11.5</v>
      </c>
      <c r="AF129" s="106">
        <v>21.8</v>
      </c>
      <c r="AG129" s="114"/>
      <c r="AH129" s="47">
        <f t="shared" si="46"/>
        <v>24</v>
      </c>
      <c r="AI129" s="48">
        <f t="shared" si="47"/>
        <v>10.1</v>
      </c>
    </row>
    <row r="130" spans="1:37" ht="15.75" thickBot="1" x14ac:dyDescent="0.3">
      <c r="A130" s="173" t="s">
        <v>258</v>
      </c>
      <c r="B130" s="106">
        <v>88</v>
      </c>
      <c r="C130" s="106">
        <v>89</v>
      </c>
      <c r="D130" s="106">
        <v>82.7</v>
      </c>
      <c r="E130" s="106">
        <v>81</v>
      </c>
      <c r="F130" s="106">
        <v>80.5</v>
      </c>
      <c r="G130" s="106">
        <v>84.7</v>
      </c>
      <c r="H130" s="106">
        <v>80.7</v>
      </c>
      <c r="I130" s="106">
        <v>92.6</v>
      </c>
      <c r="J130" s="106">
        <v>94.3</v>
      </c>
      <c r="K130" s="106">
        <v>87.1</v>
      </c>
      <c r="L130" s="106">
        <v>85.3</v>
      </c>
      <c r="M130" s="106"/>
      <c r="N130" s="106">
        <v>102.9</v>
      </c>
      <c r="O130" s="106">
        <v>95.3</v>
      </c>
      <c r="P130" s="106">
        <v>104</v>
      </c>
      <c r="Q130" s="106">
        <v>104</v>
      </c>
      <c r="R130" s="106">
        <v>94.7</v>
      </c>
      <c r="S130" s="106">
        <v>97</v>
      </c>
      <c r="T130" s="106">
        <v>99</v>
      </c>
      <c r="U130" s="106">
        <v>101</v>
      </c>
      <c r="V130" s="106">
        <v>102</v>
      </c>
      <c r="W130" s="106">
        <v>90.7</v>
      </c>
      <c r="X130" s="106">
        <v>106</v>
      </c>
      <c r="Y130" s="106">
        <v>103</v>
      </c>
      <c r="Z130" s="106">
        <v>96</v>
      </c>
      <c r="AA130" s="106">
        <v>96</v>
      </c>
      <c r="AB130" s="106">
        <v>89.3</v>
      </c>
      <c r="AC130" s="106">
        <v>89.3</v>
      </c>
      <c r="AD130" s="106">
        <v>89.3</v>
      </c>
      <c r="AE130" s="106">
        <v>104.1</v>
      </c>
      <c r="AF130" s="106">
        <v>86.3</v>
      </c>
      <c r="AG130" s="114"/>
      <c r="AH130" s="47">
        <f t="shared" si="46"/>
        <v>106</v>
      </c>
      <c r="AI130" s="48">
        <f t="shared" si="47"/>
        <v>80.5</v>
      </c>
    </row>
    <row r="131" spans="1:37" x14ac:dyDescent="0.25">
      <c r="A131" s="144" t="s">
        <v>238</v>
      </c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5"/>
      <c r="AG131" s="43"/>
      <c r="AH131" s="47"/>
      <c r="AI131" s="48"/>
    </row>
    <row r="132" spans="1:37" x14ac:dyDescent="0.25">
      <c r="A132" s="189" t="s">
        <v>368</v>
      </c>
      <c r="B132" s="106">
        <v>1983.58</v>
      </c>
      <c r="C132" s="106">
        <v>1983.88</v>
      </c>
      <c r="D132" s="106">
        <v>1984.17</v>
      </c>
      <c r="E132" s="106">
        <v>1984.44</v>
      </c>
      <c r="F132" s="106">
        <v>1984.7</v>
      </c>
      <c r="G132" s="106">
        <v>1984.93</v>
      </c>
      <c r="H132" s="106"/>
      <c r="I132" s="106">
        <v>1985.19</v>
      </c>
      <c r="J132" s="106"/>
      <c r="K132" s="106">
        <v>1985.12</v>
      </c>
      <c r="L132" s="106"/>
      <c r="M132" s="106">
        <v>1984.33</v>
      </c>
      <c r="N132" s="106">
        <v>1983.2</v>
      </c>
      <c r="O132" s="106">
        <v>1982.75</v>
      </c>
      <c r="P132" s="106">
        <v>1982.59</v>
      </c>
      <c r="Q132" s="106">
        <v>1982.59</v>
      </c>
      <c r="R132" s="106">
        <v>1982.8</v>
      </c>
      <c r="S132" s="106">
        <v>1983.1</v>
      </c>
      <c r="T132" s="106">
        <v>1983.4</v>
      </c>
      <c r="U132" s="106">
        <v>1983.69</v>
      </c>
      <c r="V132" s="106">
        <v>1983.82</v>
      </c>
      <c r="W132" s="106"/>
      <c r="X132" s="106">
        <v>1983.49</v>
      </c>
      <c r="Y132" s="106">
        <v>1983.1</v>
      </c>
      <c r="Z132" s="106">
        <v>1982.8</v>
      </c>
      <c r="AA132" s="106"/>
      <c r="AB132" s="106">
        <v>1982.52</v>
      </c>
      <c r="AC132" s="106">
        <v>1982.52</v>
      </c>
      <c r="AD132" s="106">
        <v>1982.52</v>
      </c>
      <c r="AE132" s="106">
        <v>1983.1</v>
      </c>
      <c r="AF132" s="106">
        <v>1983.1</v>
      </c>
      <c r="AG132" s="149"/>
      <c r="AH132" s="47"/>
      <c r="AI132" s="48"/>
    </row>
    <row r="133" spans="1:37" x14ac:dyDescent="0.25">
      <c r="A133" s="189" t="s">
        <v>239</v>
      </c>
      <c r="B133" s="106">
        <v>519.88</v>
      </c>
      <c r="C133" s="106">
        <v>520.34</v>
      </c>
      <c r="D133" s="106">
        <v>520.78</v>
      </c>
      <c r="E133" s="106">
        <v>521.17999999999995</v>
      </c>
      <c r="F133" s="106">
        <v>521.54999999999995</v>
      </c>
      <c r="G133" s="106">
        <v>521.9</v>
      </c>
      <c r="H133" s="106"/>
      <c r="I133" s="106">
        <v>521.88</v>
      </c>
      <c r="J133" s="106"/>
      <c r="K133" s="106">
        <v>521.54999999999995</v>
      </c>
      <c r="L133" s="106"/>
      <c r="M133" s="106">
        <v>521.1</v>
      </c>
      <c r="N133" s="106">
        <v>521.05999999999995</v>
      </c>
      <c r="O133" s="106">
        <v>520.72</v>
      </c>
      <c r="P133" s="106">
        <v>520.32000000000005</v>
      </c>
      <c r="Q133" s="106">
        <v>520.04</v>
      </c>
      <c r="R133" s="106">
        <v>519.75</v>
      </c>
      <c r="S133" s="106">
        <v>519.76</v>
      </c>
      <c r="T133" s="106">
        <v>520</v>
      </c>
      <c r="U133" s="106">
        <v>520.25</v>
      </c>
      <c r="V133" s="106">
        <v>520.52</v>
      </c>
      <c r="W133" s="106"/>
      <c r="X133" s="106">
        <v>520.45000000000005</v>
      </c>
      <c r="Y133" s="106">
        <v>520</v>
      </c>
      <c r="Z133" s="106">
        <v>519.79</v>
      </c>
      <c r="AA133" s="106"/>
      <c r="AB133" s="106">
        <v>519.28</v>
      </c>
      <c r="AC133" s="106">
        <v>519.28</v>
      </c>
      <c r="AD133" s="106">
        <v>519.28</v>
      </c>
      <c r="AE133" s="106">
        <v>519.28</v>
      </c>
      <c r="AF133" s="106">
        <v>519.28</v>
      </c>
      <c r="AG133" s="149"/>
      <c r="AH133" s="47"/>
      <c r="AI133" s="48"/>
    </row>
    <row r="134" spans="1:37" x14ac:dyDescent="0.25">
      <c r="A134" s="189" t="s">
        <v>240</v>
      </c>
      <c r="B134" s="106">
        <v>622.4</v>
      </c>
      <c r="C134" s="106"/>
      <c r="D134" s="106">
        <v>623.4</v>
      </c>
      <c r="E134" s="106"/>
      <c r="F134" s="106">
        <v>624.21</v>
      </c>
      <c r="G134" s="106">
        <v>624.48</v>
      </c>
      <c r="H134" s="106"/>
      <c r="I134" s="106">
        <v>624.4</v>
      </c>
      <c r="J134" s="106"/>
      <c r="K134" s="106">
        <v>624.1</v>
      </c>
      <c r="L134" s="106"/>
      <c r="M134" s="106"/>
      <c r="N134" s="106">
        <v>623.35</v>
      </c>
      <c r="O134" s="106">
        <v>622.85</v>
      </c>
      <c r="P134" s="106">
        <v>622.09</v>
      </c>
      <c r="Q134" s="106">
        <v>621.41</v>
      </c>
      <c r="R134" s="106">
        <v>621.57000000000005</v>
      </c>
      <c r="S134" s="106">
        <v>621.80999999999995</v>
      </c>
      <c r="T134" s="106">
        <v>622.49</v>
      </c>
      <c r="U134" s="106">
        <v>623.09</v>
      </c>
      <c r="V134" s="106">
        <v>623.44000000000005</v>
      </c>
      <c r="W134" s="106"/>
      <c r="X134" s="106">
        <v>623.41999999999996</v>
      </c>
      <c r="Y134" s="106">
        <v>623</v>
      </c>
      <c r="Z134" s="106">
        <v>622.86</v>
      </c>
      <c r="AA134" s="106"/>
      <c r="AB134" s="106"/>
      <c r="AC134" s="106"/>
      <c r="AD134" s="106"/>
      <c r="AE134" s="106"/>
      <c r="AF134" s="106"/>
      <c r="AG134" s="149"/>
      <c r="AH134" s="47"/>
      <c r="AI134" s="48"/>
    </row>
    <row r="135" spans="1:37" x14ac:dyDescent="0.25">
      <c r="A135" s="189" t="s">
        <v>241</v>
      </c>
      <c r="B135" s="106">
        <v>335.27</v>
      </c>
      <c r="C135" s="106">
        <v>335.55</v>
      </c>
      <c r="D135" s="106">
        <v>335.79</v>
      </c>
      <c r="E135" s="106"/>
      <c r="F135" s="106">
        <v>336.33</v>
      </c>
      <c r="G135" s="106">
        <v>336.65</v>
      </c>
      <c r="H135" s="106"/>
      <c r="I135" s="106">
        <v>336.62</v>
      </c>
      <c r="J135" s="106"/>
      <c r="K135" s="106">
        <v>336.35</v>
      </c>
      <c r="L135" s="106"/>
      <c r="M135" s="106">
        <v>335.94</v>
      </c>
      <c r="N135" s="106">
        <v>335.62</v>
      </c>
      <c r="O135" s="106">
        <v>334.96</v>
      </c>
      <c r="P135" s="106">
        <v>334.37</v>
      </c>
      <c r="Q135" s="106">
        <v>333.75</v>
      </c>
      <c r="R135" s="106">
        <v>334.08</v>
      </c>
      <c r="S135" s="106">
        <v>334.54</v>
      </c>
      <c r="T135" s="106">
        <v>335.13</v>
      </c>
      <c r="U135" s="106">
        <v>335.85</v>
      </c>
      <c r="V135" s="106">
        <v>336.19</v>
      </c>
      <c r="W135" s="106"/>
      <c r="X135" s="106">
        <v>336.21</v>
      </c>
      <c r="Y135" s="106">
        <v>336.04</v>
      </c>
      <c r="Z135" s="106">
        <v>335.85</v>
      </c>
      <c r="AA135" s="106"/>
      <c r="AB135" s="106">
        <v>335.46</v>
      </c>
      <c r="AC135" s="106">
        <v>335.46</v>
      </c>
      <c r="AD135" s="106">
        <v>334.96</v>
      </c>
      <c r="AE135" s="106">
        <v>334.96</v>
      </c>
      <c r="AF135" s="106">
        <v>334.96</v>
      </c>
      <c r="AG135" s="149"/>
      <c r="AH135" s="47"/>
      <c r="AI135" s="48"/>
    </row>
    <row r="136" spans="1:37" x14ac:dyDescent="0.25">
      <c r="A136" s="189" t="s">
        <v>407</v>
      </c>
      <c r="B136" s="106">
        <v>884.2</v>
      </c>
      <c r="C136" s="106">
        <v>884.8</v>
      </c>
      <c r="D136" s="106">
        <v>885.6</v>
      </c>
      <c r="E136" s="106"/>
      <c r="F136" s="106">
        <v>886.8</v>
      </c>
      <c r="G136" s="106">
        <v>886.9</v>
      </c>
      <c r="H136" s="106"/>
      <c r="I136" s="106">
        <v>886.8</v>
      </c>
      <c r="J136" s="106"/>
      <c r="K136" s="106">
        <v>886.5</v>
      </c>
      <c r="L136" s="106"/>
      <c r="M136" s="106">
        <v>884.7</v>
      </c>
      <c r="N136" s="106"/>
      <c r="O136" s="106"/>
      <c r="P136" s="106">
        <v>882.1</v>
      </c>
      <c r="Q136" s="106"/>
      <c r="R136" s="106">
        <v>882</v>
      </c>
      <c r="S136" s="106">
        <v>882.1</v>
      </c>
      <c r="T136" s="106">
        <v>883.5</v>
      </c>
      <c r="U136" s="106">
        <v>884.3</v>
      </c>
      <c r="V136" s="106">
        <v>884.7</v>
      </c>
      <c r="W136" s="106"/>
      <c r="X136" s="106">
        <v>884.6</v>
      </c>
      <c r="Y136" s="106">
        <v>884.5</v>
      </c>
      <c r="Z136" s="106">
        <v>884.4</v>
      </c>
      <c r="AA136" s="106"/>
      <c r="AB136" s="106"/>
      <c r="AC136" s="106"/>
      <c r="AD136" s="106"/>
      <c r="AE136" s="106">
        <v>882.7</v>
      </c>
      <c r="AF136" s="106">
        <v>882.7</v>
      </c>
      <c r="AG136" s="149"/>
      <c r="AH136" s="47"/>
      <c r="AI136" s="48"/>
    </row>
    <row r="137" spans="1:37" x14ac:dyDescent="0.25">
      <c r="A137" s="189" t="s">
        <v>242</v>
      </c>
      <c r="B137" s="106">
        <v>1520.49</v>
      </c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  <c r="AA137" s="106"/>
      <c r="AB137" s="106"/>
      <c r="AC137" s="106"/>
      <c r="AD137" s="106"/>
      <c r="AE137" s="106"/>
      <c r="AF137" s="106"/>
      <c r="AG137" s="149"/>
      <c r="AH137" s="47"/>
      <c r="AI137" s="48"/>
    </row>
    <row r="138" spans="1:37" ht="15.75" thickBot="1" x14ac:dyDescent="0.3">
      <c r="A138" s="120" t="s">
        <v>125</v>
      </c>
      <c r="B138" s="121"/>
      <c r="C138" s="121"/>
      <c r="D138" s="121"/>
      <c r="E138" s="121"/>
      <c r="F138" s="170" t="s">
        <v>254</v>
      </c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74"/>
      <c r="AH138" s="47"/>
      <c r="AI138" s="48"/>
      <c r="AK138" s="50"/>
    </row>
    <row r="139" spans="1:37" x14ac:dyDescent="0.25">
      <c r="A139" s="122" t="s">
        <v>126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5">
        <v>9.94</v>
      </c>
      <c r="AH139" s="47"/>
      <c r="AI139" s="48"/>
      <c r="AK139" s="50"/>
    </row>
    <row r="140" spans="1:37" x14ac:dyDescent="0.25">
      <c r="A140" s="103" t="s">
        <v>127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5"/>
      <c r="AH140" s="47"/>
      <c r="AI140" s="48"/>
      <c r="AK140" s="50"/>
    </row>
    <row r="141" spans="1:37" x14ac:dyDescent="0.25">
      <c r="A141" s="103" t="s">
        <v>128</v>
      </c>
      <c r="B141" s="123"/>
      <c r="C141" s="124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5"/>
      <c r="AH141" s="47"/>
      <c r="AI141" s="48"/>
      <c r="AK141" s="50"/>
    </row>
    <row r="142" spans="1:37" x14ac:dyDescent="0.25">
      <c r="A142" s="103" t="s">
        <v>129</v>
      </c>
      <c r="B142" s="123"/>
      <c r="C142" s="124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5"/>
      <c r="AH142" s="47"/>
      <c r="AI142" s="48"/>
      <c r="AK142" s="50"/>
    </row>
    <row r="143" spans="1:37" x14ac:dyDescent="0.25">
      <c r="A143" s="103" t="s">
        <v>130</v>
      </c>
      <c r="B143" s="123"/>
      <c r="C143" s="124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5"/>
      <c r="AH143" s="47"/>
      <c r="AI143" s="48"/>
      <c r="AK143" s="50"/>
    </row>
    <row r="144" spans="1:37" x14ac:dyDescent="0.25">
      <c r="A144" s="103" t="s">
        <v>131</v>
      </c>
      <c r="B144" s="123"/>
      <c r="C144" s="124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5"/>
      <c r="AH144" s="47"/>
      <c r="AI144" s="48"/>
      <c r="AK144" s="50"/>
    </row>
    <row r="145" spans="1:37" x14ac:dyDescent="0.25">
      <c r="A145" s="103" t="s">
        <v>132</v>
      </c>
      <c r="B145" s="123"/>
      <c r="C145" s="124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5"/>
      <c r="AH145" s="47"/>
      <c r="AI145" s="48"/>
      <c r="AK145" s="50"/>
    </row>
    <row r="146" spans="1:37" x14ac:dyDescent="0.25">
      <c r="A146" s="103" t="s">
        <v>133</v>
      </c>
      <c r="B146" s="123"/>
      <c r="C146" s="124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5"/>
      <c r="AH146" s="47"/>
      <c r="AI146" s="48"/>
      <c r="AK146" s="50"/>
    </row>
    <row r="147" spans="1:37" x14ac:dyDescent="0.25">
      <c r="A147" s="103" t="s">
        <v>134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5"/>
      <c r="AH147" s="47"/>
      <c r="AI147" s="48"/>
      <c r="AK147" s="50"/>
    </row>
    <row r="148" spans="1:37" x14ac:dyDescent="0.25">
      <c r="A148" s="103" t="s">
        <v>135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5"/>
      <c r="AH148" s="47"/>
      <c r="AI148" s="48"/>
      <c r="AK148" s="50"/>
    </row>
    <row r="149" spans="1:37" x14ac:dyDescent="0.25">
      <c r="A149" s="103" t="s">
        <v>136</v>
      </c>
      <c r="B149" s="123"/>
      <c r="C149" s="124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5"/>
      <c r="AH149" s="47"/>
      <c r="AI149" s="48"/>
      <c r="AK149" s="50"/>
    </row>
    <row r="150" spans="1:37" x14ac:dyDescent="0.25">
      <c r="A150" s="103" t="s">
        <v>137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5"/>
      <c r="AH150" s="47"/>
      <c r="AI150" s="48"/>
      <c r="AK150" s="50"/>
    </row>
    <row r="151" spans="1:37" x14ac:dyDescent="0.25">
      <c r="A151" s="103" t="s">
        <v>138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5"/>
      <c r="AH151" s="47"/>
      <c r="AI151" s="48"/>
      <c r="AK151" s="50"/>
    </row>
    <row r="152" spans="1:37" x14ac:dyDescent="0.25">
      <c r="A152" s="103" t="s">
        <v>139</v>
      </c>
      <c r="B152" s="123"/>
      <c r="C152" s="124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5"/>
      <c r="AH152" s="47"/>
      <c r="AI152" s="48"/>
      <c r="AK152" s="50"/>
    </row>
    <row r="153" spans="1:37" x14ac:dyDescent="0.25">
      <c r="A153" s="103" t="s">
        <v>140</v>
      </c>
      <c r="B153" s="123"/>
      <c r="C153" s="124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5"/>
      <c r="AH153" s="47"/>
      <c r="AI153" s="48"/>
      <c r="AK153" s="50"/>
    </row>
    <row r="154" spans="1:37" x14ac:dyDescent="0.25">
      <c r="A154" s="103" t="s">
        <v>141</v>
      </c>
      <c r="B154" s="123"/>
      <c r="C154" s="124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5"/>
      <c r="AH154" s="47"/>
      <c r="AI154" s="48"/>
      <c r="AK154" s="50"/>
    </row>
    <row r="155" spans="1:37" x14ac:dyDescent="0.25">
      <c r="A155" s="103" t="s">
        <v>142</v>
      </c>
      <c r="B155" s="126"/>
      <c r="C155" s="127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8">
        <v>9.9</v>
      </c>
      <c r="AH155" s="47"/>
      <c r="AI155" s="48"/>
      <c r="AK155" s="50"/>
    </row>
    <row r="156" spans="1:37" x14ac:dyDescent="0.25">
      <c r="A156" s="116" t="s">
        <v>143</v>
      </c>
      <c r="B156" s="126"/>
      <c r="C156" s="127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9">
        <v>9.6579999999999995</v>
      </c>
      <c r="AH156" s="47"/>
      <c r="AI156" s="48"/>
      <c r="AK156" s="50"/>
    </row>
    <row r="157" spans="1:37" x14ac:dyDescent="0.25">
      <c r="A157" s="116" t="s">
        <v>144</v>
      </c>
      <c r="B157" s="126"/>
      <c r="C157" s="127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9">
        <v>9.6</v>
      </c>
      <c r="AH157" s="47"/>
      <c r="AI157" s="48"/>
      <c r="AK157" s="50"/>
    </row>
    <row r="158" spans="1:37" x14ac:dyDescent="0.25">
      <c r="A158" s="116" t="s">
        <v>145</v>
      </c>
      <c r="B158" s="126"/>
      <c r="C158" s="127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9">
        <v>9.51</v>
      </c>
      <c r="AH158" s="47"/>
      <c r="AI158" s="48"/>
      <c r="AK158" s="50"/>
    </row>
    <row r="159" spans="1:37" x14ac:dyDescent="0.25">
      <c r="A159" s="116" t="s">
        <v>146</v>
      </c>
      <c r="B159" s="126"/>
      <c r="C159" s="127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9">
        <v>9.4</v>
      </c>
      <c r="AH159" s="47"/>
      <c r="AI159" s="48"/>
      <c r="AK159" s="50"/>
    </row>
    <row r="160" spans="1:37" x14ac:dyDescent="0.25">
      <c r="A160" s="116" t="s">
        <v>147</v>
      </c>
      <c r="B160" s="126"/>
      <c r="C160" s="127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9">
        <v>8.8000000000000007</v>
      </c>
      <c r="AH160" s="47"/>
      <c r="AI160" s="48"/>
      <c r="AK160" s="50"/>
    </row>
    <row r="161" spans="1:37" x14ac:dyDescent="0.25">
      <c r="A161" s="116" t="s">
        <v>148</v>
      </c>
      <c r="B161" s="126"/>
      <c r="C161" s="127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9">
        <v>8.5</v>
      </c>
      <c r="AH161" s="47"/>
      <c r="AI161" s="48"/>
      <c r="AK161" s="50"/>
    </row>
    <row r="162" spans="1:37" x14ac:dyDescent="0.25">
      <c r="A162" s="116" t="s">
        <v>149</v>
      </c>
      <c r="B162" s="126"/>
      <c r="C162" s="127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9">
        <v>8.5</v>
      </c>
      <c r="AH162" s="47"/>
      <c r="AI162" s="48"/>
      <c r="AK162" s="50"/>
    </row>
    <row r="163" spans="1:37" x14ac:dyDescent="0.25">
      <c r="A163" s="116" t="s">
        <v>150</v>
      </c>
      <c r="B163" s="126"/>
      <c r="C163" s="127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9">
        <v>8.4</v>
      </c>
      <c r="AH163" s="47"/>
      <c r="AI163" s="48"/>
      <c r="AK163" s="50"/>
    </row>
    <row r="164" spans="1:37" ht="13.5" customHeight="1" x14ac:dyDescent="0.25">
      <c r="A164" s="116" t="s">
        <v>151</v>
      </c>
      <c r="B164" s="126"/>
      <c r="C164" s="127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9">
        <v>8</v>
      </c>
      <c r="AH164" s="47"/>
      <c r="AI164" s="48"/>
      <c r="AK164" s="50"/>
    </row>
    <row r="165" spans="1:37" x14ac:dyDescent="0.25">
      <c r="A165" s="116" t="s">
        <v>152</v>
      </c>
      <c r="B165" s="126"/>
      <c r="C165" s="127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9">
        <v>8</v>
      </c>
      <c r="AH165" s="47"/>
      <c r="AI165" s="48"/>
      <c r="AK165" s="50"/>
    </row>
    <row r="166" spans="1:37" x14ac:dyDescent="0.25">
      <c r="A166" s="116" t="s">
        <v>153</v>
      </c>
      <c r="B166" s="126"/>
      <c r="C166" s="127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9">
        <v>8</v>
      </c>
      <c r="AH166" s="47"/>
      <c r="AI166" s="48"/>
      <c r="AK166" s="50"/>
    </row>
    <row r="167" spans="1:37" x14ac:dyDescent="0.25">
      <c r="A167" s="116" t="s">
        <v>154</v>
      </c>
      <c r="B167" s="126"/>
      <c r="C167" s="127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9">
        <v>7.8</v>
      </c>
      <c r="AH167" s="47"/>
      <c r="AI167" s="48"/>
      <c r="AK167" s="50"/>
    </row>
    <row r="168" spans="1:37" x14ac:dyDescent="0.25">
      <c r="A168" s="116" t="s">
        <v>155</v>
      </c>
      <c r="B168" s="126"/>
      <c r="C168" s="127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9">
        <v>7.6</v>
      </c>
      <c r="AH168" s="47"/>
      <c r="AI168" s="48"/>
      <c r="AK168" s="50"/>
    </row>
    <row r="169" spans="1:37" x14ac:dyDescent="0.25">
      <c r="A169" s="116" t="s">
        <v>156</v>
      </c>
      <c r="B169" s="126"/>
      <c r="C169" s="127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9">
        <v>7.5</v>
      </c>
      <c r="AH169" s="47"/>
      <c r="AI169" s="48"/>
      <c r="AK169" s="50"/>
    </row>
    <row r="170" spans="1:37" x14ac:dyDescent="0.25">
      <c r="A170" s="116" t="s">
        <v>157</v>
      </c>
      <c r="B170" s="126"/>
      <c r="C170" s="127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9">
        <v>7.5</v>
      </c>
      <c r="AH170" s="47"/>
      <c r="AI170" s="48"/>
      <c r="AK170" s="50"/>
    </row>
    <row r="171" spans="1:37" x14ac:dyDescent="0.25">
      <c r="A171" s="116" t="s">
        <v>158</v>
      </c>
      <c r="B171" s="126"/>
      <c r="C171" s="127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9">
        <v>7</v>
      </c>
      <c r="AH171" s="47"/>
      <c r="AI171" s="48"/>
      <c r="AK171" s="50"/>
    </row>
    <row r="172" spans="1:37" x14ac:dyDescent="0.25">
      <c r="A172" s="116" t="s">
        <v>159</v>
      </c>
      <c r="B172" s="126"/>
      <c r="C172" s="127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9">
        <v>7</v>
      </c>
      <c r="AH172" s="47"/>
      <c r="AI172" s="48"/>
      <c r="AK172" s="50"/>
    </row>
    <row r="173" spans="1:37" x14ac:dyDescent="0.25">
      <c r="A173" s="116" t="s">
        <v>160</v>
      </c>
      <c r="B173" s="126"/>
      <c r="C173" s="127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9">
        <v>7</v>
      </c>
      <c r="AH173" s="47"/>
      <c r="AI173" s="48"/>
      <c r="AK173" s="50"/>
    </row>
    <row r="174" spans="1:37" x14ac:dyDescent="0.25">
      <c r="A174" s="116" t="s">
        <v>161</v>
      </c>
      <c r="B174" s="126"/>
      <c r="C174" s="127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9">
        <v>7</v>
      </c>
      <c r="AH174" s="47"/>
      <c r="AI174" s="48"/>
      <c r="AK174" s="50"/>
    </row>
    <row r="175" spans="1:37" x14ac:dyDescent="0.25">
      <c r="A175" s="116" t="s">
        <v>162</v>
      </c>
      <c r="B175" s="126"/>
      <c r="C175" s="127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9">
        <v>6.6</v>
      </c>
      <c r="AH175" s="47"/>
      <c r="AI175" s="48"/>
      <c r="AK175" s="50"/>
    </row>
    <row r="176" spans="1:37" x14ac:dyDescent="0.25">
      <c r="A176" s="116" t="s">
        <v>163</v>
      </c>
      <c r="B176" s="126"/>
      <c r="C176" s="127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9">
        <v>6.6</v>
      </c>
      <c r="AH176" s="47"/>
      <c r="AI176" s="48"/>
      <c r="AK176" s="50"/>
    </row>
    <row r="177" spans="1:37" x14ac:dyDescent="0.25">
      <c r="A177" s="116" t="s">
        <v>164</v>
      </c>
      <c r="B177" s="126"/>
      <c r="C177" s="127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9">
        <v>6.4</v>
      </c>
      <c r="AH177" s="47"/>
      <c r="AI177" s="48"/>
      <c r="AK177" s="50"/>
    </row>
    <row r="178" spans="1:37" x14ac:dyDescent="0.25">
      <c r="A178" s="116" t="s">
        <v>165</v>
      </c>
      <c r="B178" s="126"/>
      <c r="C178" s="127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9">
        <v>6</v>
      </c>
      <c r="AH178" s="47"/>
      <c r="AI178" s="48"/>
      <c r="AK178" s="50"/>
    </row>
    <row r="179" spans="1:37" x14ac:dyDescent="0.25">
      <c r="A179" s="116" t="s">
        <v>166</v>
      </c>
      <c r="B179" s="126"/>
      <c r="C179" s="127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9">
        <v>5.0999999999999996</v>
      </c>
      <c r="AH179" s="47"/>
      <c r="AI179" s="48"/>
      <c r="AK179" s="50"/>
    </row>
    <row r="180" spans="1:37" x14ac:dyDescent="0.25">
      <c r="A180" s="116" t="s">
        <v>167</v>
      </c>
      <c r="B180" s="126"/>
      <c r="C180" s="127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9">
        <v>5</v>
      </c>
      <c r="AH180" s="47"/>
      <c r="AI180" s="48"/>
      <c r="AK180" s="50"/>
    </row>
    <row r="181" spans="1:37" x14ac:dyDescent="0.25">
      <c r="A181" s="103" t="s">
        <v>168</v>
      </c>
      <c r="B181" s="126"/>
      <c r="C181" s="127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8">
        <v>5</v>
      </c>
      <c r="AH181" s="47"/>
      <c r="AI181" s="48"/>
      <c r="AK181" s="50"/>
    </row>
    <row r="182" spans="1:37" x14ac:dyDescent="0.25">
      <c r="A182" s="116" t="s">
        <v>169</v>
      </c>
      <c r="B182" s="126"/>
      <c r="C182" s="127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9">
        <v>5</v>
      </c>
      <c r="AH182" s="47"/>
      <c r="AI182" s="48"/>
      <c r="AK182" s="50"/>
    </row>
    <row r="183" spans="1:37" x14ac:dyDescent="0.25">
      <c r="A183" s="116" t="s">
        <v>170</v>
      </c>
      <c r="B183" s="126"/>
      <c r="C183" s="127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9">
        <v>5</v>
      </c>
      <c r="AH183" s="47"/>
      <c r="AI183" s="48"/>
      <c r="AK183" s="50"/>
    </row>
    <row r="184" spans="1:37" x14ac:dyDescent="0.25">
      <c r="A184" s="116" t="s">
        <v>171</v>
      </c>
      <c r="B184" s="126"/>
      <c r="C184" s="127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9">
        <v>5</v>
      </c>
      <c r="AH184" s="47"/>
      <c r="AI184" s="48"/>
      <c r="AK184" s="50"/>
    </row>
    <row r="185" spans="1:37" x14ac:dyDescent="0.25">
      <c r="A185" s="116" t="s">
        <v>172</v>
      </c>
      <c r="B185" s="126"/>
      <c r="C185" s="127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9">
        <v>5</v>
      </c>
      <c r="AH185" s="47"/>
      <c r="AI185" s="48"/>
      <c r="AK185" s="50"/>
    </row>
    <row r="186" spans="1:37" x14ac:dyDescent="0.25">
      <c r="A186" s="116" t="s">
        <v>173</v>
      </c>
      <c r="B186" s="126"/>
      <c r="C186" s="127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9">
        <v>5</v>
      </c>
      <c r="AH186" s="47"/>
      <c r="AI186" s="48"/>
      <c r="AK186" s="50"/>
    </row>
    <row r="187" spans="1:37" x14ac:dyDescent="0.25">
      <c r="A187" s="116" t="s">
        <v>174</v>
      </c>
      <c r="B187" s="126"/>
      <c r="C187" s="127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9">
        <v>4.9930000000000003</v>
      </c>
      <c r="AH187" s="47"/>
      <c r="AI187" s="48"/>
      <c r="AK187" s="50"/>
    </row>
    <row r="188" spans="1:37" x14ac:dyDescent="0.25">
      <c r="A188" s="116" t="s">
        <v>175</v>
      </c>
      <c r="B188" s="126"/>
      <c r="C188" s="127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9">
        <v>4.9800000000000004</v>
      </c>
      <c r="AH188" s="47"/>
      <c r="AI188" s="48"/>
      <c r="AK188" s="50"/>
    </row>
    <row r="189" spans="1:37" x14ac:dyDescent="0.25">
      <c r="A189" s="116" t="s">
        <v>176</v>
      </c>
      <c r="B189" s="126"/>
      <c r="C189" s="127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9">
        <v>4.95</v>
      </c>
      <c r="AH189" s="47"/>
      <c r="AI189" s="48"/>
      <c r="AK189" s="50"/>
    </row>
    <row r="190" spans="1:37" x14ac:dyDescent="0.25">
      <c r="A190" s="116" t="s">
        <v>177</v>
      </c>
      <c r="B190" s="126"/>
      <c r="C190" s="127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9">
        <v>4.95</v>
      </c>
      <c r="AH190" s="47"/>
      <c r="AI190" s="48"/>
      <c r="AK190" s="50"/>
    </row>
    <row r="191" spans="1:37" x14ac:dyDescent="0.25">
      <c r="A191" s="116" t="s">
        <v>178</v>
      </c>
      <c r="B191" s="126"/>
      <c r="C191" s="127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9">
        <v>4.8</v>
      </c>
      <c r="AH191" s="47"/>
      <c r="AI191" s="48"/>
      <c r="AK191" s="50"/>
    </row>
    <row r="192" spans="1:37" x14ac:dyDescent="0.25">
      <c r="A192" s="116" t="s">
        <v>179</v>
      </c>
      <c r="B192" s="126"/>
      <c r="C192" s="127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9">
        <v>4.8</v>
      </c>
      <c r="AH192" s="47"/>
      <c r="AI192" s="48"/>
      <c r="AK192" s="50"/>
    </row>
    <row r="193" spans="1:37" x14ac:dyDescent="0.25">
      <c r="A193" s="116" t="s">
        <v>180</v>
      </c>
      <c r="B193" s="126"/>
      <c r="C193" s="127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9">
        <v>4.8</v>
      </c>
      <c r="AH193" s="47"/>
      <c r="AI193" s="48"/>
      <c r="AK193" s="50"/>
    </row>
    <row r="194" spans="1:37" x14ac:dyDescent="0.25">
      <c r="A194" s="116" t="s">
        <v>181</v>
      </c>
      <c r="B194" s="126"/>
      <c r="C194" s="127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9">
        <v>4.5</v>
      </c>
      <c r="AH194" s="47"/>
      <c r="AI194" s="48"/>
      <c r="AK194" s="50"/>
    </row>
    <row r="195" spans="1:37" x14ac:dyDescent="0.25">
      <c r="A195" s="116" t="s">
        <v>182</v>
      </c>
      <c r="B195" s="126"/>
      <c r="C195" s="127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9">
        <v>4.5</v>
      </c>
      <c r="AH195" s="47"/>
      <c r="AI195" s="48"/>
      <c r="AK195" s="50"/>
    </row>
    <row r="196" spans="1:37" x14ac:dyDescent="0.25">
      <c r="A196" s="116" t="s">
        <v>183</v>
      </c>
      <c r="B196" s="126"/>
      <c r="C196" s="127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9">
        <v>4.4550000000000001</v>
      </c>
      <c r="AH196" s="47"/>
      <c r="AI196" s="48"/>
      <c r="AK196" s="50"/>
    </row>
    <row r="197" spans="1:37" x14ac:dyDescent="0.25">
      <c r="A197" s="116" t="s">
        <v>184</v>
      </c>
      <c r="B197" s="126"/>
      <c r="C197" s="127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9">
        <v>4.41</v>
      </c>
      <c r="AH197" s="47"/>
      <c r="AI197" s="48"/>
      <c r="AK197" s="50"/>
    </row>
    <row r="198" spans="1:37" x14ac:dyDescent="0.25">
      <c r="A198" s="116" t="s">
        <v>185</v>
      </c>
      <c r="B198" s="126"/>
      <c r="C198" s="127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9">
        <v>4.4000000000000004</v>
      </c>
      <c r="AH198" s="47"/>
      <c r="AI198" s="48"/>
      <c r="AK198" s="50"/>
    </row>
    <row r="199" spans="1:37" x14ac:dyDescent="0.25">
      <c r="A199" s="116" t="s">
        <v>186</v>
      </c>
      <c r="B199" s="126"/>
      <c r="C199" s="127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9">
        <v>4.3600000000000003</v>
      </c>
      <c r="AH199" s="47"/>
      <c r="AI199" s="48"/>
      <c r="AK199" s="50"/>
    </row>
    <row r="200" spans="1:37" x14ac:dyDescent="0.25">
      <c r="A200" s="116" t="s">
        <v>187</v>
      </c>
      <c r="B200" s="126"/>
      <c r="C200" s="127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9">
        <v>4.2</v>
      </c>
      <c r="AH200" s="47"/>
      <c r="AI200" s="48"/>
      <c r="AK200" s="50"/>
    </row>
    <row r="201" spans="1:37" x14ac:dyDescent="0.25">
      <c r="A201" s="116" t="s">
        <v>188</v>
      </c>
      <c r="B201" s="126"/>
      <c r="C201" s="127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9">
        <v>4</v>
      </c>
      <c r="AH201" s="47"/>
      <c r="AI201" s="48"/>
      <c r="AK201" s="50"/>
    </row>
    <row r="202" spans="1:37" x14ac:dyDescent="0.25">
      <c r="A202" s="116" t="s">
        <v>189</v>
      </c>
      <c r="B202" s="126"/>
      <c r="C202" s="127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9">
        <v>4</v>
      </c>
      <c r="AH202" s="47"/>
      <c r="AI202" s="48"/>
      <c r="AK202" s="50"/>
    </row>
    <row r="203" spans="1:37" x14ac:dyDescent="0.25">
      <c r="A203" s="116" t="s">
        <v>190</v>
      </c>
      <c r="B203" s="126"/>
      <c r="C203" s="127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9">
        <v>4</v>
      </c>
      <c r="AH203" s="47"/>
      <c r="AI203" s="48"/>
      <c r="AK203" s="50"/>
    </row>
    <row r="204" spans="1:37" x14ac:dyDescent="0.25">
      <c r="A204" s="116" t="s">
        <v>191</v>
      </c>
      <c r="B204" s="126"/>
      <c r="C204" s="127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9">
        <v>4</v>
      </c>
      <c r="AH204" s="47"/>
      <c r="AI204" s="48"/>
      <c r="AK204" s="50"/>
    </row>
    <row r="205" spans="1:37" x14ac:dyDescent="0.25">
      <c r="A205" s="116" t="s">
        <v>192</v>
      </c>
      <c r="B205" s="126"/>
      <c r="C205" s="127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9">
        <v>4</v>
      </c>
      <c r="AH205" s="47"/>
      <c r="AI205" s="48"/>
      <c r="AK205" s="50"/>
    </row>
    <row r="206" spans="1:37" x14ac:dyDescent="0.25">
      <c r="A206" s="116" t="s">
        <v>193</v>
      </c>
      <c r="B206" s="126"/>
      <c r="C206" s="127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9">
        <v>4</v>
      </c>
      <c r="AH206" s="47"/>
      <c r="AI206" s="48"/>
      <c r="AK206" s="50"/>
    </row>
    <row r="207" spans="1:37" x14ac:dyDescent="0.25">
      <c r="A207" s="116" t="s">
        <v>194</v>
      </c>
      <c r="B207" s="126"/>
      <c r="C207" s="127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9">
        <v>4</v>
      </c>
      <c r="AH207" s="47"/>
      <c r="AI207" s="48"/>
      <c r="AK207" s="50"/>
    </row>
    <row r="208" spans="1:37" x14ac:dyDescent="0.25">
      <c r="A208" s="116" t="s">
        <v>195</v>
      </c>
      <c r="B208" s="126"/>
      <c r="C208" s="127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9">
        <v>4</v>
      </c>
      <c r="AH208" s="47"/>
      <c r="AI208" s="48"/>
      <c r="AK208" s="50"/>
    </row>
    <row r="209" spans="1:37" x14ac:dyDescent="0.25">
      <c r="A209" s="116" t="s">
        <v>196</v>
      </c>
      <c r="B209" s="126"/>
      <c r="C209" s="127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9">
        <v>3.75</v>
      </c>
      <c r="AH209" s="47"/>
      <c r="AI209" s="48"/>
      <c r="AK209" s="50"/>
    </row>
    <row r="210" spans="1:37" x14ac:dyDescent="0.25">
      <c r="A210" s="116" t="s">
        <v>197</v>
      </c>
      <c r="B210" s="126"/>
      <c r="C210" s="127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9">
        <v>3.52</v>
      </c>
      <c r="AH210" s="47"/>
      <c r="AI210" s="48"/>
      <c r="AK210" s="50"/>
    </row>
    <row r="211" spans="1:37" x14ac:dyDescent="0.25">
      <c r="A211" s="116" t="s">
        <v>198</v>
      </c>
      <c r="B211" s="126"/>
      <c r="C211" s="127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9">
        <v>3.33</v>
      </c>
      <c r="AH211" s="47"/>
      <c r="AI211" s="48"/>
      <c r="AK211" s="50"/>
    </row>
    <row r="212" spans="1:37" x14ac:dyDescent="0.25">
      <c r="A212" s="116" t="s">
        <v>199</v>
      </c>
      <c r="B212" s="126"/>
      <c r="C212" s="127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9">
        <v>3.2</v>
      </c>
      <c r="AH212" s="47"/>
      <c r="AI212" s="48"/>
      <c r="AK212" s="50"/>
    </row>
    <row r="213" spans="1:37" x14ac:dyDescent="0.25">
      <c r="A213" s="116" t="s">
        <v>200</v>
      </c>
      <c r="B213" s="126"/>
      <c r="C213" s="127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9">
        <v>3</v>
      </c>
      <c r="AH213" s="47"/>
      <c r="AI213" s="48"/>
      <c r="AK213" s="50"/>
    </row>
    <row r="214" spans="1:37" x14ac:dyDescent="0.25">
      <c r="A214" s="116" t="s">
        <v>201</v>
      </c>
      <c r="B214" s="126"/>
      <c r="C214" s="127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9">
        <v>3</v>
      </c>
      <c r="AH214" s="47"/>
      <c r="AI214" s="48"/>
      <c r="AK214" s="50"/>
    </row>
    <row r="215" spans="1:37" x14ac:dyDescent="0.25">
      <c r="A215" s="116" t="s">
        <v>202</v>
      </c>
      <c r="B215" s="126"/>
      <c r="C215" s="127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9">
        <v>3</v>
      </c>
      <c r="AH215" s="47"/>
      <c r="AI215" s="48"/>
      <c r="AK215" s="50"/>
    </row>
    <row r="216" spans="1:37" x14ac:dyDescent="0.25">
      <c r="A216" s="116" t="s">
        <v>203</v>
      </c>
      <c r="B216" s="126"/>
      <c r="C216" s="127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9">
        <v>3</v>
      </c>
      <c r="AH216" s="47"/>
      <c r="AI216" s="48"/>
      <c r="AK216" s="50"/>
    </row>
    <row r="217" spans="1:37" x14ac:dyDescent="0.25">
      <c r="A217" s="116" t="s">
        <v>204</v>
      </c>
      <c r="B217" s="126"/>
      <c r="C217" s="127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9">
        <v>3</v>
      </c>
      <c r="AH217" s="47"/>
      <c r="AI217" s="48"/>
      <c r="AK217" s="50"/>
    </row>
    <row r="218" spans="1:37" x14ac:dyDescent="0.25">
      <c r="A218" s="116" t="s">
        <v>205</v>
      </c>
      <c r="B218" s="126"/>
      <c r="C218" s="127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9">
        <v>3</v>
      </c>
      <c r="AH218" s="47"/>
      <c r="AI218" s="48"/>
      <c r="AK218" s="50"/>
    </row>
    <row r="219" spans="1:37" x14ac:dyDescent="0.25">
      <c r="A219" s="116" t="s">
        <v>206</v>
      </c>
      <c r="B219" s="126"/>
      <c r="C219" s="127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9">
        <v>3</v>
      </c>
      <c r="AH219" s="47"/>
      <c r="AI219" s="48"/>
      <c r="AK219" s="50"/>
    </row>
    <row r="220" spans="1:37" x14ac:dyDescent="0.25">
      <c r="A220" s="116" t="s">
        <v>207</v>
      </c>
      <c r="B220" s="126"/>
      <c r="C220" s="127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9">
        <v>3</v>
      </c>
      <c r="AH220" s="47"/>
      <c r="AI220" s="48"/>
      <c r="AK220" s="50"/>
    </row>
    <row r="221" spans="1:37" x14ac:dyDescent="0.25">
      <c r="A221" s="116" t="s">
        <v>208</v>
      </c>
      <c r="B221" s="126"/>
      <c r="C221" s="127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9">
        <v>2.83</v>
      </c>
      <c r="AH221" s="47"/>
      <c r="AI221" s="48"/>
      <c r="AK221" s="50"/>
    </row>
    <row r="222" spans="1:37" x14ac:dyDescent="0.25">
      <c r="A222" s="116" t="s">
        <v>209</v>
      </c>
      <c r="B222" s="126"/>
      <c r="C222" s="127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9">
        <v>2.5</v>
      </c>
      <c r="AH222" s="47"/>
      <c r="AI222" s="48"/>
      <c r="AK222" s="50"/>
    </row>
    <row r="223" spans="1:37" x14ac:dyDescent="0.25">
      <c r="A223" s="116" t="s">
        <v>210</v>
      </c>
      <c r="B223" s="126"/>
      <c r="C223" s="127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9">
        <v>2.5</v>
      </c>
      <c r="AH223" s="47"/>
      <c r="AI223" s="48"/>
      <c r="AK223" s="50"/>
    </row>
    <row r="224" spans="1:37" x14ac:dyDescent="0.25">
      <c r="A224" s="116" t="s">
        <v>211</v>
      </c>
      <c r="B224" s="126"/>
      <c r="C224" s="127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9">
        <v>2.4</v>
      </c>
      <c r="AH224" s="47"/>
      <c r="AI224" s="48"/>
      <c r="AK224" s="50"/>
    </row>
    <row r="225" spans="1:37" x14ac:dyDescent="0.25">
      <c r="A225" s="116" t="s">
        <v>212</v>
      </c>
      <c r="B225" s="126"/>
      <c r="C225" s="127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9">
        <v>2.4</v>
      </c>
      <c r="AH225" s="47"/>
      <c r="AI225" s="48"/>
      <c r="AK225" s="50"/>
    </row>
    <row r="226" spans="1:37" x14ac:dyDescent="0.25">
      <c r="A226" s="116" t="s">
        <v>213</v>
      </c>
      <c r="B226" s="126"/>
      <c r="C226" s="127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9">
        <v>2.2000000000000002</v>
      </c>
      <c r="AH226" s="47"/>
      <c r="AI226" s="48"/>
      <c r="AK226" s="50"/>
    </row>
    <row r="227" spans="1:37" x14ac:dyDescent="0.25">
      <c r="A227" s="116" t="s">
        <v>214</v>
      </c>
      <c r="B227" s="126"/>
      <c r="C227" s="127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9">
        <v>2</v>
      </c>
      <c r="AH227" s="47"/>
      <c r="AI227" s="48"/>
      <c r="AK227" s="50"/>
    </row>
    <row r="228" spans="1:37" x14ac:dyDescent="0.25">
      <c r="A228" s="116" t="s">
        <v>215</v>
      </c>
      <c r="B228" s="126"/>
      <c r="C228" s="127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9">
        <v>2</v>
      </c>
      <c r="AH228" s="47"/>
      <c r="AI228" s="48"/>
      <c r="AK228" s="50"/>
    </row>
    <row r="229" spans="1:37" x14ac:dyDescent="0.25">
      <c r="A229" s="116" t="s">
        <v>216</v>
      </c>
      <c r="B229" s="126"/>
      <c r="C229" s="127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9">
        <v>2</v>
      </c>
      <c r="AH229" s="47"/>
      <c r="AI229" s="48"/>
      <c r="AK229" s="50"/>
    </row>
    <row r="230" spans="1:37" x14ac:dyDescent="0.25">
      <c r="A230" s="116" t="s">
        <v>217</v>
      </c>
      <c r="B230" s="126"/>
      <c r="C230" s="127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9">
        <v>1.8</v>
      </c>
      <c r="AH230" s="47"/>
      <c r="AI230" s="48"/>
      <c r="AK230" s="50"/>
    </row>
    <row r="231" spans="1:37" x14ac:dyDescent="0.25">
      <c r="A231" s="116" t="s">
        <v>218</v>
      </c>
      <c r="B231" s="126"/>
      <c r="C231" s="127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9">
        <v>1.8</v>
      </c>
      <c r="AH231" s="47"/>
      <c r="AI231" s="48"/>
      <c r="AK231" s="50"/>
    </row>
    <row r="232" spans="1:37" x14ac:dyDescent="0.25">
      <c r="A232" s="116" t="s">
        <v>219</v>
      </c>
      <c r="B232" s="126"/>
      <c r="C232" s="127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9">
        <v>1.65</v>
      </c>
      <c r="AH232" s="47"/>
      <c r="AI232" s="48"/>
      <c r="AK232" s="50"/>
    </row>
    <row r="233" spans="1:37" x14ac:dyDescent="0.25">
      <c r="A233" s="116" t="s">
        <v>220</v>
      </c>
      <c r="B233" s="126"/>
      <c r="C233" s="127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9">
        <v>1.5</v>
      </c>
      <c r="AH233" s="47"/>
      <c r="AI233" s="48"/>
      <c r="AK233" s="50"/>
    </row>
    <row r="234" spans="1:37" x14ac:dyDescent="0.25">
      <c r="A234" s="116" t="s">
        <v>221</v>
      </c>
      <c r="B234" s="126"/>
      <c r="C234" s="127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9">
        <v>0.998</v>
      </c>
      <c r="AH234" s="47"/>
      <c r="AI234" s="48"/>
      <c r="AK234" s="50"/>
    </row>
    <row r="235" spans="1:37" x14ac:dyDescent="0.25">
      <c r="A235" s="116" t="s">
        <v>222</v>
      </c>
      <c r="B235" s="126"/>
      <c r="C235" s="127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9">
        <v>0.997</v>
      </c>
      <c r="AH235" s="47"/>
      <c r="AI235" s="48"/>
      <c r="AK235" s="50"/>
    </row>
    <row r="236" spans="1:37" x14ac:dyDescent="0.25">
      <c r="A236" s="116" t="s">
        <v>223</v>
      </c>
      <c r="B236" s="126"/>
      <c r="C236" s="127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9">
        <v>0.997</v>
      </c>
      <c r="AH236" s="47"/>
      <c r="AI236" s="48"/>
      <c r="AK236" s="50"/>
    </row>
    <row r="237" spans="1:37" x14ac:dyDescent="0.25">
      <c r="A237" s="116" t="s">
        <v>224</v>
      </c>
      <c r="B237" s="126"/>
      <c r="C237" s="127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9">
        <v>0.996</v>
      </c>
      <c r="AH237" s="47"/>
      <c r="AI237" s="48"/>
      <c r="AK237" s="50"/>
    </row>
    <row r="238" spans="1:37" x14ac:dyDescent="0.25">
      <c r="A238" s="116" t="s">
        <v>225</v>
      </c>
      <c r="B238" s="126"/>
      <c r="C238" s="127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9">
        <v>0.996</v>
      </c>
      <c r="AH238" s="47"/>
      <c r="AI238" s="48"/>
      <c r="AK238" s="50"/>
    </row>
    <row r="239" spans="1:37" x14ac:dyDescent="0.25">
      <c r="A239" s="116" t="s">
        <v>226</v>
      </c>
      <c r="B239" s="126"/>
      <c r="C239" s="127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9">
        <v>0.996</v>
      </c>
      <c r="AH239" s="47"/>
      <c r="AI239" s="48"/>
      <c r="AK239" s="50"/>
    </row>
    <row r="240" spans="1:37" x14ac:dyDescent="0.25">
      <c r="A240" s="116" t="s">
        <v>227</v>
      </c>
      <c r="B240" s="126"/>
      <c r="C240" s="127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9">
        <v>0.995</v>
      </c>
      <c r="AH240" s="47"/>
      <c r="AI240" s="48"/>
      <c r="AK240" s="50"/>
    </row>
    <row r="241" spans="1:37" x14ac:dyDescent="0.25">
      <c r="A241" s="116" t="s">
        <v>228</v>
      </c>
      <c r="B241" s="126"/>
      <c r="C241" s="127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9">
        <v>0.99299999999999999</v>
      </c>
      <c r="AH241" s="47"/>
      <c r="AI241" s="48"/>
      <c r="AK241" s="50"/>
    </row>
    <row r="242" spans="1:37" x14ac:dyDescent="0.25">
      <c r="A242" s="116" t="s">
        <v>229</v>
      </c>
      <c r="B242" s="126"/>
      <c r="C242" s="124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9">
        <v>0.99</v>
      </c>
      <c r="AH242" s="47"/>
      <c r="AI242" s="48"/>
      <c r="AK242" s="50"/>
    </row>
    <row r="243" spans="1:37" ht="15.75" thickBot="1" x14ac:dyDescent="0.3">
      <c r="A243" s="116" t="s">
        <v>230</v>
      </c>
      <c r="B243" s="130"/>
      <c r="C243" s="131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29">
        <v>0.97899999999999998</v>
      </c>
      <c r="AH243" s="47"/>
      <c r="AI243" s="48"/>
      <c r="AK243" s="50"/>
    </row>
    <row r="244" spans="1:37" ht="15.75" thickBot="1" x14ac:dyDescent="0.3">
      <c r="A244" s="132" t="s">
        <v>231</v>
      </c>
      <c r="B244" s="133">
        <f t="shared" ref="B244:AG244" si="109">SUM(B139:B243)</f>
        <v>0</v>
      </c>
      <c r="C244" s="134">
        <f t="shared" si="109"/>
        <v>0</v>
      </c>
      <c r="D244" s="134">
        <f t="shared" si="109"/>
        <v>0</v>
      </c>
      <c r="E244" s="134">
        <f t="shared" si="109"/>
        <v>0</v>
      </c>
      <c r="F244" s="134">
        <f t="shared" si="109"/>
        <v>0</v>
      </c>
      <c r="G244" s="134">
        <f t="shared" si="109"/>
        <v>0</v>
      </c>
      <c r="H244" s="134">
        <f t="shared" si="109"/>
        <v>0</v>
      </c>
      <c r="I244" s="134">
        <f t="shared" si="109"/>
        <v>0</v>
      </c>
      <c r="J244" s="134">
        <f t="shared" si="109"/>
        <v>0</v>
      </c>
      <c r="K244" s="134">
        <f t="shared" si="109"/>
        <v>0</v>
      </c>
      <c r="L244" s="134">
        <f t="shared" si="109"/>
        <v>0</v>
      </c>
      <c r="M244" s="134">
        <f t="shared" si="109"/>
        <v>0</v>
      </c>
      <c r="N244" s="134">
        <f t="shared" si="109"/>
        <v>0</v>
      </c>
      <c r="O244" s="134">
        <f t="shared" si="109"/>
        <v>0</v>
      </c>
      <c r="P244" s="134">
        <f t="shared" si="109"/>
        <v>0</v>
      </c>
      <c r="Q244" s="134">
        <f t="shared" si="109"/>
        <v>0</v>
      </c>
      <c r="R244" s="134">
        <f t="shared" si="109"/>
        <v>0</v>
      </c>
      <c r="S244" s="134">
        <f t="shared" si="109"/>
        <v>0</v>
      </c>
      <c r="T244" s="134">
        <f t="shared" si="109"/>
        <v>0</v>
      </c>
      <c r="U244" s="134">
        <f t="shared" si="109"/>
        <v>0</v>
      </c>
      <c r="V244" s="134">
        <f t="shared" si="109"/>
        <v>0</v>
      </c>
      <c r="W244" s="134">
        <f t="shared" si="109"/>
        <v>0</v>
      </c>
      <c r="X244" s="134">
        <f t="shared" si="109"/>
        <v>0</v>
      </c>
      <c r="Y244" s="134">
        <f t="shared" si="109"/>
        <v>0</v>
      </c>
      <c r="Z244" s="134">
        <f t="shared" si="109"/>
        <v>0</v>
      </c>
      <c r="AA244" s="134">
        <f t="shared" si="109"/>
        <v>0</v>
      </c>
      <c r="AB244" s="134">
        <f t="shared" si="109"/>
        <v>0</v>
      </c>
      <c r="AC244" s="134">
        <f t="shared" si="109"/>
        <v>0</v>
      </c>
      <c r="AD244" s="134">
        <f t="shared" si="109"/>
        <v>0</v>
      </c>
      <c r="AE244" s="134">
        <f t="shared" si="109"/>
        <v>0</v>
      </c>
      <c r="AF244" s="135">
        <f t="shared" si="109"/>
        <v>0</v>
      </c>
      <c r="AG244" s="136">
        <f t="shared" si="109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19"/>
      <c r="AH245" s="47"/>
      <c r="AI245" s="48"/>
      <c r="AK245" s="50"/>
    </row>
    <row r="246" spans="1:37" x14ac:dyDescent="0.25">
      <c r="A246" s="100" t="s">
        <v>232</v>
      </c>
      <c r="B246" s="138">
        <f t="shared" ref="B246:B251" si="110">AF246</f>
        <v>0.3</v>
      </c>
      <c r="C246" s="138">
        <v>0.3</v>
      </c>
      <c r="D246" s="138">
        <f t="shared" ref="D246:S251" si="111">C246</f>
        <v>0.3</v>
      </c>
      <c r="E246" s="138">
        <f t="shared" si="111"/>
        <v>0.3</v>
      </c>
      <c r="F246" s="138">
        <f t="shared" si="111"/>
        <v>0.3</v>
      </c>
      <c r="G246" s="138">
        <f t="shared" si="111"/>
        <v>0.3</v>
      </c>
      <c r="H246" s="138">
        <f t="shared" si="111"/>
        <v>0.3</v>
      </c>
      <c r="I246" s="138">
        <f t="shared" si="111"/>
        <v>0.3</v>
      </c>
      <c r="J246" s="138">
        <f t="shared" si="111"/>
        <v>0.3</v>
      </c>
      <c r="K246" s="138">
        <f t="shared" si="111"/>
        <v>0.3</v>
      </c>
      <c r="L246" s="138">
        <f t="shared" si="111"/>
        <v>0.3</v>
      </c>
      <c r="M246" s="138">
        <f t="shared" si="111"/>
        <v>0.3</v>
      </c>
      <c r="N246" s="138">
        <f t="shared" si="111"/>
        <v>0.3</v>
      </c>
      <c r="O246" s="138">
        <f t="shared" si="111"/>
        <v>0.3</v>
      </c>
      <c r="P246" s="138">
        <f t="shared" si="111"/>
        <v>0.3</v>
      </c>
      <c r="Q246" s="138">
        <f t="shared" si="111"/>
        <v>0.3</v>
      </c>
      <c r="R246" s="138">
        <f t="shared" si="111"/>
        <v>0.3</v>
      </c>
      <c r="S246" s="138">
        <f t="shared" si="111"/>
        <v>0.3</v>
      </c>
      <c r="T246" s="138">
        <f t="shared" ref="T246:AF251" si="112">S246</f>
        <v>0.3</v>
      </c>
      <c r="U246" s="138">
        <f t="shared" si="112"/>
        <v>0.3</v>
      </c>
      <c r="V246" s="138">
        <f t="shared" si="112"/>
        <v>0.3</v>
      </c>
      <c r="W246" s="138">
        <f t="shared" si="112"/>
        <v>0.3</v>
      </c>
      <c r="X246" s="138">
        <f t="shared" si="112"/>
        <v>0.3</v>
      </c>
      <c r="Y246" s="138">
        <f t="shared" si="112"/>
        <v>0.3</v>
      </c>
      <c r="Z246" s="138">
        <f t="shared" si="112"/>
        <v>0.3</v>
      </c>
      <c r="AA246" s="138">
        <f t="shared" si="112"/>
        <v>0.3</v>
      </c>
      <c r="AB246" s="138">
        <f t="shared" si="112"/>
        <v>0.3</v>
      </c>
      <c r="AC246" s="138">
        <f t="shared" si="112"/>
        <v>0.3</v>
      </c>
      <c r="AD246" s="138">
        <f t="shared" si="112"/>
        <v>0.3</v>
      </c>
      <c r="AE246" s="138">
        <f t="shared" si="112"/>
        <v>0.3</v>
      </c>
      <c r="AF246" s="138">
        <f t="shared" si="112"/>
        <v>0.3</v>
      </c>
      <c r="AG246" s="139">
        <v>2.4</v>
      </c>
      <c r="AH246" s="47"/>
      <c r="AI246" s="48"/>
      <c r="AK246" s="50"/>
    </row>
    <row r="247" spans="1:37" x14ac:dyDescent="0.25">
      <c r="A247" s="103" t="s">
        <v>233</v>
      </c>
      <c r="B247" s="126">
        <f t="shared" si="110"/>
        <v>0.4</v>
      </c>
      <c r="C247" s="126">
        <v>0.4</v>
      </c>
      <c r="D247" s="126">
        <f t="shared" si="111"/>
        <v>0.4</v>
      </c>
      <c r="E247" s="126">
        <f t="shared" si="111"/>
        <v>0.4</v>
      </c>
      <c r="F247" s="126">
        <f t="shared" si="111"/>
        <v>0.4</v>
      </c>
      <c r="G247" s="126">
        <f t="shared" si="111"/>
        <v>0.4</v>
      </c>
      <c r="H247" s="126">
        <f t="shared" si="111"/>
        <v>0.4</v>
      </c>
      <c r="I247" s="126">
        <f t="shared" si="111"/>
        <v>0.4</v>
      </c>
      <c r="J247" s="126">
        <f t="shared" si="111"/>
        <v>0.4</v>
      </c>
      <c r="K247" s="126">
        <f t="shared" si="111"/>
        <v>0.4</v>
      </c>
      <c r="L247" s="126">
        <f t="shared" si="111"/>
        <v>0.4</v>
      </c>
      <c r="M247" s="126">
        <f t="shared" si="111"/>
        <v>0.4</v>
      </c>
      <c r="N247" s="126">
        <f t="shared" si="111"/>
        <v>0.4</v>
      </c>
      <c r="O247" s="126">
        <f t="shared" si="111"/>
        <v>0.4</v>
      </c>
      <c r="P247" s="126">
        <f t="shared" si="111"/>
        <v>0.4</v>
      </c>
      <c r="Q247" s="126">
        <f t="shared" si="111"/>
        <v>0.4</v>
      </c>
      <c r="R247" s="126">
        <f t="shared" si="111"/>
        <v>0.4</v>
      </c>
      <c r="S247" s="126">
        <f t="shared" si="111"/>
        <v>0.4</v>
      </c>
      <c r="T247" s="126">
        <f t="shared" si="112"/>
        <v>0.4</v>
      </c>
      <c r="U247" s="126">
        <f t="shared" si="112"/>
        <v>0.4</v>
      </c>
      <c r="V247" s="126">
        <f t="shared" si="112"/>
        <v>0.4</v>
      </c>
      <c r="W247" s="126">
        <f t="shared" si="112"/>
        <v>0.4</v>
      </c>
      <c r="X247" s="126">
        <f t="shared" si="112"/>
        <v>0.4</v>
      </c>
      <c r="Y247" s="126">
        <f t="shared" si="112"/>
        <v>0.4</v>
      </c>
      <c r="Z247" s="126">
        <f t="shared" si="112"/>
        <v>0.4</v>
      </c>
      <c r="AA247" s="126">
        <f t="shared" si="112"/>
        <v>0.4</v>
      </c>
      <c r="AB247" s="126">
        <f t="shared" si="112"/>
        <v>0.4</v>
      </c>
      <c r="AC247" s="126">
        <f t="shared" si="112"/>
        <v>0.4</v>
      </c>
      <c r="AD247" s="126">
        <f t="shared" si="112"/>
        <v>0.4</v>
      </c>
      <c r="AE247" s="126">
        <f t="shared" si="112"/>
        <v>0.4</v>
      </c>
      <c r="AF247" s="126">
        <f t="shared" si="112"/>
        <v>0.4</v>
      </c>
      <c r="AG247" s="140">
        <v>2</v>
      </c>
      <c r="AH247" s="47"/>
      <c r="AI247" s="48"/>
      <c r="AK247" s="50"/>
    </row>
    <row r="248" spans="1:37" x14ac:dyDescent="0.25">
      <c r="A248" s="103" t="s">
        <v>234</v>
      </c>
      <c r="B248" s="126">
        <f t="shared" si="110"/>
        <v>1.5</v>
      </c>
      <c r="C248" s="126">
        <v>1.5</v>
      </c>
      <c r="D248" s="126">
        <f t="shared" si="111"/>
        <v>1.5</v>
      </c>
      <c r="E248" s="126">
        <f t="shared" si="111"/>
        <v>1.5</v>
      </c>
      <c r="F248" s="126">
        <f t="shared" si="111"/>
        <v>1.5</v>
      </c>
      <c r="G248" s="126">
        <f t="shared" si="111"/>
        <v>1.5</v>
      </c>
      <c r="H248" s="126">
        <f t="shared" si="111"/>
        <v>1.5</v>
      </c>
      <c r="I248" s="126">
        <f t="shared" si="111"/>
        <v>1.5</v>
      </c>
      <c r="J248" s="126">
        <f t="shared" si="111"/>
        <v>1.5</v>
      </c>
      <c r="K248" s="126">
        <f t="shared" si="111"/>
        <v>1.5</v>
      </c>
      <c r="L248" s="126">
        <f t="shared" si="111"/>
        <v>1.5</v>
      </c>
      <c r="M248" s="126">
        <f t="shared" si="111"/>
        <v>1.5</v>
      </c>
      <c r="N248" s="126">
        <f t="shared" si="111"/>
        <v>1.5</v>
      </c>
      <c r="O248" s="126">
        <f t="shared" si="111"/>
        <v>1.5</v>
      </c>
      <c r="P248" s="126">
        <f t="shared" si="111"/>
        <v>1.5</v>
      </c>
      <c r="Q248" s="126">
        <f t="shared" si="111"/>
        <v>1.5</v>
      </c>
      <c r="R248" s="126">
        <f t="shared" si="111"/>
        <v>1.5</v>
      </c>
      <c r="S248" s="126">
        <f t="shared" si="111"/>
        <v>1.5</v>
      </c>
      <c r="T248" s="126">
        <f t="shared" si="112"/>
        <v>1.5</v>
      </c>
      <c r="U248" s="126">
        <f t="shared" si="112"/>
        <v>1.5</v>
      </c>
      <c r="V248" s="126">
        <f t="shared" si="112"/>
        <v>1.5</v>
      </c>
      <c r="W248" s="126">
        <f t="shared" si="112"/>
        <v>1.5</v>
      </c>
      <c r="X248" s="126">
        <f t="shared" si="112"/>
        <v>1.5</v>
      </c>
      <c r="Y248" s="126">
        <f t="shared" si="112"/>
        <v>1.5</v>
      </c>
      <c r="Z248" s="126">
        <f t="shared" si="112"/>
        <v>1.5</v>
      </c>
      <c r="AA248" s="126">
        <f t="shared" si="112"/>
        <v>1.5</v>
      </c>
      <c r="AB248" s="126">
        <f t="shared" si="112"/>
        <v>1.5</v>
      </c>
      <c r="AC248" s="126">
        <f t="shared" si="112"/>
        <v>1.5</v>
      </c>
      <c r="AD248" s="126">
        <f t="shared" si="112"/>
        <v>1.5</v>
      </c>
      <c r="AE248" s="126">
        <f t="shared" si="112"/>
        <v>1.5</v>
      </c>
      <c r="AF248" s="126">
        <f t="shared" si="112"/>
        <v>1.5</v>
      </c>
      <c r="AG248" s="140">
        <v>1.5</v>
      </c>
      <c r="AH248" s="47"/>
      <c r="AI248" s="48"/>
      <c r="AK248" s="50"/>
    </row>
    <row r="249" spans="1:37" x14ac:dyDescent="0.25">
      <c r="A249" s="103" t="s">
        <v>235</v>
      </c>
      <c r="B249" s="126">
        <f t="shared" si="110"/>
        <v>0.3</v>
      </c>
      <c r="C249" s="126">
        <v>0.3</v>
      </c>
      <c r="D249" s="126">
        <f t="shared" si="111"/>
        <v>0.3</v>
      </c>
      <c r="E249" s="126">
        <f t="shared" si="111"/>
        <v>0.3</v>
      </c>
      <c r="F249" s="126">
        <f t="shared" si="111"/>
        <v>0.3</v>
      </c>
      <c r="G249" s="126">
        <f t="shared" si="111"/>
        <v>0.3</v>
      </c>
      <c r="H249" s="126">
        <f t="shared" si="111"/>
        <v>0.3</v>
      </c>
      <c r="I249" s="126">
        <f t="shared" si="111"/>
        <v>0.3</v>
      </c>
      <c r="J249" s="126">
        <f t="shared" si="111"/>
        <v>0.3</v>
      </c>
      <c r="K249" s="126">
        <f t="shared" si="111"/>
        <v>0.3</v>
      </c>
      <c r="L249" s="126">
        <f t="shared" si="111"/>
        <v>0.3</v>
      </c>
      <c r="M249" s="126">
        <f t="shared" si="111"/>
        <v>0.3</v>
      </c>
      <c r="N249" s="126">
        <f t="shared" si="111"/>
        <v>0.3</v>
      </c>
      <c r="O249" s="126">
        <f t="shared" si="111"/>
        <v>0.3</v>
      </c>
      <c r="P249" s="126">
        <f t="shared" si="111"/>
        <v>0.3</v>
      </c>
      <c r="Q249" s="126">
        <f t="shared" si="111"/>
        <v>0.3</v>
      </c>
      <c r="R249" s="126">
        <f t="shared" si="111"/>
        <v>0.3</v>
      </c>
      <c r="S249" s="126">
        <f t="shared" si="111"/>
        <v>0.3</v>
      </c>
      <c r="T249" s="126">
        <f t="shared" si="112"/>
        <v>0.3</v>
      </c>
      <c r="U249" s="126">
        <f t="shared" si="112"/>
        <v>0.3</v>
      </c>
      <c r="V249" s="126">
        <f t="shared" si="112"/>
        <v>0.3</v>
      </c>
      <c r="W249" s="126">
        <f t="shared" si="112"/>
        <v>0.3</v>
      </c>
      <c r="X249" s="126">
        <f t="shared" si="112"/>
        <v>0.3</v>
      </c>
      <c r="Y249" s="126">
        <f t="shared" si="112"/>
        <v>0.3</v>
      </c>
      <c r="Z249" s="126">
        <f t="shared" si="112"/>
        <v>0.3</v>
      </c>
      <c r="AA249" s="126">
        <f t="shared" si="112"/>
        <v>0.3</v>
      </c>
      <c r="AB249" s="126">
        <f t="shared" si="112"/>
        <v>0.3</v>
      </c>
      <c r="AC249" s="126">
        <f t="shared" si="112"/>
        <v>0.3</v>
      </c>
      <c r="AD249" s="126">
        <f t="shared" si="112"/>
        <v>0.3</v>
      </c>
      <c r="AE249" s="126">
        <f t="shared" si="112"/>
        <v>0.3</v>
      </c>
      <c r="AF249" s="126">
        <f t="shared" si="112"/>
        <v>0.3</v>
      </c>
      <c r="AG249" s="140">
        <v>1</v>
      </c>
      <c r="AH249" s="47"/>
      <c r="AI249" s="48"/>
      <c r="AK249" s="50"/>
    </row>
    <row r="250" spans="1:37" x14ac:dyDescent="0.25">
      <c r="A250" s="103" t="s">
        <v>236</v>
      </c>
      <c r="B250" s="126">
        <f t="shared" si="110"/>
        <v>0.4</v>
      </c>
      <c r="C250" s="126">
        <v>0.4</v>
      </c>
      <c r="D250" s="126">
        <f t="shared" si="111"/>
        <v>0.4</v>
      </c>
      <c r="E250" s="126">
        <f t="shared" si="111"/>
        <v>0.4</v>
      </c>
      <c r="F250" s="126">
        <f t="shared" si="111"/>
        <v>0.4</v>
      </c>
      <c r="G250" s="126">
        <f t="shared" si="111"/>
        <v>0.4</v>
      </c>
      <c r="H250" s="126">
        <f t="shared" si="111"/>
        <v>0.4</v>
      </c>
      <c r="I250" s="126">
        <f t="shared" si="111"/>
        <v>0.4</v>
      </c>
      <c r="J250" s="126">
        <f t="shared" si="111"/>
        <v>0.4</v>
      </c>
      <c r="K250" s="126">
        <f t="shared" si="111"/>
        <v>0.4</v>
      </c>
      <c r="L250" s="126">
        <f t="shared" si="111"/>
        <v>0.4</v>
      </c>
      <c r="M250" s="126">
        <f t="shared" si="111"/>
        <v>0.4</v>
      </c>
      <c r="N250" s="126">
        <f t="shared" si="111"/>
        <v>0.4</v>
      </c>
      <c r="O250" s="126">
        <f t="shared" si="111"/>
        <v>0.4</v>
      </c>
      <c r="P250" s="126">
        <f t="shared" si="111"/>
        <v>0.4</v>
      </c>
      <c r="Q250" s="126">
        <f t="shared" si="111"/>
        <v>0.4</v>
      </c>
      <c r="R250" s="126">
        <f t="shared" si="111"/>
        <v>0.4</v>
      </c>
      <c r="S250" s="126">
        <f t="shared" si="111"/>
        <v>0.4</v>
      </c>
      <c r="T250" s="126">
        <f t="shared" si="112"/>
        <v>0.4</v>
      </c>
      <c r="U250" s="126">
        <f t="shared" si="112"/>
        <v>0.4</v>
      </c>
      <c r="V250" s="126">
        <f t="shared" si="112"/>
        <v>0.4</v>
      </c>
      <c r="W250" s="126">
        <f t="shared" si="112"/>
        <v>0.4</v>
      </c>
      <c r="X250" s="126">
        <f t="shared" si="112"/>
        <v>0.4</v>
      </c>
      <c r="Y250" s="126">
        <f t="shared" si="112"/>
        <v>0.4</v>
      </c>
      <c r="Z250" s="126">
        <f t="shared" si="112"/>
        <v>0.4</v>
      </c>
      <c r="AA250" s="126">
        <f t="shared" si="112"/>
        <v>0.4</v>
      </c>
      <c r="AB250" s="126">
        <f t="shared" si="112"/>
        <v>0.4</v>
      </c>
      <c r="AC250" s="126">
        <f t="shared" si="112"/>
        <v>0.4</v>
      </c>
      <c r="AD250" s="126">
        <f t="shared" si="112"/>
        <v>0.4</v>
      </c>
      <c r="AE250" s="126">
        <f t="shared" si="112"/>
        <v>0.4</v>
      </c>
      <c r="AF250" s="126">
        <f t="shared" si="112"/>
        <v>0.4</v>
      </c>
      <c r="AG250" s="140">
        <v>1</v>
      </c>
      <c r="AH250" s="47"/>
      <c r="AI250" s="48"/>
      <c r="AK250" s="50"/>
    </row>
    <row r="251" spans="1:37" ht="15.75" thickBot="1" x14ac:dyDescent="0.3">
      <c r="A251" s="116" t="s">
        <v>237</v>
      </c>
      <c r="B251" s="130">
        <f t="shared" si="110"/>
        <v>0.64</v>
      </c>
      <c r="C251" s="130">
        <v>0.64</v>
      </c>
      <c r="D251" s="130">
        <f t="shared" si="111"/>
        <v>0.64</v>
      </c>
      <c r="E251" s="130">
        <f t="shared" si="111"/>
        <v>0.64</v>
      </c>
      <c r="F251" s="130">
        <f t="shared" si="111"/>
        <v>0.64</v>
      </c>
      <c r="G251" s="130">
        <f t="shared" si="111"/>
        <v>0.64</v>
      </c>
      <c r="H251" s="130">
        <f t="shared" si="111"/>
        <v>0.64</v>
      </c>
      <c r="I251" s="130">
        <f t="shared" si="111"/>
        <v>0.64</v>
      </c>
      <c r="J251" s="130">
        <f t="shared" si="111"/>
        <v>0.64</v>
      </c>
      <c r="K251" s="130">
        <f t="shared" si="111"/>
        <v>0.64</v>
      </c>
      <c r="L251" s="130">
        <f t="shared" si="111"/>
        <v>0.64</v>
      </c>
      <c r="M251" s="130">
        <f t="shared" si="111"/>
        <v>0.64</v>
      </c>
      <c r="N251" s="130">
        <f t="shared" si="111"/>
        <v>0.64</v>
      </c>
      <c r="O251" s="130">
        <f t="shared" si="111"/>
        <v>0.64</v>
      </c>
      <c r="P251" s="130">
        <f t="shared" si="111"/>
        <v>0.64</v>
      </c>
      <c r="Q251" s="130">
        <f t="shared" si="111"/>
        <v>0.64</v>
      </c>
      <c r="R251" s="130">
        <f t="shared" si="111"/>
        <v>0.64</v>
      </c>
      <c r="S251" s="130">
        <f t="shared" si="111"/>
        <v>0.64</v>
      </c>
      <c r="T251" s="130">
        <f t="shared" si="112"/>
        <v>0.64</v>
      </c>
      <c r="U251" s="130">
        <f t="shared" si="112"/>
        <v>0.64</v>
      </c>
      <c r="V251" s="130">
        <f t="shared" si="112"/>
        <v>0.64</v>
      </c>
      <c r="W251" s="130">
        <f t="shared" si="112"/>
        <v>0.64</v>
      </c>
      <c r="X251" s="130">
        <f t="shared" si="112"/>
        <v>0.64</v>
      </c>
      <c r="Y251" s="130">
        <f t="shared" si="112"/>
        <v>0.64</v>
      </c>
      <c r="Z251" s="130">
        <f t="shared" si="112"/>
        <v>0.64</v>
      </c>
      <c r="AA251" s="130">
        <f t="shared" si="112"/>
        <v>0.64</v>
      </c>
      <c r="AB251" s="130">
        <f t="shared" si="112"/>
        <v>0.64</v>
      </c>
      <c r="AC251" s="130">
        <f t="shared" si="112"/>
        <v>0.64</v>
      </c>
      <c r="AD251" s="130">
        <f t="shared" si="112"/>
        <v>0.64</v>
      </c>
      <c r="AE251" s="130">
        <f t="shared" si="112"/>
        <v>0.64</v>
      </c>
      <c r="AF251" s="130">
        <f t="shared" si="112"/>
        <v>0.64</v>
      </c>
      <c r="AG251" s="141">
        <v>0.66</v>
      </c>
      <c r="AH251" s="47"/>
      <c r="AI251" s="48"/>
    </row>
    <row r="252" spans="1:37" ht="15.75" thickBot="1" x14ac:dyDescent="0.3">
      <c r="A252" s="142" t="s">
        <v>75</v>
      </c>
      <c r="B252" s="134">
        <f t="shared" ref="B252:AG252" si="113">SUM(B246:B251)</f>
        <v>3.54</v>
      </c>
      <c r="C252" s="134">
        <f t="shared" si="113"/>
        <v>3.54</v>
      </c>
      <c r="D252" s="134">
        <f t="shared" si="113"/>
        <v>3.54</v>
      </c>
      <c r="E252" s="134">
        <f t="shared" si="113"/>
        <v>3.54</v>
      </c>
      <c r="F252" s="134">
        <f t="shared" si="113"/>
        <v>3.54</v>
      </c>
      <c r="G252" s="134">
        <f t="shared" si="113"/>
        <v>3.54</v>
      </c>
      <c r="H252" s="134">
        <f t="shared" si="113"/>
        <v>3.54</v>
      </c>
      <c r="I252" s="134">
        <f t="shared" si="113"/>
        <v>3.54</v>
      </c>
      <c r="J252" s="134">
        <f t="shared" si="113"/>
        <v>3.54</v>
      </c>
      <c r="K252" s="134">
        <f t="shared" si="113"/>
        <v>3.54</v>
      </c>
      <c r="L252" s="134">
        <f t="shared" si="113"/>
        <v>3.54</v>
      </c>
      <c r="M252" s="134">
        <f t="shared" si="113"/>
        <v>3.54</v>
      </c>
      <c r="N252" s="134">
        <f t="shared" si="113"/>
        <v>3.54</v>
      </c>
      <c r="O252" s="134">
        <f t="shared" si="113"/>
        <v>3.54</v>
      </c>
      <c r="P252" s="134">
        <f t="shared" si="113"/>
        <v>3.54</v>
      </c>
      <c r="Q252" s="134">
        <f t="shared" si="113"/>
        <v>3.54</v>
      </c>
      <c r="R252" s="134">
        <f t="shared" si="113"/>
        <v>3.54</v>
      </c>
      <c r="S252" s="134">
        <f t="shared" si="113"/>
        <v>3.54</v>
      </c>
      <c r="T252" s="134">
        <f t="shared" si="113"/>
        <v>3.54</v>
      </c>
      <c r="U252" s="134">
        <f t="shared" si="113"/>
        <v>3.54</v>
      </c>
      <c r="V252" s="134">
        <f t="shared" si="113"/>
        <v>3.54</v>
      </c>
      <c r="W252" s="134">
        <f t="shared" si="113"/>
        <v>3.54</v>
      </c>
      <c r="X252" s="134">
        <f t="shared" si="113"/>
        <v>3.54</v>
      </c>
      <c r="Y252" s="134">
        <f t="shared" si="113"/>
        <v>3.54</v>
      </c>
      <c r="Z252" s="134">
        <f t="shared" si="113"/>
        <v>3.54</v>
      </c>
      <c r="AA252" s="134">
        <f t="shared" si="113"/>
        <v>3.54</v>
      </c>
      <c r="AB252" s="134">
        <f t="shared" si="113"/>
        <v>3.54</v>
      </c>
      <c r="AC252" s="134">
        <f t="shared" si="113"/>
        <v>3.54</v>
      </c>
      <c r="AD252" s="134">
        <f t="shared" si="113"/>
        <v>3.54</v>
      </c>
      <c r="AE252" s="134">
        <f t="shared" si="113"/>
        <v>3.54</v>
      </c>
      <c r="AF252" s="134">
        <f t="shared" si="113"/>
        <v>3.54</v>
      </c>
      <c r="AG252" s="143">
        <f t="shared" si="113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37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54" t="s">
        <v>243</v>
      </c>
      <c r="B256" s="155">
        <f>MAX(G99:N99)</f>
        <v>1858.09</v>
      </c>
      <c r="C256" s="156">
        <f>INDEX(G9:N9,1,MATCH(MAX(G99:N99),G99:N99,0))</f>
        <v>0.3125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50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157" t="str">
        <f ca="1">MID(CELL("filename",C7),FIND("]",CELL("filename",C7))+1,600)</f>
        <v>10</v>
      </c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50" x14ac:dyDescent="0.25">
      <c r="A258" s="257" t="s">
        <v>244</v>
      </c>
      <c r="B258" s="257"/>
      <c r="C258" s="43"/>
      <c r="D258" s="157" t="str">
        <f ca="1">"Pie Chart of Daily Peak Demand(Inclusive of Export) of Nepal ("&amp;A4&amp;" "&amp;B4&amp;")"</f>
        <v>Pie Chart of Daily Peak Demand(Inclusive of Export) of Nepal (Nepali Date: 2080/10/10)</v>
      </c>
      <c r="E258" s="43"/>
      <c r="F258" s="43"/>
      <c r="G258" s="157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157" t="str">
        <f ca="1">"Daily Load Curve(Excluding of Export) of Nepal ("&amp;A4&amp;" "&amp;B4&amp;")"</f>
        <v>Daily Load Curve(Excluding of Export) of Nepal (Nepali Date: 2080/10/10)</v>
      </c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50" ht="12.75" customHeight="1" thickBot="1" x14ac:dyDescent="0.3">
      <c r="A259" s="158" t="s">
        <v>7</v>
      </c>
      <c r="B259" s="159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50" ht="15.75" thickTop="1" x14ac:dyDescent="0.25">
      <c r="A260" s="158" t="s">
        <v>245</v>
      </c>
      <c r="B260" s="15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160" t="s">
        <v>246</v>
      </c>
      <c r="T260" s="161">
        <v>0</v>
      </c>
      <c r="U260" s="162">
        <v>4.1666666666666664E-2</v>
      </c>
      <c r="V260" s="163">
        <v>8.3333333333333301E-2</v>
      </c>
      <c r="W260" s="163">
        <v>0.125</v>
      </c>
      <c r="X260" s="163">
        <v>0.16666666666666699</v>
      </c>
      <c r="Y260" s="163">
        <v>0.20833333333333301</v>
      </c>
      <c r="Z260" s="163">
        <v>0.22916666666666666</v>
      </c>
      <c r="AA260" s="163">
        <v>0.25</v>
      </c>
      <c r="AB260" s="163">
        <v>0.27083333333333331</v>
      </c>
      <c r="AC260" s="163">
        <v>0.29166666666666669</v>
      </c>
      <c r="AD260" s="163">
        <v>0.3125</v>
      </c>
      <c r="AE260" s="164">
        <v>0.33333333333333331</v>
      </c>
      <c r="AF260" s="164">
        <v>0.375</v>
      </c>
      <c r="AG260" s="164">
        <v>0.41666666666666702</v>
      </c>
      <c r="AH260" s="164">
        <v>0.45833333333333298</v>
      </c>
      <c r="AI260" s="164">
        <v>0.5</v>
      </c>
      <c r="AJ260" s="164">
        <v>0.54166666666666696</v>
      </c>
      <c r="AK260" s="164">
        <v>0.58333333333333304</v>
      </c>
      <c r="AL260" s="164">
        <v>0.625</v>
      </c>
      <c r="AM260" s="164">
        <v>0.66666666666666696</v>
      </c>
      <c r="AN260" s="164">
        <v>0.70833333333333304</v>
      </c>
      <c r="AO260" s="164">
        <v>0.72916666666666663</v>
      </c>
      <c r="AP260" s="164">
        <v>0.75</v>
      </c>
      <c r="AQ260" s="164">
        <v>0.77083333333333337</v>
      </c>
      <c r="AR260" s="164">
        <v>0.79166666666666663</v>
      </c>
      <c r="AS260" s="164">
        <v>0.8125</v>
      </c>
      <c r="AT260" s="163">
        <v>0.83333333333333337</v>
      </c>
      <c r="AU260" s="163">
        <v>0.85416666666666663</v>
      </c>
      <c r="AV260" s="163">
        <v>0.875</v>
      </c>
      <c r="AW260" s="163">
        <v>0.91666666666666696</v>
      </c>
      <c r="AX260" s="163">
        <v>0.95833333333333304</v>
      </c>
    </row>
    <row r="261" spans="1:50" x14ac:dyDescent="0.25">
      <c r="A261" s="158" t="s">
        <v>247</v>
      </c>
      <c r="B261" s="15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 t="s">
        <v>248</v>
      </c>
      <c r="T261" s="165">
        <f t="shared" ref="T261:AX261" si="114">B99</f>
        <v>689</v>
      </c>
      <c r="U261" s="165">
        <f t="shared" si="114"/>
        <v>1185.29</v>
      </c>
      <c r="V261" s="165">
        <f t="shared" si="114"/>
        <v>1188.79</v>
      </c>
      <c r="W261" s="165">
        <f t="shared" si="114"/>
        <v>1149.79</v>
      </c>
      <c r="X261" s="165">
        <f t="shared" si="114"/>
        <v>1131.0900000000001</v>
      </c>
      <c r="Y261" s="165">
        <f t="shared" si="114"/>
        <v>1242.3900000000001</v>
      </c>
      <c r="Z261" s="165">
        <f t="shared" si="114"/>
        <v>1319.3899999999999</v>
      </c>
      <c r="AA261" s="165">
        <f t="shared" si="114"/>
        <v>1401.39</v>
      </c>
      <c r="AB261" s="165">
        <f t="shared" si="114"/>
        <v>1430.39</v>
      </c>
      <c r="AC261" s="165">
        <f t="shared" si="114"/>
        <v>1678.99</v>
      </c>
      <c r="AD261" s="165">
        <f t="shared" si="114"/>
        <v>1858.09</v>
      </c>
      <c r="AE261" s="165">
        <f t="shared" si="114"/>
        <v>3.54</v>
      </c>
      <c r="AF261" s="165">
        <f t="shared" si="114"/>
        <v>1843.69</v>
      </c>
      <c r="AG261" s="165">
        <f t="shared" si="114"/>
        <v>1762.39</v>
      </c>
      <c r="AH261" s="165">
        <f t="shared" si="114"/>
        <v>1704.9900000000002</v>
      </c>
      <c r="AI261" s="165">
        <f t="shared" si="114"/>
        <v>1688.49</v>
      </c>
      <c r="AJ261" s="165">
        <f t="shared" si="114"/>
        <v>1504.3400000000001</v>
      </c>
      <c r="AK261" s="165">
        <f t="shared" si="114"/>
        <v>1414.2400000000002</v>
      </c>
      <c r="AL261" s="165">
        <f t="shared" si="114"/>
        <v>1475.5400000000002</v>
      </c>
      <c r="AM261" s="165">
        <f t="shared" si="114"/>
        <v>1537.7400000000002</v>
      </c>
      <c r="AN261" s="165">
        <f t="shared" si="114"/>
        <v>1494.44</v>
      </c>
      <c r="AO261" s="165">
        <f t="shared" si="114"/>
        <v>1656.88</v>
      </c>
      <c r="AP261" s="165">
        <f t="shared" si="114"/>
        <v>1884.7800000000002</v>
      </c>
      <c r="AQ261" s="165">
        <f t="shared" si="114"/>
        <v>1932.7800000000002</v>
      </c>
      <c r="AR261" s="165">
        <f t="shared" si="114"/>
        <v>1919.48</v>
      </c>
      <c r="AS261" s="165">
        <f t="shared" si="114"/>
        <v>1919.48</v>
      </c>
      <c r="AT261" s="165">
        <f t="shared" si="114"/>
        <v>1917.38</v>
      </c>
      <c r="AU261" s="165">
        <f t="shared" si="114"/>
        <v>1917.38</v>
      </c>
      <c r="AV261" s="165">
        <f t="shared" si="114"/>
        <v>1597.64</v>
      </c>
      <c r="AW261" s="165">
        <f t="shared" si="114"/>
        <v>1492.68</v>
      </c>
      <c r="AX261" s="165">
        <f t="shared" si="114"/>
        <v>1357.18</v>
      </c>
    </row>
    <row r="262" spans="1:50" x14ac:dyDescent="0.25">
      <c r="A262" s="158" t="s">
        <v>249</v>
      </c>
      <c r="B262" s="15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50" x14ac:dyDescent="0.25">
      <c r="A263" s="158" t="s">
        <v>250</v>
      </c>
      <c r="B263" s="15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50" x14ac:dyDescent="0.25">
      <c r="A264" s="158" t="s">
        <v>251</v>
      </c>
      <c r="B264" s="15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50" x14ac:dyDescent="0.25">
      <c r="A265" s="158" t="s">
        <v>252</v>
      </c>
      <c r="B265" s="166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50" x14ac:dyDescent="0.25">
      <c r="A266" s="158" t="s">
        <v>253</v>
      </c>
      <c r="B266" s="15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50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50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50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50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50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50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1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1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1:34" x14ac:dyDescent="0.25">
      <c r="A282" s="167" t="s">
        <v>238</v>
      </c>
      <c r="B282" s="168">
        <f t="shared" ref="B282:AE282" si="115">C251</f>
        <v>0.64</v>
      </c>
      <c r="C282" s="168">
        <f t="shared" si="115"/>
        <v>0.64</v>
      </c>
      <c r="D282" s="168">
        <f t="shared" si="115"/>
        <v>0.64</v>
      </c>
      <c r="E282" s="168">
        <f t="shared" si="115"/>
        <v>0.64</v>
      </c>
      <c r="F282" s="168">
        <f t="shared" si="115"/>
        <v>0.64</v>
      </c>
      <c r="G282" s="168">
        <f t="shared" si="115"/>
        <v>0.64</v>
      </c>
      <c r="H282" s="168">
        <f t="shared" si="115"/>
        <v>0.64</v>
      </c>
      <c r="I282" s="168">
        <f t="shared" si="115"/>
        <v>0.64</v>
      </c>
      <c r="J282" s="168">
        <f t="shared" si="115"/>
        <v>0.64</v>
      </c>
      <c r="K282" s="168">
        <f t="shared" si="115"/>
        <v>0.64</v>
      </c>
      <c r="L282" s="168">
        <f t="shared" si="115"/>
        <v>0.64</v>
      </c>
      <c r="M282" s="168">
        <f t="shared" si="115"/>
        <v>0.64</v>
      </c>
      <c r="N282" s="168">
        <f t="shared" si="115"/>
        <v>0.64</v>
      </c>
      <c r="O282" s="168">
        <f t="shared" si="115"/>
        <v>0.64</v>
      </c>
      <c r="P282" s="168">
        <f t="shared" si="115"/>
        <v>0.64</v>
      </c>
      <c r="Q282" s="168">
        <f t="shared" si="115"/>
        <v>0.64</v>
      </c>
      <c r="R282" s="168">
        <f t="shared" si="115"/>
        <v>0.64</v>
      </c>
      <c r="S282" s="168">
        <f t="shared" si="115"/>
        <v>0.64</v>
      </c>
      <c r="T282" s="168">
        <f t="shared" si="115"/>
        <v>0.64</v>
      </c>
      <c r="U282" s="168">
        <f t="shared" si="115"/>
        <v>0.64</v>
      </c>
      <c r="V282" s="168">
        <f t="shared" si="115"/>
        <v>0.64</v>
      </c>
      <c r="W282" s="168">
        <f t="shared" si="115"/>
        <v>0.64</v>
      </c>
      <c r="X282" s="168">
        <f t="shared" si="115"/>
        <v>0.64</v>
      </c>
      <c r="Y282" s="168">
        <f t="shared" si="115"/>
        <v>0.64</v>
      </c>
      <c r="Z282" s="168">
        <f t="shared" si="115"/>
        <v>0.64</v>
      </c>
      <c r="AA282" s="168">
        <f t="shared" si="115"/>
        <v>0.64</v>
      </c>
      <c r="AB282" s="168">
        <f t="shared" si="115"/>
        <v>0.64</v>
      </c>
      <c r="AC282" s="168">
        <f t="shared" si="115"/>
        <v>0.64</v>
      </c>
      <c r="AD282" s="168">
        <f t="shared" si="115"/>
        <v>0.64</v>
      </c>
      <c r="AE282" s="168">
        <f t="shared" si="115"/>
        <v>0.64</v>
      </c>
      <c r="AF282" s="168">
        <f>B251</f>
        <v>0.64</v>
      </c>
      <c r="AG282" s="43"/>
      <c r="AH282" s="43"/>
    </row>
    <row r="283" spans="1:34" x14ac:dyDescent="0.25">
      <c r="A283" s="169" t="e">
        <f>#REF!</f>
        <v>#REF!</v>
      </c>
      <c r="B283" s="169" t="e">
        <f>IF(#REF!&lt;100,"",#REF!-520)</f>
        <v>#REF!</v>
      </c>
      <c r="C283" s="169" t="e">
        <f>IF(#REF!&lt;100,"",#REF!-520)</f>
        <v>#REF!</v>
      </c>
      <c r="D283" s="169" t="e">
        <f>IF(#REF!&lt;100,"",#REF!-520)</f>
        <v>#REF!</v>
      </c>
      <c r="E283" s="169" t="e">
        <f>IF(#REF!&lt;100,"",#REF!-520)</f>
        <v>#REF!</v>
      </c>
      <c r="F283" s="169" t="e">
        <f>IF(#REF!&lt;100,"",#REF!-520)</f>
        <v>#REF!</v>
      </c>
      <c r="G283" s="169" t="e">
        <f>IF(#REF!&lt;100,"",#REF!-520)</f>
        <v>#REF!</v>
      </c>
      <c r="H283" s="169" t="e">
        <f>IF(#REF!&lt;100,"",#REF!-520)</f>
        <v>#REF!</v>
      </c>
      <c r="I283" s="169" t="e">
        <f>IF(#REF!&lt;100,"",#REF!-520)</f>
        <v>#REF!</v>
      </c>
      <c r="J283" s="169" t="e">
        <f>IF(#REF!&lt;100,"",#REF!-520)</f>
        <v>#REF!</v>
      </c>
      <c r="K283" s="169" t="e">
        <f>IF(#REF!&lt;100,"",#REF!-520)</f>
        <v>#REF!</v>
      </c>
      <c r="L283" s="169" t="e">
        <f>IF(#REF!&lt;100,"",#REF!-520)</f>
        <v>#REF!</v>
      </c>
      <c r="M283" s="169" t="e">
        <f>IF(#REF!&lt;100,"",#REF!-520)</f>
        <v>#REF!</v>
      </c>
      <c r="N283" s="169" t="e">
        <f>IF(#REF!&lt;100,"",#REF!-520)</f>
        <v>#REF!</v>
      </c>
      <c r="O283" s="169" t="e">
        <f>IF(#REF!&lt;100,"",#REF!-520)</f>
        <v>#REF!</v>
      </c>
      <c r="P283" s="169" t="e">
        <f>IF(#REF!&lt;100,"",#REF!-520)</f>
        <v>#REF!</v>
      </c>
      <c r="Q283" s="169" t="e">
        <f>IF(#REF!&lt;100,"",#REF!-520)</f>
        <v>#REF!</v>
      </c>
      <c r="R283" s="169" t="e">
        <f>IF(#REF!&lt;100,"",#REF!-520)</f>
        <v>#REF!</v>
      </c>
      <c r="S283" s="169" t="e">
        <f>IF(#REF!&lt;100,"",#REF!-520)</f>
        <v>#REF!</v>
      </c>
      <c r="T283" s="169" t="e">
        <f>IF(#REF!&lt;100,"",#REF!-520)</f>
        <v>#REF!</v>
      </c>
      <c r="U283" s="169" t="e">
        <f>IF(#REF!&lt;100,"",#REF!-520)</f>
        <v>#REF!</v>
      </c>
      <c r="V283" s="169" t="e">
        <f>IF(#REF!&lt;100,"",#REF!-520)</f>
        <v>#REF!</v>
      </c>
      <c r="W283" s="169" t="e">
        <f>IF(#REF!&lt;100,"",#REF!-520)</f>
        <v>#REF!</v>
      </c>
      <c r="X283" s="169" t="e">
        <f>IF(#REF!&lt;100,"",#REF!-520)</f>
        <v>#REF!</v>
      </c>
      <c r="Y283" s="169" t="e">
        <f>IF(#REF!&lt;100,"",#REF!-520)</f>
        <v>#REF!</v>
      </c>
      <c r="Z283" s="169" t="e">
        <f>IF(#REF!&lt;100,"",#REF!-520)</f>
        <v>#REF!</v>
      </c>
      <c r="AA283" s="169" t="e">
        <f>IF(#REF!&lt;100,"",#REF!-520)</f>
        <v>#REF!</v>
      </c>
      <c r="AB283" s="169" t="e">
        <f>IF(#REF!&lt;100,"",#REF!-520)</f>
        <v>#REF!</v>
      </c>
      <c r="AC283" s="169" t="e">
        <f>IF(#REF!&lt;100,"",#REF!-520)</f>
        <v>#REF!</v>
      </c>
      <c r="AD283" s="169" t="e">
        <f>IF(#REF!&lt;100,"",#REF!-520)</f>
        <v>#REF!</v>
      </c>
      <c r="AE283" s="169" t="e">
        <f>IF(#REF!&lt;100,"",#REF!-520)</f>
        <v>#REF!</v>
      </c>
      <c r="AF283" s="169" t="e">
        <f>IF(#REF!&lt;100,"",#REF!-520)</f>
        <v>#REF!</v>
      </c>
      <c r="AG283" s="43"/>
      <c r="AH283" s="43"/>
    </row>
    <row r="284" spans="1:34" x14ac:dyDescent="0.25">
      <c r="A284" s="169" t="e">
        <f>#REF!</f>
        <v>#REF!</v>
      </c>
      <c r="B284" s="169" t="e">
        <f>IF(#REF!&lt;100,"",#REF!-620)</f>
        <v>#REF!</v>
      </c>
      <c r="C284" s="169" t="e">
        <f>IF(#REF!&lt;100,"",#REF!-620)</f>
        <v>#REF!</v>
      </c>
      <c r="D284" s="169" t="e">
        <f>IF(#REF!&lt;100,"",#REF!-620)</f>
        <v>#REF!</v>
      </c>
      <c r="E284" s="169" t="e">
        <f>IF(#REF!&lt;100,"",#REF!-620)</f>
        <v>#REF!</v>
      </c>
      <c r="F284" s="169" t="e">
        <f>IF(#REF!&lt;100,"",#REF!-620)</f>
        <v>#REF!</v>
      </c>
      <c r="G284" s="169" t="e">
        <f>IF(#REF!&lt;100,"",#REF!-620)</f>
        <v>#REF!</v>
      </c>
      <c r="H284" s="169" t="e">
        <f>IF(#REF!&lt;100,"",#REF!-620)</f>
        <v>#REF!</v>
      </c>
      <c r="I284" s="169" t="e">
        <f>IF(#REF!&lt;100,"",#REF!-620)</f>
        <v>#REF!</v>
      </c>
      <c r="J284" s="169" t="e">
        <f>IF(#REF!&lt;100,"",#REF!-620)</f>
        <v>#REF!</v>
      </c>
      <c r="K284" s="169" t="e">
        <f>IF(#REF!&lt;100,"",#REF!-620)</f>
        <v>#REF!</v>
      </c>
      <c r="L284" s="169" t="e">
        <f>IF(#REF!&lt;100,"",#REF!-620)</f>
        <v>#REF!</v>
      </c>
      <c r="M284" s="169" t="e">
        <f>IF(#REF!&lt;100,"",#REF!-620)</f>
        <v>#REF!</v>
      </c>
      <c r="N284" s="169" t="e">
        <f>IF(#REF!&lt;100,"",#REF!-620)</f>
        <v>#REF!</v>
      </c>
      <c r="O284" s="169" t="e">
        <f>IF(#REF!&lt;100,"",#REF!-620)</f>
        <v>#REF!</v>
      </c>
      <c r="P284" s="169" t="e">
        <f>IF(#REF!&lt;100,"",#REF!-620)</f>
        <v>#REF!</v>
      </c>
      <c r="Q284" s="169" t="e">
        <f>IF(#REF!&lt;100,"",#REF!-620)</f>
        <v>#REF!</v>
      </c>
      <c r="R284" s="169" t="e">
        <f>IF(#REF!&lt;100,"",#REF!-620)</f>
        <v>#REF!</v>
      </c>
      <c r="S284" s="169" t="e">
        <f>IF(#REF!&lt;100,"",#REF!-620)</f>
        <v>#REF!</v>
      </c>
      <c r="T284" s="169" t="e">
        <f>IF(#REF!&lt;100,"",#REF!-620)</f>
        <v>#REF!</v>
      </c>
      <c r="U284" s="169" t="e">
        <f>IF(#REF!&lt;100,"",#REF!-620)</f>
        <v>#REF!</v>
      </c>
      <c r="V284" s="169" t="e">
        <f>IF(#REF!&lt;100,"",#REF!-620)</f>
        <v>#REF!</v>
      </c>
      <c r="W284" s="169" t="e">
        <f>IF(#REF!&lt;100,"",#REF!-620)</f>
        <v>#REF!</v>
      </c>
      <c r="X284" s="169" t="e">
        <f>IF(#REF!&lt;100,"",#REF!-620)</f>
        <v>#REF!</v>
      </c>
      <c r="Y284" s="169" t="e">
        <f>IF(#REF!&lt;100,"",#REF!-620)</f>
        <v>#REF!</v>
      </c>
      <c r="Z284" s="169" t="e">
        <f>IF(#REF!&lt;100,"",#REF!-620)</f>
        <v>#REF!</v>
      </c>
      <c r="AA284" s="169" t="e">
        <f>IF(#REF!&lt;100,"",#REF!-620)</f>
        <v>#REF!</v>
      </c>
      <c r="AB284" s="169" t="e">
        <f>IF(#REF!&lt;100,"",#REF!-620)</f>
        <v>#REF!</v>
      </c>
      <c r="AC284" s="169" t="e">
        <f>IF(#REF!&lt;100,"",#REF!-620)</f>
        <v>#REF!</v>
      </c>
      <c r="AD284" s="169" t="e">
        <f>IF(#REF!&lt;100,"",#REF!-620)</f>
        <v>#REF!</v>
      </c>
      <c r="AE284" s="169" t="e">
        <f>IF(#REF!&lt;100,"",#REF!-620)</f>
        <v>#REF!</v>
      </c>
      <c r="AF284" s="169" t="e">
        <f>IF(#REF!&lt;100,"",#REF!-620)</f>
        <v>#REF!</v>
      </c>
      <c r="AG284" s="43"/>
      <c r="AH284" s="43"/>
    </row>
    <row r="285" spans="1:34" x14ac:dyDescent="0.25">
      <c r="A285" s="169" t="e">
        <f>#REF!</f>
        <v>#REF!</v>
      </c>
      <c r="B285" s="169" t="e">
        <f>IF(#REF!&lt;100,"",#REF!-330)</f>
        <v>#REF!</v>
      </c>
      <c r="C285" s="169" t="e">
        <f>IF(#REF!&lt;100,"",#REF!-330)</f>
        <v>#REF!</v>
      </c>
      <c r="D285" s="169" t="e">
        <f>IF(#REF!&lt;100,"",#REF!-330)</f>
        <v>#REF!</v>
      </c>
      <c r="E285" s="169" t="e">
        <f>IF(#REF!&lt;100,"",#REF!-330)</f>
        <v>#REF!</v>
      </c>
      <c r="F285" s="169" t="e">
        <f>IF(#REF!&lt;100,"",#REF!-330)</f>
        <v>#REF!</v>
      </c>
      <c r="G285" s="169" t="e">
        <f>IF(#REF!&lt;100,"",#REF!-330)</f>
        <v>#REF!</v>
      </c>
      <c r="H285" s="169" t="e">
        <f>IF(#REF!&lt;100,"",#REF!-330)</f>
        <v>#REF!</v>
      </c>
      <c r="I285" s="169" t="e">
        <f>IF(#REF!&lt;100,"",#REF!-330)</f>
        <v>#REF!</v>
      </c>
      <c r="J285" s="169" t="e">
        <f>IF(#REF!&lt;100,"",#REF!-330)</f>
        <v>#REF!</v>
      </c>
      <c r="K285" s="169" t="e">
        <f>IF(#REF!&lt;100,"",#REF!-330)</f>
        <v>#REF!</v>
      </c>
      <c r="L285" s="169" t="e">
        <f>IF(#REF!&lt;100,"",#REF!-330)</f>
        <v>#REF!</v>
      </c>
      <c r="M285" s="169" t="e">
        <f>IF(#REF!&lt;100,"",#REF!-330)</f>
        <v>#REF!</v>
      </c>
      <c r="N285" s="169" t="e">
        <f>IF(#REF!&lt;100,"",#REF!-330)</f>
        <v>#REF!</v>
      </c>
      <c r="O285" s="169" t="e">
        <f>IF(#REF!&lt;100,"",#REF!-330)</f>
        <v>#REF!</v>
      </c>
      <c r="P285" s="169" t="e">
        <f>IF(#REF!&lt;100,"",#REF!-330)</f>
        <v>#REF!</v>
      </c>
      <c r="Q285" s="169" t="e">
        <f>IF(#REF!&lt;100,"",#REF!-330)</f>
        <v>#REF!</v>
      </c>
      <c r="R285" s="169" t="e">
        <f>IF(#REF!&lt;100,"",#REF!-330)</f>
        <v>#REF!</v>
      </c>
      <c r="S285" s="169" t="e">
        <f>IF(#REF!&lt;100,"",#REF!-330)</f>
        <v>#REF!</v>
      </c>
      <c r="T285" s="169" t="e">
        <f>IF(#REF!&lt;100,"",#REF!-330)</f>
        <v>#REF!</v>
      </c>
      <c r="U285" s="169" t="e">
        <f>IF(#REF!&lt;100,"",#REF!-330)</f>
        <v>#REF!</v>
      </c>
      <c r="V285" s="169" t="e">
        <f>IF(#REF!&lt;100,"",#REF!-330)</f>
        <v>#REF!</v>
      </c>
      <c r="W285" s="169" t="e">
        <f>IF(#REF!&lt;100,"",#REF!-330)</f>
        <v>#REF!</v>
      </c>
      <c r="X285" s="169" t="e">
        <f>IF(#REF!&lt;100,"",#REF!-330)</f>
        <v>#REF!</v>
      </c>
      <c r="Y285" s="169" t="e">
        <f>IF(#REF!&lt;100,"",#REF!-330)</f>
        <v>#REF!</v>
      </c>
      <c r="Z285" s="169" t="e">
        <f>IF(#REF!&lt;100,"",#REF!-330)</f>
        <v>#REF!</v>
      </c>
      <c r="AA285" s="169" t="e">
        <f>IF(#REF!&lt;100,"",#REF!-330)</f>
        <v>#REF!</v>
      </c>
      <c r="AB285" s="169" t="e">
        <f>IF(#REF!&lt;100,"",#REF!-330)</f>
        <v>#REF!</v>
      </c>
      <c r="AC285" s="169" t="e">
        <f>IF(#REF!&lt;100,"",#REF!-330)</f>
        <v>#REF!</v>
      </c>
      <c r="AD285" s="169" t="e">
        <f>IF(#REF!&lt;100,"",#REF!-330)</f>
        <v>#REF!</v>
      </c>
      <c r="AE285" s="169" t="e">
        <f>IF(#REF!&lt;100,"",#REF!-330)</f>
        <v>#REF!</v>
      </c>
      <c r="AF285" s="169" t="e">
        <f>IF(#REF!&lt;100,"",#REF!-330)</f>
        <v>#REF!</v>
      </c>
      <c r="AG285" s="43"/>
      <c r="AH285" s="43"/>
    </row>
    <row r="286" spans="1:34" x14ac:dyDescent="0.25">
      <c r="A286" s="169" t="e">
        <f>#REF!</f>
        <v>#REF!</v>
      </c>
      <c r="B286" s="169" t="e">
        <f>IF(#REF!&lt;100,"",#REF!-1500)</f>
        <v>#REF!</v>
      </c>
      <c r="C286" s="169" t="e">
        <f>IF(#REF!&lt;100,"",#REF!-1500)</f>
        <v>#REF!</v>
      </c>
      <c r="D286" s="169" t="e">
        <f>IF(#REF!&lt;100,"",#REF!-1500)</f>
        <v>#REF!</v>
      </c>
      <c r="E286" s="169" t="e">
        <f>IF(#REF!&lt;100,"",#REF!-1500)</f>
        <v>#REF!</v>
      </c>
      <c r="F286" s="169" t="e">
        <f>IF(#REF!&lt;100,"",#REF!-1500)</f>
        <v>#REF!</v>
      </c>
      <c r="G286" s="169" t="e">
        <f>IF(#REF!&lt;100,"",#REF!-1500)</f>
        <v>#REF!</v>
      </c>
      <c r="H286" s="169" t="e">
        <f>IF(#REF!&lt;100,"",#REF!-1500)</f>
        <v>#REF!</v>
      </c>
      <c r="I286" s="169" t="e">
        <f>IF(#REF!&lt;100,"",#REF!-1500)</f>
        <v>#REF!</v>
      </c>
      <c r="J286" s="169" t="e">
        <f>IF(#REF!&lt;100,"",#REF!-1500)</f>
        <v>#REF!</v>
      </c>
      <c r="K286" s="169" t="e">
        <f>IF(#REF!&lt;100,"",#REF!-1500)</f>
        <v>#REF!</v>
      </c>
      <c r="L286" s="169" t="e">
        <f>IF(#REF!&lt;100,"",#REF!-1500)</f>
        <v>#REF!</v>
      </c>
      <c r="M286" s="169" t="e">
        <f>IF(#REF!&lt;100,"",#REF!-1500)</f>
        <v>#REF!</v>
      </c>
      <c r="N286" s="169" t="e">
        <f>IF(#REF!&lt;100,"",#REF!-1500)</f>
        <v>#REF!</v>
      </c>
      <c r="O286" s="169" t="e">
        <f>IF(#REF!&lt;100,"",#REF!-1500)</f>
        <v>#REF!</v>
      </c>
      <c r="P286" s="169" t="e">
        <f>IF(#REF!&lt;100,"",#REF!-1500)</f>
        <v>#REF!</v>
      </c>
      <c r="Q286" s="169" t="e">
        <f>IF(#REF!&lt;100,"",#REF!-1500)</f>
        <v>#REF!</v>
      </c>
      <c r="R286" s="169" t="e">
        <f>IF(#REF!&lt;100,"",#REF!-1500)</f>
        <v>#REF!</v>
      </c>
      <c r="S286" s="169" t="e">
        <f>IF(#REF!&lt;100,"",#REF!-1500)</f>
        <v>#REF!</v>
      </c>
      <c r="T286" s="169" t="e">
        <f>IF(#REF!&lt;100,"",#REF!-1500)</f>
        <v>#REF!</v>
      </c>
      <c r="U286" s="169" t="e">
        <f>IF(#REF!&lt;100,"",#REF!-1500)</f>
        <v>#REF!</v>
      </c>
      <c r="V286" s="169" t="e">
        <f>IF(#REF!&lt;100,"",#REF!-1500)</f>
        <v>#REF!</v>
      </c>
      <c r="W286" s="169" t="e">
        <f>IF(#REF!&lt;100,"",#REF!-1500)</f>
        <v>#REF!</v>
      </c>
      <c r="X286" s="169" t="e">
        <f>IF(#REF!&lt;100,"",#REF!-1500)</f>
        <v>#REF!</v>
      </c>
      <c r="Y286" s="169" t="e">
        <f>IF(#REF!&lt;100,"",#REF!-1500)</f>
        <v>#REF!</v>
      </c>
      <c r="Z286" s="169" t="e">
        <f>IF(#REF!&lt;100,"",#REF!-1500)</f>
        <v>#REF!</v>
      </c>
      <c r="AA286" s="169" t="e">
        <f>IF(#REF!&lt;100,"",#REF!-1500)</f>
        <v>#REF!</v>
      </c>
      <c r="AB286" s="169" t="e">
        <f>IF(#REF!&lt;100,"",#REF!-1500)</f>
        <v>#REF!</v>
      </c>
      <c r="AC286" s="169" t="e">
        <f>IF(#REF!&lt;100,"",#REF!-1500)</f>
        <v>#REF!</v>
      </c>
      <c r="AD286" s="169" t="e">
        <f>IF(#REF!&lt;100,"",#REF!-1500)</f>
        <v>#REF!</v>
      </c>
      <c r="AE286" s="169" t="e">
        <f>IF(#REF!&lt;100,"",#REF!-1500)</f>
        <v>#REF!</v>
      </c>
      <c r="AF286" s="169" t="e">
        <f>IF(#REF!&lt;100,"",#REF!-1500)</f>
        <v>#REF!</v>
      </c>
      <c r="AG286" s="43"/>
      <c r="AH286" s="43"/>
    </row>
    <row r="287" spans="1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1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2:34" x14ac:dyDescent="0.25"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2:34" x14ac:dyDescent="0.25"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2:34" x14ac:dyDescent="0.25"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2:34" x14ac:dyDescent="0.25"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2:34" x14ac:dyDescent="0.25"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1907" priority="1">
      <formula>$AH11=0</formula>
    </cfRule>
  </conditionalFormatting>
  <conditionalFormatting sqref="A132:A253">
    <cfRule type="expression" dxfId="1906" priority="6">
      <formula>$AH132=0</formula>
    </cfRule>
  </conditionalFormatting>
  <conditionalFormatting sqref="B8 M8 S8 AB8">
    <cfRule type="expression" dxfId="1905" priority="116">
      <formula>C$9&lt;8/24</formula>
    </cfRule>
    <cfRule type="expression" dxfId="1904" priority="115">
      <formula>AND(C$9&gt;=8/24,C$9&lt;14/24)</formula>
    </cfRule>
    <cfRule type="expression" dxfId="1903" priority="114">
      <formula>AND(C$9&gt;=14/24,C$9&lt;20/24)</formula>
    </cfRule>
  </conditionalFormatting>
  <conditionalFormatting sqref="B63:J74 K66:L74">
    <cfRule type="expression" dxfId="1902" priority="21">
      <formula>B$9&gt;=20/24</formula>
    </cfRule>
    <cfRule type="expression" dxfId="1901" priority="22">
      <formula>AND(B$9&gt;=14/24,B$9&lt;20/24)</formula>
    </cfRule>
    <cfRule type="expression" dxfId="1900" priority="23">
      <formula>AND(B$9&gt;=8/24,B$9&lt;14/24)</formula>
    </cfRule>
    <cfRule type="expression" dxfId="1899" priority="24">
      <formula>B$9&lt;8/24</formula>
    </cfRule>
  </conditionalFormatting>
  <conditionalFormatting sqref="B11:L54">
    <cfRule type="expression" dxfId="1898" priority="15">
      <formula>B11&gt;$AG11</formula>
    </cfRule>
  </conditionalFormatting>
  <conditionalFormatting sqref="B53:L54">
    <cfRule type="expression" dxfId="1897" priority="14">
      <formula>B$9&lt;8/24</formula>
    </cfRule>
  </conditionalFormatting>
  <conditionalFormatting sqref="B55:L55">
    <cfRule type="expression" dxfId="1896" priority="35">
      <formula>B55&gt;$AG55</formula>
    </cfRule>
  </conditionalFormatting>
  <conditionalFormatting sqref="B55:L57">
    <cfRule type="expression" dxfId="1895" priority="34">
      <formula>B$9&lt;8/24</formula>
    </cfRule>
  </conditionalFormatting>
  <conditionalFormatting sqref="B9:AF52">
    <cfRule type="expression" dxfId="1894" priority="26">
      <formula>B$9&gt;=20/24</formula>
    </cfRule>
    <cfRule type="expression" dxfId="1893" priority="27">
      <formula>AND(B$9&gt;=14/24,B$9&lt;20/24)</formula>
    </cfRule>
    <cfRule type="expression" dxfId="1892" priority="28">
      <formula>AND(B$9&gt;=8/24,B$9&lt;14/24)</formula>
    </cfRule>
    <cfRule type="expression" dxfId="1891" priority="29">
      <formula>B$9&lt;8/24</formula>
    </cfRule>
  </conditionalFormatting>
  <conditionalFormatting sqref="B53:AF54">
    <cfRule type="expression" dxfId="1890" priority="11">
      <formula>B$9&gt;=20/24</formula>
    </cfRule>
    <cfRule type="expression" dxfId="1889" priority="12">
      <formula>AND(B$9&gt;=14/24,B$9&lt;20/24)</formula>
    </cfRule>
    <cfRule type="expression" dxfId="1888" priority="13">
      <formula>AND(B$9&gt;=8/24,B$9&lt;14/24)</formula>
    </cfRule>
  </conditionalFormatting>
  <conditionalFormatting sqref="B55:AF57">
    <cfRule type="expression" dxfId="1887" priority="33">
      <formula>AND(B$9&gt;=8/24,B$9&lt;14/24)</formula>
    </cfRule>
    <cfRule type="expression" dxfId="1886" priority="31">
      <formula>B$9&gt;=20/24</formula>
    </cfRule>
    <cfRule type="expression" dxfId="1885" priority="32">
      <formula>AND(B$9&gt;=14/24,B$9&lt;20/24)</formula>
    </cfRule>
  </conditionalFormatting>
  <conditionalFormatting sqref="B56:AF61">
    <cfRule type="expression" dxfId="1884" priority="30">
      <formula>B56&gt;$AG56</formula>
    </cfRule>
  </conditionalFormatting>
  <conditionalFormatting sqref="B59:AF61">
    <cfRule type="expression" dxfId="1883" priority="41">
      <formula>B$9&gt;=20/24</formula>
    </cfRule>
    <cfRule type="expression" dxfId="1882" priority="42">
      <formula>AND(B$9&gt;=14/24,B$9&lt;20/24)</formula>
    </cfRule>
    <cfRule type="expression" dxfId="1881" priority="43">
      <formula>AND(B$9&gt;=8/24,B$9&lt;14/24)</formula>
    </cfRule>
    <cfRule type="expression" dxfId="1880" priority="44">
      <formula>B$9&lt;8/24</formula>
    </cfRule>
  </conditionalFormatting>
  <conditionalFormatting sqref="B63:AF74">
    <cfRule type="expression" dxfId="1879" priority="20">
      <formula>B63&gt;$AG63</formula>
    </cfRule>
  </conditionalFormatting>
  <conditionalFormatting sqref="B77:AF79">
    <cfRule type="expression" dxfId="1878" priority="47">
      <formula>AND(B$9&gt;=14/24,B$9&lt;20/24)</formula>
    </cfRule>
    <cfRule type="expression" dxfId="1877" priority="45">
      <formula>B77&gt;$AG77</formula>
    </cfRule>
    <cfRule type="expression" dxfId="1876" priority="46">
      <formula>B$9&gt;=20/24</formula>
    </cfRule>
    <cfRule type="expression" dxfId="1875" priority="48">
      <formula>AND(B$9&gt;=8/24,B$9&lt;14/24)</formula>
    </cfRule>
    <cfRule type="expression" dxfId="1874" priority="49">
      <formula>B$9&lt;8/24</formula>
    </cfRule>
  </conditionalFormatting>
  <conditionalFormatting sqref="B81:AF99">
    <cfRule type="expression" dxfId="1873" priority="19">
      <formula>B$9&lt;8/24</formula>
    </cfRule>
    <cfRule type="expression" dxfId="1872" priority="18">
      <formula>AND(B$9&gt;=8/24,B$9&lt;14/24)</formula>
    </cfRule>
    <cfRule type="expression" dxfId="1871" priority="16">
      <formula>B$9&gt;=20/24</formula>
    </cfRule>
    <cfRule type="expression" dxfId="1870" priority="17">
      <formula>AND(B$9&gt;=14/24,B$9&lt;20/24)</formula>
    </cfRule>
  </conditionalFormatting>
  <conditionalFormatting sqref="B101:AF117">
    <cfRule type="expression" dxfId="1869" priority="7">
      <formula>B$9&gt;=20/24</formula>
    </cfRule>
    <cfRule type="expression" dxfId="1868" priority="8">
      <formula>AND(B$9&gt;=14/24,B$9&lt;20/24)</formula>
    </cfRule>
    <cfRule type="expression" dxfId="1867" priority="10">
      <formula>B$9&lt;8/24</formula>
    </cfRule>
    <cfRule type="expression" dxfId="1866" priority="9">
      <formula>AND(B$9&gt;=8/24,B$9&lt;14/24)</formula>
    </cfRule>
  </conditionalFormatting>
  <conditionalFormatting sqref="B119:AF137">
    <cfRule type="expression" dxfId="1865" priority="3">
      <formula>AND(B$9&gt;=14/24,B$9&lt;20/24)</formula>
    </cfRule>
    <cfRule type="expression" dxfId="1864" priority="4">
      <formula>AND(B$9&gt;=8/24,B$9&lt;14/24)</formula>
    </cfRule>
    <cfRule type="expression" dxfId="1863" priority="5">
      <formula>B$9&lt;8/24</formula>
    </cfRule>
    <cfRule type="expression" dxfId="1862" priority="2">
      <formula>B$9&gt;=20/24</formula>
    </cfRule>
  </conditionalFormatting>
  <conditionalFormatting sqref="B244:AF244 B246:B252 D246:AF252 U260:AF260">
    <cfRule type="expression" dxfId="1861" priority="110">
      <formula>B$9&lt;8/24</formula>
    </cfRule>
    <cfRule type="expression" dxfId="1860" priority="109">
      <formula>AND(B$9&gt;=8/24,B$9&lt;14/24)</formula>
    </cfRule>
    <cfRule type="expression" dxfId="1859" priority="108">
      <formula>AND(B$9&gt;=14/24,B$9&lt;20/24)</formula>
    </cfRule>
    <cfRule type="expression" dxfId="1858" priority="107">
      <formula>B$9&gt;=20/24</formula>
    </cfRule>
  </conditionalFormatting>
  <conditionalFormatting sqref="B62:AG62">
    <cfRule type="expression" dxfId="1857" priority="50">
      <formula>B62&gt;$AG62</formula>
    </cfRule>
    <cfRule type="expression" dxfId="1856" priority="51">
      <formula>B$9&gt;=20/24</formula>
    </cfRule>
    <cfRule type="expression" dxfId="1855" priority="52">
      <formula>AND(B$9&gt;=14/24,B$9&lt;20/24)</formula>
    </cfRule>
    <cfRule type="expression" dxfId="1854" priority="53">
      <formula>AND(B$9&gt;=8/24,B$9&lt;14/24)</formula>
    </cfRule>
    <cfRule type="expression" dxfId="1853" priority="54">
      <formula>B$9&lt;8/24</formula>
    </cfRule>
  </conditionalFormatting>
  <conditionalFormatting sqref="B75:AG76 B80:AG80">
    <cfRule type="expression" dxfId="1852" priority="36">
      <formula>B75&gt;$AG75</formula>
    </cfRule>
  </conditionalFormatting>
  <conditionalFormatting sqref="B80:AG80">
    <cfRule type="expression" dxfId="1851" priority="37">
      <formula>B$9&gt;=20/24</formula>
    </cfRule>
    <cfRule type="expression" dxfId="1850" priority="40">
      <formula>B$9&lt;8/24</formula>
    </cfRule>
    <cfRule type="expression" dxfId="1849" priority="39">
      <formula>AND(B$9&gt;=8/24,B$9&lt;14/24)</formula>
    </cfRule>
    <cfRule type="expression" dxfId="1848" priority="38">
      <formula>AND(B$9&gt;=14/24,B$9&lt;20/24)</formula>
    </cfRule>
  </conditionalFormatting>
  <conditionalFormatting sqref="F63:L65">
    <cfRule type="expression" dxfId="1847" priority="91">
      <formula>F$9&lt;8/24</formula>
    </cfRule>
    <cfRule type="expression" dxfId="1846" priority="90">
      <formula>AND(F$9&gt;=8/24,F$9&lt;14/24)</formula>
    </cfRule>
    <cfRule type="expression" dxfId="1845" priority="89">
      <formula>AND(F$9&gt;=14/24,F$9&lt;20/24)</formula>
    </cfRule>
    <cfRule type="expression" dxfId="1844" priority="88">
      <formula>F$9&gt;=20/24</formula>
    </cfRule>
  </conditionalFormatting>
  <conditionalFormatting sqref="F68:T68">
    <cfRule type="expression" dxfId="1843" priority="65">
      <formula>F$9&gt;=20/24</formula>
    </cfRule>
    <cfRule type="expression" dxfId="1842" priority="66">
      <formula>AND(F$9&gt;=14/24,F$9&lt;20/24)</formula>
    </cfRule>
    <cfRule type="expression" dxfId="1841" priority="67">
      <formula>AND(F$9&gt;=8/24,F$9&lt;14/24)</formula>
    </cfRule>
    <cfRule type="expression" dxfId="1840" priority="68">
      <formula>F$9&lt;8/24</formula>
    </cfRule>
  </conditionalFormatting>
  <conditionalFormatting sqref="F69:AF74">
    <cfRule type="expression" dxfId="1839" priority="55">
      <formula>F$9&gt;=20/24</formula>
    </cfRule>
    <cfRule type="expression" dxfId="1838" priority="56">
      <formula>AND(F$9&gt;=14/24,F$9&lt;20/24)</formula>
    </cfRule>
    <cfRule type="expression" dxfId="1837" priority="57">
      <formula>AND(F$9&gt;=8/24,F$9&lt;14/24)</formula>
    </cfRule>
    <cfRule type="expression" dxfId="1836" priority="58">
      <formula>F$9&lt;8/24</formula>
    </cfRule>
  </conditionalFormatting>
  <conditionalFormatting sqref="M63:T67">
    <cfRule type="expression" dxfId="1835" priority="93">
      <formula>AND(M$9&gt;=14/24,M$9&lt;20/24)</formula>
    </cfRule>
    <cfRule type="expression" dxfId="1834" priority="92">
      <formula>M$9&gt;=20/24</formula>
    </cfRule>
    <cfRule type="expression" dxfId="1833" priority="94">
      <formula>AND(M$9&gt;=8/24,M$9&lt;14/24)</formula>
    </cfRule>
    <cfRule type="expression" dxfId="1832" priority="95">
      <formula>M$9&lt;8/24</formula>
    </cfRule>
  </conditionalFormatting>
  <conditionalFormatting sqref="M11:AF52">
    <cfRule type="expression" dxfId="1831" priority="25">
      <formula>M11&gt;$AG11</formula>
    </cfRule>
  </conditionalFormatting>
  <conditionalFormatting sqref="M53:AF55">
    <cfRule type="expression" dxfId="1830" priority="64">
      <formula>M53&gt;$AG53</formula>
    </cfRule>
  </conditionalFormatting>
  <conditionalFormatting sqref="M53:AF57">
    <cfRule type="expression" dxfId="1829" priority="63">
      <formula>M$9&lt;8/24</formula>
    </cfRule>
  </conditionalFormatting>
  <conditionalFormatting sqref="O3:P3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1828" priority="113">
      <formula>C$9&gt;=20/24</formula>
    </cfRule>
  </conditionalFormatting>
  <conditionalFormatting sqref="S8">
    <cfRule type="expression" dxfId="1827" priority="101">
      <formula>AND(U$9&gt;=14/24,U$9&lt;20/24)</formula>
    </cfRule>
    <cfRule type="expression" dxfId="1826" priority="103">
      <formula>U$9&lt;8/24</formula>
    </cfRule>
    <cfRule type="expression" dxfId="1825" priority="102">
      <formula>AND(U$9&gt;=8/24,U$9&lt;14/24)</formula>
    </cfRule>
    <cfRule type="expression" dxfId="1824" priority="100">
      <formula>U$9&gt;=20/24</formula>
    </cfRule>
  </conditionalFormatting>
  <conditionalFormatting sqref="S63:AF68">
    <cfRule type="expression" dxfId="1823" priority="59">
      <formula>S$9&gt;=20/24</formula>
    </cfRule>
    <cfRule type="expression" dxfId="1822" priority="60">
      <formula>AND(S$9&gt;=14/24,S$9&lt;20/24)</formula>
    </cfRule>
    <cfRule type="expression" dxfId="1821" priority="62">
      <formula>S$9&lt;8/24</formula>
    </cfRule>
    <cfRule type="expression" dxfId="1820" priority="61">
      <formula>AND(S$9&gt;=8/24,S$9&lt;14/24)</formula>
    </cfRule>
  </conditionalFormatting>
  <conditionalFormatting sqref="T260">
    <cfRule type="expression" dxfId="1819" priority="128">
      <formula>AX$9&lt;8/24</formula>
    </cfRule>
    <cfRule type="expression" dxfId="1818" priority="125">
      <formula>AX$9&gt;=20/24</formula>
    </cfRule>
    <cfRule type="expression" dxfId="1817" priority="126">
      <formula>AND(AX$9&gt;=14/24,AX$9&lt;20/24)</formula>
    </cfRule>
    <cfRule type="expression" dxfId="1816" priority="127">
      <formula>AND(AX$9&gt;=8/24,AX$9&lt;14/24)</formula>
    </cfRule>
  </conditionalFormatting>
  <conditionalFormatting sqref="V3 AB3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1815" priority="96">
      <formula>AD$9&gt;=20/24</formula>
    </cfRule>
    <cfRule type="expression" dxfId="1814" priority="97">
      <formula>AND(AD$9&gt;=14/24,AD$9&lt;20/24)</formula>
    </cfRule>
    <cfRule type="expression" dxfId="1813" priority="98">
      <formula>AND(AD$9&gt;=8/24,AD$9&lt;14/24)</formula>
    </cfRule>
    <cfRule type="expression" dxfId="1812" priority="99">
      <formula>AD$9&lt;8/24</formula>
    </cfRule>
  </conditionalFormatting>
  <conditionalFormatting sqref="AG58">
    <cfRule type="expression" dxfId="1811" priority="83">
      <formula>AG58&gt;$AG58</formula>
    </cfRule>
  </conditionalFormatting>
  <conditionalFormatting sqref="AG97">
    <cfRule type="expression" dxfId="1810" priority="84">
      <formula>AG$9&gt;=20/24</formula>
    </cfRule>
    <cfRule type="expression" dxfId="1809" priority="85">
      <formula>AND(AG$9&gt;=14/24,AG$9&lt;20/24)</formula>
    </cfRule>
    <cfRule type="expression" dxfId="1808" priority="87">
      <formula>AG$9&lt;8/24</formula>
    </cfRule>
    <cfRule type="expression" dxfId="1807" priority="86">
      <formula>AND(AG$9&gt;=8/24,AG$9&lt;14/24)</formula>
    </cfRule>
  </conditionalFormatting>
  <conditionalFormatting sqref="AG260">
    <cfRule type="expression" dxfId="1806" priority="120">
      <formula>B$9&lt;8/24</formula>
    </cfRule>
    <cfRule type="expression" dxfId="1805" priority="117">
      <formula>B$9&gt;=20/24</formula>
    </cfRule>
    <cfRule type="expression" dxfId="1804" priority="118">
      <formula>AND(B$9&gt;=14/24,B$9&lt;20/24)</formula>
    </cfRule>
    <cfRule type="expression" dxfId="1803" priority="119">
      <formula>AND(B$9&gt;=8/24,B$9&lt;14/24)</formula>
    </cfRule>
  </conditionalFormatting>
  <conditionalFormatting sqref="AH260:AX260">
    <cfRule type="expression" dxfId="1802" priority="121">
      <formula>AG$9&gt;=20/24</formula>
    </cfRule>
    <cfRule type="expression" dxfId="1801" priority="122">
      <formula>AND(AG$9&gt;=14/24,AG$9&lt;20/24)</formula>
    </cfRule>
    <cfRule type="expression" dxfId="1800" priority="123">
      <formula>AND(AG$9&gt;=8/24,AG$9&lt;14/24)</formula>
    </cfRule>
    <cfRule type="expression" dxfId="1799" priority="124">
      <formula>AG$9&lt;8/24</formula>
    </cfRule>
  </conditionalFormatting>
  <conditionalFormatting sqref="AL4:AL6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19:AL20">
    <cfRule type="iconSet" priority="71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8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70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8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82">
      <iconSet iconSet="3TrafficLights2" reverse="1">
        <cfvo type="percent" val="0"/>
        <cfvo type="num" val="1"/>
        <cfvo type="num" val="1"/>
      </iconSet>
    </cfRule>
  </conditionalFormatting>
  <conditionalFormatting sqref="AL48 AL45:AL46 AL21:AL24 AL7:AL18 AL26:AL37 AL39:AL43 AL54:AL55">
    <cfRule type="iconSet" priority="129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04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69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1798" priority="130">
      <formula>AJ$9&gt;=20/24</formula>
    </cfRule>
    <cfRule type="expression" dxfId="1797" priority="131">
      <formula>AND(AJ$9&gt;=14/24,AJ$9&lt;20/24)</formula>
    </cfRule>
    <cfRule type="expression" dxfId="1796" priority="132">
      <formula>AND(AJ$9&gt;=8/24,AJ$9&lt;14/24)</formula>
    </cfRule>
    <cfRule type="expression" dxfId="1795" priority="133">
      <formula>AJ$9&lt;8/24</formula>
    </cfRule>
  </conditionalFormatting>
  <conditionalFormatting sqref="AL88:AN88 AL94:AN94">
    <cfRule type="expression" dxfId="1794" priority="79">
      <formula>AL$9&lt;8/24</formula>
    </cfRule>
    <cfRule type="expression" dxfId="1793" priority="78">
      <formula>AND(AL$9&gt;=8/24,AL$9&lt;14/24)</formula>
    </cfRule>
    <cfRule type="expression" dxfId="1792" priority="76">
      <formula>AL$9&gt;=20/24</formula>
    </cfRule>
    <cfRule type="expression" dxfId="1791" priority="77">
      <formula>AND(AL$9&gt;=14/24,AL$9&lt;20/24)</formula>
    </cfRule>
  </conditionalFormatting>
  <conditionalFormatting sqref="AN89:AN92">
    <cfRule type="expression" dxfId="1790" priority="75">
      <formula>AN$9&lt;8/24</formula>
    </cfRule>
    <cfRule type="expression" dxfId="1789" priority="74">
      <formula>AND(AN$9&gt;=8/24,AN$9&lt;14/24)</formula>
    </cfRule>
    <cfRule type="expression" dxfId="1788" priority="73">
      <formula>AND(AN$9&gt;=14/24,AN$9&lt;20/24)</formula>
    </cfRule>
    <cfRule type="expression" dxfId="1787" priority="72">
      <formula>AN$9&gt;=20/24</formula>
    </cfRule>
  </conditionalFormatting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84130-18AA-4A12-89B6-9CF6FF778A2F}">
  <sheetPr codeName="Sheet12"/>
  <dimension ref="A1:CJ293"/>
  <sheetViews>
    <sheetView zoomScale="106" workbookViewId="0">
      <pane xSplit="1" ySplit="10" topLeftCell="K74" activePane="bottomRight" state="frozen"/>
      <selection activeCell="P118" sqref="P118"/>
      <selection pane="topRight" activeCell="P118" sqref="P118"/>
      <selection pane="bottomLeft" activeCell="P118" sqref="P118"/>
      <selection pane="bottomRight" activeCell="S85" sqref="S85:U85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hidden="1" customHeight="1" thickBot="1" x14ac:dyDescent="0.3">
      <c r="A1" s="275" t="s">
        <v>0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  <c r="AD1" s="275"/>
      <c r="AE1" s="275"/>
      <c r="AF1" s="275"/>
      <c r="AG1" s="276" t="s">
        <v>1</v>
      </c>
      <c r="AH1" s="276"/>
      <c r="AI1" s="276"/>
      <c r="AL1" s="2"/>
    </row>
    <row r="2" spans="1:88" ht="20.25" hidden="1" x14ac:dyDescent="0.25">
      <c r="A2" s="3"/>
      <c r="B2" s="277" t="s">
        <v>2</v>
      </c>
      <c r="C2" s="4"/>
      <c r="D2" s="279" t="s">
        <v>3</v>
      </c>
      <c r="E2" s="4"/>
      <c r="F2" s="279" t="s">
        <v>4</v>
      </c>
      <c r="G2" s="4"/>
      <c r="H2" s="279" t="s">
        <v>5</v>
      </c>
      <c r="I2" s="5"/>
      <c r="J2" s="281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78"/>
      <c r="C3" s="16"/>
      <c r="D3" s="280"/>
      <c r="E3" s="16"/>
      <c r="F3" s="280"/>
      <c r="G3" s="16"/>
      <c r="H3" s="280"/>
      <c r="I3" s="17"/>
      <c r="J3" s="281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70" t="str">
        <f ca="1">"2080/"&amp;"10/"&amp;INT(MID(CELL("filename",D6),FIND("]",CELL("filename",D6))+1,200))</f>
        <v>2080/10/11</v>
      </c>
      <c r="C4" s="270"/>
      <c r="D4" s="270"/>
      <c r="E4" s="271" t="str">
        <f ca="1">"2080/"&amp;"10/"&amp;INT(MID(CELL("filename",G6),FIND("]",CELL("filename",G6))+1,200))</f>
        <v>2080/10/11</v>
      </c>
      <c r="F4" s="271"/>
      <c r="G4" s="271"/>
      <c r="H4" s="271" t="str">
        <f ca="1">TEXT(E4,"dddd")</f>
        <v>Friday</v>
      </c>
      <c r="I4" s="271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C92</f>
        <v>504.6</v>
      </c>
      <c r="C5" s="30">
        <f t="shared" si="0"/>
        <v>454.3</v>
      </c>
      <c r="D5" s="30">
        <f t="shared" si="0"/>
        <v>472.6</v>
      </c>
      <c r="E5" s="30">
        <f t="shared" si="0"/>
        <v>459</v>
      </c>
      <c r="F5" s="30">
        <f t="shared" si="0"/>
        <v>469</v>
      </c>
      <c r="G5" s="30">
        <f t="shared" si="0"/>
        <v>524</v>
      </c>
      <c r="H5" s="30">
        <f t="shared" si="0"/>
        <v>497.1</v>
      </c>
      <c r="I5" s="30">
        <f t="shared" si="0"/>
        <v>514</v>
      </c>
      <c r="J5" s="30">
        <f t="shared" si="0"/>
        <v>284.89999999999998</v>
      </c>
      <c r="K5" s="30">
        <f t="shared" si="0"/>
        <v>222.7</v>
      </c>
      <c r="L5" s="30">
        <f t="shared" si="0"/>
        <v>177.9</v>
      </c>
      <c r="M5" s="30">
        <f t="shared" si="0"/>
        <v>224.10000000000002</v>
      </c>
      <c r="N5" s="30">
        <f t="shared" si="0"/>
        <v>338.8</v>
      </c>
      <c r="O5" s="30">
        <f t="shared" si="0"/>
        <v>390.1</v>
      </c>
      <c r="P5" s="30">
        <f t="shared" si="0"/>
        <v>572</v>
      </c>
      <c r="Q5" s="30">
        <f t="shared" si="0"/>
        <v>648.29999999999995</v>
      </c>
      <c r="R5" s="30">
        <f t="shared" si="0"/>
        <v>735.5</v>
      </c>
      <c r="S5" s="30">
        <f t="shared" si="0"/>
        <v>746.8</v>
      </c>
      <c r="T5" s="30">
        <f t="shared" si="0"/>
        <v>741.5</v>
      </c>
      <c r="U5" s="30">
        <f t="shared" si="0"/>
        <v>400.7</v>
      </c>
      <c r="V5" s="30">
        <f t="shared" si="0"/>
        <v>352.70000000000005</v>
      </c>
      <c r="W5" s="30">
        <f t="shared" si="0"/>
        <v>276.7</v>
      </c>
      <c r="X5" s="30">
        <f t="shared" si="0"/>
        <v>328</v>
      </c>
      <c r="Y5" s="30">
        <f t="shared" si="0"/>
        <v>302.89999999999998</v>
      </c>
      <c r="Z5" s="30">
        <f t="shared" si="0"/>
        <v>507</v>
      </c>
      <c r="AA5" s="30">
        <f t="shared" si="0"/>
        <v>459</v>
      </c>
      <c r="AB5" s="30">
        <f t="shared" si="0"/>
        <v>416.5</v>
      </c>
      <c r="AC5" s="30">
        <f t="shared" si="0"/>
        <v>426.3</v>
      </c>
      <c r="AD5" s="30">
        <f t="shared" si="0"/>
        <v>521.70000000000005</v>
      </c>
      <c r="AE5" s="30">
        <f t="shared" si="0"/>
        <v>530.70000000000005</v>
      </c>
      <c r="AF5" s="30">
        <f>B92</f>
        <v>522.29999999999995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1862MW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Load=1124</v>
      </c>
      <c r="B7" s="35">
        <f>B100</f>
        <v>1193.7800000000002</v>
      </c>
      <c r="C7" s="35">
        <f t="shared" ref="C7:AF7" si="1">C100</f>
        <v>1175.0800000000002</v>
      </c>
      <c r="D7" s="35">
        <f t="shared" si="1"/>
        <v>1123.7800000000002</v>
      </c>
      <c r="E7" s="35">
        <f t="shared" si="1"/>
        <v>1148.74</v>
      </c>
      <c r="F7" s="35">
        <f t="shared" si="1"/>
        <v>1153.8399999999999</v>
      </c>
      <c r="G7" s="35">
        <f t="shared" si="1"/>
        <v>1226.2399999999998</v>
      </c>
      <c r="H7" s="35">
        <f t="shared" si="1"/>
        <v>1316.34</v>
      </c>
      <c r="I7" s="35">
        <f t="shared" si="1"/>
        <v>1394.94</v>
      </c>
      <c r="J7" s="35">
        <f t="shared" si="1"/>
        <v>1520.4399999999998</v>
      </c>
      <c r="K7" s="35">
        <f t="shared" si="1"/>
        <v>1711.77</v>
      </c>
      <c r="L7" s="35">
        <f t="shared" si="1"/>
        <v>1821.24</v>
      </c>
      <c r="M7" s="35">
        <f t="shared" si="1"/>
        <v>1862.1399999999999</v>
      </c>
      <c r="N7" s="35">
        <f t="shared" si="1"/>
        <v>1793.94</v>
      </c>
      <c r="O7" s="35">
        <f t="shared" si="1"/>
        <v>1721.5399999999997</v>
      </c>
      <c r="P7" s="35">
        <f t="shared" si="1"/>
        <v>1684.7399999999998</v>
      </c>
      <c r="Q7" s="35">
        <f t="shared" si="1"/>
        <v>1623.7399999999998</v>
      </c>
      <c r="R7" s="35">
        <f t="shared" si="1"/>
        <v>1571.6399999999999</v>
      </c>
      <c r="S7" s="35">
        <f t="shared" si="1"/>
        <v>1520.54</v>
      </c>
      <c r="T7" s="35">
        <f t="shared" si="1"/>
        <v>1527.3399999999997</v>
      </c>
      <c r="U7" s="35">
        <f t="shared" si="1"/>
        <v>1528.84</v>
      </c>
      <c r="V7" s="35">
        <f t="shared" si="1"/>
        <v>1524.0399999999997</v>
      </c>
      <c r="W7" s="35">
        <f t="shared" si="1"/>
        <v>1661.54</v>
      </c>
      <c r="X7" s="35">
        <f t="shared" si="1"/>
        <v>1904.04</v>
      </c>
      <c r="Y7" s="35">
        <f t="shared" si="1"/>
        <v>1999.34</v>
      </c>
      <c r="Z7" s="35">
        <f t="shared" si="1"/>
        <v>1974.2399999999998</v>
      </c>
      <c r="AA7" s="35">
        <f t="shared" si="1"/>
        <v>1964.34</v>
      </c>
      <c r="AB7" s="35">
        <f t="shared" si="1"/>
        <v>1880.8400000000001</v>
      </c>
      <c r="AC7" s="35">
        <f t="shared" si="1"/>
        <v>1817.74</v>
      </c>
      <c r="AD7" s="35">
        <f t="shared" si="1"/>
        <v>1725.9400000000003</v>
      </c>
      <c r="AE7" s="35">
        <f t="shared" si="1"/>
        <v>1438.54</v>
      </c>
      <c r="AF7" s="35">
        <f t="shared" si="1"/>
        <v>1315.34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72" t="s">
        <v>14</v>
      </c>
      <c r="C8" s="273"/>
      <c r="D8" s="273"/>
      <c r="E8" s="273"/>
      <c r="F8" s="273"/>
      <c r="G8" s="273"/>
      <c r="H8" s="273"/>
      <c r="I8" s="273"/>
      <c r="J8" s="273"/>
      <c r="K8" s="273"/>
      <c r="L8" s="274"/>
      <c r="M8" s="265" t="s">
        <v>15</v>
      </c>
      <c r="N8" s="266"/>
      <c r="O8" s="266"/>
      <c r="P8" s="266"/>
      <c r="Q8" s="266"/>
      <c r="R8" s="267"/>
      <c r="S8" s="265" t="s">
        <v>16</v>
      </c>
      <c r="T8" s="266"/>
      <c r="U8" s="266"/>
      <c r="V8" s="266"/>
      <c r="W8" s="266"/>
      <c r="X8" s="266"/>
      <c r="Y8" s="266"/>
      <c r="Z8" s="266"/>
      <c r="AA8" s="267"/>
      <c r="AB8" s="265" t="s">
        <v>17</v>
      </c>
      <c r="AC8" s="266"/>
      <c r="AD8" s="266"/>
      <c r="AE8" s="266"/>
      <c r="AF8" s="267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68" t="s">
        <v>18</v>
      </c>
      <c r="B9" s="264">
        <v>0</v>
      </c>
      <c r="C9" s="264">
        <v>4.1666666666666664E-2</v>
      </c>
      <c r="D9" s="264">
        <v>8.3333333333333301E-2</v>
      </c>
      <c r="E9" s="264">
        <v>0.125</v>
      </c>
      <c r="F9" s="264">
        <v>0.16666666666666699</v>
      </c>
      <c r="G9" s="264">
        <v>0.20833333333333301</v>
      </c>
      <c r="H9" s="264">
        <v>0.22916666666666666</v>
      </c>
      <c r="I9" s="264">
        <v>0.25</v>
      </c>
      <c r="J9" s="264">
        <v>0.27083333333333331</v>
      </c>
      <c r="K9" s="264">
        <v>0.29166666666666669</v>
      </c>
      <c r="L9" s="264">
        <v>0.3125</v>
      </c>
      <c r="M9" s="262">
        <v>0.33333333333333331</v>
      </c>
      <c r="N9" s="262">
        <v>0.375</v>
      </c>
      <c r="O9" s="262">
        <v>0.41666666666666702</v>
      </c>
      <c r="P9" s="262">
        <v>0.45833333333333298</v>
      </c>
      <c r="Q9" s="262">
        <v>0.5</v>
      </c>
      <c r="R9" s="262">
        <v>0.54166666666666696</v>
      </c>
      <c r="S9" s="258">
        <v>0.58333333333333304</v>
      </c>
      <c r="T9" s="258">
        <v>0.625</v>
      </c>
      <c r="U9" s="258">
        <v>0.66666666666666696</v>
      </c>
      <c r="V9" s="258">
        <v>0.70833333333333304</v>
      </c>
      <c r="W9" s="258">
        <v>0.72916666666666663</v>
      </c>
      <c r="X9" s="258">
        <v>0.75</v>
      </c>
      <c r="Y9" s="258">
        <v>0.77083333333333337</v>
      </c>
      <c r="Z9" s="258">
        <v>0.79166666666666663</v>
      </c>
      <c r="AA9" s="258">
        <v>0.8125</v>
      </c>
      <c r="AB9" s="258">
        <v>0.83333333333333337</v>
      </c>
      <c r="AC9" s="258">
        <v>0.85416666666666663</v>
      </c>
      <c r="AD9" s="258">
        <v>0.875</v>
      </c>
      <c r="AE9" s="258">
        <v>0.91666666666666696</v>
      </c>
      <c r="AF9" s="258">
        <v>0.95833333333333304</v>
      </c>
      <c r="AG9" s="260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69"/>
      <c r="B10" s="259"/>
      <c r="C10" s="259"/>
      <c r="D10" s="259"/>
      <c r="E10" s="259"/>
      <c r="F10" s="259"/>
      <c r="G10" s="259"/>
      <c r="H10" s="259"/>
      <c r="I10" s="259"/>
      <c r="J10" s="259"/>
      <c r="K10" s="259"/>
      <c r="L10" s="259"/>
      <c r="M10" s="263"/>
      <c r="N10" s="263"/>
      <c r="O10" s="263"/>
      <c r="P10" s="263"/>
      <c r="Q10" s="263"/>
      <c r="R10" s="263"/>
      <c r="S10" s="259"/>
      <c r="T10" s="259"/>
      <c r="U10" s="259"/>
      <c r="V10" s="259"/>
      <c r="W10" s="259"/>
      <c r="X10" s="259"/>
      <c r="Y10" s="259"/>
      <c r="Z10" s="259"/>
      <c r="AA10" s="259"/>
      <c r="AB10" s="259"/>
      <c r="AC10" s="259"/>
      <c r="AD10" s="259"/>
      <c r="AE10" s="259"/>
      <c r="AF10" s="259"/>
      <c r="AG10" s="261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32.799999999999997</v>
      </c>
      <c r="C11" s="45">
        <v>32.799999999999997</v>
      </c>
      <c r="D11" s="45">
        <v>32.799999999999997</v>
      </c>
      <c r="E11" s="45">
        <v>30.7</v>
      </c>
      <c r="F11" s="45">
        <v>30.7</v>
      </c>
      <c r="G11" s="45">
        <v>30.7</v>
      </c>
      <c r="H11" s="45">
        <v>28.2</v>
      </c>
      <c r="I11" s="45">
        <v>28.2</v>
      </c>
      <c r="J11" s="45">
        <v>28.2</v>
      </c>
      <c r="K11" s="45">
        <v>28.2</v>
      </c>
      <c r="L11" s="45">
        <v>28.2</v>
      </c>
      <c r="M11" s="45">
        <v>32</v>
      </c>
      <c r="N11" s="45">
        <v>32</v>
      </c>
      <c r="O11" s="45">
        <v>32</v>
      </c>
      <c r="P11" s="45">
        <v>32</v>
      </c>
      <c r="Q11" s="45">
        <v>32</v>
      </c>
      <c r="R11" s="45">
        <v>32</v>
      </c>
      <c r="S11" s="45">
        <v>32</v>
      </c>
      <c r="T11" s="45">
        <v>32</v>
      </c>
      <c r="U11" s="45">
        <v>32</v>
      </c>
      <c r="V11" s="45">
        <v>32</v>
      </c>
      <c r="W11" s="45">
        <v>32</v>
      </c>
      <c r="X11" s="45">
        <v>32</v>
      </c>
      <c r="Y11" s="45">
        <v>32</v>
      </c>
      <c r="Z11" s="45">
        <v>32</v>
      </c>
      <c r="AA11" s="45">
        <v>32</v>
      </c>
      <c r="AB11" s="45">
        <v>31.3</v>
      </c>
      <c r="AC11" s="45">
        <v>32.1</v>
      </c>
      <c r="AD11" s="45">
        <v>33.299999999999997</v>
      </c>
      <c r="AE11" s="45">
        <v>32.799999999999997</v>
      </c>
      <c r="AF11" s="45">
        <v>30.7</v>
      </c>
      <c r="AG11" s="46">
        <v>86</v>
      </c>
      <c r="AH11" s="47">
        <f t="shared" ref="AH11:AH84" si="2">MAX(B11:AF11)</f>
        <v>33.299999999999997</v>
      </c>
      <c r="AI11" s="48">
        <f t="shared" ref="AI11:AI84" si="3">MIN(B11:AF11)</f>
        <v>28.2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262</v>
      </c>
      <c r="B12" s="45">
        <v>11.1</v>
      </c>
      <c r="C12" s="45">
        <v>11.1</v>
      </c>
      <c r="D12" s="45">
        <v>11.1</v>
      </c>
      <c r="E12" s="45">
        <v>11.1</v>
      </c>
      <c r="F12" s="45">
        <v>11.1</v>
      </c>
      <c r="G12" s="45">
        <v>11.1</v>
      </c>
      <c r="H12" s="45">
        <v>11.1</v>
      </c>
      <c r="I12" s="45">
        <v>11.1</v>
      </c>
      <c r="J12" s="45">
        <v>11.1</v>
      </c>
      <c r="K12" s="45">
        <v>11.1</v>
      </c>
      <c r="L12" s="45">
        <v>11.1</v>
      </c>
      <c r="M12" s="45">
        <v>11.1</v>
      </c>
      <c r="N12" s="45">
        <v>11.1</v>
      </c>
      <c r="O12" s="45">
        <v>11.1</v>
      </c>
      <c r="P12" s="45">
        <v>11.1</v>
      </c>
      <c r="Q12" s="45">
        <v>11.1</v>
      </c>
      <c r="R12" s="45">
        <v>11.1</v>
      </c>
      <c r="S12" s="45">
        <v>11.1</v>
      </c>
      <c r="T12" s="45">
        <v>11.1</v>
      </c>
      <c r="U12" s="45">
        <v>11.1</v>
      </c>
      <c r="V12" s="45">
        <v>11.1</v>
      </c>
      <c r="W12" s="45">
        <v>11.1</v>
      </c>
      <c r="X12" s="45">
        <v>11.1</v>
      </c>
      <c r="Y12" s="45">
        <v>11.1</v>
      </c>
      <c r="Z12" s="45">
        <v>11.1</v>
      </c>
      <c r="AA12" s="45">
        <v>11.1</v>
      </c>
      <c r="AB12" s="45">
        <v>11.1</v>
      </c>
      <c r="AC12" s="45">
        <v>11.1</v>
      </c>
      <c r="AD12" s="45">
        <v>11.1</v>
      </c>
      <c r="AE12" s="45">
        <v>11.1</v>
      </c>
      <c r="AF12" s="45">
        <v>11.1</v>
      </c>
      <c r="AG12" s="49">
        <v>54</v>
      </c>
      <c r="AH12" s="47">
        <f t="shared" si="2"/>
        <v>11.1</v>
      </c>
      <c r="AI12" s="48">
        <f t="shared" si="3"/>
        <v>11.1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15.5</v>
      </c>
      <c r="C13" s="45">
        <v>15.5</v>
      </c>
      <c r="D13" s="45">
        <v>15.5</v>
      </c>
      <c r="E13" s="45">
        <v>15.5</v>
      </c>
      <c r="F13" s="45">
        <v>15.5</v>
      </c>
      <c r="G13" s="45">
        <v>15.5</v>
      </c>
      <c r="H13" s="45">
        <v>15.5</v>
      </c>
      <c r="I13" s="45">
        <v>15.5</v>
      </c>
      <c r="J13" s="45">
        <v>15.5</v>
      </c>
      <c r="K13" s="45">
        <v>15.5</v>
      </c>
      <c r="L13" s="45">
        <v>15.5</v>
      </c>
      <c r="M13" s="45">
        <v>15.5</v>
      </c>
      <c r="N13" s="45">
        <v>15.5</v>
      </c>
      <c r="O13" s="45">
        <v>15.5</v>
      </c>
      <c r="P13" s="45">
        <v>15.5</v>
      </c>
      <c r="Q13" s="45">
        <v>15.5</v>
      </c>
      <c r="R13" s="45">
        <v>15.5</v>
      </c>
      <c r="S13" s="45">
        <v>15.5</v>
      </c>
      <c r="T13" s="45">
        <v>15.5</v>
      </c>
      <c r="U13" s="45">
        <v>15.5</v>
      </c>
      <c r="V13" s="45">
        <v>15.5</v>
      </c>
      <c r="W13" s="45">
        <v>15.5</v>
      </c>
      <c r="X13" s="45">
        <v>15.5</v>
      </c>
      <c r="Y13" s="45">
        <v>15.5</v>
      </c>
      <c r="Z13" s="45">
        <v>15.5</v>
      </c>
      <c r="AA13" s="45">
        <v>15.5</v>
      </c>
      <c r="AB13" s="45">
        <v>15.5</v>
      </c>
      <c r="AC13" s="45">
        <v>15.5</v>
      </c>
      <c r="AD13" s="45">
        <v>15.5</v>
      </c>
      <c r="AE13" s="45">
        <v>15.5</v>
      </c>
      <c r="AF13" s="45">
        <v>15.5</v>
      </c>
      <c r="AG13" s="49">
        <v>54</v>
      </c>
      <c r="AH13" s="47">
        <f t="shared" si="2"/>
        <v>15.5</v>
      </c>
      <c r="AI13" s="48">
        <f t="shared" si="3"/>
        <v>15.5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14.5</v>
      </c>
      <c r="C14" s="45">
        <v>14.5</v>
      </c>
      <c r="D14" s="45">
        <v>14.5</v>
      </c>
      <c r="E14" s="45">
        <v>14.5</v>
      </c>
      <c r="F14" s="45">
        <v>14.5</v>
      </c>
      <c r="G14" s="45">
        <v>14.5</v>
      </c>
      <c r="H14" s="45">
        <v>14.5</v>
      </c>
      <c r="I14" s="45">
        <v>14.5</v>
      </c>
      <c r="J14" s="45">
        <v>14.5</v>
      </c>
      <c r="K14" s="45">
        <v>14.5</v>
      </c>
      <c r="L14" s="45">
        <v>14.5</v>
      </c>
      <c r="M14" s="45">
        <v>14.5</v>
      </c>
      <c r="N14" s="45">
        <v>14.5</v>
      </c>
      <c r="O14" s="45">
        <v>14.5</v>
      </c>
      <c r="P14" s="45">
        <v>14.5</v>
      </c>
      <c r="Q14" s="45">
        <v>14.5</v>
      </c>
      <c r="R14" s="45">
        <v>14.5</v>
      </c>
      <c r="S14" s="45">
        <v>14.5</v>
      </c>
      <c r="T14" s="45">
        <v>14.5</v>
      </c>
      <c r="U14" s="45">
        <v>14.5</v>
      </c>
      <c r="V14" s="45">
        <v>14.5</v>
      </c>
      <c r="W14" s="45">
        <v>14.5</v>
      </c>
      <c r="X14" s="45">
        <v>14.5</v>
      </c>
      <c r="Y14" s="45">
        <v>14.5</v>
      </c>
      <c r="Z14" s="45">
        <v>14.5</v>
      </c>
      <c r="AA14" s="45">
        <v>14.5</v>
      </c>
      <c r="AB14" s="45">
        <v>14.5</v>
      </c>
      <c r="AC14" s="45">
        <v>14.5</v>
      </c>
      <c r="AD14" s="45">
        <v>14.5</v>
      </c>
      <c r="AE14" s="45">
        <v>16</v>
      </c>
      <c r="AF14" s="45">
        <v>16</v>
      </c>
      <c r="AG14" s="46">
        <v>52.4</v>
      </c>
      <c r="AH14" s="47">
        <f t="shared" si="2"/>
        <v>16</v>
      </c>
      <c r="AI14" s="48">
        <f t="shared" si="3"/>
        <v>14.5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34.799999999999997</v>
      </c>
      <c r="C15" s="45">
        <v>34.799999999999997</v>
      </c>
      <c r="D15" s="45">
        <v>34.799999999999997</v>
      </c>
      <c r="E15" s="45">
        <v>34.799999999999997</v>
      </c>
      <c r="F15" s="45">
        <v>34.799999999999997</v>
      </c>
      <c r="G15" s="45">
        <v>34.799999999999997</v>
      </c>
      <c r="H15" s="45">
        <v>34.799999999999997</v>
      </c>
      <c r="I15" s="45">
        <v>34.799999999999997</v>
      </c>
      <c r="J15" s="45">
        <v>34.799999999999997</v>
      </c>
      <c r="K15" s="45">
        <v>34.799999999999997</v>
      </c>
      <c r="L15" s="45">
        <v>34.799999999999997</v>
      </c>
      <c r="M15" s="45">
        <v>34.799999999999997</v>
      </c>
      <c r="N15" s="45">
        <v>34.799999999999997</v>
      </c>
      <c r="O15" s="45">
        <v>34.799999999999997</v>
      </c>
      <c r="P15" s="45">
        <v>34.799999999999997</v>
      </c>
      <c r="Q15" s="45">
        <v>34.799999999999997</v>
      </c>
      <c r="R15" s="45">
        <v>34.799999999999997</v>
      </c>
      <c r="S15" s="45">
        <v>34.799999999999997</v>
      </c>
      <c r="T15" s="45">
        <v>34.799999999999997</v>
      </c>
      <c r="U15" s="45">
        <v>34.799999999999997</v>
      </c>
      <c r="V15" s="45">
        <v>34.799999999999997</v>
      </c>
      <c r="W15" s="45">
        <v>34.799999999999997</v>
      </c>
      <c r="X15" s="45">
        <v>34.799999999999997</v>
      </c>
      <c r="Y15" s="45">
        <v>34.799999999999997</v>
      </c>
      <c r="Z15" s="45">
        <v>34.799999999999997</v>
      </c>
      <c r="AA15" s="45">
        <v>34.799999999999997</v>
      </c>
      <c r="AB15" s="45">
        <v>34.799999999999997</v>
      </c>
      <c r="AC15" s="45">
        <v>34.799999999999997</v>
      </c>
      <c r="AD15" s="45">
        <v>34.799999999999997</v>
      </c>
      <c r="AE15" s="45">
        <v>32.6</v>
      </c>
      <c r="AF15" s="45">
        <v>32.6</v>
      </c>
      <c r="AG15" s="49">
        <v>50</v>
      </c>
      <c r="AH15" s="47">
        <f t="shared" si="2"/>
        <v>34.799999999999997</v>
      </c>
      <c r="AI15" s="48">
        <f t="shared" si="3"/>
        <v>32.6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16.5</v>
      </c>
      <c r="C16" s="45">
        <v>16.5</v>
      </c>
      <c r="D16" s="45">
        <v>16.5</v>
      </c>
      <c r="E16" s="45">
        <v>16.5</v>
      </c>
      <c r="F16" s="45">
        <v>16.5</v>
      </c>
      <c r="G16" s="45">
        <v>16.5</v>
      </c>
      <c r="H16" s="45">
        <v>16.5</v>
      </c>
      <c r="I16" s="45">
        <v>16.5</v>
      </c>
      <c r="J16" s="45">
        <v>16.5</v>
      </c>
      <c r="K16" s="45">
        <v>16.5</v>
      </c>
      <c r="L16" s="45">
        <v>16.5</v>
      </c>
      <c r="M16" s="45">
        <v>16.5</v>
      </c>
      <c r="N16" s="45">
        <v>16.5</v>
      </c>
      <c r="O16" s="45">
        <v>16.5</v>
      </c>
      <c r="P16" s="45">
        <v>16.5</v>
      </c>
      <c r="Q16" s="45">
        <v>16.5</v>
      </c>
      <c r="R16" s="45">
        <v>16.5</v>
      </c>
      <c r="S16" s="45">
        <v>16.5</v>
      </c>
      <c r="T16" s="45">
        <v>16.5</v>
      </c>
      <c r="U16" s="45">
        <v>16.5</v>
      </c>
      <c r="V16" s="45">
        <v>16.5</v>
      </c>
      <c r="W16" s="45">
        <v>16.5</v>
      </c>
      <c r="X16" s="45">
        <v>16.5</v>
      </c>
      <c r="Y16" s="45">
        <v>16.5</v>
      </c>
      <c r="Z16" s="45">
        <v>16.5</v>
      </c>
      <c r="AA16" s="45">
        <v>16.5</v>
      </c>
      <c r="AB16" s="45">
        <v>16.5</v>
      </c>
      <c r="AC16" s="45">
        <v>16.5</v>
      </c>
      <c r="AD16" s="45">
        <v>16.5</v>
      </c>
      <c r="AE16" s="45">
        <v>19</v>
      </c>
      <c r="AF16" s="45">
        <v>19</v>
      </c>
      <c r="AG16" s="49">
        <v>45</v>
      </c>
      <c r="AH16" s="47">
        <f t="shared" si="2"/>
        <v>19</v>
      </c>
      <c r="AI16" s="48">
        <f t="shared" si="3"/>
        <v>16.5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16.5</v>
      </c>
      <c r="C17" s="45">
        <v>16.5</v>
      </c>
      <c r="D17" s="45">
        <v>16.5</v>
      </c>
      <c r="E17" s="45">
        <v>16.5</v>
      </c>
      <c r="F17" s="45">
        <v>16.5</v>
      </c>
      <c r="G17" s="45">
        <v>16.5</v>
      </c>
      <c r="H17" s="45">
        <v>16.5</v>
      </c>
      <c r="I17" s="45">
        <v>16.5</v>
      </c>
      <c r="J17" s="45">
        <v>16.5</v>
      </c>
      <c r="K17" s="45">
        <v>16.5</v>
      </c>
      <c r="L17" s="45">
        <v>16.5</v>
      </c>
      <c r="M17" s="45">
        <v>16.5</v>
      </c>
      <c r="N17" s="45">
        <v>16.5</v>
      </c>
      <c r="O17" s="45">
        <v>16.5</v>
      </c>
      <c r="P17" s="45">
        <v>16.5</v>
      </c>
      <c r="Q17" s="45">
        <v>16.5</v>
      </c>
      <c r="R17" s="45">
        <v>16.5</v>
      </c>
      <c r="S17" s="45">
        <v>16.5</v>
      </c>
      <c r="T17" s="45">
        <v>16.5</v>
      </c>
      <c r="U17" s="45">
        <v>16.5</v>
      </c>
      <c r="V17" s="45">
        <v>16.5</v>
      </c>
      <c r="W17" s="45">
        <v>16.5</v>
      </c>
      <c r="X17" s="45">
        <v>16.5</v>
      </c>
      <c r="Y17" s="45">
        <v>16.5</v>
      </c>
      <c r="Z17" s="45">
        <v>16.5</v>
      </c>
      <c r="AA17" s="45">
        <v>16.5</v>
      </c>
      <c r="AB17" s="45">
        <v>16.5</v>
      </c>
      <c r="AC17" s="45">
        <v>16.5</v>
      </c>
      <c r="AD17" s="45">
        <v>16.5</v>
      </c>
      <c r="AE17" s="45">
        <v>16.5</v>
      </c>
      <c r="AF17" s="45">
        <v>16.5</v>
      </c>
      <c r="AG17" s="49">
        <v>44</v>
      </c>
      <c r="AH17" s="47">
        <f>MAX(B17:AG17)</f>
        <v>44</v>
      </c>
      <c r="AI17" s="48">
        <f>MIN(B17:AG17)</f>
        <v>16.5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9.5</v>
      </c>
      <c r="C18" s="45">
        <v>9.5</v>
      </c>
      <c r="D18" s="45">
        <v>9.5</v>
      </c>
      <c r="E18" s="45">
        <v>9.5</v>
      </c>
      <c r="F18" s="45">
        <v>9.5</v>
      </c>
      <c r="G18" s="45">
        <v>9.5</v>
      </c>
      <c r="H18" s="45">
        <v>9.5</v>
      </c>
      <c r="I18" s="45">
        <v>9.5</v>
      </c>
      <c r="J18" s="45">
        <v>9.5</v>
      </c>
      <c r="K18" s="45">
        <v>9.5</v>
      </c>
      <c r="L18" s="45">
        <v>9.5</v>
      </c>
      <c r="M18" s="45">
        <v>9.5</v>
      </c>
      <c r="N18" s="45">
        <v>9.5</v>
      </c>
      <c r="O18" s="45">
        <v>9.5</v>
      </c>
      <c r="P18" s="45">
        <v>9.5</v>
      </c>
      <c r="Q18" s="45">
        <v>9.5</v>
      </c>
      <c r="R18" s="45">
        <v>9.5</v>
      </c>
      <c r="S18" s="45">
        <v>9.5</v>
      </c>
      <c r="T18" s="45">
        <v>9.5</v>
      </c>
      <c r="U18" s="45">
        <v>9.5</v>
      </c>
      <c r="V18" s="45">
        <v>9.5</v>
      </c>
      <c r="W18" s="45">
        <v>9.5</v>
      </c>
      <c r="X18" s="45">
        <v>9.5</v>
      </c>
      <c r="Y18" s="45">
        <v>9.5</v>
      </c>
      <c r="Z18" s="45">
        <v>9.5</v>
      </c>
      <c r="AA18" s="45">
        <v>9.5</v>
      </c>
      <c r="AB18" s="45">
        <v>9.5</v>
      </c>
      <c r="AC18" s="45">
        <v>9.5</v>
      </c>
      <c r="AD18" s="45">
        <v>9.5</v>
      </c>
      <c r="AE18" s="45">
        <v>9.5</v>
      </c>
      <c r="AF18" s="45">
        <v>9.5</v>
      </c>
      <c r="AG18" s="49">
        <v>42</v>
      </c>
      <c r="AH18" s="47">
        <f t="shared" si="2"/>
        <v>9.5</v>
      </c>
      <c r="AI18" s="48">
        <f t="shared" si="3"/>
        <v>9.5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263</v>
      </c>
      <c r="B19" s="45">
        <v>15.4</v>
      </c>
      <c r="C19" s="45">
        <v>15.4</v>
      </c>
      <c r="D19" s="45">
        <v>15.4</v>
      </c>
      <c r="E19" s="45">
        <v>15.4</v>
      </c>
      <c r="F19" s="45">
        <v>15.4</v>
      </c>
      <c r="G19" s="45">
        <v>15.4</v>
      </c>
      <c r="H19" s="45">
        <v>15.4</v>
      </c>
      <c r="I19" s="45">
        <v>15.4</v>
      </c>
      <c r="J19" s="45">
        <v>15.4</v>
      </c>
      <c r="K19" s="45">
        <v>15.4</v>
      </c>
      <c r="L19" s="45">
        <v>15.4</v>
      </c>
      <c r="M19" s="45">
        <v>15.4</v>
      </c>
      <c r="N19" s="45">
        <v>15.4</v>
      </c>
      <c r="O19" s="45">
        <v>15.4</v>
      </c>
      <c r="P19" s="45">
        <v>15.4</v>
      </c>
      <c r="Q19" s="45">
        <v>15.4</v>
      </c>
      <c r="R19" s="45">
        <v>15.4</v>
      </c>
      <c r="S19" s="45">
        <v>15.4</v>
      </c>
      <c r="T19" s="45">
        <v>15.4</v>
      </c>
      <c r="U19" s="45">
        <v>15.4</v>
      </c>
      <c r="V19" s="45">
        <v>15.4</v>
      </c>
      <c r="W19" s="45">
        <v>15.4</v>
      </c>
      <c r="X19" s="45">
        <v>15.4</v>
      </c>
      <c r="Y19" s="45">
        <v>15.4</v>
      </c>
      <c r="Z19" s="45">
        <v>15.4</v>
      </c>
      <c r="AA19" s="45">
        <v>15.4</v>
      </c>
      <c r="AB19" s="45">
        <v>15.4</v>
      </c>
      <c r="AC19" s="45">
        <v>15.4</v>
      </c>
      <c r="AD19" s="45">
        <v>15.4</v>
      </c>
      <c r="AE19" s="45">
        <v>15.4</v>
      </c>
      <c r="AF19" s="45">
        <v>15.4</v>
      </c>
      <c r="AG19" s="49">
        <v>38.46</v>
      </c>
      <c r="AH19" s="47">
        <f t="shared" si="2"/>
        <v>15.4</v>
      </c>
      <c r="AI19" s="48">
        <f t="shared" si="3"/>
        <v>15.4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10.199999999999999</v>
      </c>
      <c r="C20" s="45">
        <v>10.199999999999999</v>
      </c>
      <c r="D20" s="45">
        <v>10.199999999999999</v>
      </c>
      <c r="E20" s="45">
        <v>10.199999999999999</v>
      </c>
      <c r="F20" s="45">
        <v>10.199999999999999</v>
      </c>
      <c r="G20" s="45">
        <v>10.199999999999999</v>
      </c>
      <c r="H20" s="45">
        <v>10.199999999999999</v>
      </c>
      <c r="I20" s="45">
        <v>10.199999999999999</v>
      </c>
      <c r="J20" s="45">
        <v>10.199999999999999</v>
      </c>
      <c r="K20" s="45">
        <v>10.199999999999999</v>
      </c>
      <c r="L20" s="45">
        <v>10.199999999999999</v>
      </c>
      <c r="M20" s="45">
        <v>10.199999999999999</v>
      </c>
      <c r="N20" s="45">
        <v>10.199999999999999</v>
      </c>
      <c r="O20" s="45">
        <v>10.199999999999999</v>
      </c>
      <c r="P20" s="45">
        <v>10.199999999999999</v>
      </c>
      <c r="Q20" s="45">
        <v>10.199999999999999</v>
      </c>
      <c r="R20" s="45">
        <v>10.199999999999999</v>
      </c>
      <c r="S20" s="45">
        <v>10.199999999999999</v>
      </c>
      <c r="T20" s="45">
        <v>10.199999999999999</v>
      </c>
      <c r="U20" s="45">
        <v>10.199999999999999</v>
      </c>
      <c r="V20" s="45">
        <v>10.199999999999999</v>
      </c>
      <c r="W20" s="45">
        <v>10.199999999999999</v>
      </c>
      <c r="X20" s="45">
        <v>10.199999999999999</v>
      </c>
      <c r="Y20" s="45">
        <v>10.199999999999999</v>
      </c>
      <c r="Z20" s="45">
        <v>10.199999999999999</v>
      </c>
      <c r="AA20" s="45">
        <v>10.199999999999999</v>
      </c>
      <c r="AB20" s="45">
        <v>10.199999999999999</v>
      </c>
      <c r="AC20" s="45">
        <v>10.199999999999999</v>
      </c>
      <c r="AD20" s="45">
        <v>10.199999999999999</v>
      </c>
      <c r="AE20" s="45">
        <v>10.199999999999999</v>
      </c>
      <c r="AF20" s="45">
        <v>10.199999999999999</v>
      </c>
      <c r="AG20" s="49">
        <v>38.46</v>
      </c>
      <c r="AH20" s="47">
        <f t="shared" si="2"/>
        <v>10.199999999999999</v>
      </c>
      <c r="AI20" s="48">
        <f t="shared" si="3"/>
        <v>10.199999999999999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13.6</v>
      </c>
      <c r="C21" s="45">
        <v>13.6</v>
      </c>
      <c r="D21" s="45">
        <v>13.6</v>
      </c>
      <c r="E21" s="45">
        <v>13.6</v>
      </c>
      <c r="F21" s="45">
        <v>13.6</v>
      </c>
      <c r="G21" s="45">
        <v>13.6</v>
      </c>
      <c r="H21" s="45">
        <v>13.6</v>
      </c>
      <c r="I21" s="45">
        <v>13.6</v>
      </c>
      <c r="J21" s="45">
        <v>13.6</v>
      </c>
      <c r="K21" s="45">
        <v>13.6</v>
      </c>
      <c r="L21" s="45">
        <v>13.6</v>
      </c>
      <c r="M21" s="45">
        <v>13.6</v>
      </c>
      <c r="N21" s="45">
        <v>13.6</v>
      </c>
      <c r="O21" s="45">
        <v>13.6</v>
      </c>
      <c r="P21" s="45">
        <v>13.6</v>
      </c>
      <c r="Q21" s="45">
        <v>13.6</v>
      </c>
      <c r="R21" s="45">
        <v>13.6</v>
      </c>
      <c r="S21" s="45">
        <v>13.6</v>
      </c>
      <c r="T21" s="45">
        <v>13.6</v>
      </c>
      <c r="U21" s="45">
        <v>13.6</v>
      </c>
      <c r="V21" s="45">
        <v>13.6</v>
      </c>
      <c r="W21" s="45">
        <v>13.6</v>
      </c>
      <c r="X21" s="45">
        <v>13.6</v>
      </c>
      <c r="Y21" s="45">
        <v>13.6</v>
      </c>
      <c r="Z21" s="45">
        <v>13.6</v>
      </c>
      <c r="AA21" s="45">
        <v>13.6</v>
      </c>
      <c r="AB21" s="45">
        <v>13.6</v>
      </c>
      <c r="AC21" s="45">
        <v>13.6</v>
      </c>
      <c r="AD21" s="45">
        <v>13.6</v>
      </c>
      <c r="AE21" s="45">
        <v>13.6</v>
      </c>
      <c r="AF21" s="45">
        <v>13.6</v>
      </c>
      <c r="AG21" s="49">
        <v>36</v>
      </c>
      <c r="AH21" s="47">
        <f t="shared" si="2"/>
        <v>13.6</v>
      </c>
      <c r="AI21" s="48">
        <f t="shared" si="3"/>
        <v>13.6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9.6</v>
      </c>
      <c r="C22" s="45">
        <v>9.6</v>
      </c>
      <c r="D22" s="45">
        <v>9.6</v>
      </c>
      <c r="E22" s="45">
        <v>9.6</v>
      </c>
      <c r="F22" s="45">
        <v>9.6</v>
      </c>
      <c r="G22" s="45">
        <v>9.6</v>
      </c>
      <c r="H22" s="45">
        <v>9.6</v>
      </c>
      <c r="I22" s="45">
        <v>9.6</v>
      </c>
      <c r="J22" s="45">
        <v>9.6</v>
      </c>
      <c r="K22" s="45">
        <v>9.6</v>
      </c>
      <c r="L22" s="45">
        <v>9.6</v>
      </c>
      <c r="M22" s="45">
        <v>9.6</v>
      </c>
      <c r="N22" s="45">
        <v>9.6</v>
      </c>
      <c r="O22" s="45">
        <v>9.6</v>
      </c>
      <c r="P22" s="45">
        <v>9.6</v>
      </c>
      <c r="Q22" s="45">
        <v>9.6</v>
      </c>
      <c r="R22" s="45">
        <v>9.6</v>
      </c>
      <c r="S22" s="45">
        <v>9.6</v>
      </c>
      <c r="T22" s="45">
        <v>9.6</v>
      </c>
      <c r="U22" s="45">
        <v>9.6</v>
      </c>
      <c r="V22" s="45">
        <v>9.6</v>
      </c>
      <c r="W22" s="45">
        <v>9.6</v>
      </c>
      <c r="X22" s="45">
        <v>9.6</v>
      </c>
      <c r="Y22" s="45">
        <v>9.6</v>
      </c>
      <c r="Z22" s="45">
        <v>9.6</v>
      </c>
      <c r="AA22" s="45">
        <v>9.6</v>
      </c>
      <c r="AB22" s="45">
        <v>9.6</v>
      </c>
      <c r="AC22" s="45">
        <v>9.6</v>
      </c>
      <c r="AD22" s="45">
        <v>9.6</v>
      </c>
      <c r="AE22" s="45">
        <v>9.1</v>
      </c>
      <c r="AF22" s="45">
        <v>9.1</v>
      </c>
      <c r="AG22" s="52">
        <v>30</v>
      </c>
      <c r="AH22" s="47">
        <f t="shared" si="2"/>
        <v>9.6</v>
      </c>
      <c r="AI22" s="48">
        <f t="shared" si="3"/>
        <v>9.1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9</v>
      </c>
      <c r="C23" s="45">
        <v>9</v>
      </c>
      <c r="D23" s="45">
        <v>9</v>
      </c>
      <c r="E23" s="45">
        <v>9</v>
      </c>
      <c r="F23" s="45">
        <v>9</v>
      </c>
      <c r="G23" s="45">
        <v>9</v>
      </c>
      <c r="H23" s="45">
        <v>9</v>
      </c>
      <c r="I23" s="45">
        <v>9</v>
      </c>
      <c r="J23" s="45">
        <v>9</v>
      </c>
      <c r="K23" s="45">
        <v>9</v>
      </c>
      <c r="L23" s="45">
        <v>9</v>
      </c>
      <c r="M23" s="45">
        <v>9</v>
      </c>
      <c r="N23" s="45">
        <v>9</v>
      </c>
      <c r="O23" s="45">
        <v>9</v>
      </c>
      <c r="P23" s="45">
        <v>9</v>
      </c>
      <c r="Q23" s="45">
        <v>9</v>
      </c>
      <c r="R23" s="45">
        <v>9</v>
      </c>
      <c r="S23" s="45">
        <v>9</v>
      </c>
      <c r="T23" s="45">
        <v>9</v>
      </c>
      <c r="U23" s="45">
        <v>9</v>
      </c>
      <c r="V23" s="45">
        <v>9</v>
      </c>
      <c r="W23" s="45">
        <v>9</v>
      </c>
      <c r="X23" s="45">
        <v>9</v>
      </c>
      <c r="Y23" s="45">
        <v>9</v>
      </c>
      <c r="Z23" s="45">
        <v>9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9</v>
      </c>
      <c r="AG23" s="49">
        <v>24.2</v>
      </c>
      <c r="AH23" s="47">
        <f t="shared" si="2"/>
        <v>9</v>
      </c>
      <c r="AI23" s="48">
        <f t="shared" si="3"/>
        <v>9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8.6</v>
      </c>
      <c r="C24" s="45">
        <v>8.6</v>
      </c>
      <c r="D24" s="45">
        <v>8.6</v>
      </c>
      <c r="E24" s="45">
        <v>8.6</v>
      </c>
      <c r="F24" s="45">
        <v>8.6</v>
      </c>
      <c r="G24" s="45">
        <v>8.6</v>
      </c>
      <c r="H24" s="45">
        <v>8.6</v>
      </c>
      <c r="I24" s="45">
        <v>8.6</v>
      </c>
      <c r="J24" s="45">
        <v>8.6</v>
      </c>
      <c r="K24" s="45">
        <v>8.6</v>
      </c>
      <c r="L24" s="45">
        <v>8.6</v>
      </c>
      <c r="M24" s="45">
        <v>8.6</v>
      </c>
      <c r="N24" s="45">
        <v>8.6</v>
      </c>
      <c r="O24" s="45">
        <v>8.6</v>
      </c>
      <c r="P24" s="45">
        <v>8.6</v>
      </c>
      <c r="Q24" s="45">
        <v>8.6</v>
      </c>
      <c r="R24" s="45">
        <v>8.6</v>
      </c>
      <c r="S24" s="45">
        <v>8.6</v>
      </c>
      <c r="T24" s="45">
        <v>8.6</v>
      </c>
      <c r="U24" s="45">
        <v>8.6</v>
      </c>
      <c r="V24" s="45">
        <v>8.6</v>
      </c>
      <c r="W24" s="45">
        <v>8.6</v>
      </c>
      <c r="X24" s="45">
        <v>8.6</v>
      </c>
      <c r="Y24" s="45">
        <v>8.6</v>
      </c>
      <c r="Z24" s="45">
        <v>8.6</v>
      </c>
      <c r="AA24" s="45">
        <v>8.6</v>
      </c>
      <c r="AB24" s="45">
        <v>8.6</v>
      </c>
      <c r="AC24" s="45">
        <v>8.6</v>
      </c>
      <c r="AD24" s="45">
        <v>8.6</v>
      </c>
      <c r="AE24" s="45">
        <v>9.3000000000000007</v>
      </c>
      <c r="AF24" s="45">
        <v>9.3000000000000007</v>
      </c>
      <c r="AG24" s="49">
        <v>28</v>
      </c>
      <c r="AH24" s="47">
        <f t="shared" si="2"/>
        <v>9.3000000000000007</v>
      </c>
      <c r="AI24" s="48">
        <f t="shared" si="3"/>
        <v>8.6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10</v>
      </c>
      <c r="C25" s="45">
        <v>10</v>
      </c>
      <c r="D25" s="45">
        <v>10</v>
      </c>
      <c r="E25" s="45">
        <v>10</v>
      </c>
      <c r="F25" s="45">
        <v>10</v>
      </c>
      <c r="G25" s="45">
        <v>10</v>
      </c>
      <c r="H25" s="45">
        <v>10</v>
      </c>
      <c r="I25" s="45">
        <v>10</v>
      </c>
      <c r="J25" s="45">
        <v>10</v>
      </c>
      <c r="K25" s="45">
        <v>10</v>
      </c>
      <c r="L25" s="45">
        <v>10</v>
      </c>
      <c r="M25" s="45">
        <v>10</v>
      </c>
      <c r="N25" s="45">
        <v>10</v>
      </c>
      <c r="O25" s="45">
        <v>10</v>
      </c>
      <c r="P25" s="45">
        <v>10</v>
      </c>
      <c r="Q25" s="45">
        <v>10</v>
      </c>
      <c r="R25" s="45">
        <v>10</v>
      </c>
      <c r="S25" s="45">
        <v>10</v>
      </c>
      <c r="T25" s="45">
        <v>10</v>
      </c>
      <c r="U25" s="45">
        <v>10</v>
      </c>
      <c r="V25" s="45">
        <v>10</v>
      </c>
      <c r="W25" s="45">
        <v>10</v>
      </c>
      <c r="X25" s="45">
        <v>10</v>
      </c>
      <c r="Y25" s="45">
        <v>10</v>
      </c>
      <c r="Z25" s="45">
        <v>10</v>
      </c>
      <c r="AA25" s="45">
        <v>10</v>
      </c>
      <c r="AB25" s="45">
        <v>10</v>
      </c>
      <c r="AC25" s="45">
        <v>10</v>
      </c>
      <c r="AD25" s="45">
        <v>10</v>
      </c>
      <c r="AE25" s="45">
        <v>8</v>
      </c>
      <c r="AF25" s="45">
        <v>8</v>
      </c>
      <c r="AG25" s="52">
        <v>30</v>
      </c>
      <c r="AH25" s="47">
        <f t="shared" si="2"/>
        <v>10</v>
      </c>
      <c r="AI25" s="48">
        <f t="shared" si="3"/>
        <v>8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6.5</v>
      </c>
      <c r="C26" s="45">
        <v>6.5</v>
      </c>
      <c r="D26" s="45">
        <v>6.5</v>
      </c>
      <c r="E26" s="45">
        <v>6.5</v>
      </c>
      <c r="F26" s="45">
        <v>6.5</v>
      </c>
      <c r="G26" s="45">
        <v>6.5</v>
      </c>
      <c r="H26" s="45">
        <v>6.5</v>
      </c>
      <c r="I26" s="45">
        <v>6.5</v>
      </c>
      <c r="J26" s="45">
        <v>6.5</v>
      </c>
      <c r="K26" s="45">
        <v>6.5</v>
      </c>
      <c r="L26" s="45">
        <v>6.5</v>
      </c>
      <c r="M26" s="45">
        <v>6.5</v>
      </c>
      <c r="N26" s="45">
        <v>6.5</v>
      </c>
      <c r="O26" s="45">
        <v>6.5</v>
      </c>
      <c r="P26" s="45">
        <v>6.5</v>
      </c>
      <c r="Q26" s="45">
        <v>6.5</v>
      </c>
      <c r="R26" s="45">
        <v>6.5</v>
      </c>
      <c r="S26" s="45">
        <v>6.5</v>
      </c>
      <c r="T26" s="45">
        <v>6.5</v>
      </c>
      <c r="U26" s="45">
        <v>6.5</v>
      </c>
      <c r="V26" s="45">
        <v>6.5</v>
      </c>
      <c r="W26" s="45">
        <v>6.5</v>
      </c>
      <c r="X26" s="45">
        <v>6.5</v>
      </c>
      <c r="Y26" s="45">
        <v>6.5</v>
      </c>
      <c r="Z26" s="45">
        <v>6.5</v>
      </c>
      <c r="AA26" s="45">
        <v>6.5</v>
      </c>
      <c r="AB26" s="45">
        <v>6.5</v>
      </c>
      <c r="AC26" s="45">
        <v>6.5</v>
      </c>
      <c r="AD26" s="45">
        <v>6.5</v>
      </c>
      <c r="AE26" s="45">
        <v>6.5</v>
      </c>
      <c r="AF26" s="45">
        <v>6.5</v>
      </c>
      <c r="AG26" s="49">
        <v>25</v>
      </c>
      <c r="AH26" s="47">
        <f t="shared" si="2"/>
        <v>6.5</v>
      </c>
      <c r="AI26" s="48">
        <f t="shared" si="3"/>
        <v>6.5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5</v>
      </c>
      <c r="C27" s="45">
        <v>5</v>
      </c>
      <c r="D27" s="45">
        <v>5</v>
      </c>
      <c r="E27" s="45">
        <v>5</v>
      </c>
      <c r="F27" s="45">
        <v>5</v>
      </c>
      <c r="G27" s="45">
        <v>5</v>
      </c>
      <c r="H27" s="45">
        <v>5</v>
      </c>
      <c r="I27" s="45">
        <v>5</v>
      </c>
      <c r="J27" s="45">
        <v>5</v>
      </c>
      <c r="K27" s="45">
        <v>5</v>
      </c>
      <c r="L27" s="45">
        <v>5</v>
      </c>
      <c r="M27" s="45">
        <v>5</v>
      </c>
      <c r="N27" s="45">
        <v>5</v>
      </c>
      <c r="O27" s="45">
        <v>5</v>
      </c>
      <c r="P27" s="45">
        <v>5</v>
      </c>
      <c r="Q27" s="45">
        <v>5</v>
      </c>
      <c r="R27" s="45">
        <v>5</v>
      </c>
      <c r="S27" s="45">
        <v>5</v>
      </c>
      <c r="T27" s="45">
        <v>5</v>
      </c>
      <c r="U27" s="45">
        <v>5</v>
      </c>
      <c r="V27" s="45">
        <v>5</v>
      </c>
      <c r="W27" s="45">
        <v>5</v>
      </c>
      <c r="X27" s="45">
        <v>5</v>
      </c>
      <c r="Y27" s="45">
        <v>5</v>
      </c>
      <c r="Z27" s="45">
        <v>5</v>
      </c>
      <c r="AA27" s="45">
        <v>5</v>
      </c>
      <c r="AB27" s="45">
        <v>5</v>
      </c>
      <c r="AC27" s="45">
        <v>5</v>
      </c>
      <c r="AD27" s="45">
        <v>5</v>
      </c>
      <c r="AE27" s="45">
        <v>5</v>
      </c>
      <c r="AF27" s="45">
        <v>5</v>
      </c>
      <c r="AG27" s="49">
        <v>25</v>
      </c>
      <c r="AH27" s="47">
        <f t="shared" si="2"/>
        <v>5</v>
      </c>
      <c r="AI27" s="48">
        <f t="shared" si="3"/>
        <v>5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7.5</v>
      </c>
      <c r="C28" s="45">
        <v>7.5</v>
      </c>
      <c r="D28" s="45">
        <v>7.5</v>
      </c>
      <c r="E28" s="45">
        <v>7.5</v>
      </c>
      <c r="F28" s="45">
        <v>7.5</v>
      </c>
      <c r="G28" s="45">
        <v>7.5</v>
      </c>
      <c r="H28" s="45">
        <v>7.5</v>
      </c>
      <c r="I28" s="45">
        <v>7.5</v>
      </c>
      <c r="J28" s="45">
        <v>7.5</v>
      </c>
      <c r="K28" s="45">
        <v>7.5</v>
      </c>
      <c r="L28" s="45">
        <v>7.5</v>
      </c>
      <c r="M28" s="45">
        <v>7.5</v>
      </c>
      <c r="N28" s="45">
        <v>7.5</v>
      </c>
      <c r="O28" s="45">
        <v>7.5</v>
      </c>
      <c r="P28" s="45">
        <v>7.5</v>
      </c>
      <c r="Q28" s="45">
        <v>7.5</v>
      </c>
      <c r="R28" s="45">
        <v>7.5</v>
      </c>
      <c r="S28" s="45">
        <v>7.5</v>
      </c>
      <c r="T28" s="45">
        <v>7.5</v>
      </c>
      <c r="U28" s="45">
        <v>7.5</v>
      </c>
      <c r="V28" s="45">
        <v>7.5</v>
      </c>
      <c r="W28" s="45">
        <v>7.5</v>
      </c>
      <c r="X28" s="45">
        <v>7.5</v>
      </c>
      <c r="Y28" s="45">
        <v>7.5</v>
      </c>
      <c r="Z28" s="45">
        <v>7.5</v>
      </c>
      <c r="AA28" s="45">
        <v>7.5</v>
      </c>
      <c r="AB28" s="45">
        <v>7.5</v>
      </c>
      <c r="AC28" s="45">
        <v>7.5</v>
      </c>
      <c r="AD28" s="45">
        <v>7.5</v>
      </c>
      <c r="AE28" s="45">
        <v>7.5</v>
      </c>
      <c r="AF28" s="45">
        <v>7.5</v>
      </c>
      <c r="AG28" s="49">
        <v>25</v>
      </c>
      <c r="AH28" s="47">
        <f t="shared" si="2"/>
        <v>7.5</v>
      </c>
      <c r="AI28" s="48">
        <f t="shared" si="3"/>
        <v>7.5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9.6</v>
      </c>
      <c r="C29" s="45">
        <v>9.6</v>
      </c>
      <c r="D29" s="45">
        <v>9.6</v>
      </c>
      <c r="E29" s="45">
        <v>9.6</v>
      </c>
      <c r="F29" s="45">
        <v>9.6</v>
      </c>
      <c r="G29" s="45">
        <v>9.6</v>
      </c>
      <c r="H29" s="45">
        <v>9.6</v>
      </c>
      <c r="I29" s="45">
        <v>9.6</v>
      </c>
      <c r="J29" s="45">
        <v>9.6</v>
      </c>
      <c r="K29" s="45">
        <v>9.6</v>
      </c>
      <c r="L29" s="45">
        <v>9.6</v>
      </c>
      <c r="M29" s="45">
        <v>9.6</v>
      </c>
      <c r="N29" s="45">
        <v>9.6</v>
      </c>
      <c r="O29" s="45">
        <v>9.6</v>
      </c>
      <c r="P29" s="45">
        <v>9.6</v>
      </c>
      <c r="Q29" s="45">
        <v>9.6</v>
      </c>
      <c r="R29" s="45">
        <v>9.6</v>
      </c>
      <c r="S29" s="45">
        <v>9.6</v>
      </c>
      <c r="T29" s="45">
        <v>9.6</v>
      </c>
      <c r="U29" s="45">
        <v>9.6</v>
      </c>
      <c r="V29" s="45">
        <v>9.6</v>
      </c>
      <c r="W29" s="45">
        <v>9.6</v>
      </c>
      <c r="X29" s="45">
        <v>9.6</v>
      </c>
      <c r="Y29" s="45">
        <v>9.6</v>
      </c>
      <c r="Z29" s="45">
        <v>9.6</v>
      </c>
      <c r="AA29" s="45">
        <v>9.6</v>
      </c>
      <c r="AB29" s="45">
        <v>9.6</v>
      </c>
      <c r="AC29" s="45">
        <v>9.6</v>
      </c>
      <c r="AD29" s="45">
        <v>9.6</v>
      </c>
      <c r="AE29" s="45">
        <v>8.3000000000000007</v>
      </c>
      <c r="AF29" s="45">
        <v>8.3000000000000007</v>
      </c>
      <c r="AG29" s="49">
        <v>25</v>
      </c>
      <c r="AH29" s="47">
        <f t="shared" si="2"/>
        <v>9.6</v>
      </c>
      <c r="AI29" s="48">
        <f t="shared" si="3"/>
        <v>8.3000000000000007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8.3000000000000007</v>
      </c>
      <c r="C30" s="45">
        <v>8.3000000000000007</v>
      </c>
      <c r="D30" s="45">
        <v>8.3000000000000007</v>
      </c>
      <c r="E30" s="45">
        <v>8.3000000000000007</v>
      </c>
      <c r="F30" s="45">
        <v>8.3000000000000007</v>
      </c>
      <c r="G30" s="45">
        <v>8.3000000000000007</v>
      </c>
      <c r="H30" s="45">
        <v>8.3000000000000007</v>
      </c>
      <c r="I30" s="45">
        <v>8.3000000000000007</v>
      </c>
      <c r="J30" s="45">
        <v>8.3000000000000007</v>
      </c>
      <c r="K30" s="45">
        <v>8.3000000000000007</v>
      </c>
      <c r="L30" s="45">
        <v>8.3000000000000007</v>
      </c>
      <c r="M30" s="45">
        <v>8.3000000000000007</v>
      </c>
      <c r="N30" s="45">
        <v>8.3000000000000007</v>
      </c>
      <c r="O30" s="45">
        <v>8.3000000000000007</v>
      </c>
      <c r="P30" s="45">
        <v>8.3000000000000007</v>
      </c>
      <c r="Q30" s="45">
        <v>8.3000000000000007</v>
      </c>
      <c r="R30" s="45">
        <v>8.3000000000000007</v>
      </c>
      <c r="S30" s="45">
        <v>8.3000000000000007</v>
      </c>
      <c r="T30" s="45">
        <v>8.3000000000000007</v>
      </c>
      <c r="U30" s="45">
        <v>8.3000000000000007</v>
      </c>
      <c r="V30" s="45">
        <v>8.3000000000000007</v>
      </c>
      <c r="W30" s="45">
        <v>8.3000000000000007</v>
      </c>
      <c r="X30" s="45">
        <v>8.3000000000000007</v>
      </c>
      <c r="Y30" s="45">
        <v>8.3000000000000007</v>
      </c>
      <c r="Z30" s="45">
        <v>8.3000000000000007</v>
      </c>
      <c r="AA30" s="45">
        <v>8.3000000000000007</v>
      </c>
      <c r="AB30" s="45">
        <v>8.3000000000000007</v>
      </c>
      <c r="AC30" s="45">
        <v>8.3000000000000007</v>
      </c>
      <c r="AD30" s="45">
        <v>8.3000000000000007</v>
      </c>
      <c r="AE30" s="45">
        <v>8.4</v>
      </c>
      <c r="AF30" s="45">
        <v>8.4</v>
      </c>
      <c r="AG30" s="49">
        <v>23.5</v>
      </c>
      <c r="AH30" s="47">
        <f t="shared" si="2"/>
        <v>8.4</v>
      </c>
      <c r="AI30" s="48">
        <f t="shared" si="3"/>
        <v>8.3000000000000007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4.5</v>
      </c>
      <c r="C31" s="45">
        <v>4.5</v>
      </c>
      <c r="D31" s="45">
        <v>4.5</v>
      </c>
      <c r="E31" s="45">
        <v>4.5</v>
      </c>
      <c r="F31" s="45">
        <v>4.5</v>
      </c>
      <c r="G31" s="45">
        <v>4.5</v>
      </c>
      <c r="H31" s="45">
        <v>4.5</v>
      </c>
      <c r="I31" s="45">
        <v>4.5</v>
      </c>
      <c r="J31" s="45">
        <v>4.5</v>
      </c>
      <c r="K31" s="45">
        <v>4.5</v>
      </c>
      <c r="L31" s="45">
        <v>4.5</v>
      </c>
      <c r="M31" s="45">
        <v>4.5</v>
      </c>
      <c r="N31" s="45">
        <v>4.5</v>
      </c>
      <c r="O31" s="45">
        <v>4.5</v>
      </c>
      <c r="P31" s="45">
        <v>4.5</v>
      </c>
      <c r="Q31" s="45">
        <v>4.5</v>
      </c>
      <c r="R31" s="45">
        <v>4.5</v>
      </c>
      <c r="S31" s="45">
        <v>4.5</v>
      </c>
      <c r="T31" s="45">
        <v>4.5</v>
      </c>
      <c r="U31" s="45">
        <v>4.5</v>
      </c>
      <c r="V31" s="45">
        <v>4.5</v>
      </c>
      <c r="W31" s="45">
        <v>4.5</v>
      </c>
      <c r="X31" s="45">
        <v>4.5</v>
      </c>
      <c r="Y31" s="45">
        <v>4.5</v>
      </c>
      <c r="Z31" s="45">
        <v>4.5</v>
      </c>
      <c r="AA31" s="45">
        <v>4.5</v>
      </c>
      <c r="AB31" s="45">
        <v>4.5</v>
      </c>
      <c r="AC31" s="45">
        <v>4.5</v>
      </c>
      <c r="AD31" s="45">
        <v>4.5</v>
      </c>
      <c r="AE31" s="45">
        <v>4.5</v>
      </c>
      <c r="AF31" s="45">
        <v>4.5</v>
      </c>
      <c r="AG31" s="49">
        <v>22.2</v>
      </c>
      <c r="AH31" s="47">
        <f t="shared" si="2"/>
        <v>4.5</v>
      </c>
      <c r="AI31" s="48">
        <f t="shared" si="3"/>
        <v>4.5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>
        <v>5.5</v>
      </c>
      <c r="N32" s="45">
        <v>5.5</v>
      </c>
      <c r="O32" s="45">
        <v>5.5</v>
      </c>
      <c r="P32" s="45">
        <v>5.5</v>
      </c>
      <c r="Q32" s="45">
        <v>5.5</v>
      </c>
      <c r="R32" s="45">
        <v>5.5</v>
      </c>
      <c r="S32" s="45">
        <v>5.5</v>
      </c>
      <c r="T32" s="45">
        <v>5.5</v>
      </c>
      <c r="U32" s="45">
        <v>5.5</v>
      </c>
      <c r="V32" s="45">
        <v>5.5</v>
      </c>
      <c r="W32" s="45">
        <v>5.5</v>
      </c>
      <c r="X32" s="45">
        <v>5.5</v>
      </c>
      <c r="Y32" s="45">
        <v>5.5</v>
      </c>
      <c r="Z32" s="45">
        <v>5.5</v>
      </c>
      <c r="AA32" s="45">
        <v>5.5</v>
      </c>
      <c r="AB32" s="45">
        <v>5.5</v>
      </c>
      <c r="AC32" s="45">
        <v>5.5</v>
      </c>
      <c r="AD32" s="45">
        <v>5.5</v>
      </c>
      <c r="AE32" s="45">
        <v>5.5</v>
      </c>
      <c r="AF32" s="45">
        <v>5.5</v>
      </c>
      <c r="AG32" s="49">
        <v>22.1</v>
      </c>
      <c r="AH32" s="47">
        <f t="shared" si="2"/>
        <v>5.5</v>
      </c>
      <c r="AI32" s="48">
        <f t="shared" si="3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22</v>
      </c>
      <c r="AH33" s="47">
        <f t="shared" si="2"/>
        <v>6</v>
      </c>
      <c r="AI33" s="48">
        <f t="shared" si="3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6.8</v>
      </c>
      <c r="C34" s="45">
        <v>6.8</v>
      </c>
      <c r="D34" s="45">
        <v>6.8</v>
      </c>
      <c r="E34" s="45">
        <v>6.8</v>
      </c>
      <c r="F34" s="45">
        <v>6.8</v>
      </c>
      <c r="G34" s="45">
        <v>6.8</v>
      </c>
      <c r="H34" s="45">
        <v>6.8</v>
      </c>
      <c r="I34" s="45">
        <v>6.8</v>
      </c>
      <c r="J34" s="45">
        <v>6.8</v>
      </c>
      <c r="K34" s="45">
        <v>6.8</v>
      </c>
      <c r="L34" s="45">
        <v>6.8</v>
      </c>
      <c r="M34" s="45">
        <v>6.8</v>
      </c>
      <c r="N34" s="45">
        <v>6.8</v>
      </c>
      <c r="O34" s="45">
        <v>6.8</v>
      </c>
      <c r="P34" s="45">
        <v>6.8</v>
      </c>
      <c r="Q34" s="45">
        <v>6.8</v>
      </c>
      <c r="R34" s="45">
        <v>6.8</v>
      </c>
      <c r="S34" s="45">
        <v>6.8</v>
      </c>
      <c r="T34" s="45">
        <v>6.8</v>
      </c>
      <c r="U34" s="45">
        <v>6.8</v>
      </c>
      <c r="V34" s="45">
        <v>6.8</v>
      </c>
      <c r="W34" s="45">
        <v>6.8</v>
      </c>
      <c r="X34" s="45">
        <v>6.8</v>
      </c>
      <c r="Y34" s="45">
        <v>6.8</v>
      </c>
      <c r="Z34" s="45">
        <v>6.8</v>
      </c>
      <c r="AA34" s="45">
        <v>6.8</v>
      </c>
      <c r="AB34" s="45">
        <v>6.8</v>
      </c>
      <c r="AC34" s="45">
        <v>6.8</v>
      </c>
      <c r="AD34" s="45">
        <v>6.8</v>
      </c>
      <c r="AE34" s="45">
        <v>11.7</v>
      </c>
      <c r="AF34" s="45">
        <v>11.7</v>
      </c>
      <c r="AG34" s="49">
        <v>22</v>
      </c>
      <c r="AH34" s="47">
        <f t="shared" si="2"/>
        <v>11.7</v>
      </c>
      <c r="AI34" s="48">
        <f t="shared" si="3"/>
        <v>6.8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6.5</v>
      </c>
      <c r="C35" s="45">
        <v>6.5</v>
      </c>
      <c r="D35" s="45">
        <v>6.5</v>
      </c>
      <c r="E35" s="45">
        <v>6.5</v>
      </c>
      <c r="F35" s="45">
        <v>6.5</v>
      </c>
      <c r="G35" s="45">
        <v>6.5</v>
      </c>
      <c r="H35" s="45">
        <v>6.5</v>
      </c>
      <c r="I35" s="45">
        <v>6.5</v>
      </c>
      <c r="J35" s="45">
        <v>6.5</v>
      </c>
      <c r="K35" s="45">
        <v>6.5</v>
      </c>
      <c r="L35" s="45">
        <v>6.5</v>
      </c>
      <c r="M35" s="45">
        <v>6.5</v>
      </c>
      <c r="N35" s="45">
        <v>6.5</v>
      </c>
      <c r="O35" s="45">
        <v>6.5</v>
      </c>
      <c r="P35" s="45">
        <v>6.5</v>
      </c>
      <c r="Q35" s="45">
        <v>6.5</v>
      </c>
      <c r="R35" s="45">
        <v>6.5</v>
      </c>
      <c r="S35" s="45">
        <v>6.5</v>
      </c>
      <c r="T35" s="45">
        <v>6.5</v>
      </c>
      <c r="U35" s="45">
        <v>6.5</v>
      </c>
      <c r="V35" s="45">
        <v>6.5</v>
      </c>
      <c r="W35" s="45">
        <v>6.5</v>
      </c>
      <c r="X35" s="45">
        <v>6.5</v>
      </c>
      <c r="Y35" s="45">
        <v>6.5</v>
      </c>
      <c r="Z35" s="45">
        <v>6.5</v>
      </c>
      <c r="AA35" s="45">
        <v>6.5</v>
      </c>
      <c r="AB35" s="45">
        <v>6.5</v>
      </c>
      <c r="AC35" s="45">
        <v>6.5</v>
      </c>
      <c r="AD35" s="45">
        <v>6.5</v>
      </c>
      <c r="AE35" s="45">
        <v>6.5</v>
      </c>
      <c r="AF35" s="45">
        <v>6.5</v>
      </c>
      <c r="AG35" s="49">
        <v>20</v>
      </c>
      <c r="AH35" s="47">
        <f t="shared" si="2"/>
        <v>6.5</v>
      </c>
      <c r="AI35" s="48">
        <f t="shared" si="3"/>
        <v>6.5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264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2"/>
        <v>4</v>
      </c>
      <c r="AI36" s="48">
        <f t="shared" si="3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5.5</v>
      </c>
      <c r="C37" s="45">
        <v>5.5</v>
      </c>
      <c r="D37" s="45">
        <v>5.5</v>
      </c>
      <c r="E37" s="45">
        <v>5.5</v>
      </c>
      <c r="F37" s="45">
        <v>5.5</v>
      </c>
      <c r="G37" s="45">
        <v>5.5</v>
      </c>
      <c r="H37" s="45">
        <v>5.5</v>
      </c>
      <c r="I37" s="45">
        <v>5.5</v>
      </c>
      <c r="J37" s="45">
        <v>5.5</v>
      </c>
      <c r="K37" s="45">
        <v>5.5</v>
      </c>
      <c r="L37" s="45">
        <v>5.5</v>
      </c>
      <c r="M37" s="45">
        <v>5.5</v>
      </c>
      <c r="N37" s="45">
        <v>5.5</v>
      </c>
      <c r="O37" s="45">
        <v>5.5</v>
      </c>
      <c r="P37" s="45">
        <v>5.5</v>
      </c>
      <c r="Q37" s="45">
        <v>5.5</v>
      </c>
      <c r="R37" s="45">
        <v>5.5</v>
      </c>
      <c r="S37" s="45">
        <v>5.5</v>
      </c>
      <c r="T37" s="45">
        <v>5.5</v>
      </c>
      <c r="U37" s="45">
        <v>5.5</v>
      </c>
      <c r="V37" s="45">
        <v>5.5</v>
      </c>
      <c r="W37" s="45">
        <v>5.5</v>
      </c>
      <c r="X37" s="45">
        <v>5.5</v>
      </c>
      <c r="Y37" s="45">
        <v>5.5</v>
      </c>
      <c r="Z37" s="45">
        <v>5.5</v>
      </c>
      <c r="AA37" s="45">
        <v>5.5</v>
      </c>
      <c r="AB37" s="45">
        <v>5.5</v>
      </c>
      <c r="AC37" s="45">
        <v>5.5</v>
      </c>
      <c r="AD37" s="45">
        <v>5.5</v>
      </c>
      <c r="AE37" s="45">
        <v>5.5</v>
      </c>
      <c r="AF37" s="45">
        <v>5.5</v>
      </c>
      <c r="AG37" s="49">
        <v>18</v>
      </c>
      <c r="AH37" s="47">
        <f t="shared" si="2"/>
        <v>5.5</v>
      </c>
      <c r="AI37" s="48">
        <f t="shared" si="3"/>
        <v>5.5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>
        <v>7.2</v>
      </c>
      <c r="N38" s="45">
        <v>7.2</v>
      </c>
      <c r="O38" s="45">
        <v>7.2</v>
      </c>
      <c r="P38" s="45">
        <v>7.2</v>
      </c>
      <c r="Q38" s="45">
        <v>7.2</v>
      </c>
      <c r="R38" s="45">
        <v>7.2</v>
      </c>
      <c r="S38" s="45">
        <v>7.2</v>
      </c>
      <c r="T38" s="45">
        <v>7.2</v>
      </c>
      <c r="U38" s="45">
        <v>7.2</v>
      </c>
      <c r="V38" s="45">
        <v>7.2</v>
      </c>
      <c r="W38" s="45">
        <v>7.2</v>
      </c>
      <c r="X38" s="45">
        <v>7.2</v>
      </c>
      <c r="Y38" s="45">
        <v>7.2</v>
      </c>
      <c r="Z38" s="45">
        <v>7.2</v>
      </c>
      <c r="AA38" s="45">
        <v>7.2</v>
      </c>
      <c r="AB38" s="45">
        <v>7.2</v>
      </c>
      <c r="AC38" s="45">
        <v>7.2</v>
      </c>
      <c r="AD38" s="45">
        <v>7.2</v>
      </c>
      <c r="AE38" s="45">
        <v>7.2</v>
      </c>
      <c r="AF38" s="45">
        <v>7.2</v>
      </c>
      <c r="AG38" s="49">
        <v>14.9</v>
      </c>
      <c r="AH38" s="47">
        <f t="shared" si="2"/>
        <v>7.2</v>
      </c>
      <c r="AI38" s="48">
        <f t="shared" si="3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265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2"/>
        <v>5</v>
      </c>
      <c r="AI40" s="48">
        <f t="shared" si="3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266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>
        <v>4</v>
      </c>
      <c r="N41" s="45">
        <v>4</v>
      </c>
      <c r="O41" s="45">
        <v>4</v>
      </c>
      <c r="P41" s="45">
        <v>4</v>
      </c>
      <c r="Q41" s="45">
        <v>4</v>
      </c>
      <c r="R41" s="45">
        <v>4</v>
      </c>
      <c r="S41" s="45">
        <v>4</v>
      </c>
      <c r="T41" s="45">
        <v>4</v>
      </c>
      <c r="U41" s="45">
        <v>4</v>
      </c>
      <c r="V41" s="45">
        <v>4</v>
      </c>
      <c r="W41" s="45">
        <v>4</v>
      </c>
      <c r="X41" s="45">
        <v>4</v>
      </c>
      <c r="Y41" s="45">
        <v>4</v>
      </c>
      <c r="Z41" s="45">
        <v>4</v>
      </c>
      <c r="AA41" s="45">
        <v>4</v>
      </c>
      <c r="AB41" s="45">
        <v>4</v>
      </c>
      <c r="AC41" s="45">
        <v>4</v>
      </c>
      <c r="AD41" s="45">
        <v>4</v>
      </c>
      <c r="AE41" s="45">
        <v>4</v>
      </c>
      <c r="AF41" s="45">
        <v>4</v>
      </c>
      <c r="AG41" s="49">
        <v>14.9</v>
      </c>
      <c r="AH41" s="47">
        <f t="shared" si="2"/>
        <v>4</v>
      </c>
      <c r="AI41" s="48">
        <f t="shared" si="3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2"/>
        <v>1.8</v>
      </c>
      <c r="AI42" s="48">
        <f t="shared" si="3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2"/>
        <v>3.8</v>
      </c>
      <c r="AI43" s="48">
        <f t="shared" si="3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4</v>
      </c>
      <c r="C44" s="45">
        <v>4</v>
      </c>
      <c r="D44" s="45">
        <v>4</v>
      </c>
      <c r="E44" s="45">
        <v>4</v>
      </c>
      <c r="F44" s="45">
        <v>4</v>
      </c>
      <c r="G44" s="45">
        <v>4</v>
      </c>
      <c r="H44" s="45">
        <v>4</v>
      </c>
      <c r="I44" s="45">
        <v>4</v>
      </c>
      <c r="J44" s="45">
        <v>4</v>
      </c>
      <c r="K44" s="45">
        <v>4</v>
      </c>
      <c r="L44" s="45">
        <v>4</v>
      </c>
      <c r="M44" s="45">
        <v>4</v>
      </c>
      <c r="N44" s="45">
        <v>4</v>
      </c>
      <c r="O44" s="45">
        <v>4</v>
      </c>
      <c r="P44" s="45">
        <v>4</v>
      </c>
      <c r="Q44" s="45">
        <v>4</v>
      </c>
      <c r="R44" s="45">
        <v>4</v>
      </c>
      <c r="S44" s="45">
        <v>4</v>
      </c>
      <c r="T44" s="45">
        <v>4</v>
      </c>
      <c r="U44" s="45">
        <v>4</v>
      </c>
      <c r="V44" s="45">
        <v>4</v>
      </c>
      <c r="W44" s="45">
        <v>4</v>
      </c>
      <c r="X44" s="45">
        <v>4</v>
      </c>
      <c r="Y44" s="45">
        <v>4</v>
      </c>
      <c r="Z44" s="45">
        <v>4</v>
      </c>
      <c r="AA44" s="45">
        <v>4</v>
      </c>
      <c r="AB44" s="45">
        <v>4</v>
      </c>
      <c r="AC44" s="45">
        <v>4</v>
      </c>
      <c r="AD44" s="45">
        <v>4</v>
      </c>
      <c r="AE44" s="45">
        <v>4</v>
      </c>
      <c r="AF44" s="45">
        <v>4</v>
      </c>
      <c r="AG44" s="49">
        <v>12</v>
      </c>
      <c r="AH44" s="47">
        <f t="shared" si="2"/>
        <v>4</v>
      </c>
      <c r="AI44" s="48">
        <f t="shared" si="3"/>
        <v>4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49">
        <v>12</v>
      </c>
      <c r="AH45" s="47">
        <f t="shared" si="2"/>
        <v>9</v>
      </c>
      <c r="AI45" s="48">
        <f t="shared" si="3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2"/>
        <v>3</v>
      </c>
      <c r="AI46" s="48">
        <f t="shared" si="3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2"/>
        <v>3.5</v>
      </c>
      <c r="AI47" s="48">
        <f t="shared" si="3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>
        <v>5</v>
      </c>
      <c r="N48" s="45">
        <v>5</v>
      </c>
      <c r="O48" s="45">
        <v>5</v>
      </c>
      <c r="P48" s="45">
        <v>5</v>
      </c>
      <c r="Q48" s="45">
        <v>5</v>
      </c>
      <c r="R48" s="45">
        <v>5</v>
      </c>
      <c r="S48" s="45">
        <v>5</v>
      </c>
      <c r="T48" s="45">
        <v>5</v>
      </c>
      <c r="U48" s="45">
        <v>5</v>
      </c>
      <c r="V48" s="45">
        <v>5</v>
      </c>
      <c r="W48" s="45">
        <v>5</v>
      </c>
      <c r="X48" s="45">
        <v>5</v>
      </c>
      <c r="Y48" s="45">
        <v>5</v>
      </c>
      <c r="Z48" s="45">
        <v>5</v>
      </c>
      <c r="AA48" s="45">
        <v>5</v>
      </c>
      <c r="AB48" s="45">
        <v>5</v>
      </c>
      <c r="AC48" s="45">
        <v>5</v>
      </c>
      <c r="AD48" s="45">
        <v>5</v>
      </c>
      <c r="AE48" s="45">
        <v>5</v>
      </c>
      <c r="AF48" s="45">
        <v>5</v>
      </c>
      <c r="AG48" s="52">
        <v>11.88</v>
      </c>
      <c r="AH48" s="47">
        <f t="shared" si="2"/>
        <v>5</v>
      </c>
      <c r="AI48" s="48">
        <f t="shared" si="3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>
        <v>3</v>
      </c>
      <c r="N49" s="45">
        <v>3</v>
      </c>
      <c r="O49" s="45">
        <v>3</v>
      </c>
      <c r="P49" s="45">
        <v>3</v>
      </c>
      <c r="Q49" s="45">
        <v>3</v>
      </c>
      <c r="R49" s="45">
        <v>3</v>
      </c>
      <c r="S49" s="45">
        <v>3</v>
      </c>
      <c r="T49" s="45">
        <v>3</v>
      </c>
      <c r="U49" s="45">
        <v>3</v>
      </c>
      <c r="V49" s="45">
        <v>3</v>
      </c>
      <c r="W49" s="45">
        <v>3</v>
      </c>
      <c r="X49" s="45">
        <v>3</v>
      </c>
      <c r="Y49" s="45">
        <v>3</v>
      </c>
      <c r="Z49" s="45">
        <v>3</v>
      </c>
      <c r="AA49" s="45">
        <v>3</v>
      </c>
      <c r="AB49" s="45">
        <v>3</v>
      </c>
      <c r="AC49" s="45">
        <v>3</v>
      </c>
      <c r="AD49" s="45">
        <v>3</v>
      </c>
      <c r="AE49" s="45">
        <v>3</v>
      </c>
      <c r="AF49" s="45">
        <v>3</v>
      </c>
      <c r="AG49" s="55">
        <v>11</v>
      </c>
      <c r="AH49" s="47">
        <f t="shared" si="2"/>
        <v>3</v>
      </c>
      <c r="AI49" s="48">
        <f t="shared" si="3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267</v>
      </c>
      <c r="B50" s="45">
        <v>3.3</v>
      </c>
      <c r="C50" s="45">
        <v>3.3</v>
      </c>
      <c r="D50" s="45">
        <v>3.3</v>
      </c>
      <c r="E50" s="45">
        <v>3.3</v>
      </c>
      <c r="F50" s="45">
        <v>3.3</v>
      </c>
      <c r="G50" s="45">
        <v>3.3</v>
      </c>
      <c r="H50" s="45">
        <v>3.3</v>
      </c>
      <c r="I50" s="45">
        <v>3.3</v>
      </c>
      <c r="J50" s="45">
        <v>3.3</v>
      </c>
      <c r="K50" s="45">
        <v>3.3</v>
      </c>
      <c r="L50" s="45">
        <v>3.3</v>
      </c>
      <c r="M50" s="45">
        <v>3.3</v>
      </c>
      <c r="N50" s="45">
        <v>3.3</v>
      </c>
      <c r="O50" s="45">
        <v>3.3</v>
      </c>
      <c r="P50" s="45">
        <v>3.3</v>
      </c>
      <c r="Q50" s="45">
        <v>3.3</v>
      </c>
      <c r="R50" s="45">
        <v>3.3</v>
      </c>
      <c r="S50" s="45">
        <v>3.3</v>
      </c>
      <c r="T50" s="45">
        <v>3.3</v>
      </c>
      <c r="U50" s="45">
        <v>3.3</v>
      </c>
      <c r="V50" s="45">
        <v>3.3</v>
      </c>
      <c r="W50" s="45">
        <v>3.3</v>
      </c>
      <c r="X50" s="45">
        <v>3.3</v>
      </c>
      <c r="Y50" s="45">
        <v>3.3</v>
      </c>
      <c r="Z50" s="45">
        <v>3.3</v>
      </c>
      <c r="AA50" s="45">
        <v>3.3</v>
      </c>
      <c r="AB50" s="45">
        <v>3.3</v>
      </c>
      <c r="AC50" s="45">
        <v>3.3</v>
      </c>
      <c r="AD50" s="45">
        <v>3.3</v>
      </c>
      <c r="AE50" s="45">
        <v>3.3</v>
      </c>
      <c r="AF50" s="45">
        <v>3.3</v>
      </c>
      <c r="AG50" s="55">
        <v>11</v>
      </c>
      <c r="AH50" s="47">
        <f t="shared" si="2"/>
        <v>3.3</v>
      </c>
      <c r="AI50" s="48">
        <f t="shared" si="3"/>
        <v>3.3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268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"/>
        <v>3</v>
      </c>
      <c r="AI51" s="48">
        <f t="shared" si="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2"/>
        <v>4</v>
      </c>
      <c r="AI52" s="48">
        <f t="shared" si="3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"/>
        <v>4.5</v>
      </c>
      <c r="AI53" s="48">
        <f t="shared" si="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269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"/>
        <v>0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175</v>
      </c>
      <c r="C56" s="57">
        <v>175</v>
      </c>
      <c r="D56" s="57">
        <v>175</v>
      </c>
      <c r="E56" s="57">
        <v>175</v>
      </c>
      <c r="F56" s="57">
        <v>175</v>
      </c>
      <c r="G56" s="57">
        <v>175</v>
      </c>
      <c r="H56" s="57">
        <v>175</v>
      </c>
      <c r="I56" s="57">
        <v>175</v>
      </c>
      <c r="J56" s="57">
        <v>175</v>
      </c>
      <c r="K56" s="57">
        <v>175</v>
      </c>
      <c r="L56" s="57">
        <v>175</v>
      </c>
      <c r="M56" s="57">
        <v>175</v>
      </c>
      <c r="N56" s="57">
        <v>175</v>
      </c>
      <c r="O56" s="57">
        <v>175</v>
      </c>
      <c r="P56" s="57">
        <v>175</v>
      </c>
      <c r="Q56" s="57">
        <v>175</v>
      </c>
      <c r="R56" s="57">
        <v>175</v>
      </c>
      <c r="S56" s="57">
        <v>175</v>
      </c>
      <c r="T56" s="57">
        <v>175</v>
      </c>
      <c r="U56" s="57">
        <v>175</v>
      </c>
      <c r="V56" s="57">
        <v>175</v>
      </c>
      <c r="W56" s="57">
        <v>175</v>
      </c>
      <c r="X56" s="57">
        <v>175</v>
      </c>
      <c r="Y56" s="57">
        <v>175</v>
      </c>
      <c r="Z56" s="57">
        <v>175</v>
      </c>
      <c r="AA56" s="57">
        <v>175</v>
      </c>
      <c r="AB56" s="57">
        <v>175</v>
      </c>
      <c r="AC56" s="57">
        <v>175</v>
      </c>
      <c r="AD56" s="57">
        <v>175</v>
      </c>
      <c r="AE56" s="57">
        <v>175</v>
      </c>
      <c r="AF56" s="57">
        <v>175</v>
      </c>
      <c r="AG56" s="55">
        <v>85</v>
      </c>
      <c r="AH56" s="47">
        <f t="shared" si="2"/>
        <v>175</v>
      </c>
      <c r="AI56" s="48">
        <f t="shared" si="3"/>
        <v>175</v>
      </c>
      <c r="AK56" s="50"/>
    </row>
    <row r="57" spans="1:88" ht="15.75" thickBot="1" x14ac:dyDescent="0.3">
      <c r="A57" s="58" t="s">
        <v>57</v>
      </c>
      <c r="B57" s="57">
        <v>26.5</v>
      </c>
      <c r="C57" s="57">
        <v>26.5</v>
      </c>
      <c r="D57" s="57">
        <v>26.5</v>
      </c>
      <c r="E57" s="57">
        <f>9.9+22.3</f>
        <v>32.200000000000003</v>
      </c>
      <c r="F57" s="57">
        <f t="shared" ref="F57:O57" si="4">9.8+22</f>
        <v>31.8</v>
      </c>
      <c r="G57" s="57">
        <f t="shared" si="4"/>
        <v>31.8</v>
      </c>
      <c r="H57" s="57">
        <f t="shared" si="4"/>
        <v>31.8</v>
      </c>
      <c r="I57" s="57">
        <f t="shared" si="4"/>
        <v>31.8</v>
      </c>
      <c r="J57" s="57">
        <f t="shared" si="4"/>
        <v>31.8</v>
      </c>
      <c r="K57" s="57">
        <f t="shared" si="4"/>
        <v>31.8</v>
      </c>
      <c r="L57" s="57">
        <f t="shared" si="4"/>
        <v>31.8</v>
      </c>
      <c r="M57" s="57">
        <f t="shared" si="4"/>
        <v>31.8</v>
      </c>
      <c r="N57" s="57">
        <f t="shared" si="4"/>
        <v>31.8</v>
      </c>
      <c r="O57" s="57">
        <f t="shared" si="4"/>
        <v>31.8</v>
      </c>
      <c r="P57" s="51">
        <f>10.6+20.9</f>
        <v>31.5</v>
      </c>
      <c r="Q57" s="51">
        <v>30.7</v>
      </c>
      <c r="R57" s="51">
        <v>30.7</v>
      </c>
      <c r="S57" s="51">
        <v>31</v>
      </c>
      <c r="T57" s="51">
        <v>31</v>
      </c>
      <c r="U57" s="51">
        <v>31</v>
      </c>
      <c r="V57" s="51">
        <v>31</v>
      </c>
      <c r="W57" s="51">
        <v>22</v>
      </c>
      <c r="X57" s="51">
        <v>23.2</v>
      </c>
      <c r="Y57" s="51">
        <v>23.5</v>
      </c>
      <c r="Z57" s="51">
        <v>23.5</v>
      </c>
      <c r="AA57" s="51">
        <v>22.6</v>
      </c>
      <c r="AB57" s="51">
        <f>17.7+7.1</f>
        <v>24.799999999999997</v>
      </c>
      <c r="AC57" s="51">
        <f>17.7+7.1</f>
        <v>24.799999999999997</v>
      </c>
      <c r="AD57" s="57">
        <f>19.5+8.1</f>
        <v>27.6</v>
      </c>
      <c r="AE57" s="57">
        <f>9+20.1</f>
        <v>29.1</v>
      </c>
      <c r="AF57" s="57">
        <f>9.2+21.1</f>
        <v>30.3</v>
      </c>
      <c r="AG57" s="55">
        <v>240</v>
      </c>
      <c r="AH57" s="47">
        <f t="shared" si="2"/>
        <v>32.200000000000003</v>
      </c>
      <c r="AI57" s="48">
        <f t="shared" si="3"/>
        <v>22</v>
      </c>
      <c r="AK57" s="50"/>
    </row>
    <row r="58" spans="1:88" ht="15.75" thickBot="1" x14ac:dyDescent="0.3">
      <c r="A58" s="59" t="s">
        <v>58</v>
      </c>
      <c r="B58" s="60">
        <f t="shared" ref="B58:C58" si="5">SUM(B11:B56)</f>
        <v>542.40000000000009</v>
      </c>
      <c r="C58" s="60">
        <f t="shared" si="5"/>
        <v>542.40000000000009</v>
      </c>
      <c r="D58" s="60">
        <f t="shared" ref="D58" si="6">SUM(D11:D56)</f>
        <v>542.40000000000009</v>
      </c>
      <c r="E58" s="60">
        <f t="shared" ref="E58:AD58" si="7">SUM(E11:E56)</f>
        <v>540.29999999999995</v>
      </c>
      <c r="F58" s="60">
        <f t="shared" si="7"/>
        <v>540.29999999999995</v>
      </c>
      <c r="G58" s="60">
        <f t="shared" si="7"/>
        <v>540.29999999999995</v>
      </c>
      <c r="H58" s="60">
        <f t="shared" si="7"/>
        <v>537.79999999999995</v>
      </c>
      <c r="I58" s="60">
        <f t="shared" si="7"/>
        <v>537.79999999999995</v>
      </c>
      <c r="J58" s="60">
        <f t="shared" si="7"/>
        <v>537.79999999999995</v>
      </c>
      <c r="K58" s="60">
        <f t="shared" si="7"/>
        <v>537.79999999999995</v>
      </c>
      <c r="L58" s="60">
        <f t="shared" si="7"/>
        <v>537.79999999999995</v>
      </c>
      <c r="M58" s="60">
        <f t="shared" si="7"/>
        <v>541.59999999999991</v>
      </c>
      <c r="N58" s="60">
        <f t="shared" si="7"/>
        <v>541.59999999999991</v>
      </c>
      <c r="O58" s="60">
        <f t="shared" si="7"/>
        <v>541.59999999999991</v>
      </c>
      <c r="P58" s="60">
        <f t="shared" si="7"/>
        <v>541.59999999999991</v>
      </c>
      <c r="Q58" s="60">
        <f t="shared" si="7"/>
        <v>541.59999999999991</v>
      </c>
      <c r="R58" s="60">
        <f t="shared" si="7"/>
        <v>541.59999999999991</v>
      </c>
      <c r="S58" s="60">
        <f>SUM(S11:S56)</f>
        <v>541.59999999999991</v>
      </c>
      <c r="T58" s="60">
        <f t="shared" si="7"/>
        <v>541.59999999999991</v>
      </c>
      <c r="U58" s="60">
        <f t="shared" si="7"/>
        <v>541.59999999999991</v>
      </c>
      <c r="V58" s="60">
        <f t="shared" si="7"/>
        <v>541.59999999999991</v>
      </c>
      <c r="W58" s="60">
        <f t="shared" si="7"/>
        <v>541.59999999999991</v>
      </c>
      <c r="X58" s="60">
        <f t="shared" si="7"/>
        <v>541.59999999999991</v>
      </c>
      <c r="Y58" s="60">
        <f t="shared" si="7"/>
        <v>541.59999999999991</v>
      </c>
      <c r="Z58" s="60">
        <f t="shared" si="7"/>
        <v>541.59999999999991</v>
      </c>
      <c r="AA58" s="60">
        <f t="shared" si="7"/>
        <v>541.59999999999991</v>
      </c>
      <c r="AB58" s="60">
        <f t="shared" si="7"/>
        <v>540.9</v>
      </c>
      <c r="AC58" s="60">
        <f t="shared" si="7"/>
        <v>541.70000000000005</v>
      </c>
      <c r="AD58" s="60">
        <f t="shared" si="7"/>
        <v>542.90000000000009</v>
      </c>
      <c r="AE58" s="60">
        <f t="shared" ref="AE58:AF58" si="8">SUM(AE11:AE56)</f>
        <v>546.1</v>
      </c>
      <c r="AF58" s="60">
        <f t="shared" si="8"/>
        <v>544</v>
      </c>
      <c r="AG58" s="61">
        <f>SUM(AG14:AG56)</f>
        <v>1042.4000000000001</v>
      </c>
      <c r="AH58" s="47">
        <f t="shared" si="2"/>
        <v>546.1</v>
      </c>
      <c r="AI58" s="48">
        <f t="shared" si="3"/>
        <v>537.79999999999995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55</v>
      </c>
      <c r="K59" s="45">
        <v>260</v>
      </c>
      <c r="L59" s="45">
        <v>360</v>
      </c>
      <c r="M59" s="45">
        <v>400</v>
      </c>
      <c r="N59" s="63">
        <v>360</v>
      </c>
      <c r="O59" s="63">
        <v>100</v>
      </c>
      <c r="P59" s="63">
        <v>100</v>
      </c>
      <c r="Q59" s="63">
        <v>100</v>
      </c>
      <c r="R59" s="63">
        <v>0</v>
      </c>
      <c r="S59" s="63">
        <v>0</v>
      </c>
      <c r="T59" s="63">
        <v>0</v>
      </c>
      <c r="U59" s="63">
        <v>0</v>
      </c>
      <c r="V59" s="63">
        <v>100</v>
      </c>
      <c r="W59" s="63">
        <v>200</v>
      </c>
      <c r="X59" s="45">
        <v>304</v>
      </c>
      <c r="Y59" s="45">
        <v>304</v>
      </c>
      <c r="Z59" s="45">
        <v>304</v>
      </c>
      <c r="AA59" s="45">
        <v>90</v>
      </c>
      <c r="AB59" s="45">
        <v>90</v>
      </c>
      <c r="AC59" s="45">
        <v>70</v>
      </c>
      <c r="AD59" s="45">
        <v>70</v>
      </c>
      <c r="AE59" s="45">
        <v>20</v>
      </c>
      <c r="AF59" s="45">
        <v>0</v>
      </c>
      <c r="AG59" s="52">
        <v>456</v>
      </c>
      <c r="AH59" s="47">
        <f t="shared" si="2"/>
        <v>400</v>
      </c>
      <c r="AI59" s="48">
        <f t="shared" si="3"/>
        <v>0</v>
      </c>
      <c r="AK59" s="50"/>
    </row>
    <row r="60" spans="1:88" x14ac:dyDescent="0.25">
      <c r="A60" s="64" t="s">
        <v>60</v>
      </c>
      <c r="B60" s="65">
        <v>36</v>
      </c>
      <c r="C60" s="65">
        <v>36</v>
      </c>
      <c r="D60" s="65">
        <v>36</v>
      </c>
      <c r="E60" s="65">
        <v>36</v>
      </c>
      <c r="F60" s="65">
        <v>36</v>
      </c>
      <c r="G60" s="65">
        <v>36</v>
      </c>
      <c r="H60" s="65">
        <v>36</v>
      </c>
      <c r="I60" s="65">
        <v>36</v>
      </c>
      <c r="J60" s="65">
        <v>36</v>
      </c>
      <c r="K60" s="65">
        <v>36</v>
      </c>
      <c r="L60" s="65">
        <v>36</v>
      </c>
      <c r="M60" s="65">
        <v>36</v>
      </c>
      <c r="N60" s="65">
        <v>36</v>
      </c>
      <c r="O60" s="65">
        <v>36</v>
      </c>
      <c r="P60" s="65">
        <v>36</v>
      </c>
      <c r="Q60" s="65">
        <v>36</v>
      </c>
      <c r="R60" s="65">
        <v>36</v>
      </c>
      <c r="S60" s="65">
        <v>36</v>
      </c>
      <c r="T60" s="65">
        <v>36</v>
      </c>
      <c r="U60" s="65">
        <v>36</v>
      </c>
      <c r="V60" s="65">
        <v>36</v>
      </c>
      <c r="W60" s="65">
        <v>36</v>
      </c>
      <c r="X60" s="65">
        <v>36</v>
      </c>
      <c r="Y60" s="65">
        <v>36</v>
      </c>
      <c r="Z60" s="65">
        <v>36</v>
      </c>
      <c r="AA60" s="65">
        <v>36</v>
      </c>
      <c r="AB60" s="65">
        <v>36</v>
      </c>
      <c r="AC60" s="65">
        <v>36</v>
      </c>
      <c r="AD60" s="65">
        <v>36</v>
      </c>
      <c r="AE60" s="65">
        <v>36</v>
      </c>
      <c r="AF60" s="65">
        <v>36</v>
      </c>
      <c r="AG60" s="55">
        <v>60</v>
      </c>
      <c r="AH60" s="47">
        <f t="shared" si="2"/>
        <v>36</v>
      </c>
      <c r="AI60" s="48">
        <f t="shared" si="3"/>
        <v>36</v>
      </c>
      <c r="AK60" s="50"/>
    </row>
    <row r="61" spans="1:88" ht="15.75" thickBot="1" x14ac:dyDescent="0.3">
      <c r="A61" s="66" t="s">
        <v>61</v>
      </c>
      <c r="B61" s="67">
        <v>9.74</v>
      </c>
      <c r="C61" s="67">
        <v>9.74</v>
      </c>
      <c r="D61" s="67">
        <v>9.74</v>
      </c>
      <c r="E61" s="67">
        <v>10.4</v>
      </c>
      <c r="F61" s="67">
        <v>11.3</v>
      </c>
      <c r="G61" s="67">
        <v>11.3</v>
      </c>
      <c r="H61" s="67">
        <v>11.3</v>
      </c>
      <c r="I61" s="67">
        <v>11.3</v>
      </c>
      <c r="J61" s="67">
        <v>11.3</v>
      </c>
      <c r="K61" s="67">
        <v>11.4</v>
      </c>
      <c r="L61" s="67">
        <v>11.4</v>
      </c>
      <c r="M61" s="67">
        <v>11.3</v>
      </c>
      <c r="N61" s="67">
        <v>11.3</v>
      </c>
      <c r="O61" s="67">
        <v>11.3</v>
      </c>
      <c r="P61" s="67">
        <v>11.3</v>
      </c>
      <c r="Q61" s="67">
        <v>11.4</v>
      </c>
      <c r="R61" s="67">
        <v>11.3</v>
      </c>
      <c r="S61" s="67">
        <v>11.3</v>
      </c>
      <c r="T61" s="67">
        <v>11.3</v>
      </c>
      <c r="U61" s="67">
        <v>11.3</v>
      </c>
      <c r="V61" s="67">
        <v>11.3</v>
      </c>
      <c r="W61" s="67">
        <v>11.3</v>
      </c>
      <c r="X61" s="67">
        <v>11.3</v>
      </c>
      <c r="Y61" s="67">
        <v>16.100000000000001</v>
      </c>
      <c r="Z61" s="67">
        <v>16.100000000000001</v>
      </c>
      <c r="AA61" s="67">
        <v>16.100000000000001</v>
      </c>
      <c r="AB61" s="67">
        <v>16.100000000000001</v>
      </c>
      <c r="AC61" s="67">
        <v>16.100000000000001</v>
      </c>
      <c r="AD61" s="67">
        <v>14.6</v>
      </c>
      <c r="AE61" s="67">
        <v>10.3</v>
      </c>
      <c r="AF61" s="67">
        <v>10.3</v>
      </c>
      <c r="AG61" s="68">
        <v>22.1</v>
      </c>
      <c r="AH61" s="47">
        <f t="shared" si="2"/>
        <v>16.100000000000001</v>
      </c>
      <c r="AI61" s="48">
        <f t="shared" si="3"/>
        <v>9.74</v>
      </c>
      <c r="AK61" s="50"/>
    </row>
    <row r="62" spans="1:88" ht="15.75" thickBot="1" x14ac:dyDescent="0.3">
      <c r="A62" s="69" t="s">
        <v>62</v>
      </c>
      <c r="B62" s="60">
        <f t="shared" ref="B62:C62" si="9">SUM(B59:B61)</f>
        <v>45.74</v>
      </c>
      <c r="C62" s="60">
        <f t="shared" si="9"/>
        <v>45.74</v>
      </c>
      <c r="D62" s="60">
        <f t="shared" ref="D62" si="10">SUM(D59:D61)</f>
        <v>45.74</v>
      </c>
      <c r="E62" s="60">
        <f t="shared" ref="E62:AG62" si="11">SUM(E59:E61)</f>
        <v>46.4</v>
      </c>
      <c r="F62" s="60">
        <f t="shared" si="11"/>
        <v>47.3</v>
      </c>
      <c r="G62" s="60">
        <f t="shared" si="11"/>
        <v>47.3</v>
      </c>
      <c r="H62" s="60">
        <f t="shared" si="11"/>
        <v>47.3</v>
      </c>
      <c r="I62" s="60">
        <f t="shared" si="11"/>
        <v>47.3</v>
      </c>
      <c r="J62" s="60">
        <f t="shared" si="11"/>
        <v>102.3</v>
      </c>
      <c r="K62" s="60">
        <f t="shared" si="11"/>
        <v>307.39999999999998</v>
      </c>
      <c r="L62" s="60">
        <f t="shared" si="11"/>
        <v>407.4</v>
      </c>
      <c r="M62" s="60">
        <f t="shared" si="11"/>
        <v>447.3</v>
      </c>
      <c r="N62" s="60">
        <f t="shared" si="11"/>
        <v>407.3</v>
      </c>
      <c r="O62" s="60">
        <f t="shared" si="11"/>
        <v>147.30000000000001</v>
      </c>
      <c r="P62" s="60">
        <f t="shared" si="11"/>
        <v>147.30000000000001</v>
      </c>
      <c r="Q62" s="60">
        <f t="shared" si="11"/>
        <v>147.4</v>
      </c>
      <c r="R62" s="60">
        <f t="shared" si="11"/>
        <v>47.3</v>
      </c>
      <c r="S62" s="60">
        <f t="shared" si="11"/>
        <v>47.3</v>
      </c>
      <c r="T62" s="60">
        <f t="shared" si="11"/>
        <v>47.3</v>
      </c>
      <c r="U62" s="60">
        <f t="shared" si="11"/>
        <v>47.3</v>
      </c>
      <c r="V62" s="60">
        <f t="shared" si="11"/>
        <v>147.30000000000001</v>
      </c>
      <c r="W62" s="60">
        <f t="shared" si="11"/>
        <v>247.3</v>
      </c>
      <c r="X62" s="60">
        <f t="shared" si="11"/>
        <v>351.3</v>
      </c>
      <c r="Y62" s="60">
        <f t="shared" si="11"/>
        <v>356.1</v>
      </c>
      <c r="Z62" s="60">
        <f t="shared" si="11"/>
        <v>356.1</v>
      </c>
      <c r="AA62" s="60">
        <f t="shared" si="11"/>
        <v>142.1</v>
      </c>
      <c r="AB62" s="60">
        <f t="shared" si="11"/>
        <v>142.1</v>
      </c>
      <c r="AC62" s="60">
        <f t="shared" si="11"/>
        <v>122.1</v>
      </c>
      <c r="AD62" s="60">
        <f t="shared" si="11"/>
        <v>120.6</v>
      </c>
      <c r="AE62" s="60">
        <f t="shared" ref="AE62:AF62" si="12">SUM(AE59:AE61)</f>
        <v>66.3</v>
      </c>
      <c r="AF62" s="60">
        <f t="shared" si="12"/>
        <v>46.3</v>
      </c>
      <c r="AG62" s="61">
        <f t="shared" si="11"/>
        <v>538.1</v>
      </c>
      <c r="AH62" s="47">
        <f t="shared" si="2"/>
        <v>447.3</v>
      </c>
      <c r="AI62" s="48">
        <f t="shared" si="3"/>
        <v>45.74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30.5</v>
      </c>
      <c r="H63" s="45">
        <v>60.7</v>
      </c>
      <c r="I63" s="45">
        <v>101.9</v>
      </c>
      <c r="J63" s="45">
        <v>142.1</v>
      </c>
      <c r="K63" s="45">
        <v>140.19999999999999</v>
      </c>
      <c r="L63" s="45">
        <v>138.4</v>
      </c>
      <c r="M63" s="45">
        <v>143.19999999999999</v>
      </c>
      <c r="N63" s="45">
        <v>90.8</v>
      </c>
      <c r="O63" s="45">
        <v>87.2</v>
      </c>
      <c r="P63" s="45">
        <v>80</v>
      </c>
      <c r="Q63" s="45">
        <v>80</v>
      </c>
      <c r="R63" s="45">
        <v>60.9</v>
      </c>
      <c r="S63" s="45">
        <v>26.7</v>
      </c>
      <c r="T63" s="45">
        <v>26.7</v>
      </c>
      <c r="U63" s="45">
        <v>0</v>
      </c>
      <c r="V63" s="45">
        <v>48.9</v>
      </c>
      <c r="W63" s="45">
        <v>48.9</v>
      </c>
      <c r="X63" s="45">
        <v>110</v>
      </c>
      <c r="Y63" s="45">
        <v>143</v>
      </c>
      <c r="Z63" s="45">
        <v>143</v>
      </c>
      <c r="AA63" s="45">
        <v>143</v>
      </c>
      <c r="AB63" s="45">
        <v>132.30000000000001</v>
      </c>
      <c r="AC63" s="45">
        <v>132.30000000000001</v>
      </c>
      <c r="AD63" s="45">
        <v>73.3</v>
      </c>
      <c r="AE63" s="45">
        <v>60</v>
      </c>
      <c r="AF63" s="45">
        <v>30</v>
      </c>
      <c r="AG63" s="52">
        <v>144</v>
      </c>
      <c r="AH63" s="47">
        <f t="shared" si="2"/>
        <v>143.19999999999999</v>
      </c>
      <c r="AI63" s="48">
        <f t="shared" si="3"/>
        <v>0</v>
      </c>
      <c r="AK63" s="50"/>
    </row>
    <row r="64" spans="1:88" x14ac:dyDescent="0.25">
      <c r="A64" s="54" t="s">
        <v>64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24.9</v>
      </c>
      <c r="H64" s="65">
        <v>24.8</v>
      </c>
      <c r="I64" s="65">
        <v>56</v>
      </c>
      <c r="J64" s="65">
        <v>61.3</v>
      </c>
      <c r="K64" s="65">
        <v>69.2</v>
      </c>
      <c r="L64" s="65">
        <v>69.900000000000006</v>
      </c>
      <c r="M64" s="65">
        <v>69.5</v>
      </c>
      <c r="N64" s="65">
        <v>60</v>
      </c>
      <c r="O64" s="65">
        <v>60</v>
      </c>
      <c r="P64" s="65">
        <v>50</v>
      </c>
      <c r="Q64" s="65">
        <v>24.7</v>
      </c>
      <c r="R64" s="65">
        <v>26</v>
      </c>
      <c r="S64" s="65">
        <v>0</v>
      </c>
      <c r="T64" s="65">
        <v>0</v>
      </c>
      <c r="U64" s="65">
        <v>0</v>
      </c>
      <c r="V64" s="65">
        <v>0</v>
      </c>
      <c r="W64" s="65">
        <v>35.5</v>
      </c>
      <c r="X64" s="65">
        <v>63.8</v>
      </c>
      <c r="Y64" s="65">
        <v>70</v>
      </c>
      <c r="Z64" s="65">
        <v>70</v>
      </c>
      <c r="AA64" s="65">
        <v>70</v>
      </c>
      <c r="AB64" s="45">
        <v>57.2</v>
      </c>
      <c r="AC64" s="45">
        <v>57.2</v>
      </c>
      <c r="AD64" s="65">
        <v>50.1</v>
      </c>
      <c r="AE64" s="65">
        <v>33.299999999999997</v>
      </c>
      <c r="AF64" s="65">
        <v>25.1</v>
      </c>
      <c r="AG64" s="55">
        <v>70</v>
      </c>
      <c r="AH64" s="47">
        <f t="shared" si="2"/>
        <v>70</v>
      </c>
      <c r="AI64" s="48">
        <f t="shared" si="3"/>
        <v>0</v>
      </c>
      <c r="AK64" s="50"/>
    </row>
    <row r="65" spans="1:41" x14ac:dyDescent="0.25">
      <c r="A65" s="54" t="s">
        <v>65</v>
      </c>
      <c r="B65" s="65">
        <v>0</v>
      </c>
      <c r="C65" s="65">
        <v>0</v>
      </c>
      <c r="D65" s="65">
        <v>0</v>
      </c>
      <c r="E65" s="65">
        <v>0</v>
      </c>
      <c r="F65" s="65">
        <v>17.8</v>
      </c>
      <c r="G65" s="65">
        <v>15.8</v>
      </c>
      <c r="H65" s="65">
        <v>23.3</v>
      </c>
      <c r="I65" s="65">
        <v>43.2</v>
      </c>
      <c r="J65" s="65">
        <v>46.3</v>
      </c>
      <c r="K65" s="65">
        <v>46.3</v>
      </c>
      <c r="L65" s="65">
        <v>46.1</v>
      </c>
      <c r="M65" s="65">
        <v>45.9</v>
      </c>
      <c r="N65" s="65">
        <v>45.7</v>
      </c>
      <c r="O65" s="65">
        <v>62</v>
      </c>
      <c r="P65" s="65">
        <v>60</v>
      </c>
      <c r="Q65" s="65">
        <v>45</v>
      </c>
      <c r="R65" s="65">
        <v>45</v>
      </c>
      <c r="S65" s="65">
        <v>16.5</v>
      </c>
      <c r="T65" s="65">
        <v>16.5</v>
      </c>
      <c r="U65" s="65">
        <v>34.6</v>
      </c>
      <c r="V65" s="65">
        <v>46.3</v>
      </c>
      <c r="W65" s="65">
        <v>46.3</v>
      </c>
      <c r="X65" s="65">
        <v>68.400000000000006</v>
      </c>
      <c r="Y65" s="65">
        <v>68.400000000000006</v>
      </c>
      <c r="Z65" s="65">
        <v>68.400000000000006</v>
      </c>
      <c r="AA65" s="65">
        <v>68.400000000000006</v>
      </c>
      <c r="AB65" s="45">
        <v>68.3</v>
      </c>
      <c r="AC65" s="45">
        <v>68.3</v>
      </c>
      <c r="AD65" s="65">
        <v>53.7</v>
      </c>
      <c r="AE65" s="65">
        <v>66.3</v>
      </c>
      <c r="AF65" s="65">
        <v>15.6</v>
      </c>
      <c r="AG65" s="55">
        <v>69</v>
      </c>
      <c r="AH65" s="47">
        <f t="shared" si="2"/>
        <v>68.400000000000006</v>
      </c>
      <c r="AI65" s="48">
        <f t="shared" si="3"/>
        <v>0</v>
      </c>
      <c r="AK65" s="50"/>
    </row>
    <row r="66" spans="1:41" x14ac:dyDescent="0.25">
      <c r="A66" s="54" t="s">
        <v>66</v>
      </c>
      <c r="B66" s="65">
        <v>45</v>
      </c>
      <c r="C66" s="65">
        <v>45</v>
      </c>
      <c r="D66" s="65">
        <v>45</v>
      </c>
      <c r="E66" s="65">
        <v>46.1</v>
      </c>
      <c r="F66" s="65">
        <v>46.1</v>
      </c>
      <c r="G66" s="65">
        <v>45.1</v>
      </c>
      <c r="H66" s="65">
        <v>45.1</v>
      </c>
      <c r="I66" s="65">
        <v>45.3</v>
      </c>
      <c r="J66" s="65">
        <v>45.3</v>
      </c>
      <c r="K66" s="57">
        <v>45.3</v>
      </c>
      <c r="L66" s="57">
        <v>47.4</v>
      </c>
      <c r="M66" s="65">
        <v>47.4</v>
      </c>
      <c r="N66" s="65">
        <v>47.4</v>
      </c>
      <c r="O66" s="65">
        <v>47.4</v>
      </c>
      <c r="P66" s="65">
        <v>47.4</v>
      </c>
      <c r="Q66" s="65">
        <v>44</v>
      </c>
      <c r="R66" s="65">
        <v>44</v>
      </c>
      <c r="S66" s="65">
        <v>45.3</v>
      </c>
      <c r="T66" s="65">
        <v>45.3</v>
      </c>
      <c r="U66" s="65">
        <v>45.3</v>
      </c>
      <c r="V66" s="65">
        <v>45.3</v>
      </c>
      <c r="W66" s="65">
        <v>45.3</v>
      </c>
      <c r="X66" s="65">
        <v>45.3</v>
      </c>
      <c r="Y66" s="65">
        <v>45.3</v>
      </c>
      <c r="Z66" s="65">
        <v>45.3</v>
      </c>
      <c r="AA66" s="65">
        <v>45.3</v>
      </c>
      <c r="AB66" s="45">
        <v>43.3</v>
      </c>
      <c r="AC66" s="45">
        <v>43.3</v>
      </c>
      <c r="AD66" s="65">
        <v>47.4</v>
      </c>
      <c r="AE66" s="65">
        <v>48.3</v>
      </c>
      <c r="AF66" s="65">
        <v>48.3</v>
      </c>
      <c r="AG66" s="55">
        <v>60</v>
      </c>
      <c r="AH66" s="47">
        <f t="shared" si="2"/>
        <v>48.3</v>
      </c>
      <c r="AI66" s="48">
        <f t="shared" si="3"/>
        <v>43.3</v>
      </c>
      <c r="AK66" s="50"/>
    </row>
    <row r="67" spans="1:41" x14ac:dyDescent="0.25">
      <c r="A67" s="54" t="s">
        <v>67</v>
      </c>
      <c r="B67" s="65">
        <v>0</v>
      </c>
      <c r="C67" s="65">
        <v>0</v>
      </c>
      <c r="D67" s="65">
        <v>0</v>
      </c>
      <c r="E67" s="65">
        <v>0</v>
      </c>
      <c r="F67" s="65">
        <v>0</v>
      </c>
      <c r="G67" s="65">
        <v>10</v>
      </c>
      <c r="H67" s="65">
        <v>10</v>
      </c>
      <c r="I67" s="65">
        <v>23</v>
      </c>
      <c r="J67" s="65">
        <v>28</v>
      </c>
      <c r="K67" s="57">
        <v>28</v>
      </c>
      <c r="L67" s="57">
        <v>28</v>
      </c>
      <c r="M67" s="65">
        <v>28</v>
      </c>
      <c r="N67" s="65">
        <v>14.5</v>
      </c>
      <c r="O67" s="65">
        <v>10</v>
      </c>
      <c r="P67" s="65">
        <v>10</v>
      </c>
      <c r="Q67" s="65">
        <v>10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23</v>
      </c>
      <c r="Y67" s="65">
        <v>23</v>
      </c>
      <c r="Z67" s="65">
        <v>23</v>
      </c>
      <c r="AA67" s="65">
        <v>23</v>
      </c>
      <c r="AB67" s="45">
        <v>15</v>
      </c>
      <c r="AC67" s="45">
        <v>15</v>
      </c>
      <c r="AD67" s="65">
        <v>10</v>
      </c>
      <c r="AE67" s="65">
        <v>10</v>
      </c>
      <c r="AF67" s="65">
        <v>10</v>
      </c>
      <c r="AG67" s="55">
        <v>30</v>
      </c>
      <c r="AH67" s="47">
        <f t="shared" si="2"/>
        <v>28</v>
      </c>
      <c r="AI67" s="48">
        <f t="shared" si="3"/>
        <v>0</v>
      </c>
      <c r="AK67" s="50"/>
    </row>
    <row r="68" spans="1:41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65">
        <v>0.2</v>
      </c>
      <c r="M68" s="65">
        <v>0.5</v>
      </c>
      <c r="N68" s="65">
        <v>2.2999999999999998</v>
      </c>
      <c r="O68" s="65">
        <v>5.3</v>
      </c>
      <c r="P68" s="65">
        <v>15</v>
      </c>
      <c r="Q68" s="65">
        <v>15.9</v>
      </c>
      <c r="R68" s="65">
        <v>15.9</v>
      </c>
      <c r="S68" s="65">
        <v>12.5</v>
      </c>
      <c r="T68" s="65">
        <v>8</v>
      </c>
      <c r="U68" s="65">
        <v>2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5">
        <v>25</v>
      </c>
      <c r="AH68" s="47">
        <f t="shared" si="2"/>
        <v>15.9</v>
      </c>
      <c r="AI68" s="48">
        <f t="shared" si="3"/>
        <v>0</v>
      </c>
      <c r="AK68" s="50"/>
    </row>
    <row r="69" spans="1:41" x14ac:dyDescent="0.25">
      <c r="A69" s="54" t="s">
        <v>69</v>
      </c>
      <c r="B69" s="65">
        <v>15</v>
      </c>
      <c r="C69" s="65">
        <v>15</v>
      </c>
      <c r="D69" s="65">
        <v>15</v>
      </c>
      <c r="E69" s="65">
        <v>15</v>
      </c>
      <c r="F69" s="65">
        <v>15</v>
      </c>
      <c r="G69" s="65">
        <v>15</v>
      </c>
      <c r="H69" s="65">
        <v>15</v>
      </c>
      <c r="I69" s="65">
        <v>15</v>
      </c>
      <c r="J69" s="65">
        <v>15</v>
      </c>
      <c r="K69" s="65">
        <v>15</v>
      </c>
      <c r="L69" s="65">
        <v>15</v>
      </c>
      <c r="M69" s="65">
        <v>15</v>
      </c>
      <c r="N69" s="65">
        <v>16</v>
      </c>
      <c r="O69" s="65">
        <v>16</v>
      </c>
      <c r="P69" s="65">
        <v>16</v>
      </c>
      <c r="Q69" s="65">
        <v>16</v>
      </c>
      <c r="R69" s="65">
        <v>16</v>
      </c>
      <c r="S69" s="65">
        <v>16</v>
      </c>
      <c r="T69" s="65">
        <v>16</v>
      </c>
      <c r="U69" s="65">
        <v>16</v>
      </c>
      <c r="V69" s="65">
        <v>16</v>
      </c>
      <c r="W69" s="65">
        <v>16</v>
      </c>
      <c r="X69" s="65">
        <v>16</v>
      </c>
      <c r="Y69" s="65">
        <v>16</v>
      </c>
      <c r="Z69" s="65">
        <v>16</v>
      </c>
      <c r="AA69" s="65">
        <v>16</v>
      </c>
      <c r="AB69" s="65">
        <v>16</v>
      </c>
      <c r="AC69" s="65">
        <v>16</v>
      </c>
      <c r="AD69" s="65">
        <v>16</v>
      </c>
      <c r="AE69" s="65">
        <v>16</v>
      </c>
      <c r="AF69" s="65">
        <v>16</v>
      </c>
      <c r="AG69" s="55">
        <v>24</v>
      </c>
      <c r="AH69" s="47">
        <f t="shared" si="2"/>
        <v>16</v>
      </c>
      <c r="AI69" s="48">
        <f t="shared" si="3"/>
        <v>15</v>
      </c>
      <c r="AK69" s="50"/>
    </row>
    <row r="70" spans="1:41" x14ac:dyDescent="0.25">
      <c r="A70" s="54" t="s">
        <v>70</v>
      </c>
      <c r="B70" s="65">
        <v>4</v>
      </c>
      <c r="C70" s="65">
        <v>4</v>
      </c>
      <c r="D70" s="65">
        <v>4</v>
      </c>
      <c r="E70" s="65">
        <v>4</v>
      </c>
      <c r="F70" s="65">
        <v>4</v>
      </c>
      <c r="G70" s="65">
        <v>4</v>
      </c>
      <c r="H70" s="65">
        <v>4</v>
      </c>
      <c r="I70" s="65">
        <v>4</v>
      </c>
      <c r="J70" s="65">
        <v>4</v>
      </c>
      <c r="K70" s="65">
        <v>4</v>
      </c>
      <c r="L70" s="65">
        <v>4</v>
      </c>
      <c r="M70" s="65">
        <v>4</v>
      </c>
      <c r="N70" s="65">
        <v>4</v>
      </c>
      <c r="O70" s="65">
        <v>4</v>
      </c>
      <c r="P70" s="65">
        <v>4</v>
      </c>
      <c r="Q70" s="65">
        <v>4</v>
      </c>
      <c r="R70" s="65">
        <v>4</v>
      </c>
      <c r="S70" s="65">
        <v>4.4000000000000004</v>
      </c>
      <c r="T70" s="65">
        <v>4.4000000000000004</v>
      </c>
      <c r="U70" s="65">
        <v>4.4000000000000004</v>
      </c>
      <c r="V70" s="65">
        <v>4.4000000000000004</v>
      </c>
      <c r="W70" s="65">
        <v>4.4000000000000004</v>
      </c>
      <c r="X70" s="65">
        <v>4.4000000000000004</v>
      </c>
      <c r="Y70" s="65">
        <v>4.4000000000000004</v>
      </c>
      <c r="Z70" s="65">
        <v>4.4000000000000004</v>
      </c>
      <c r="AA70" s="65">
        <v>4.4000000000000004</v>
      </c>
      <c r="AB70" s="65">
        <v>4.4000000000000004</v>
      </c>
      <c r="AC70" s="65">
        <v>4.4000000000000004</v>
      </c>
      <c r="AD70" s="65">
        <v>4.4000000000000004</v>
      </c>
      <c r="AE70" s="65">
        <v>4.4000000000000004</v>
      </c>
      <c r="AF70" s="65">
        <v>4.4000000000000004</v>
      </c>
      <c r="AG70" s="55">
        <v>15</v>
      </c>
      <c r="AH70" s="47">
        <f t="shared" si="2"/>
        <v>4.4000000000000004</v>
      </c>
      <c r="AI70" s="48">
        <f t="shared" si="3"/>
        <v>4</v>
      </c>
      <c r="AK70" s="50"/>
      <c r="AL70" s="70"/>
      <c r="AO70" s="70"/>
    </row>
    <row r="71" spans="1:41" s="70" customFormat="1" x14ac:dyDescent="0.25">
      <c r="A71" s="54" t="s">
        <v>71</v>
      </c>
      <c r="B71" s="65">
        <v>9.9</v>
      </c>
      <c r="C71" s="65">
        <v>9.9</v>
      </c>
      <c r="D71" s="65">
        <v>9.9</v>
      </c>
      <c r="E71" s="65">
        <v>9.9</v>
      </c>
      <c r="F71" s="65">
        <v>9.9</v>
      </c>
      <c r="G71" s="65">
        <v>9.9</v>
      </c>
      <c r="H71" s="65">
        <v>9.9</v>
      </c>
      <c r="I71" s="65">
        <v>9.9</v>
      </c>
      <c r="J71" s="65">
        <v>9.9</v>
      </c>
      <c r="K71" s="65">
        <v>9.9</v>
      </c>
      <c r="L71" s="65">
        <v>9.9</v>
      </c>
      <c r="M71" s="65">
        <v>9.9</v>
      </c>
      <c r="N71" s="65">
        <v>11.5</v>
      </c>
      <c r="O71" s="65">
        <v>11</v>
      </c>
      <c r="P71" s="65">
        <v>11</v>
      </c>
      <c r="Q71" s="65">
        <v>11</v>
      </c>
      <c r="R71" s="65">
        <v>11</v>
      </c>
      <c r="S71" s="65">
        <v>11</v>
      </c>
      <c r="T71" s="65">
        <v>11</v>
      </c>
      <c r="U71" s="65">
        <v>11</v>
      </c>
      <c r="V71" s="65">
        <v>11</v>
      </c>
      <c r="W71" s="65">
        <v>11</v>
      </c>
      <c r="X71" s="65">
        <v>11</v>
      </c>
      <c r="Y71" s="65">
        <v>11</v>
      </c>
      <c r="Z71" s="65">
        <v>11</v>
      </c>
      <c r="AA71" s="65">
        <v>11</v>
      </c>
      <c r="AB71" s="65">
        <v>11</v>
      </c>
      <c r="AC71" s="65">
        <v>11</v>
      </c>
      <c r="AD71" s="65">
        <v>11</v>
      </c>
      <c r="AE71" s="65">
        <v>10.8</v>
      </c>
      <c r="AF71" s="65">
        <v>11.3</v>
      </c>
      <c r="AG71" s="55">
        <v>14.1</v>
      </c>
      <c r="AH71" s="47">
        <f t="shared" si="2"/>
        <v>11.5</v>
      </c>
      <c r="AI71" s="48">
        <f t="shared" si="3"/>
        <v>9.9</v>
      </c>
      <c r="AJ71" s="1"/>
      <c r="AK71" s="50"/>
      <c r="AL71" s="1"/>
      <c r="AM71" s="1"/>
      <c r="AN71" s="1"/>
      <c r="AO71" s="1"/>
    </row>
    <row r="72" spans="1:41" x14ac:dyDescent="0.25">
      <c r="A72" s="71" t="s">
        <v>72</v>
      </c>
      <c r="B72" s="65">
        <v>3.4</v>
      </c>
      <c r="C72" s="65">
        <v>3.4</v>
      </c>
      <c r="D72" s="65">
        <v>3.4</v>
      </c>
      <c r="E72" s="65">
        <v>3.4</v>
      </c>
      <c r="F72" s="65">
        <v>3.4</v>
      </c>
      <c r="G72" s="65">
        <v>3.4</v>
      </c>
      <c r="H72" s="65">
        <v>3.4</v>
      </c>
      <c r="I72" s="65">
        <v>3.4</v>
      </c>
      <c r="J72" s="65">
        <v>3.4</v>
      </c>
      <c r="K72" s="65">
        <v>3.4</v>
      </c>
      <c r="L72" s="65">
        <v>3.4</v>
      </c>
      <c r="M72" s="65">
        <v>3.4</v>
      </c>
      <c r="N72" s="65">
        <v>4.5</v>
      </c>
      <c r="O72" s="65">
        <v>3.1</v>
      </c>
      <c r="P72" s="65">
        <v>3.1</v>
      </c>
      <c r="Q72" s="65">
        <v>3.1</v>
      </c>
      <c r="R72" s="65">
        <v>3.1</v>
      </c>
      <c r="S72" s="65">
        <v>3.1</v>
      </c>
      <c r="T72" s="65">
        <v>3.1</v>
      </c>
      <c r="U72" s="65">
        <v>3.1</v>
      </c>
      <c r="V72" s="65">
        <v>3.1</v>
      </c>
      <c r="W72" s="65">
        <v>3.1</v>
      </c>
      <c r="X72" s="65">
        <v>3.1</v>
      </c>
      <c r="Y72" s="65">
        <v>3.1</v>
      </c>
      <c r="Z72" s="65">
        <v>3.1</v>
      </c>
      <c r="AA72" s="65">
        <v>3.1</v>
      </c>
      <c r="AB72" s="65">
        <v>3.1</v>
      </c>
      <c r="AC72" s="65">
        <v>3.1</v>
      </c>
      <c r="AD72" s="65">
        <v>3.1</v>
      </c>
      <c r="AE72" s="65">
        <v>4.7</v>
      </c>
      <c r="AF72" s="65">
        <v>4.7</v>
      </c>
      <c r="AG72" s="55">
        <v>14</v>
      </c>
      <c r="AH72" s="47">
        <f t="shared" si="2"/>
        <v>4.7</v>
      </c>
      <c r="AI72" s="48">
        <f t="shared" si="3"/>
        <v>3.1</v>
      </c>
      <c r="AK72" s="50"/>
    </row>
    <row r="73" spans="1:41" x14ac:dyDescent="0.25">
      <c r="A73" s="54" t="s">
        <v>73</v>
      </c>
      <c r="B73" s="65">
        <v>4.5</v>
      </c>
      <c r="C73" s="65">
        <v>4.5</v>
      </c>
      <c r="D73" s="65">
        <v>4.5</v>
      </c>
      <c r="E73" s="65">
        <v>4.5</v>
      </c>
      <c r="F73" s="65">
        <v>4.5</v>
      </c>
      <c r="G73" s="65">
        <v>4.5</v>
      </c>
      <c r="H73" s="65">
        <v>4.5</v>
      </c>
      <c r="I73" s="65">
        <v>4.5</v>
      </c>
      <c r="J73" s="65">
        <v>4.5</v>
      </c>
      <c r="K73" s="65">
        <v>4.5</v>
      </c>
      <c r="L73" s="65">
        <v>4.5</v>
      </c>
      <c r="M73" s="65">
        <v>4.5</v>
      </c>
      <c r="N73" s="65">
        <v>4.5</v>
      </c>
      <c r="O73" s="65">
        <v>4.5</v>
      </c>
      <c r="P73" s="65">
        <v>4.5</v>
      </c>
      <c r="Q73" s="65">
        <v>4.5</v>
      </c>
      <c r="R73" s="65">
        <v>4.5</v>
      </c>
      <c r="S73" s="65">
        <v>4.5</v>
      </c>
      <c r="T73" s="65">
        <v>4.5</v>
      </c>
      <c r="U73" s="65">
        <v>4.5</v>
      </c>
      <c r="V73" s="65">
        <v>4.5</v>
      </c>
      <c r="W73" s="65">
        <v>4.5</v>
      </c>
      <c r="X73" s="65">
        <v>4.5</v>
      </c>
      <c r="Y73" s="65">
        <v>4.5</v>
      </c>
      <c r="Z73" s="65">
        <v>4.5</v>
      </c>
      <c r="AA73" s="65">
        <v>4.5</v>
      </c>
      <c r="AB73" s="65">
        <v>4.5</v>
      </c>
      <c r="AC73" s="65">
        <v>4.5</v>
      </c>
      <c r="AD73" s="65">
        <v>4.5</v>
      </c>
      <c r="AE73" s="65">
        <v>4.5</v>
      </c>
      <c r="AF73" s="65">
        <v>4.5</v>
      </c>
      <c r="AG73" s="55">
        <v>10.050000000000001</v>
      </c>
      <c r="AH73" s="47">
        <f t="shared" si="2"/>
        <v>4.5</v>
      </c>
      <c r="AI73" s="48">
        <f t="shared" si="3"/>
        <v>4.5</v>
      </c>
      <c r="AK73" s="50"/>
    </row>
    <row r="74" spans="1:41" x14ac:dyDescent="0.25">
      <c r="A74" s="54" t="s">
        <v>74</v>
      </c>
      <c r="B74" s="65">
        <v>3</v>
      </c>
      <c r="C74" s="65">
        <v>3</v>
      </c>
      <c r="D74" s="65">
        <v>3</v>
      </c>
      <c r="E74" s="65">
        <v>3</v>
      </c>
      <c r="F74" s="65">
        <v>3</v>
      </c>
      <c r="G74" s="65">
        <v>3</v>
      </c>
      <c r="H74" s="65">
        <v>3</v>
      </c>
      <c r="I74" s="65">
        <v>3</v>
      </c>
      <c r="J74" s="65">
        <v>3</v>
      </c>
      <c r="K74" s="65">
        <v>3</v>
      </c>
      <c r="L74" s="65">
        <v>3</v>
      </c>
      <c r="M74" s="65">
        <v>3</v>
      </c>
      <c r="N74" s="65">
        <v>3</v>
      </c>
      <c r="O74" s="65">
        <v>3</v>
      </c>
      <c r="P74" s="65">
        <v>3</v>
      </c>
      <c r="Q74" s="65">
        <v>3</v>
      </c>
      <c r="R74" s="65">
        <v>3</v>
      </c>
      <c r="S74" s="65">
        <v>3</v>
      </c>
      <c r="T74" s="65">
        <v>3</v>
      </c>
      <c r="U74" s="65">
        <v>3</v>
      </c>
      <c r="V74" s="65">
        <v>3</v>
      </c>
      <c r="W74" s="65">
        <v>3</v>
      </c>
      <c r="X74" s="65">
        <v>3</v>
      </c>
      <c r="Y74" s="65">
        <v>3</v>
      </c>
      <c r="Z74" s="65">
        <v>3</v>
      </c>
      <c r="AA74" s="65">
        <v>3</v>
      </c>
      <c r="AB74" s="65">
        <v>3</v>
      </c>
      <c r="AC74" s="65">
        <v>3</v>
      </c>
      <c r="AD74" s="65">
        <v>3</v>
      </c>
      <c r="AE74" s="65">
        <v>3</v>
      </c>
      <c r="AF74" s="65">
        <v>3</v>
      </c>
      <c r="AG74" s="55">
        <v>6.2</v>
      </c>
      <c r="AH74" s="47">
        <f t="shared" si="2"/>
        <v>3</v>
      </c>
      <c r="AI74" s="48">
        <f t="shared" si="3"/>
        <v>3</v>
      </c>
      <c r="AK74" s="50"/>
    </row>
    <row r="75" spans="1:41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3.54</v>
      </c>
      <c r="Z75" s="72">
        <v>3.54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2"/>
        <v>3.54</v>
      </c>
      <c r="AI75" s="48">
        <f t="shared" si="3"/>
        <v>3.54</v>
      </c>
      <c r="AK75" s="50"/>
    </row>
    <row r="76" spans="1:41" ht="15.75" thickBot="1" x14ac:dyDescent="0.3">
      <c r="A76" s="74" t="s">
        <v>76</v>
      </c>
      <c r="B76" s="60">
        <f t="shared" ref="B76:C76" si="13">SUM(B63:B75)</f>
        <v>88.340000000000018</v>
      </c>
      <c r="C76" s="60">
        <f t="shared" si="13"/>
        <v>88.340000000000018</v>
      </c>
      <c r="D76" s="60">
        <f t="shared" ref="D76" si="14">SUM(D63:D75)</f>
        <v>88.340000000000018</v>
      </c>
      <c r="E76" s="60">
        <f t="shared" ref="E76:AG76" si="15">SUM(E63:E75)</f>
        <v>89.440000000000012</v>
      </c>
      <c r="F76" s="60">
        <f t="shared" si="15"/>
        <v>107.24000000000002</v>
      </c>
      <c r="G76" s="60">
        <f t="shared" si="15"/>
        <v>169.64000000000001</v>
      </c>
      <c r="H76" s="60">
        <f t="shared" si="15"/>
        <v>207.24</v>
      </c>
      <c r="I76" s="60">
        <f t="shared" si="15"/>
        <v>312.74</v>
      </c>
      <c r="J76" s="60">
        <f t="shared" si="15"/>
        <v>366.34</v>
      </c>
      <c r="K76" s="60">
        <f t="shared" si="15"/>
        <v>372.34</v>
      </c>
      <c r="L76" s="60">
        <f t="shared" si="15"/>
        <v>373.34</v>
      </c>
      <c r="M76" s="60">
        <f t="shared" si="15"/>
        <v>377.83999999999992</v>
      </c>
      <c r="N76" s="60">
        <f t="shared" si="15"/>
        <v>307.74</v>
      </c>
      <c r="O76" s="60">
        <f t="shared" si="15"/>
        <v>317.04000000000002</v>
      </c>
      <c r="P76" s="60">
        <f t="shared" si="15"/>
        <v>307.54000000000002</v>
      </c>
      <c r="Q76" s="60">
        <f t="shared" si="15"/>
        <v>264.74</v>
      </c>
      <c r="R76" s="60">
        <f t="shared" si="15"/>
        <v>236.94</v>
      </c>
      <c r="S76" s="60">
        <f t="shared" si="15"/>
        <v>146.54</v>
      </c>
      <c r="T76" s="60">
        <f t="shared" si="15"/>
        <v>142.04</v>
      </c>
      <c r="U76" s="60">
        <f t="shared" si="15"/>
        <v>127.44000000000001</v>
      </c>
      <c r="V76" s="60">
        <f t="shared" si="15"/>
        <v>186.04</v>
      </c>
      <c r="W76" s="60">
        <f t="shared" si="15"/>
        <v>221.54</v>
      </c>
      <c r="X76" s="60">
        <f t="shared" si="15"/>
        <v>356.04</v>
      </c>
      <c r="Y76" s="60">
        <f t="shared" si="15"/>
        <v>395.24</v>
      </c>
      <c r="Z76" s="60">
        <f t="shared" si="15"/>
        <v>395.24</v>
      </c>
      <c r="AA76" s="60">
        <f t="shared" si="15"/>
        <v>395.24</v>
      </c>
      <c r="AB76" s="60">
        <f t="shared" si="15"/>
        <v>361.64000000000004</v>
      </c>
      <c r="AC76" s="60">
        <f t="shared" si="15"/>
        <v>361.64000000000004</v>
      </c>
      <c r="AD76" s="60">
        <f t="shared" si="15"/>
        <v>280.04000000000008</v>
      </c>
      <c r="AE76" s="60">
        <f t="shared" ref="AE76:AF76" si="16">SUM(AE63:AE75)</f>
        <v>264.83999999999997</v>
      </c>
      <c r="AF76" s="60">
        <f t="shared" si="16"/>
        <v>176.44</v>
      </c>
      <c r="AG76" s="61">
        <f t="shared" si="15"/>
        <v>489.91</v>
      </c>
      <c r="AH76" s="47">
        <f t="shared" si="2"/>
        <v>395.24</v>
      </c>
      <c r="AI76" s="48">
        <f t="shared" si="3"/>
        <v>88.340000000000018</v>
      </c>
      <c r="AK76" s="50"/>
    </row>
    <row r="77" spans="1:41" x14ac:dyDescent="0.25">
      <c r="A77" s="44" t="s">
        <v>77</v>
      </c>
      <c r="B77" s="45">
        <v>0</v>
      </c>
      <c r="C77" s="45">
        <v>0</v>
      </c>
      <c r="D77" s="45">
        <v>0</v>
      </c>
      <c r="E77" s="45">
        <v>0</v>
      </c>
      <c r="F77" s="45">
        <v>0</v>
      </c>
      <c r="G77" s="45">
        <v>0</v>
      </c>
      <c r="H77" s="45"/>
      <c r="I77" s="45"/>
      <c r="J77" s="45"/>
      <c r="K77" s="45"/>
      <c r="L77" s="45"/>
      <c r="M77" s="45">
        <v>29.6</v>
      </c>
      <c r="N77" s="45">
        <v>19.7</v>
      </c>
      <c r="O77" s="45">
        <v>59.9</v>
      </c>
      <c r="P77" s="45">
        <v>60</v>
      </c>
      <c r="Q77" s="45">
        <v>60</v>
      </c>
      <c r="R77" s="45">
        <v>59.4</v>
      </c>
      <c r="S77" s="45">
        <v>29.7</v>
      </c>
      <c r="T77" s="45">
        <v>29.7</v>
      </c>
      <c r="U77" s="45">
        <v>44</v>
      </c>
      <c r="V77" s="45">
        <v>60</v>
      </c>
      <c r="W77" s="45">
        <v>60</v>
      </c>
      <c r="X77" s="45">
        <v>60</v>
      </c>
      <c r="Y77" s="45">
        <v>60</v>
      </c>
      <c r="Z77" s="45">
        <v>60</v>
      </c>
      <c r="AA77" s="45">
        <v>60</v>
      </c>
      <c r="AB77" s="45">
        <v>59.4</v>
      </c>
      <c r="AC77" s="45">
        <v>59.4</v>
      </c>
      <c r="AD77" s="45">
        <v>39.6</v>
      </c>
      <c r="AE77" s="45">
        <v>24.6</v>
      </c>
      <c r="AF77" s="45">
        <v>10</v>
      </c>
      <c r="AG77" s="52">
        <v>60</v>
      </c>
      <c r="AH77" s="47">
        <f t="shared" si="2"/>
        <v>60</v>
      </c>
      <c r="AI77" s="48">
        <f t="shared" si="3"/>
        <v>0</v>
      </c>
      <c r="AK77" s="50"/>
    </row>
    <row r="78" spans="1:41" x14ac:dyDescent="0.25">
      <c r="A78" s="54" t="s">
        <v>78</v>
      </c>
      <c r="B78" s="65">
        <v>0</v>
      </c>
      <c r="C78" s="65">
        <v>0</v>
      </c>
      <c r="D78" s="65">
        <v>0</v>
      </c>
      <c r="E78" s="65">
        <v>0</v>
      </c>
      <c r="F78" s="65">
        <v>0</v>
      </c>
      <c r="G78" s="65">
        <v>0</v>
      </c>
      <c r="H78" s="65"/>
      <c r="I78" s="65"/>
      <c r="J78" s="65"/>
      <c r="K78" s="65">
        <v>6.33</v>
      </c>
      <c r="L78" s="65"/>
      <c r="M78" s="65">
        <v>5.8</v>
      </c>
      <c r="N78" s="65">
        <v>9.9</v>
      </c>
      <c r="O78" s="65">
        <v>27</v>
      </c>
      <c r="P78" s="65">
        <v>28</v>
      </c>
      <c r="Q78" s="65">
        <v>27.8</v>
      </c>
      <c r="R78" s="65">
        <v>27.9</v>
      </c>
      <c r="S78" s="65">
        <v>14.6</v>
      </c>
      <c r="T78" s="65">
        <v>14.6</v>
      </c>
      <c r="U78" s="65">
        <v>19.8</v>
      </c>
      <c r="V78" s="65">
        <v>28.1</v>
      </c>
      <c r="W78" s="65">
        <v>28.1</v>
      </c>
      <c r="X78" s="65">
        <v>28.1</v>
      </c>
      <c r="Y78" s="65">
        <v>28.1</v>
      </c>
      <c r="Z78" s="65">
        <v>28.1</v>
      </c>
      <c r="AA78" s="65">
        <v>28.1</v>
      </c>
      <c r="AB78" s="65">
        <v>28.1</v>
      </c>
      <c r="AC78" s="65">
        <v>26.7</v>
      </c>
      <c r="AD78" s="65">
        <v>26.7</v>
      </c>
      <c r="AE78" s="65">
        <v>11</v>
      </c>
      <c r="AF78" s="65">
        <v>5.8</v>
      </c>
      <c r="AG78" s="55">
        <v>32</v>
      </c>
      <c r="AH78" s="47">
        <f t="shared" si="2"/>
        <v>28.1</v>
      </c>
      <c r="AI78" s="48">
        <f t="shared" si="3"/>
        <v>0</v>
      </c>
      <c r="AK78" s="50"/>
    </row>
    <row r="79" spans="1:41" ht="15.75" thickBot="1" x14ac:dyDescent="0.3">
      <c r="A79" s="71" t="s">
        <v>79</v>
      </c>
      <c r="B79" s="67">
        <v>0</v>
      </c>
      <c r="C79" s="67">
        <v>0</v>
      </c>
      <c r="D79" s="67">
        <v>0</v>
      </c>
      <c r="E79" s="67">
        <v>0</v>
      </c>
      <c r="F79" s="67">
        <v>0</v>
      </c>
      <c r="G79" s="67">
        <v>0</v>
      </c>
      <c r="H79" s="67"/>
      <c r="I79" s="67"/>
      <c r="J79" s="67"/>
      <c r="K79" s="67">
        <v>3</v>
      </c>
      <c r="L79" s="67"/>
      <c r="M79" s="67">
        <v>2.1</v>
      </c>
      <c r="N79" s="67">
        <v>3.6</v>
      </c>
      <c r="O79" s="67">
        <v>9.9</v>
      </c>
      <c r="P79" s="67">
        <v>10.199999999999999</v>
      </c>
      <c r="Q79" s="67">
        <v>10.199999999999999</v>
      </c>
      <c r="R79" s="67">
        <v>10.199999999999999</v>
      </c>
      <c r="S79" s="67">
        <v>5.3</v>
      </c>
      <c r="T79" s="67">
        <v>5.3</v>
      </c>
      <c r="U79" s="67">
        <v>7.2</v>
      </c>
      <c r="V79" s="67">
        <v>10.3</v>
      </c>
      <c r="W79" s="67">
        <v>10.3</v>
      </c>
      <c r="X79" s="67">
        <v>10.3</v>
      </c>
      <c r="Y79" s="67">
        <v>10.3</v>
      </c>
      <c r="Z79" s="67">
        <v>10.3</v>
      </c>
      <c r="AA79" s="67">
        <v>10.3</v>
      </c>
      <c r="AB79" s="67">
        <v>9.6999999999999993</v>
      </c>
      <c r="AC79" s="67">
        <v>9.6999999999999993</v>
      </c>
      <c r="AD79" s="67">
        <v>9.8000000000000007</v>
      </c>
      <c r="AE79" s="67">
        <v>4</v>
      </c>
      <c r="AF79" s="67">
        <v>2.1</v>
      </c>
      <c r="AG79" s="68">
        <v>14</v>
      </c>
      <c r="AH79" s="47">
        <f t="shared" si="2"/>
        <v>10.3</v>
      </c>
      <c r="AI79" s="48">
        <f t="shared" si="3"/>
        <v>0</v>
      </c>
      <c r="AK79" s="50"/>
    </row>
    <row r="80" spans="1:41" ht="15.75" thickBot="1" x14ac:dyDescent="0.3">
      <c r="A80" s="74" t="s">
        <v>80</v>
      </c>
      <c r="B80" s="60">
        <f t="shared" ref="B80:C80" si="17">B77+B78+B79</f>
        <v>0</v>
      </c>
      <c r="C80" s="60">
        <f t="shared" si="17"/>
        <v>0</v>
      </c>
      <c r="D80" s="60">
        <f t="shared" ref="D80" si="18">D77+D78+D79</f>
        <v>0</v>
      </c>
      <c r="E80" s="60">
        <f t="shared" ref="E80:AD80" si="19">E77+E78+E79</f>
        <v>0</v>
      </c>
      <c r="F80" s="60">
        <f t="shared" si="19"/>
        <v>0</v>
      </c>
      <c r="G80" s="60">
        <f t="shared" si="19"/>
        <v>0</v>
      </c>
      <c r="H80" s="60">
        <f t="shared" si="19"/>
        <v>0</v>
      </c>
      <c r="I80" s="60">
        <f t="shared" si="19"/>
        <v>0</v>
      </c>
      <c r="J80" s="60">
        <f t="shared" si="19"/>
        <v>0</v>
      </c>
      <c r="K80" s="60">
        <f t="shared" si="19"/>
        <v>9.33</v>
      </c>
      <c r="L80" s="60">
        <f t="shared" si="19"/>
        <v>0</v>
      </c>
      <c r="M80" s="60">
        <f t="shared" si="19"/>
        <v>37.5</v>
      </c>
      <c r="N80" s="60">
        <f t="shared" si="19"/>
        <v>33.200000000000003</v>
      </c>
      <c r="O80" s="60">
        <f t="shared" si="19"/>
        <v>96.800000000000011</v>
      </c>
      <c r="P80" s="60">
        <f t="shared" si="19"/>
        <v>98.2</v>
      </c>
      <c r="Q80" s="60">
        <f t="shared" si="19"/>
        <v>98</v>
      </c>
      <c r="R80" s="60">
        <f t="shared" si="19"/>
        <v>97.5</v>
      </c>
      <c r="S80" s="60">
        <f t="shared" si="19"/>
        <v>49.599999999999994</v>
      </c>
      <c r="T80" s="60">
        <f t="shared" si="19"/>
        <v>49.599999999999994</v>
      </c>
      <c r="U80" s="60">
        <f t="shared" si="19"/>
        <v>71</v>
      </c>
      <c r="V80" s="60">
        <f t="shared" si="19"/>
        <v>98.399999999999991</v>
      </c>
      <c r="W80" s="60">
        <f t="shared" si="19"/>
        <v>98.399999999999991</v>
      </c>
      <c r="X80" s="60">
        <f t="shared" si="19"/>
        <v>98.399999999999991</v>
      </c>
      <c r="Y80" s="60">
        <f t="shared" si="19"/>
        <v>98.399999999999991</v>
      </c>
      <c r="Z80" s="60">
        <f t="shared" si="19"/>
        <v>98.399999999999991</v>
      </c>
      <c r="AA80" s="60">
        <f t="shared" si="19"/>
        <v>98.399999999999991</v>
      </c>
      <c r="AB80" s="60">
        <f t="shared" si="19"/>
        <v>97.2</v>
      </c>
      <c r="AC80" s="60">
        <f t="shared" si="19"/>
        <v>95.8</v>
      </c>
      <c r="AD80" s="60">
        <f t="shared" si="19"/>
        <v>76.099999999999994</v>
      </c>
      <c r="AE80" s="60">
        <f t="shared" ref="AE80:AF80" si="20">AE77+AE78+AE79</f>
        <v>39.6</v>
      </c>
      <c r="AF80" s="60">
        <f t="shared" si="20"/>
        <v>17.900000000000002</v>
      </c>
      <c r="AG80" s="61">
        <f>SUM(AG77:AG79)</f>
        <v>106</v>
      </c>
      <c r="AH80" s="47">
        <f t="shared" si="2"/>
        <v>98.399999999999991</v>
      </c>
      <c r="AI80" s="48">
        <f t="shared" si="3"/>
        <v>0</v>
      </c>
      <c r="AK80" s="50"/>
    </row>
    <row r="81" spans="1:40" x14ac:dyDescent="0.25">
      <c r="A81" s="44" t="s">
        <v>81</v>
      </c>
      <c r="B81" s="45">
        <v>66.7</v>
      </c>
      <c r="C81" s="45">
        <v>50.3</v>
      </c>
      <c r="D81" s="45">
        <v>58.8</v>
      </c>
      <c r="E81" s="45">
        <v>72</v>
      </c>
      <c r="F81" s="45">
        <v>69</v>
      </c>
      <c r="G81" s="45">
        <v>65</v>
      </c>
      <c r="H81" s="45">
        <v>65.5</v>
      </c>
      <c r="I81" s="45">
        <v>64</v>
      </c>
      <c r="J81" s="45">
        <v>70.099999999999994</v>
      </c>
      <c r="K81" s="45">
        <v>68.400000000000006</v>
      </c>
      <c r="L81" s="45">
        <v>64.7</v>
      </c>
      <c r="M81" s="45">
        <v>59.9</v>
      </c>
      <c r="N81" s="45">
        <v>71.900000000000006</v>
      </c>
      <c r="O81" s="45">
        <v>65.8</v>
      </c>
      <c r="P81" s="45">
        <v>68.099999999999994</v>
      </c>
      <c r="Q81" s="45">
        <v>71</v>
      </c>
      <c r="R81" s="45">
        <v>71.3</v>
      </c>
      <c r="S81" s="45">
        <v>57.8</v>
      </c>
      <c r="T81" s="45">
        <v>54</v>
      </c>
      <c r="U81" s="45">
        <v>54.5</v>
      </c>
      <c r="V81" s="45">
        <v>58.4</v>
      </c>
      <c r="W81" s="45">
        <v>66.099999999999994</v>
      </c>
      <c r="X81" s="45">
        <v>43.7</v>
      </c>
      <c r="Y81" s="45">
        <v>58</v>
      </c>
      <c r="Z81" s="45">
        <v>56</v>
      </c>
      <c r="AA81" s="45">
        <v>59.2</v>
      </c>
      <c r="AB81" s="45">
        <v>64.5</v>
      </c>
      <c r="AC81" s="45">
        <v>61.3</v>
      </c>
      <c r="AD81" s="45">
        <v>52.6</v>
      </c>
      <c r="AE81" s="45">
        <v>64.5</v>
      </c>
      <c r="AF81" s="45">
        <v>63.5</v>
      </c>
      <c r="AG81" s="52"/>
      <c r="AH81" s="47">
        <f t="shared" si="2"/>
        <v>72</v>
      </c>
      <c r="AI81" s="48">
        <f t="shared" si="3"/>
        <v>43.7</v>
      </c>
      <c r="AK81" s="50"/>
    </row>
    <row r="82" spans="1:40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>
        <v>0</v>
      </c>
      <c r="N82" s="65">
        <v>0</v>
      </c>
      <c r="O82" s="65">
        <v>0</v>
      </c>
      <c r="P82" s="65">
        <v>0</v>
      </c>
      <c r="Q82" s="65">
        <v>0</v>
      </c>
      <c r="R82" s="65">
        <v>0</v>
      </c>
      <c r="S82" s="65">
        <v>0</v>
      </c>
      <c r="T82" s="65">
        <v>0</v>
      </c>
      <c r="U82" s="65">
        <v>0</v>
      </c>
      <c r="V82" s="65">
        <v>0</v>
      </c>
      <c r="W82" s="65">
        <v>0</v>
      </c>
      <c r="X82" s="65">
        <v>0</v>
      </c>
      <c r="Y82" s="65">
        <v>0</v>
      </c>
      <c r="Z82" s="65">
        <v>0</v>
      </c>
      <c r="AA82" s="65">
        <v>0</v>
      </c>
      <c r="AB82" s="65">
        <v>0</v>
      </c>
      <c r="AC82" s="65">
        <v>0</v>
      </c>
      <c r="AD82" s="65">
        <v>0</v>
      </c>
      <c r="AE82" s="65">
        <v>0</v>
      </c>
      <c r="AF82" s="65">
        <v>0</v>
      </c>
      <c r="AG82" s="55"/>
      <c r="AH82" s="47">
        <f t="shared" si="2"/>
        <v>0</v>
      </c>
      <c r="AI82" s="48">
        <f t="shared" si="3"/>
        <v>0</v>
      </c>
      <c r="AK82" s="50"/>
    </row>
    <row r="83" spans="1:40" x14ac:dyDescent="0.25">
      <c r="A83" s="54" t="s">
        <v>83</v>
      </c>
      <c r="B83" s="65">
        <v>403.8</v>
      </c>
      <c r="C83" s="65">
        <v>397.3</v>
      </c>
      <c r="D83" s="65">
        <v>395.5</v>
      </c>
      <c r="E83" s="65">
        <v>400.6</v>
      </c>
      <c r="F83" s="65">
        <v>390</v>
      </c>
      <c r="G83" s="65">
        <v>376</v>
      </c>
      <c r="H83" s="65">
        <v>412</v>
      </c>
      <c r="I83" s="65">
        <v>381</v>
      </c>
      <c r="J83" s="65">
        <v>397.5</v>
      </c>
      <c r="K83" s="65">
        <v>167.5</v>
      </c>
      <c r="L83" s="65">
        <v>108</v>
      </c>
      <c r="M83" s="65">
        <v>67</v>
      </c>
      <c r="N83" s="65">
        <v>102.2</v>
      </c>
      <c r="O83" s="65">
        <v>222</v>
      </c>
      <c r="P83" s="65">
        <v>270</v>
      </c>
      <c r="Q83" s="65">
        <v>380</v>
      </c>
      <c r="R83" s="65">
        <v>465</v>
      </c>
      <c r="S83" s="65">
        <v>452</v>
      </c>
      <c r="T83" s="65">
        <v>481</v>
      </c>
      <c r="U83" s="65">
        <v>487</v>
      </c>
      <c r="V83" s="65">
        <v>271</v>
      </c>
      <c r="W83" s="65">
        <v>219</v>
      </c>
      <c r="X83" s="65">
        <v>162</v>
      </c>
      <c r="Y83" s="65">
        <v>213</v>
      </c>
      <c r="Z83" s="65">
        <v>187</v>
      </c>
      <c r="AA83" s="65">
        <v>385</v>
      </c>
      <c r="AB83" s="65">
        <v>329.5</v>
      </c>
      <c r="AC83" s="65">
        <v>289.2</v>
      </c>
      <c r="AD83" s="65">
        <v>309.7</v>
      </c>
      <c r="AE83" s="65">
        <v>401.2</v>
      </c>
      <c r="AF83" s="65">
        <v>399.2</v>
      </c>
      <c r="AG83" s="75"/>
      <c r="AH83" s="47">
        <f t="shared" si="2"/>
        <v>487</v>
      </c>
      <c r="AI83" s="48">
        <f t="shared" si="3"/>
        <v>67</v>
      </c>
      <c r="AK83" s="50"/>
    </row>
    <row r="84" spans="1:40" x14ac:dyDescent="0.25">
      <c r="A84" s="54" t="s">
        <v>84</v>
      </c>
      <c r="B84" s="65">
        <v>0</v>
      </c>
      <c r="C84" s="65">
        <v>0</v>
      </c>
      <c r="D84" s="65">
        <v>0</v>
      </c>
      <c r="E84" s="76">
        <v>0</v>
      </c>
      <c r="F84" s="76">
        <v>0</v>
      </c>
      <c r="G84" s="76">
        <v>0</v>
      </c>
      <c r="H84" s="76">
        <v>0</v>
      </c>
      <c r="I84" s="76">
        <v>0</v>
      </c>
      <c r="J84" s="76">
        <v>0</v>
      </c>
      <c r="K84" s="76">
        <v>0</v>
      </c>
      <c r="L84" s="76"/>
      <c r="M84" s="76">
        <v>0</v>
      </c>
      <c r="N84" s="76">
        <v>0</v>
      </c>
      <c r="O84" s="76">
        <v>0</v>
      </c>
      <c r="P84" s="76">
        <v>0</v>
      </c>
      <c r="Q84" s="76">
        <v>60</v>
      </c>
      <c r="R84" s="76">
        <v>60</v>
      </c>
      <c r="S84" s="76">
        <v>56.3</v>
      </c>
      <c r="T84" s="76">
        <v>49.3</v>
      </c>
      <c r="U84" s="76">
        <v>47.3</v>
      </c>
      <c r="V84" s="76">
        <v>32</v>
      </c>
      <c r="W84" s="76">
        <v>29.1</v>
      </c>
      <c r="X84" s="76">
        <v>30</v>
      </c>
      <c r="Y84" s="76">
        <v>8</v>
      </c>
      <c r="Z84" s="76">
        <v>8</v>
      </c>
      <c r="AA84" s="76">
        <v>8</v>
      </c>
      <c r="AB84" s="76">
        <v>8</v>
      </c>
      <c r="AC84" s="76">
        <v>8</v>
      </c>
      <c r="AD84" s="65">
        <v>8</v>
      </c>
      <c r="AE84" s="65">
        <v>8</v>
      </c>
      <c r="AF84" s="65">
        <v>8</v>
      </c>
      <c r="AG84" s="75"/>
      <c r="AH84" s="47">
        <f t="shared" si="2"/>
        <v>60</v>
      </c>
      <c r="AI84" s="48">
        <f t="shared" si="3"/>
        <v>0</v>
      </c>
      <c r="AK84" s="50"/>
    </row>
    <row r="85" spans="1:40" x14ac:dyDescent="0.25">
      <c r="A85" s="54" t="s">
        <v>85</v>
      </c>
      <c r="B85" s="45">
        <v>0</v>
      </c>
      <c r="C85" s="45">
        <v>0</v>
      </c>
      <c r="D85" s="45">
        <v>0</v>
      </c>
      <c r="E85" s="45">
        <v>0</v>
      </c>
      <c r="F85" s="45">
        <v>0</v>
      </c>
      <c r="G85" s="45">
        <v>0</v>
      </c>
      <c r="H85" s="45">
        <v>0</v>
      </c>
      <c r="I85" s="45">
        <v>0</v>
      </c>
      <c r="J85" s="45">
        <v>0</v>
      </c>
      <c r="K85" s="45">
        <v>0</v>
      </c>
      <c r="L85" s="45"/>
      <c r="M85" s="45">
        <v>0</v>
      </c>
      <c r="N85" s="45">
        <v>0</v>
      </c>
      <c r="O85" s="45">
        <v>0</v>
      </c>
      <c r="P85" s="45">
        <v>0</v>
      </c>
      <c r="Q85" s="45">
        <v>0</v>
      </c>
      <c r="R85" s="45">
        <v>0</v>
      </c>
      <c r="S85" s="45">
        <v>121</v>
      </c>
      <c r="T85" s="45">
        <v>110</v>
      </c>
      <c r="U85" s="45">
        <v>100</v>
      </c>
      <c r="V85" s="45">
        <v>0</v>
      </c>
      <c r="W85" s="45">
        <v>0</v>
      </c>
      <c r="X85" s="45">
        <v>0</v>
      </c>
      <c r="Y85" s="45">
        <v>0</v>
      </c>
      <c r="Z85" s="45">
        <v>0</v>
      </c>
      <c r="AA85" s="45">
        <v>0</v>
      </c>
      <c r="AB85" s="45">
        <v>0</v>
      </c>
      <c r="AC85" s="45">
        <v>0</v>
      </c>
      <c r="AD85" s="45">
        <v>0</v>
      </c>
      <c r="AE85" s="45">
        <v>0</v>
      </c>
      <c r="AF85" s="45">
        <v>0</v>
      </c>
      <c r="AG85" s="75"/>
      <c r="AH85" s="47">
        <f t="shared" ref="AH85:AH130" si="21">MAX(B85:AF85)</f>
        <v>121</v>
      </c>
      <c r="AI85" s="48">
        <f t="shared" ref="AI85:AI130" si="22">MIN(B85:AF85)</f>
        <v>0</v>
      </c>
      <c r="AK85" s="50"/>
    </row>
    <row r="86" spans="1:40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/>
      <c r="T86" s="77"/>
      <c r="U86" s="77"/>
      <c r="V86" s="77"/>
      <c r="W86" s="77"/>
      <c r="X86" s="77"/>
      <c r="Y86" s="77">
        <v>8</v>
      </c>
      <c r="Z86" s="77">
        <v>8</v>
      </c>
      <c r="AA86" s="77">
        <v>8</v>
      </c>
      <c r="AB86" s="77">
        <v>8</v>
      </c>
      <c r="AC86" s="77">
        <v>8</v>
      </c>
      <c r="AD86" s="77">
        <v>8</v>
      </c>
      <c r="AE86" s="77">
        <v>0</v>
      </c>
      <c r="AF86" s="77">
        <v>0</v>
      </c>
      <c r="AG86" s="75"/>
      <c r="AH86" s="47">
        <f t="shared" si="21"/>
        <v>8</v>
      </c>
      <c r="AI86" s="48">
        <f t="shared" si="22"/>
        <v>0</v>
      </c>
      <c r="AK86" s="50"/>
    </row>
    <row r="87" spans="1:40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>
        <v>0</v>
      </c>
      <c r="N87" s="77">
        <v>0</v>
      </c>
      <c r="O87" s="77">
        <v>0</v>
      </c>
      <c r="P87" s="77">
        <v>0</v>
      </c>
      <c r="Q87" s="77">
        <v>0</v>
      </c>
      <c r="R87" s="77">
        <v>0</v>
      </c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5"/>
      <c r="AH87" s="47">
        <f t="shared" si="21"/>
        <v>0</v>
      </c>
      <c r="AI87" s="48">
        <f t="shared" si="22"/>
        <v>0</v>
      </c>
      <c r="AK87" s="50"/>
      <c r="AL87" s="78" t="s">
        <v>88</v>
      </c>
      <c r="AM87" s="78"/>
    </row>
    <row r="88" spans="1:40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>
        <v>0</v>
      </c>
      <c r="N88" s="77">
        <v>0</v>
      </c>
      <c r="O88" s="77">
        <v>0</v>
      </c>
      <c r="P88" s="77">
        <v>0</v>
      </c>
      <c r="Q88" s="77">
        <v>0</v>
      </c>
      <c r="R88" s="77">
        <v>0</v>
      </c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5"/>
      <c r="AH88" s="47">
        <f t="shared" si="21"/>
        <v>0</v>
      </c>
      <c r="AI88" s="48">
        <f t="shared" si="22"/>
        <v>0</v>
      </c>
      <c r="AK88" s="79"/>
      <c r="AL88" s="80"/>
      <c r="AM88" s="80"/>
      <c r="AN88" s="81"/>
    </row>
    <row r="89" spans="1:40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>
        <v>0</v>
      </c>
      <c r="N89" s="77">
        <v>0</v>
      </c>
      <c r="O89" s="77">
        <v>0</v>
      </c>
      <c r="P89" s="77">
        <v>0</v>
      </c>
      <c r="Q89" s="77">
        <v>0</v>
      </c>
      <c r="R89" s="77">
        <v>0</v>
      </c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5"/>
      <c r="AH89" s="47">
        <f t="shared" si="21"/>
        <v>0</v>
      </c>
      <c r="AI89" s="48">
        <f t="shared" si="22"/>
        <v>0</v>
      </c>
      <c r="AK89" s="82" t="s">
        <v>91</v>
      </c>
      <c r="AL89" s="65"/>
      <c r="AM89" s="76"/>
      <c r="AN89" s="83"/>
    </row>
    <row r="90" spans="1:40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>
        <v>0</v>
      </c>
      <c r="N90" s="77">
        <v>0</v>
      </c>
      <c r="O90" s="77">
        <v>0</v>
      </c>
      <c r="P90" s="77">
        <v>0</v>
      </c>
      <c r="Q90" s="77">
        <v>0</v>
      </c>
      <c r="R90" s="77">
        <v>0</v>
      </c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85"/>
      <c r="AH90" s="47">
        <f t="shared" si="21"/>
        <v>0</v>
      </c>
      <c r="AI90" s="48">
        <f t="shared" si="22"/>
        <v>0</v>
      </c>
      <c r="AK90" s="82" t="s">
        <v>93</v>
      </c>
      <c r="AL90" s="76"/>
      <c r="AM90" s="76"/>
      <c r="AN90" s="83"/>
    </row>
    <row r="91" spans="1:40" ht="15.75" thickBot="1" x14ac:dyDescent="0.3">
      <c r="A91" s="84" t="s">
        <v>421</v>
      </c>
      <c r="B91" s="77">
        <v>51.8</v>
      </c>
      <c r="C91" s="77">
        <f>57</f>
        <v>57</v>
      </c>
      <c r="D91" s="77">
        <v>0</v>
      </c>
      <c r="E91" s="77">
        <v>0</v>
      </c>
      <c r="F91" s="77"/>
      <c r="G91" s="77">
        <v>28</v>
      </c>
      <c r="H91" s="77">
        <v>46.5</v>
      </c>
      <c r="I91" s="77">
        <v>52.1</v>
      </c>
      <c r="J91" s="77">
        <v>46.4</v>
      </c>
      <c r="K91" s="77">
        <v>49</v>
      </c>
      <c r="L91" s="77">
        <v>50</v>
      </c>
      <c r="M91" s="77">
        <v>51</v>
      </c>
      <c r="N91" s="77">
        <v>50</v>
      </c>
      <c r="O91" s="77">
        <v>51</v>
      </c>
      <c r="P91" s="77">
        <v>52</v>
      </c>
      <c r="Q91" s="77">
        <v>61</v>
      </c>
      <c r="R91" s="77">
        <v>52</v>
      </c>
      <c r="S91" s="77">
        <v>48.4</v>
      </c>
      <c r="T91" s="77">
        <v>52.5</v>
      </c>
      <c r="U91" s="77">
        <v>52.7</v>
      </c>
      <c r="V91" s="77">
        <v>39.299999999999997</v>
      </c>
      <c r="W91" s="77">
        <v>38.5</v>
      </c>
      <c r="X91" s="77">
        <v>41</v>
      </c>
      <c r="Y91" s="77">
        <v>41</v>
      </c>
      <c r="Z91" s="77">
        <v>43.9</v>
      </c>
      <c r="AA91" s="77">
        <v>46.8</v>
      </c>
      <c r="AB91" s="77">
        <v>49</v>
      </c>
      <c r="AC91" s="77">
        <v>50</v>
      </c>
      <c r="AD91" s="77">
        <f>39+9</f>
        <v>48</v>
      </c>
      <c r="AE91" s="77">
        <f>39+9</f>
        <v>48</v>
      </c>
      <c r="AF91" s="77">
        <v>60</v>
      </c>
      <c r="AG91" s="85"/>
      <c r="AH91" s="47">
        <f t="shared" si="21"/>
        <v>61</v>
      </c>
      <c r="AI91" s="48">
        <f t="shared" si="22"/>
        <v>0</v>
      </c>
      <c r="AK91" s="86"/>
      <c r="AL91" s="45"/>
      <c r="AM91" s="45"/>
      <c r="AN91" s="87"/>
    </row>
    <row r="92" spans="1:40" ht="15.75" thickBot="1" x14ac:dyDescent="0.3">
      <c r="A92" s="74" t="s">
        <v>95</v>
      </c>
      <c r="B92" s="60">
        <f t="shared" ref="B92:C92" si="23">SUMIF(B81:B91,"&gt;0")</f>
        <v>522.29999999999995</v>
      </c>
      <c r="C92" s="60">
        <f t="shared" si="23"/>
        <v>504.6</v>
      </c>
      <c r="D92" s="60">
        <f t="shared" ref="D92" si="24">SUMIF(D81:D91,"&gt;0")</f>
        <v>454.3</v>
      </c>
      <c r="E92" s="60">
        <f t="shared" ref="E92:AD92" si="25">SUMIF(E81:E91,"&gt;0")</f>
        <v>472.6</v>
      </c>
      <c r="F92" s="60">
        <f t="shared" si="25"/>
        <v>459</v>
      </c>
      <c r="G92" s="60">
        <f t="shared" si="25"/>
        <v>469</v>
      </c>
      <c r="H92" s="60">
        <f t="shared" si="25"/>
        <v>524</v>
      </c>
      <c r="I92" s="60">
        <f t="shared" si="25"/>
        <v>497.1</v>
      </c>
      <c r="J92" s="60">
        <f t="shared" si="25"/>
        <v>514</v>
      </c>
      <c r="K92" s="60">
        <f t="shared" si="25"/>
        <v>284.89999999999998</v>
      </c>
      <c r="L92" s="60">
        <f t="shared" si="25"/>
        <v>222.7</v>
      </c>
      <c r="M92" s="60">
        <f t="shared" si="25"/>
        <v>177.9</v>
      </c>
      <c r="N92" s="60">
        <f t="shared" si="25"/>
        <v>224.10000000000002</v>
      </c>
      <c r="O92" s="60">
        <f t="shared" si="25"/>
        <v>338.8</v>
      </c>
      <c r="P92" s="60">
        <f t="shared" si="25"/>
        <v>390.1</v>
      </c>
      <c r="Q92" s="60">
        <f t="shared" si="25"/>
        <v>572</v>
      </c>
      <c r="R92" s="60">
        <f t="shared" si="25"/>
        <v>648.29999999999995</v>
      </c>
      <c r="S92" s="60">
        <f>SUMIF(S81:S91,"&gt;0")</f>
        <v>735.5</v>
      </c>
      <c r="T92" s="60">
        <f t="shared" si="25"/>
        <v>746.8</v>
      </c>
      <c r="U92" s="60">
        <f t="shared" si="25"/>
        <v>741.5</v>
      </c>
      <c r="V92" s="60">
        <f t="shared" si="25"/>
        <v>400.7</v>
      </c>
      <c r="W92" s="60">
        <f t="shared" si="25"/>
        <v>352.70000000000005</v>
      </c>
      <c r="X92" s="60">
        <f t="shared" si="25"/>
        <v>276.7</v>
      </c>
      <c r="Y92" s="60">
        <f t="shared" si="25"/>
        <v>328</v>
      </c>
      <c r="Z92" s="60">
        <f t="shared" si="25"/>
        <v>302.89999999999998</v>
      </c>
      <c r="AA92" s="60">
        <f t="shared" si="25"/>
        <v>507</v>
      </c>
      <c r="AB92" s="60">
        <f t="shared" si="25"/>
        <v>459</v>
      </c>
      <c r="AC92" s="60">
        <f t="shared" si="25"/>
        <v>416.5</v>
      </c>
      <c r="AD92" s="60">
        <f t="shared" si="25"/>
        <v>426.3</v>
      </c>
      <c r="AE92" s="60">
        <f t="shared" ref="AE92:AF92" si="26">SUMIF(AE81:AE91,"&gt;0")</f>
        <v>521.70000000000005</v>
      </c>
      <c r="AF92" s="60">
        <f t="shared" si="26"/>
        <v>530.70000000000005</v>
      </c>
      <c r="AG92" s="88">
        <f>SUM(AG81:AG91)</f>
        <v>0</v>
      </c>
      <c r="AH92" s="47">
        <f t="shared" si="21"/>
        <v>746.8</v>
      </c>
      <c r="AI92" s="48">
        <f t="shared" si="22"/>
        <v>177.9</v>
      </c>
      <c r="AK92" s="86"/>
      <c r="AL92" s="77"/>
      <c r="AM92" s="89"/>
      <c r="AN92" s="255"/>
    </row>
    <row r="93" spans="1:40" x14ac:dyDescent="0.25">
      <c r="A93" s="44" t="s">
        <v>96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21"/>
        <v>0</v>
      </c>
      <c r="AI93" s="48">
        <f t="shared" si="22"/>
        <v>0</v>
      </c>
      <c r="AK93" s="86"/>
      <c r="AL93" s="77"/>
      <c r="AM93" s="77"/>
      <c r="AN93" s="256"/>
    </row>
    <row r="94" spans="1:40" ht="15.75" thickBot="1" x14ac:dyDescent="0.3">
      <c r="A94" s="54" t="s">
        <v>97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21"/>
        <v>0</v>
      </c>
      <c r="AI94" s="48">
        <f t="shared" si="22"/>
        <v>0</v>
      </c>
      <c r="AK94" s="91"/>
      <c r="AL94" s="92"/>
      <c r="AM94" s="92"/>
      <c r="AN94" s="93"/>
    </row>
    <row r="95" spans="1:40" ht="15.75" thickBot="1" x14ac:dyDescent="0.3">
      <c r="A95" s="84" t="s">
        <v>98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21"/>
        <v>0</v>
      </c>
      <c r="AI95" s="48">
        <f t="shared" si="22"/>
        <v>0</v>
      </c>
    </row>
    <row r="96" spans="1:40" ht="15.75" thickBot="1" x14ac:dyDescent="0.3">
      <c r="A96" s="74" t="s">
        <v>99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>
        <v>0</v>
      </c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21"/>
        <v>0</v>
      </c>
      <c r="AI96" s="48">
        <f t="shared" si="22"/>
        <v>0</v>
      </c>
    </row>
    <row r="97" spans="1:37" ht="15.75" thickBot="1" x14ac:dyDescent="0.3">
      <c r="A97" s="74" t="s">
        <v>100</v>
      </c>
      <c r="B97" s="95">
        <f t="shared" ref="B97:C97" si="27">B58+B62+B80+B76+B92+B96</f>
        <v>1198.7800000000002</v>
      </c>
      <c r="C97" s="95">
        <f t="shared" si="27"/>
        <v>1181.0800000000002</v>
      </c>
      <c r="D97" s="95">
        <f t="shared" ref="D97" si="28">D58+D62+D80+D76+D92+D96</f>
        <v>1130.7800000000002</v>
      </c>
      <c r="E97" s="95">
        <f t="shared" ref="E97:AG97" si="29">E58+E62+E80+E76+E92+E96</f>
        <v>1148.74</v>
      </c>
      <c r="F97" s="95">
        <f t="shared" si="29"/>
        <v>1153.8399999999999</v>
      </c>
      <c r="G97" s="95">
        <f t="shared" si="29"/>
        <v>1226.2399999999998</v>
      </c>
      <c r="H97" s="95">
        <f t="shared" si="29"/>
        <v>1316.34</v>
      </c>
      <c r="I97" s="95">
        <f t="shared" si="29"/>
        <v>1394.94</v>
      </c>
      <c r="J97" s="95">
        <f t="shared" si="29"/>
        <v>1520.4399999999998</v>
      </c>
      <c r="K97" s="95">
        <f t="shared" si="29"/>
        <v>1511.77</v>
      </c>
      <c r="L97" s="95">
        <f t="shared" si="29"/>
        <v>1541.24</v>
      </c>
      <c r="M97" s="95">
        <f t="shared" si="29"/>
        <v>1582.1399999999999</v>
      </c>
      <c r="N97" s="95">
        <f t="shared" si="29"/>
        <v>1513.94</v>
      </c>
      <c r="O97" s="95">
        <f t="shared" si="29"/>
        <v>1441.5399999999997</v>
      </c>
      <c r="P97" s="95">
        <f t="shared" si="29"/>
        <v>1484.7399999999998</v>
      </c>
      <c r="Q97" s="95">
        <f t="shared" si="29"/>
        <v>1623.7399999999998</v>
      </c>
      <c r="R97" s="95">
        <f t="shared" si="29"/>
        <v>1571.6399999999999</v>
      </c>
      <c r="S97" s="95">
        <f>S58+S62+S80+S76+S92+S96</f>
        <v>1520.54</v>
      </c>
      <c r="T97" s="95">
        <f t="shared" si="29"/>
        <v>1527.3399999999997</v>
      </c>
      <c r="U97" s="95">
        <f t="shared" si="29"/>
        <v>1528.84</v>
      </c>
      <c r="V97" s="95">
        <f t="shared" si="29"/>
        <v>1374.0399999999997</v>
      </c>
      <c r="W97" s="95">
        <f t="shared" si="29"/>
        <v>1461.54</v>
      </c>
      <c r="X97" s="95">
        <f t="shared" si="29"/>
        <v>1624.04</v>
      </c>
      <c r="Y97" s="95">
        <f t="shared" si="29"/>
        <v>1719.34</v>
      </c>
      <c r="Z97" s="95">
        <f t="shared" si="29"/>
        <v>1694.2399999999998</v>
      </c>
      <c r="AA97" s="95">
        <f t="shared" si="29"/>
        <v>1684.34</v>
      </c>
      <c r="AB97" s="95">
        <f t="shared" si="29"/>
        <v>1600.8400000000001</v>
      </c>
      <c r="AC97" s="95">
        <f t="shared" si="29"/>
        <v>1537.74</v>
      </c>
      <c r="AD97" s="95">
        <f t="shared" si="29"/>
        <v>1445.9400000000003</v>
      </c>
      <c r="AE97" s="95">
        <f t="shared" ref="AE97:AF97" si="30">AE58+AE62+AE80+AE76+AE92+AE96</f>
        <v>1438.54</v>
      </c>
      <c r="AF97" s="95">
        <f t="shared" si="30"/>
        <v>1315.34</v>
      </c>
      <c r="AG97" s="61">
        <f t="shared" si="29"/>
        <v>2231.81</v>
      </c>
      <c r="AH97" s="47">
        <f t="shared" si="21"/>
        <v>1719.34</v>
      </c>
      <c r="AI97" s="48">
        <f t="shared" si="22"/>
        <v>1130.7800000000002</v>
      </c>
    </row>
    <row r="98" spans="1:37" ht="15.75" thickBot="1" x14ac:dyDescent="0.3">
      <c r="A98" s="96" t="s">
        <v>101</v>
      </c>
      <c r="B98" s="97">
        <v>0</v>
      </c>
      <c r="C98" s="97">
        <v>0</v>
      </c>
      <c r="D98" s="97">
        <v>0</v>
      </c>
      <c r="E98" s="97"/>
      <c r="F98" s="97"/>
      <c r="G98" s="97"/>
      <c r="H98" s="97"/>
      <c r="I98" s="97"/>
      <c r="J98" s="97"/>
      <c r="K98" s="97">
        <v>200</v>
      </c>
      <c r="L98" s="97">
        <v>280</v>
      </c>
      <c r="M98" s="97">
        <v>280</v>
      </c>
      <c r="N98" s="97">
        <v>280</v>
      </c>
      <c r="O98" s="97">
        <v>280</v>
      </c>
      <c r="P98" s="97">
        <v>200</v>
      </c>
      <c r="Q98" s="97">
        <v>0</v>
      </c>
      <c r="R98" s="97"/>
      <c r="S98" s="97"/>
      <c r="T98" s="97"/>
      <c r="U98" s="97"/>
      <c r="V98" s="97">
        <v>150</v>
      </c>
      <c r="W98" s="97">
        <v>200</v>
      </c>
      <c r="X98" s="97">
        <v>280</v>
      </c>
      <c r="Y98" s="97">
        <v>280</v>
      </c>
      <c r="Z98" s="97">
        <v>280</v>
      </c>
      <c r="AA98" s="97">
        <v>280</v>
      </c>
      <c r="AB98" s="97">
        <v>280</v>
      </c>
      <c r="AC98" s="97">
        <v>280</v>
      </c>
      <c r="AD98" s="97">
        <v>280</v>
      </c>
      <c r="AE98" s="97">
        <v>0</v>
      </c>
      <c r="AF98" s="97">
        <v>0</v>
      </c>
      <c r="AG98" s="88"/>
      <c r="AH98" s="47">
        <f t="shared" si="21"/>
        <v>280</v>
      </c>
      <c r="AI98" s="48">
        <f t="shared" si="22"/>
        <v>0</v>
      </c>
    </row>
    <row r="99" spans="1:37" ht="15.75" thickBot="1" x14ac:dyDescent="0.3">
      <c r="A99" s="74" t="s">
        <v>102</v>
      </c>
      <c r="B99" s="95">
        <f t="shared" ref="B99:C99" si="31">B97+B98</f>
        <v>1198.7800000000002</v>
      </c>
      <c r="C99" s="95">
        <f t="shared" si="31"/>
        <v>1181.0800000000002</v>
      </c>
      <c r="D99" s="95">
        <f t="shared" ref="D99" si="32">D97+D98</f>
        <v>1130.7800000000002</v>
      </c>
      <c r="E99" s="95">
        <f t="shared" ref="E99:AD99" si="33">E97+E98</f>
        <v>1148.74</v>
      </c>
      <c r="F99" s="95">
        <f t="shared" si="33"/>
        <v>1153.8399999999999</v>
      </c>
      <c r="G99" s="95">
        <f t="shared" si="33"/>
        <v>1226.2399999999998</v>
      </c>
      <c r="H99" s="95">
        <f t="shared" si="33"/>
        <v>1316.34</v>
      </c>
      <c r="I99" s="95">
        <f t="shared" si="33"/>
        <v>1394.94</v>
      </c>
      <c r="J99" s="95">
        <f t="shared" si="33"/>
        <v>1520.4399999999998</v>
      </c>
      <c r="K99" s="95">
        <f t="shared" si="33"/>
        <v>1711.77</v>
      </c>
      <c r="L99" s="95">
        <f t="shared" si="33"/>
        <v>1821.24</v>
      </c>
      <c r="M99" s="95">
        <f t="shared" si="33"/>
        <v>1862.1399999999999</v>
      </c>
      <c r="N99" s="95">
        <f t="shared" si="33"/>
        <v>1793.94</v>
      </c>
      <c r="O99" s="95">
        <f t="shared" si="33"/>
        <v>1721.5399999999997</v>
      </c>
      <c r="P99" s="95">
        <f t="shared" si="33"/>
        <v>1684.7399999999998</v>
      </c>
      <c r="Q99" s="95">
        <f t="shared" si="33"/>
        <v>1623.7399999999998</v>
      </c>
      <c r="R99" s="95">
        <f t="shared" si="33"/>
        <v>1571.6399999999999</v>
      </c>
      <c r="S99" s="95">
        <f t="shared" si="33"/>
        <v>1520.54</v>
      </c>
      <c r="T99" s="95">
        <f t="shared" si="33"/>
        <v>1527.3399999999997</v>
      </c>
      <c r="U99" s="95">
        <f t="shared" si="33"/>
        <v>1528.84</v>
      </c>
      <c r="V99" s="95">
        <f t="shared" si="33"/>
        <v>1524.0399999999997</v>
      </c>
      <c r="W99" s="95">
        <f t="shared" si="33"/>
        <v>1661.54</v>
      </c>
      <c r="X99" s="95">
        <f t="shared" si="33"/>
        <v>1904.04</v>
      </c>
      <c r="Y99" s="95">
        <f t="shared" si="33"/>
        <v>1999.34</v>
      </c>
      <c r="Z99" s="95">
        <f t="shared" si="33"/>
        <v>1974.2399999999998</v>
      </c>
      <c r="AA99" s="95">
        <f t="shared" si="33"/>
        <v>1964.34</v>
      </c>
      <c r="AB99" s="95">
        <f t="shared" si="33"/>
        <v>1880.8400000000001</v>
      </c>
      <c r="AC99" s="95">
        <f t="shared" si="33"/>
        <v>1817.74</v>
      </c>
      <c r="AD99" s="95">
        <f t="shared" si="33"/>
        <v>1725.9400000000003</v>
      </c>
      <c r="AE99" s="95">
        <f t="shared" ref="AE99:AF99" si="34">AE97+AE98</f>
        <v>1438.54</v>
      </c>
      <c r="AF99" s="95">
        <f t="shared" si="34"/>
        <v>1315.34</v>
      </c>
      <c r="AG99" s="88">
        <f>AG96+AG92+AG80+AG76+AG58+AG98</f>
        <v>1693.71</v>
      </c>
      <c r="AH99" s="47">
        <f t="shared" si="21"/>
        <v>1999.34</v>
      </c>
      <c r="AI99" s="48">
        <f t="shared" si="22"/>
        <v>1130.7800000000002</v>
      </c>
    </row>
    <row r="100" spans="1:37" ht="15.75" thickBot="1" x14ac:dyDescent="0.3">
      <c r="A100" s="74" t="s">
        <v>103</v>
      </c>
      <c r="B100" s="95">
        <f t="shared" ref="B100:C100" si="35">B99-(B107)</f>
        <v>1193.7800000000002</v>
      </c>
      <c r="C100" s="95">
        <f t="shared" si="35"/>
        <v>1175.0800000000002</v>
      </c>
      <c r="D100" s="95">
        <f t="shared" ref="D100" si="36">D99-(D107)</f>
        <v>1123.7800000000002</v>
      </c>
      <c r="E100" s="95">
        <f t="shared" ref="E100:M100" si="37">E99-(E107)</f>
        <v>1148.74</v>
      </c>
      <c r="F100" s="95">
        <f t="shared" si="37"/>
        <v>1153.8399999999999</v>
      </c>
      <c r="G100" s="95">
        <f t="shared" si="37"/>
        <v>1226.2399999999998</v>
      </c>
      <c r="H100" s="95">
        <f t="shared" si="37"/>
        <v>1316.34</v>
      </c>
      <c r="I100" s="95">
        <f t="shared" si="37"/>
        <v>1394.94</v>
      </c>
      <c r="J100" s="95">
        <f t="shared" si="37"/>
        <v>1520.4399999999998</v>
      </c>
      <c r="K100" s="95">
        <f t="shared" si="37"/>
        <v>1711.77</v>
      </c>
      <c r="L100" s="95">
        <f t="shared" si="37"/>
        <v>1821.24</v>
      </c>
      <c r="M100" s="95">
        <f t="shared" si="37"/>
        <v>1862.1399999999999</v>
      </c>
      <c r="N100" s="95">
        <f>N99-(N107)</f>
        <v>1793.94</v>
      </c>
      <c r="O100" s="95">
        <f t="shared" ref="O100:AD100" si="38">O99-(O107)</f>
        <v>1721.5399999999997</v>
      </c>
      <c r="P100" s="95">
        <f t="shared" si="38"/>
        <v>1684.7399999999998</v>
      </c>
      <c r="Q100" s="95">
        <f t="shared" si="38"/>
        <v>1623.7399999999998</v>
      </c>
      <c r="R100" s="95">
        <f t="shared" si="38"/>
        <v>1571.6399999999999</v>
      </c>
      <c r="S100" s="95">
        <f t="shared" si="38"/>
        <v>1520.54</v>
      </c>
      <c r="T100" s="95">
        <f t="shared" si="38"/>
        <v>1527.3399999999997</v>
      </c>
      <c r="U100" s="95">
        <f t="shared" si="38"/>
        <v>1528.84</v>
      </c>
      <c r="V100" s="95">
        <f t="shared" si="38"/>
        <v>1524.0399999999997</v>
      </c>
      <c r="W100" s="95">
        <f t="shared" si="38"/>
        <v>1661.54</v>
      </c>
      <c r="X100" s="95">
        <f t="shared" si="38"/>
        <v>1904.04</v>
      </c>
      <c r="Y100" s="95">
        <f t="shared" si="38"/>
        <v>1999.34</v>
      </c>
      <c r="Z100" s="95">
        <f t="shared" si="38"/>
        <v>1974.2399999999998</v>
      </c>
      <c r="AA100" s="95">
        <f t="shared" si="38"/>
        <v>1964.34</v>
      </c>
      <c r="AB100" s="95">
        <f t="shared" si="38"/>
        <v>1880.8400000000001</v>
      </c>
      <c r="AC100" s="95">
        <f t="shared" si="38"/>
        <v>1817.74</v>
      </c>
      <c r="AD100" s="95">
        <f t="shared" si="38"/>
        <v>1725.9400000000003</v>
      </c>
      <c r="AE100" s="95">
        <f t="shared" ref="AE100:AF100" si="39">AE99-(AE107)</f>
        <v>1438.54</v>
      </c>
      <c r="AF100" s="95">
        <f t="shared" si="39"/>
        <v>1315.34</v>
      </c>
      <c r="AG100" s="88"/>
      <c r="AH100" s="47">
        <f t="shared" si="21"/>
        <v>1999.34</v>
      </c>
      <c r="AI100" s="48">
        <f t="shared" si="22"/>
        <v>1123.7800000000002</v>
      </c>
    </row>
    <row r="101" spans="1:37" x14ac:dyDescent="0.25">
      <c r="A101" s="44" t="s">
        <v>84</v>
      </c>
      <c r="B101" s="76">
        <f t="shared" ref="B101:C101" si="40">IF(B84&lt;0,B84*-1,0)</f>
        <v>0</v>
      </c>
      <c r="C101" s="76">
        <f t="shared" si="40"/>
        <v>0</v>
      </c>
      <c r="D101" s="76">
        <f t="shared" ref="D101" si="41">IF(D84&lt;0,D84*-1,0)</f>
        <v>0</v>
      </c>
      <c r="E101" s="76">
        <f t="shared" ref="E101:AD101" si="42">IF(E84&lt;0,E84*-1,0)</f>
        <v>0</v>
      </c>
      <c r="F101" s="76">
        <f t="shared" si="42"/>
        <v>0</v>
      </c>
      <c r="G101" s="76">
        <f t="shared" si="42"/>
        <v>0</v>
      </c>
      <c r="H101" s="76">
        <f t="shared" si="42"/>
        <v>0</v>
      </c>
      <c r="I101" s="76">
        <f t="shared" si="42"/>
        <v>0</v>
      </c>
      <c r="J101" s="76">
        <f t="shared" si="42"/>
        <v>0</v>
      </c>
      <c r="K101" s="76">
        <f t="shared" si="42"/>
        <v>0</v>
      </c>
      <c r="L101" s="76">
        <f t="shared" si="42"/>
        <v>0</v>
      </c>
      <c r="M101" s="76">
        <f t="shared" si="42"/>
        <v>0</v>
      </c>
      <c r="N101" s="76">
        <f t="shared" si="42"/>
        <v>0</v>
      </c>
      <c r="O101" s="76">
        <f t="shared" si="42"/>
        <v>0</v>
      </c>
      <c r="P101" s="76">
        <f t="shared" si="42"/>
        <v>0</v>
      </c>
      <c r="Q101" s="76">
        <f t="shared" si="42"/>
        <v>0</v>
      </c>
      <c r="R101" s="76">
        <f t="shared" si="42"/>
        <v>0</v>
      </c>
      <c r="S101" s="76">
        <f t="shared" si="42"/>
        <v>0</v>
      </c>
      <c r="T101" s="76">
        <f t="shared" si="42"/>
        <v>0</v>
      </c>
      <c r="U101" s="76">
        <f t="shared" si="42"/>
        <v>0</v>
      </c>
      <c r="V101" s="76">
        <f t="shared" si="42"/>
        <v>0</v>
      </c>
      <c r="W101" s="76">
        <f t="shared" si="42"/>
        <v>0</v>
      </c>
      <c r="X101" s="76">
        <f t="shared" si="42"/>
        <v>0</v>
      </c>
      <c r="Y101" s="76">
        <f t="shared" si="42"/>
        <v>0</v>
      </c>
      <c r="Z101" s="76">
        <f t="shared" si="42"/>
        <v>0</v>
      </c>
      <c r="AA101" s="76">
        <f t="shared" si="42"/>
        <v>0</v>
      </c>
      <c r="AB101" s="76">
        <f t="shared" si="42"/>
        <v>0</v>
      </c>
      <c r="AC101" s="76">
        <f t="shared" si="42"/>
        <v>0</v>
      </c>
      <c r="AD101" s="76">
        <f t="shared" si="42"/>
        <v>0</v>
      </c>
      <c r="AE101" s="76">
        <f t="shared" ref="AE101:AF101" si="43">IF(AE84&lt;0,AE84*-1,0)</f>
        <v>0</v>
      </c>
      <c r="AF101" s="76">
        <f t="shared" si="43"/>
        <v>0</v>
      </c>
      <c r="AG101" s="52"/>
      <c r="AH101" s="47">
        <f t="shared" si="21"/>
        <v>0</v>
      </c>
      <c r="AI101" s="48">
        <f t="shared" si="22"/>
        <v>0</v>
      </c>
    </row>
    <row r="102" spans="1:37" x14ac:dyDescent="0.25">
      <c r="A102" s="54" t="s">
        <v>82</v>
      </c>
      <c r="B102" s="76">
        <f t="shared" ref="B102:C102" si="44">IF(B82&lt;0,B82*-1,0)</f>
        <v>0</v>
      </c>
      <c r="C102" s="76">
        <f t="shared" si="44"/>
        <v>0</v>
      </c>
      <c r="D102" s="76">
        <f t="shared" ref="D102" si="45">IF(D82&lt;0,D82*-1,0)</f>
        <v>0</v>
      </c>
      <c r="E102" s="76">
        <f t="shared" ref="E102:AD102" si="46">IF(E82&lt;0,E82*-1,0)</f>
        <v>0</v>
      </c>
      <c r="F102" s="76">
        <f t="shared" si="46"/>
        <v>0</v>
      </c>
      <c r="G102" s="76">
        <f t="shared" si="46"/>
        <v>0</v>
      </c>
      <c r="H102" s="76">
        <f t="shared" si="46"/>
        <v>0</v>
      </c>
      <c r="I102" s="76">
        <f t="shared" si="46"/>
        <v>0</v>
      </c>
      <c r="J102" s="76">
        <f t="shared" si="46"/>
        <v>0</v>
      </c>
      <c r="K102" s="76">
        <f t="shared" si="46"/>
        <v>0</v>
      </c>
      <c r="L102" s="76">
        <f t="shared" si="46"/>
        <v>0</v>
      </c>
      <c r="M102" s="76">
        <f t="shared" si="46"/>
        <v>0</v>
      </c>
      <c r="N102" s="76">
        <f t="shared" si="46"/>
        <v>0</v>
      </c>
      <c r="O102" s="76">
        <f t="shared" si="46"/>
        <v>0</v>
      </c>
      <c r="P102" s="76">
        <f t="shared" si="46"/>
        <v>0</v>
      </c>
      <c r="Q102" s="76">
        <f t="shared" si="46"/>
        <v>0</v>
      </c>
      <c r="R102" s="76">
        <f t="shared" si="46"/>
        <v>0</v>
      </c>
      <c r="S102" s="76">
        <f t="shared" si="46"/>
        <v>0</v>
      </c>
      <c r="T102" s="76">
        <f t="shared" si="46"/>
        <v>0</v>
      </c>
      <c r="U102" s="76">
        <f t="shared" si="46"/>
        <v>0</v>
      </c>
      <c r="V102" s="76">
        <f t="shared" si="46"/>
        <v>0</v>
      </c>
      <c r="W102" s="76">
        <f t="shared" si="46"/>
        <v>0</v>
      </c>
      <c r="X102" s="76">
        <f t="shared" si="46"/>
        <v>0</v>
      </c>
      <c r="Y102" s="76">
        <f t="shared" si="46"/>
        <v>0</v>
      </c>
      <c r="Z102" s="76">
        <f t="shared" si="46"/>
        <v>0</v>
      </c>
      <c r="AA102" s="76">
        <f t="shared" si="46"/>
        <v>0</v>
      </c>
      <c r="AB102" s="76">
        <f t="shared" si="46"/>
        <v>0</v>
      </c>
      <c r="AC102" s="76">
        <f t="shared" si="46"/>
        <v>0</v>
      </c>
      <c r="AD102" s="76">
        <f t="shared" si="46"/>
        <v>0</v>
      </c>
      <c r="AE102" s="76">
        <f t="shared" ref="AE102:AF102" si="47">IF(AE82&lt;0,AE82*-1,0)</f>
        <v>0</v>
      </c>
      <c r="AF102" s="76">
        <f t="shared" si="47"/>
        <v>0</v>
      </c>
      <c r="AG102" s="55"/>
      <c r="AH102" s="47">
        <f t="shared" si="21"/>
        <v>0</v>
      </c>
      <c r="AI102" s="48">
        <f t="shared" si="22"/>
        <v>0</v>
      </c>
    </row>
    <row r="103" spans="1:37" x14ac:dyDescent="0.25">
      <c r="A103" s="84" t="s">
        <v>104</v>
      </c>
      <c r="B103" s="76">
        <f t="shared" ref="B103:C103" si="48">IF(B85&lt;0,B85*-1,0)</f>
        <v>0</v>
      </c>
      <c r="C103" s="76">
        <f t="shared" si="48"/>
        <v>0</v>
      </c>
      <c r="D103" s="76">
        <f t="shared" ref="D103" si="49">IF(D85&lt;0,D85*-1,0)</f>
        <v>0</v>
      </c>
      <c r="E103" s="76">
        <f t="shared" ref="E103:AD103" si="50">IF(E85&lt;0,E85*-1,0)</f>
        <v>0</v>
      </c>
      <c r="F103" s="76">
        <f t="shared" si="50"/>
        <v>0</v>
      </c>
      <c r="G103" s="76">
        <f t="shared" si="50"/>
        <v>0</v>
      </c>
      <c r="H103" s="76">
        <f t="shared" si="50"/>
        <v>0</v>
      </c>
      <c r="I103" s="76">
        <f t="shared" si="50"/>
        <v>0</v>
      </c>
      <c r="J103" s="76">
        <f t="shared" si="50"/>
        <v>0</v>
      </c>
      <c r="K103" s="76">
        <f t="shared" si="50"/>
        <v>0</v>
      </c>
      <c r="L103" s="76">
        <f t="shared" si="50"/>
        <v>0</v>
      </c>
      <c r="M103" s="76">
        <f t="shared" si="50"/>
        <v>0</v>
      </c>
      <c r="N103" s="76">
        <f t="shared" si="50"/>
        <v>0</v>
      </c>
      <c r="O103" s="76">
        <f t="shared" si="50"/>
        <v>0</v>
      </c>
      <c r="P103" s="76">
        <f t="shared" si="50"/>
        <v>0</v>
      </c>
      <c r="Q103" s="76">
        <f t="shared" si="50"/>
        <v>0</v>
      </c>
      <c r="R103" s="76">
        <f t="shared" si="50"/>
        <v>0</v>
      </c>
      <c r="S103" s="76">
        <f t="shared" si="50"/>
        <v>0</v>
      </c>
      <c r="T103" s="76">
        <f t="shared" si="50"/>
        <v>0</v>
      </c>
      <c r="U103" s="76">
        <f t="shared" si="50"/>
        <v>0</v>
      </c>
      <c r="V103" s="76">
        <f t="shared" si="50"/>
        <v>0</v>
      </c>
      <c r="W103" s="76">
        <f t="shared" si="50"/>
        <v>0</v>
      </c>
      <c r="X103" s="76">
        <f t="shared" si="50"/>
        <v>0</v>
      </c>
      <c r="Y103" s="76">
        <f t="shared" si="50"/>
        <v>0</v>
      </c>
      <c r="Z103" s="76">
        <f t="shared" si="50"/>
        <v>0</v>
      </c>
      <c r="AA103" s="76">
        <f t="shared" si="50"/>
        <v>0</v>
      </c>
      <c r="AB103" s="76">
        <f t="shared" si="50"/>
        <v>0</v>
      </c>
      <c r="AC103" s="76">
        <f t="shared" si="50"/>
        <v>0</v>
      </c>
      <c r="AD103" s="76">
        <f t="shared" si="50"/>
        <v>0</v>
      </c>
      <c r="AE103" s="76">
        <f t="shared" ref="AE103:AF103" si="51">IF(AE85&lt;0,AE85*-1,0)</f>
        <v>0</v>
      </c>
      <c r="AF103" s="76">
        <f t="shared" si="51"/>
        <v>0</v>
      </c>
      <c r="AG103" s="98"/>
      <c r="AH103" s="47">
        <f t="shared" si="21"/>
        <v>0</v>
      </c>
      <c r="AI103" s="48">
        <f t="shared" si="22"/>
        <v>0</v>
      </c>
    </row>
    <row r="104" spans="1:37" x14ac:dyDescent="0.25">
      <c r="A104" s="84" t="s">
        <v>105</v>
      </c>
      <c r="B104" s="76">
        <f t="shared" ref="B104:C104" si="52">IF(B83&lt;0,B83*-1,0)</f>
        <v>0</v>
      </c>
      <c r="C104" s="76">
        <f t="shared" si="52"/>
        <v>0</v>
      </c>
      <c r="D104" s="76">
        <f t="shared" ref="D104" si="53">IF(D83&lt;0,D83*-1,0)</f>
        <v>0</v>
      </c>
      <c r="E104" s="76">
        <f t="shared" ref="E104:AD104" si="54">IF(E83&lt;0,E83*-1,0)</f>
        <v>0</v>
      </c>
      <c r="F104" s="76">
        <f t="shared" si="54"/>
        <v>0</v>
      </c>
      <c r="G104" s="76">
        <f t="shared" si="54"/>
        <v>0</v>
      </c>
      <c r="H104" s="76">
        <f t="shared" si="54"/>
        <v>0</v>
      </c>
      <c r="I104" s="76">
        <f t="shared" si="54"/>
        <v>0</v>
      </c>
      <c r="J104" s="76">
        <f t="shared" si="54"/>
        <v>0</v>
      </c>
      <c r="K104" s="76">
        <f t="shared" si="54"/>
        <v>0</v>
      </c>
      <c r="L104" s="76">
        <f t="shared" si="54"/>
        <v>0</v>
      </c>
      <c r="M104" s="76">
        <f t="shared" si="54"/>
        <v>0</v>
      </c>
      <c r="N104" s="76">
        <f t="shared" si="54"/>
        <v>0</v>
      </c>
      <c r="O104" s="76">
        <f t="shared" si="54"/>
        <v>0</v>
      </c>
      <c r="P104" s="76">
        <f t="shared" si="54"/>
        <v>0</v>
      </c>
      <c r="Q104" s="76">
        <f t="shared" si="54"/>
        <v>0</v>
      </c>
      <c r="R104" s="76">
        <f t="shared" si="54"/>
        <v>0</v>
      </c>
      <c r="S104" s="76">
        <f t="shared" si="54"/>
        <v>0</v>
      </c>
      <c r="T104" s="76">
        <f t="shared" si="54"/>
        <v>0</v>
      </c>
      <c r="U104" s="76">
        <f t="shared" si="54"/>
        <v>0</v>
      </c>
      <c r="V104" s="76">
        <f t="shared" si="54"/>
        <v>0</v>
      </c>
      <c r="W104" s="76">
        <f t="shared" si="54"/>
        <v>0</v>
      </c>
      <c r="X104" s="76">
        <f t="shared" si="54"/>
        <v>0</v>
      </c>
      <c r="Y104" s="76">
        <f t="shared" si="54"/>
        <v>0</v>
      </c>
      <c r="Z104" s="76">
        <f t="shared" si="54"/>
        <v>0</v>
      </c>
      <c r="AA104" s="76">
        <f t="shared" si="54"/>
        <v>0</v>
      </c>
      <c r="AB104" s="76">
        <f t="shared" si="54"/>
        <v>0</v>
      </c>
      <c r="AC104" s="76">
        <f t="shared" si="54"/>
        <v>0</v>
      </c>
      <c r="AD104" s="76">
        <f t="shared" si="54"/>
        <v>0</v>
      </c>
      <c r="AE104" s="76">
        <f t="shared" ref="AE104:AF104" si="55">IF(AE83&lt;0,AE83*-1,0)</f>
        <v>0</v>
      </c>
      <c r="AF104" s="76">
        <f t="shared" si="55"/>
        <v>0</v>
      </c>
      <c r="AG104" s="98"/>
      <c r="AH104" s="47">
        <f t="shared" si="21"/>
        <v>0</v>
      </c>
      <c r="AI104" s="48">
        <f t="shared" si="22"/>
        <v>0</v>
      </c>
    </row>
    <row r="105" spans="1:37" x14ac:dyDescent="0.25">
      <c r="A105" s="84" t="s">
        <v>81</v>
      </c>
      <c r="B105" s="76">
        <f t="shared" ref="B105:C105" si="56">IF(B81&lt;0,B81*-1,0)</f>
        <v>0</v>
      </c>
      <c r="C105" s="76">
        <f t="shared" si="56"/>
        <v>0</v>
      </c>
      <c r="D105" s="76">
        <f t="shared" ref="D105" si="57">IF(D81&lt;0,D81*-1,0)</f>
        <v>0</v>
      </c>
      <c r="E105" s="76">
        <f t="shared" ref="E105:AD105" si="58">IF(E81&lt;0,E81*-1,0)</f>
        <v>0</v>
      </c>
      <c r="F105" s="76">
        <f t="shared" si="58"/>
        <v>0</v>
      </c>
      <c r="G105" s="76">
        <f t="shared" si="58"/>
        <v>0</v>
      </c>
      <c r="H105" s="76">
        <f t="shared" si="58"/>
        <v>0</v>
      </c>
      <c r="I105" s="76">
        <f t="shared" si="58"/>
        <v>0</v>
      </c>
      <c r="J105" s="76">
        <f t="shared" si="58"/>
        <v>0</v>
      </c>
      <c r="K105" s="76">
        <f t="shared" si="58"/>
        <v>0</v>
      </c>
      <c r="L105" s="76">
        <f t="shared" si="58"/>
        <v>0</v>
      </c>
      <c r="M105" s="76">
        <f t="shared" si="58"/>
        <v>0</v>
      </c>
      <c r="N105" s="76">
        <f t="shared" si="58"/>
        <v>0</v>
      </c>
      <c r="O105" s="76">
        <f t="shared" si="58"/>
        <v>0</v>
      </c>
      <c r="P105" s="76">
        <f t="shared" si="58"/>
        <v>0</v>
      </c>
      <c r="Q105" s="76">
        <f t="shared" si="58"/>
        <v>0</v>
      </c>
      <c r="R105" s="76">
        <f t="shared" si="58"/>
        <v>0</v>
      </c>
      <c r="S105" s="76">
        <f t="shared" si="58"/>
        <v>0</v>
      </c>
      <c r="T105" s="76">
        <f t="shared" si="58"/>
        <v>0</v>
      </c>
      <c r="U105" s="76">
        <f t="shared" si="58"/>
        <v>0</v>
      </c>
      <c r="V105" s="76">
        <f t="shared" si="58"/>
        <v>0</v>
      </c>
      <c r="W105" s="76">
        <f t="shared" si="58"/>
        <v>0</v>
      </c>
      <c r="X105" s="76">
        <f t="shared" si="58"/>
        <v>0</v>
      </c>
      <c r="Y105" s="76">
        <f t="shared" si="58"/>
        <v>0</v>
      </c>
      <c r="Z105" s="76">
        <f t="shared" si="58"/>
        <v>0</v>
      </c>
      <c r="AA105" s="76">
        <f t="shared" si="58"/>
        <v>0</v>
      </c>
      <c r="AB105" s="76">
        <f t="shared" si="58"/>
        <v>0</v>
      </c>
      <c r="AC105" s="76">
        <f t="shared" si="58"/>
        <v>0</v>
      </c>
      <c r="AD105" s="76">
        <f t="shared" si="58"/>
        <v>0</v>
      </c>
      <c r="AE105" s="76">
        <f t="shared" ref="AE105:AF105" si="59">IF(AE81&lt;0,AE81*-1,0)</f>
        <v>0</v>
      </c>
      <c r="AF105" s="76">
        <f t="shared" si="59"/>
        <v>0</v>
      </c>
      <c r="AG105" s="98"/>
      <c r="AH105" s="47">
        <f t="shared" si="21"/>
        <v>0</v>
      </c>
      <c r="AI105" s="48">
        <f t="shared" si="22"/>
        <v>0</v>
      </c>
    </row>
    <row r="106" spans="1:37" ht="15.75" thickBot="1" x14ac:dyDescent="0.3">
      <c r="A106" s="84" t="s">
        <v>106</v>
      </c>
      <c r="B106" s="94">
        <v>5</v>
      </c>
      <c r="C106" s="94">
        <v>6</v>
      </c>
      <c r="D106" s="94">
        <v>7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0</v>
      </c>
      <c r="AB106" s="94">
        <v>0</v>
      </c>
      <c r="AC106" s="94">
        <v>0</v>
      </c>
      <c r="AD106" s="94">
        <v>0</v>
      </c>
      <c r="AE106" s="94">
        <v>0</v>
      </c>
      <c r="AF106" s="94">
        <v>0</v>
      </c>
      <c r="AG106" s="85"/>
      <c r="AH106" s="47">
        <f t="shared" si="21"/>
        <v>7</v>
      </c>
      <c r="AI106" s="48">
        <f t="shared" si="22"/>
        <v>0</v>
      </c>
    </row>
    <row r="107" spans="1:37" ht="15.75" thickBot="1" x14ac:dyDescent="0.3">
      <c r="A107" s="99" t="s">
        <v>107</v>
      </c>
      <c r="B107" s="60">
        <f t="shared" ref="B107:C107" si="60">SUM(B101:B106)</f>
        <v>5</v>
      </c>
      <c r="C107" s="60">
        <f t="shared" si="60"/>
        <v>6</v>
      </c>
      <c r="D107" s="60">
        <f t="shared" ref="D107" si="61">SUM(D101:D106)</f>
        <v>7</v>
      </c>
      <c r="E107" s="60">
        <f t="shared" ref="E107:AD107" si="62">SUM(E101:E106)</f>
        <v>0</v>
      </c>
      <c r="F107" s="60">
        <f t="shared" si="62"/>
        <v>0</v>
      </c>
      <c r="G107" s="60">
        <f t="shared" si="62"/>
        <v>0</v>
      </c>
      <c r="H107" s="60">
        <f t="shared" si="62"/>
        <v>0</v>
      </c>
      <c r="I107" s="60">
        <f t="shared" si="62"/>
        <v>0</v>
      </c>
      <c r="J107" s="60">
        <f t="shared" si="62"/>
        <v>0</v>
      </c>
      <c r="K107" s="60">
        <f t="shared" si="62"/>
        <v>0</v>
      </c>
      <c r="L107" s="60">
        <f t="shared" si="62"/>
        <v>0</v>
      </c>
      <c r="M107" s="60">
        <f t="shared" si="62"/>
        <v>0</v>
      </c>
      <c r="N107" s="60">
        <f t="shared" si="62"/>
        <v>0</v>
      </c>
      <c r="O107" s="60">
        <f t="shared" si="62"/>
        <v>0</v>
      </c>
      <c r="P107" s="60">
        <f t="shared" si="62"/>
        <v>0</v>
      </c>
      <c r="Q107" s="60">
        <f t="shared" si="62"/>
        <v>0</v>
      </c>
      <c r="R107" s="60">
        <f t="shared" si="62"/>
        <v>0</v>
      </c>
      <c r="S107" s="60">
        <f t="shared" si="62"/>
        <v>0</v>
      </c>
      <c r="T107" s="60">
        <f t="shared" si="62"/>
        <v>0</v>
      </c>
      <c r="U107" s="60">
        <f t="shared" si="62"/>
        <v>0</v>
      </c>
      <c r="V107" s="60">
        <f t="shared" si="62"/>
        <v>0</v>
      </c>
      <c r="W107" s="60">
        <f t="shared" si="62"/>
        <v>0</v>
      </c>
      <c r="X107" s="60">
        <f t="shared" si="62"/>
        <v>0</v>
      </c>
      <c r="Y107" s="60">
        <f t="shared" si="62"/>
        <v>0</v>
      </c>
      <c r="Z107" s="60">
        <f t="shared" si="62"/>
        <v>0</v>
      </c>
      <c r="AA107" s="60">
        <f t="shared" si="62"/>
        <v>0</v>
      </c>
      <c r="AB107" s="60">
        <f t="shared" si="62"/>
        <v>0</v>
      </c>
      <c r="AC107" s="60">
        <f t="shared" si="62"/>
        <v>0</v>
      </c>
      <c r="AD107" s="60">
        <f t="shared" si="62"/>
        <v>0</v>
      </c>
      <c r="AE107" s="60">
        <f t="shared" ref="AE107:AF107" si="63">SUM(AE101:AE106)</f>
        <v>0</v>
      </c>
      <c r="AF107" s="60">
        <f t="shared" si="63"/>
        <v>0</v>
      </c>
      <c r="AG107" s="88"/>
      <c r="AH107" s="47">
        <f t="shared" si="21"/>
        <v>7</v>
      </c>
      <c r="AI107" s="48">
        <f t="shared" si="22"/>
        <v>0</v>
      </c>
      <c r="AK107" s="50"/>
    </row>
    <row r="108" spans="1:37" ht="15.75" thickBot="1" x14ac:dyDescent="0.3">
      <c r="A108" s="74" t="s">
        <v>108</v>
      </c>
      <c r="B108" s="60">
        <f t="shared" ref="B108:C108" si="64">B92-B107</f>
        <v>517.29999999999995</v>
      </c>
      <c r="C108" s="60">
        <f t="shared" si="64"/>
        <v>498.6</v>
      </c>
      <c r="D108" s="60">
        <f t="shared" ref="D108" si="65">D92-D107</f>
        <v>447.3</v>
      </c>
      <c r="E108" s="60">
        <f t="shared" ref="E108:AD108" si="66">E92-E107</f>
        <v>472.6</v>
      </c>
      <c r="F108" s="60">
        <f t="shared" si="66"/>
        <v>459</v>
      </c>
      <c r="G108" s="60">
        <f t="shared" si="66"/>
        <v>469</v>
      </c>
      <c r="H108" s="60">
        <f t="shared" si="66"/>
        <v>524</v>
      </c>
      <c r="I108" s="60">
        <f t="shared" si="66"/>
        <v>497.1</v>
      </c>
      <c r="J108" s="60">
        <f t="shared" si="66"/>
        <v>514</v>
      </c>
      <c r="K108" s="60">
        <f t="shared" si="66"/>
        <v>284.89999999999998</v>
      </c>
      <c r="L108" s="60">
        <f t="shared" si="66"/>
        <v>222.7</v>
      </c>
      <c r="M108" s="60">
        <f t="shared" si="66"/>
        <v>177.9</v>
      </c>
      <c r="N108" s="60">
        <f t="shared" si="66"/>
        <v>224.10000000000002</v>
      </c>
      <c r="O108" s="60">
        <f t="shared" si="66"/>
        <v>338.8</v>
      </c>
      <c r="P108" s="60">
        <f t="shared" si="66"/>
        <v>390.1</v>
      </c>
      <c r="Q108" s="60">
        <f t="shared" si="66"/>
        <v>572</v>
      </c>
      <c r="R108" s="60">
        <f t="shared" si="66"/>
        <v>648.29999999999995</v>
      </c>
      <c r="S108" s="60">
        <f t="shared" si="66"/>
        <v>735.5</v>
      </c>
      <c r="T108" s="60">
        <f t="shared" si="66"/>
        <v>746.8</v>
      </c>
      <c r="U108" s="60">
        <f t="shared" si="66"/>
        <v>741.5</v>
      </c>
      <c r="V108" s="60">
        <f t="shared" si="66"/>
        <v>400.7</v>
      </c>
      <c r="W108" s="60">
        <f t="shared" si="66"/>
        <v>352.70000000000005</v>
      </c>
      <c r="X108" s="60">
        <f t="shared" si="66"/>
        <v>276.7</v>
      </c>
      <c r="Y108" s="60">
        <f t="shared" si="66"/>
        <v>328</v>
      </c>
      <c r="Z108" s="60">
        <f t="shared" si="66"/>
        <v>302.89999999999998</v>
      </c>
      <c r="AA108" s="60">
        <f t="shared" si="66"/>
        <v>507</v>
      </c>
      <c r="AB108" s="60">
        <f t="shared" si="66"/>
        <v>459</v>
      </c>
      <c r="AC108" s="60">
        <f t="shared" si="66"/>
        <v>416.5</v>
      </c>
      <c r="AD108" s="60">
        <f t="shared" si="66"/>
        <v>426.3</v>
      </c>
      <c r="AE108" s="60">
        <f t="shared" ref="AE108:AF108" si="67">AE92-AE107</f>
        <v>521.70000000000005</v>
      </c>
      <c r="AF108" s="60">
        <f t="shared" si="67"/>
        <v>530.70000000000005</v>
      </c>
      <c r="AG108" s="88"/>
      <c r="AH108" s="47">
        <f t="shared" si="21"/>
        <v>746.8</v>
      </c>
      <c r="AI108" s="48">
        <f t="shared" si="22"/>
        <v>177.9</v>
      </c>
    </row>
    <row r="109" spans="1:37" x14ac:dyDescent="0.25">
      <c r="A109" s="100" t="s">
        <v>109</v>
      </c>
      <c r="B109" s="101">
        <v>50.04</v>
      </c>
      <c r="C109" s="101">
        <v>50</v>
      </c>
      <c r="D109" s="101">
        <v>49.99</v>
      </c>
      <c r="E109" s="101">
        <v>50.011000000000003</v>
      </c>
      <c r="F109" s="101">
        <v>50.018000000000001</v>
      </c>
      <c r="G109" s="101">
        <v>50.048000000000002</v>
      </c>
      <c r="H109" s="101">
        <v>49.96</v>
      </c>
      <c r="I109" s="101">
        <v>49.991999999999997</v>
      </c>
      <c r="J109" s="101">
        <v>49.98</v>
      </c>
      <c r="K109" s="101">
        <v>50.037999999999997</v>
      </c>
      <c r="L109" s="101">
        <v>50.037999999999997</v>
      </c>
      <c r="M109" s="101">
        <v>50.055</v>
      </c>
      <c r="N109" s="101">
        <v>50.037999999999997</v>
      </c>
      <c r="O109" s="101">
        <v>50.033999999999999</v>
      </c>
      <c r="P109" s="101">
        <v>50.021000000000001</v>
      </c>
      <c r="Q109" s="101">
        <v>50.033999999999999</v>
      </c>
      <c r="R109" s="101">
        <v>49.850999999999999</v>
      </c>
      <c r="S109" s="101">
        <v>49.945</v>
      </c>
      <c r="T109" s="101">
        <v>49.945</v>
      </c>
      <c r="U109" s="101">
        <v>49.81</v>
      </c>
      <c r="V109" s="101">
        <v>50.042999999999999</v>
      </c>
      <c r="W109" s="101">
        <v>49.978000000000002</v>
      </c>
      <c r="X109" s="101">
        <v>49.890999999999998</v>
      </c>
      <c r="Y109" s="101">
        <v>49.936999999999998</v>
      </c>
      <c r="Z109" s="101">
        <v>49.819000000000003</v>
      </c>
      <c r="AA109" s="101">
        <v>49.912999999999997</v>
      </c>
      <c r="AB109" s="101">
        <v>50.000999999999998</v>
      </c>
      <c r="AC109" s="101">
        <v>50.033999999999999</v>
      </c>
      <c r="AD109" s="101">
        <v>49.96</v>
      </c>
      <c r="AE109" s="101">
        <v>50.07</v>
      </c>
      <c r="AF109" s="101">
        <v>50</v>
      </c>
      <c r="AG109" s="102"/>
      <c r="AH109" s="47">
        <f t="shared" si="21"/>
        <v>50.07</v>
      </c>
      <c r="AI109" s="48">
        <f t="shared" si="22"/>
        <v>49.81</v>
      </c>
    </row>
    <row r="110" spans="1:37" x14ac:dyDescent="0.25">
      <c r="A110" s="103" t="s">
        <v>110</v>
      </c>
      <c r="B110" s="65">
        <v>126</v>
      </c>
      <c r="C110" s="65">
        <v>127.1</v>
      </c>
      <c r="D110" s="65">
        <v>130.69999999999999</v>
      </c>
      <c r="E110" s="65">
        <v>128.4</v>
      </c>
      <c r="F110" s="65">
        <v>127.6</v>
      </c>
      <c r="G110" s="65">
        <v>129</v>
      </c>
      <c r="H110" s="65">
        <v>128.19999999999999</v>
      </c>
      <c r="I110" s="65">
        <v>127.1</v>
      </c>
      <c r="J110" s="65">
        <v>124.1</v>
      </c>
      <c r="K110" s="65">
        <v>127.9</v>
      </c>
      <c r="L110" s="65">
        <v>127.9</v>
      </c>
      <c r="M110" s="65">
        <v>126.6</v>
      </c>
      <c r="N110" s="65">
        <v>126.5</v>
      </c>
      <c r="O110" s="65">
        <v>129.19999999999999</v>
      </c>
      <c r="P110" s="65">
        <v>129.19999999999999</v>
      </c>
      <c r="Q110" s="65">
        <v>125.74</v>
      </c>
      <c r="R110" s="65">
        <v>125.3</v>
      </c>
      <c r="S110" s="65">
        <v>125</v>
      </c>
      <c r="T110" s="65">
        <v>125</v>
      </c>
      <c r="U110" s="65">
        <v>124.1</v>
      </c>
      <c r="V110" s="65">
        <v>129.1</v>
      </c>
      <c r="W110" s="65">
        <v>127.5</v>
      </c>
      <c r="X110" s="65">
        <v>127</v>
      </c>
      <c r="Y110" s="65">
        <v>125.7</v>
      </c>
      <c r="Z110" s="65">
        <v>126.1</v>
      </c>
      <c r="AA110" s="65">
        <v>126.2</v>
      </c>
      <c r="AB110" s="65">
        <v>127.7</v>
      </c>
      <c r="AC110" s="65">
        <v>128.19999999999999</v>
      </c>
      <c r="AD110" s="65">
        <v>128.9</v>
      </c>
      <c r="AE110" s="65">
        <v>127.5</v>
      </c>
      <c r="AF110" s="65">
        <v>128.19999999999999</v>
      </c>
      <c r="AG110" s="104"/>
      <c r="AH110" s="47">
        <f t="shared" si="21"/>
        <v>130.69999999999999</v>
      </c>
      <c r="AI110" s="48">
        <f t="shared" si="22"/>
        <v>124.1</v>
      </c>
    </row>
    <row r="111" spans="1:37" x14ac:dyDescent="0.25">
      <c r="A111" s="103" t="s">
        <v>111</v>
      </c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>
        <v>126.3</v>
      </c>
      <c r="Z111" s="65">
        <v>126.6</v>
      </c>
      <c r="AA111" s="65">
        <v>127.3</v>
      </c>
      <c r="AB111" s="65">
        <v>128.80000000000001</v>
      </c>
      <c r="AC111" s="65">
        <v>129.5</v>
      </c>
      <c r="AD111" s="65">
        <v>130</v>
      </c>
      <c r="AE111" s="65">
        <v>130.5</v>
      </c>
      <c r="AF111" s="65">
        <v>131.69999999999999</v>
      </c>
      <c r="AG111" s="104"/>
      <c r="AH111" s="47">
        <f t="shared" si="21"/>
        <v>131.69999999999999</v>
      </c>
      <c r="AI111" s="48">
        <f t="shared" si="22"/>
        <v>126.3</v>
      </c>
    </row>
    <row r="112" spans="1:37" x14ac:dyDescent="0.25">
      <c r="A112" s="103" t="s">
        <v>112</v>
      </c>
      <c r="B112" s="65">
        <v>129</v>
      </c>
      <c r="C112" s="65">
        <v>130.69999999999999</v>
      </c>
      <c r="D112" s="65">
        <v>134.19999999999999</v>
      </c>
      <c r="E112" s="65">
        <v>131</v>
      </c>
      <c r="F112" s="65">
        <v>131.80000000000001</v>
      </c>
      <c r="G112" s="65">
        <v>132.30000000000001</v>
      </c>
      <c r="H112" s="65">
        <v>128.6</v>
      </c>
      <c r="I112" s="65">
        <v>131.1</v>
      </c>
      <c r="J112" s="65">
        <v>127</v>
      </c>
      <c r="K112" s="65">
        <v>129.9</v>
      </c>
      <c r="L112" s="65">
        <v>129.9</v>
      </c>
      <c r="M112" s="65">
        <v>130.19999999999999</v>
      </c>
      <c r="N112" s="65">
        <v>129.19999999999999</v>
      </c>
      <c r="O112" s="65">
        <v>131.4</v>
      </c>
      <c r="P112" s="65">
        <v>131.4</v>
      </c>
      <c r="Q112" s="65">
        <v>125.7</v>
      </c>
      <c r="R112" s="65">
        <v>124.1</v>
      </c>
      <c r="S112" s="65">
        <v>127.7</v>
      </c>
      <c r="T112" s="65">
        <v>127.7</v>
      </c>
      <c r="U112" s="65">
        <v>125.9</v>
      </c>
      <c r="V112" s="65">
        <v>131.9</v>
      </c>
      <c r="W112" s="65">
        <v>131.6</v>
      </c>
      <c r="X112" s="65">
        <v>127.5</v>
      </c>
      <c r="Y112" s="65">
        <v>129.5</v>
      </c>
      <c r="Z112" s="65">
        <v>129</v>
      </c>
      <c r="AA112" s="65">
        <v>132</v>
      </c>
      <c r="AB112" s="65">
        <v>133.30000000000001</v>
      </c>
      <c r="AC112" s="65">
        <v>133.6</v>
      </c>
      <c r="AD112" s="65">
        <v>132.6</v>
      </c>
      <c r="AE112" s="65">
        <v>130.9</v>
      </c>
      <c r="AF112" s="65">
        <v>128.30000000000001</v>
      </c>
      <c r="AG112" s="104"/>
      <c r="AH112" s="47">
        <f t="shared" si="21"/>
        <v>134.19999999999999</v>
      </c>
      <c r="AI112" s="48">
        <f t="shared" si="22"/>
        <v>124.1</v>
      </c>
    </row>
    <row r="113" spans="1:35" x14ac:dyDescent="0.25">
      <c r="A113" s="105" t="s">
        <v>432</v>
      </c>
      <c r="B113" s="65">
        <v>131.6</v>
      </c>
      <c r="C113" s="65">
        <v>133.69999999999999</v>
      </c>
      <c r="D113" s="65">
        <v>136.30000000000001</v>
      </c>
      <c r="E113" s="65">
        <v>133.6</v>
      </c>
      <c r="F113" s="65">
        <v>135.1</v>
      </c>
      <c r="G113" s="65">
        <v>134.1</v>
      </c>
      <c r="H113" s="65">
        <v>132</v>
      </c>
      <c r="I113" s="65">
        <v>132.4</v>
      </c>
      <c r="J113" s="65">
        <v>128.6</v>
      </c>
      <c r="K113" s="65">
        <v>132.30000000000001</v>
      </c>
      <c r="L113" s="65">
        <v>132.30000000000001</v>
      </c>
      <c r="M113" s="65">
        <v>130.9</v>
      </c>
      <c r="N113" s="65">
        <v>129.6</v>
      </c>
      <c r="O113" s="65">
        <v>131.6</v>
      </c>
      <c r="P113" s="65">
        <v>131.6</v>
      </c>
      <c r="Q113" s="65">
        <v>128</v>
      </c>
      <c r="R113" s="65">
        <v>127.3</v>
      </c>
      <c r="S113" s="65">
        <v>130.69999999999999</v>
      </c>
      <c r="T113" s="65">
        <v>130.69999999999999</v>
      </c>
      <c r="U113" s="65">
        <v>127.8</v>
      </c>
      <c r="V113" s="65">
        <v>132.9</v>
      </c>
      <c r="W113" s="65">
        <v>131.9</v>
      </c>
      <c r="X113" s="65">
        <v>127</v>
      </c>
      <c r="Y113" s="65">
        <v>130</v>
      </c>
      <c r="Z113" s="65">
        <v>130.6</v>
      </c>
      <c r="AA113" s="65">
        <v>133.5</v>
      </c>
      <c r="AB113" s="65">
        <v>135.30000000000001</v>
      </c>
      <c r="AC113" s="65">
        <v>135.5</v>
      </c>
      <c r="AD113" s="65">
        <v>135.69999999999999</v>
      </c>
      <c r="AE113" s="65">
        <v>134.30000000000001</v>
      </c>
      <c r="AF113" s="65">
        <v>133.5</v>
      </c>
      <c r="AG113" s="104"/>
      <c r="AH113" s="47">
        <f t="shared" si="21"/>
        <v>136.30000000000001</v>
      </c>
      <c r="AI113" s="48">
        <f t="shared" si="22"/>
        <v>127</v>
      </c>
    </row>
    <row r="114" spans="1:35" x14ac:dyDescent="0.25">
      <c r="A114" s="105" t="s">
        <v>114</v>
      </c>
      <c r="B114" s="106">
        <v>130.6</v>
      </c>
      <c r="C114" s="106">
        <v>133.19999999999999</v>
      </c>
      <c r="D114" s="106">
        <v>136.69999999999999</v>
      </c>
      <c r="E114" s="106">
        <v>130.30000000000001</v>
      </c>
      <c r="F114" s="106">
        <v>129.1</v>
      </c>
      <c r="G114" s="106">
        <v>134.4</v>
      </c>
      <c r="H114" s="106">
        <v>133.80000000000001</v>
      </c>
      <c r="I114" s="106">
        <v>134.80000000000001</v>
      </c>
      <c r="J114" s="106">
        <v>132.1</v>
      </c>
      <c r="K114" s="106">
        <v>135.19999999999999</v>
      </c>
      <c r="L114" s="106">
        <v>135.19999999999999</v>
      </c>
      <c r="M114" s="106">
        <v>134</v>
      </c>
      <c r="N114" s="106">
        <v>134.1</v>
      </c>
      <c r="O114" s="106">
        <v>135.30000000000001</v>
      </c>
      <c r="P114" s="106">
        <v>135.30000000000001</v>
      </c>
      <c r="Q114" s="106">
        <v>134</v>
      </c>
      <c r="R114" s="106">
        <v>134.30000000000001</v>
      </c>
      <c r="S114" s="106">
        <v>131.9</v>
      </c>
      <c r="T114" s="106">
        <v>131.9</v>
      </c>
      <c r="U114" s="106">
        <v>131.4</v>
      </c>
      <c r="V114" s="106">
        <v>134.5</v>
      </c>
      <c r="W114" s="106">
        <v>134.69999999999999</v>
      </c>
      <c r="X114" s="106">
        <v>135.30000000000001</v>
      </c>
      <c r="Y114" s="106">
        <v>131.4</v>
      </c>
      <c r="Z114" s="106">
        <v>132.5</v>
      </c>
      <c r="AA114" s="106">
        <v>133.6</v>
      </c>
      <c r="AB114" s="106">
        <v>134.6</v>
      </c>
      <c r="AC114" s="106">
        <v>134.80000000000001</v>
      </c>
      <c r="AD114" s="106">
        <v>134.5</v>
      </c>
      <c r="AE114" s="106">
        <v>134.1</v>
      </c>
      <c r="AF114" s="106">
        <v>133.69999999999999</v>
      </c>
      <c r="AG114" s="107"/>
      <c r="AH114" s="47">
        <f t="shared" si="21"/>
        <v>136.69999999999999</v>
      </c>
      <c r="AI114" s="48">
        <f t="shared" si="22"/>
        <v>129.1</v>
      </c>
    </row>
    <row r="115" spans="1:35" x14ac:dyDescent="0.25">
      <c r="A115" s="103" t="s">
        <v>115</v>
      </c>
      <c r="B115" s="65">
        <v>131.4</v>
      </c>
      <c r="C115" s="65">
        <v>131.6</v>
      </c>
      <c r="D115" s="65">
        <v>131.6</v>
      </c>
      <c r="E115" s="65">
        <v>128.80000000000001</v>
      </c>
      <c r="F115" s="65">
        <v>128.4</v>
      </c>
      <c r="G115" s="65">
        <v>132.30000000000001</v>
      </c>
      <c r="H115" s="65">
        <v>128</v>
      </c>
      <c r="I115" s="65">
        <v>126.2</v>
      </c>
      <c r="J115" s="65">
        <v>132.4</v>
      </c>
      <c r="K115" s="65">
        <v>126.7</v>
      </c>
      <c r="L115" s="65">
        <v>126.7</v>
      </c>
      <c r="M115" s="65">
        <v>131.1</v>
      </c>
      <c r="N115" s="65">
        <v>133.5</v>
      </c>
      <c r="O115" s="65">
        <v>135.9</v>
      </c>
      <c r="P115" s="65">
        <v>135.9</v>
      </c>
      <c r="Q115" s="65">
        <v>131.6</v>
      </c>
      <c r="R115" s="65">
        <v>130.19999999999999</v>
      </c>
      <c r="S115" s="65">
        <v>133.69999999999999</v>
      </c>
      <c r="T115" s="65">
        <v>133.69999999999999</v>
      </c>
      <c r="U115" s="65">
        <v>132.1</v>
      </c>
      <c r="V115" s="65">
        <v>132.30000000000001</v>
      </c>
      <c r="W115" s="65">
        <v>129.4</v>
      </c>
      <c r="X115" s="65">
        <v>131.9</v>
      </c>
      <c r="Y115" s="65">
        <v>134.19999999999999</v>
      </c>
      <c r="Z115" s="65">
        <v>131</v>
      </c>
      <c r="AA115" s="65">
        <v>133.1</v>
      </c>
      <c r="AB115" s="65">
        <v>133.1</v>
      </c>
      <c r="AC115" s="65">
        <v>133.6</v>
      </c>
      <c r="AD115" s="65">
        <v>133.9</v>
      </c>
      <c r="AE115" s="65">
        <v>129.19999999999999</v>
      </c>
      <c r="AF115" s="65">
        <v>131.69999999999999</v>
      </c>
      <c r="AG115" s="104"/>
      <c r="AH115" s="47">
        <f t="shared" si="21"/>
        <v>135.9</v>
      </c>
      <c r="AI115" s="48">
        <f t="shared" si="22"/>
        <v>126.2</v>
      </c>
    </row>
    <row r="116" spans="1:35" ht="15.75" thickBot="1" x14ac:dyDescent="0.3">
      <c r="A116" s="103" t="s">
        <v>116</v>
      </c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>
        <v>65.7</v>
      </c>
      <c r="AF116" s="92">
        <v>66.5</v>
      </c>
      <c r="AG116" s="108"/>
      <c r="AH116" s="47">
        <f t="shared" si="21"/>
        <v>66.5</v>
      </c>
      <c r="AI116" s="48">
        <f t="shared" si="22"/>
        <v>65.7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 t="s">
        <v>117</v>
      </c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21"/>
        <v>0</v>
      </c>
      <c r="AI117" s="48">
        <f t="shared" si="22"/>
        <v>0</v>
      </c>
    </row>
    <row r="118" spans="1:35" ht="15.75" thickBot="1" x14ac:dyDescent="0.3">
      <c r="A118" s="110" t="s">
        <v>118</v>
      </c>
      <c r="B118" s="111">
        <f t="shared" ref="B118:C118" si="68">SUM(B22,B28,B31:B32,B66,B68:B69,B71,B73,B119:B123,B155,B161,B167,B176,B178,B190,B197,B200:B201,B208,B210,B212,B216:B218,B220:B222,B227,B233:B234,B236:B238,B246,B251)</f>
        <v>191.7</v>
      </c>
      <c r="C118" s="111">
        <f t="shared" si="68"/>
        <v>190.38</v>
      </c>
      <c r="D118" s="111">
        <f t="shared" ref="D118" si="69">SUM(D22,D28,D31:D32,D66,D68:D69,D71,D73,D119:D123,D155,D161,D167,D176,D178,D190,D197,D200:D201,D208,D210,D212,D216:D218,D220:D222,D227,D233:D234,D236:D238,D246,D251)</f>
        <v>188.42</v>
      </c>
      <c r="E118" s="111">
        <f t="shared" ref="E118:O118" si="70">SUM(E22,E28,E31:E32,E66,E68:E69,E71,E73,E119:E123,E155,E161,E167,E176,E178,E190,E197,E200:E201,E208,E210,E212,E216:E218,E220:E222,E227,E233:E234,E236:E238,E246,E251)</f>
        <v>133.66000000000003</v>
      </c>
      <c r="F118" s="111">
        <f t="shared" si="70"/>
        <v>140.24</v>
      </c>
      <c r="G118" s="111">
        <f t="shared" si="70"/>
        <v>168.74</v>
      </c>
      <c r="H118" s="111">
        <f t="shared" si="70"/>
        <v>203.02800000000002</v>
      </c>
      <c r="I118" s="111">
        <f t="shared" si="70"/>
        <v>244.02</v>
      </c>
      <c r="J118" s="111">
        <f t="shared" si="70"/>
        <v>288.41199999999998</v>
      </c>
      <c r="K118" s="111">
        <f t="shared" si="70"/>
        <v>357.70400000000001</v>
      </c>
      <c r="L118" s="111">
        <f t="shared" si="70"/>
        <v>360.00399999999996</v>
      </c>
      <c r="M118" s="111">
        <f t="shared" si="70"/>
        <v>385.048</v>
      </c>
      <c r="N118" s="111">
        <f t="shared" si="70"/>
        <v>364.08</v>
      </c>
      <c r="O118" s="111">
        <f t="shared" si="70"/>
        <v>320.51799999999997</v>
      </c>
      <c r="P118" s="111">
        <v>42</v>
      </c>
      <c r="Q118" s="111">
        <f t="shared" ref="Q118:AC118" si="71">SUM(Q22,Q28,Q31:Q32,Q66,Q68:Q69,Q71,Q73,Q119:Q123,Q155,Q161,Q167,Q176,Q178,Q190,Q197,Q200:Q201,Q208,Q210,Q212,Q216:Q218,Q220:Q222,Q227,Q233:Q234,Q236:Q238,Q246,Q251)</f>
        <v>272.09999999999997</v>
      </c>
      <c r="R118" s="111">
        <f t="shared" si="71"/>
        <v>253.18099999999998</v>
      </c>
      <c r="S118" s="111">
        <f t="shared" si="71"/>
        <v>255.44399999999996</v>
      </c>
      <c r="T118" s="111">
        <f t="shared" si="71"/>
        <v>250.94399999999996</v>
      </c>
      <c r="U118" s="111">
        <f t="shared" si="71"/>
        <v>314.42</v>
      </c>
      <c r="V118" s="111">
        <f t="shared" si="71"/>
        <v>315.68</v>
      </c>
      <c r="W118" s="111">
        <f t="shared" si="71"/>
        <v>344.09999999999997</v>
      </c>
      <c r="X118" s="111">
        <f t="shared" si="71"/>
        <v>395.97999999999996</v>
      </c>
      <c r="Y118" s="111">
        <v>488.22750000000002</v>
      </c>
      <c r="Z118" s="111">
        <f t="shared" si="71"/>
        <v>451.5</v>
      </c>
      <c r="AA118" s="111">
        <f t="shared" si="71"/>
        <v>471.78</v>
      </c>
      <c r="AB118" s="111">
        <f t="shared" si="71"/>
        <v>452.97600000000006</v>
      </c>
      <c r="AC118" s="111">
        <f t="shared" si="71"/>
        <v>429.88</v>
      </c>
      <c r="AD118" s="111"/>
      <c r="AE118" s="111">
        <f>SUM(AE22,AE28,AE31:AE32,AE66,AE68:AE69,AE71,AE73,AE119:AE123,AE155,AE161,AE167,AE176,AE178,AE190,AE197,AE200:AE201,AE208,AE210,AE212,AE216:AE218,AE220:AE222,AE227,AE233:AE234,AE236:AE238,AE246,AE251)</f>
        <v>264.78000000000003</v>
      </c>
      <c r="AF118" s="111">
        <f>SUM(AF22,AF28,AF31:AF32,AF66,AF68:AF69,AF71,AF73,AF119:AF123,AF155,AF161,AF167,AF176,AF178,AF190,AF197,AF200:AF201,AF208,AF210,AF212,AF216:AF218,AF220:AF222,AF227,AF233:AF234,AF236:AF238,AF246,AF251)</f>
        <v>174.78</v>
      </c>
      <c r="AG118" s="112"/>
      <c r="AH118" s="47">
        <f t="shared" si="21"/>
        <v>488.22750000000002</v>
      </c>
      <c r="AI118" s="48">
        <f t="shared" si="22"/>
        <v>42</v>
      </c>
    </row>
    <row r="119" spans="1:35" x14ac:dyDescent="0.25">
      <c r="A119" s="172" t="s">
        <v>119</v>
      </c>
      <c r="B119" s="113">
        <v>-7.5</v>
      </c>
      <c r="C119" s="113">
        <v>-8.4</v>
      </c>
      <c r="D119" s="113">
        <v>-5.4</v>
      </c>
      <c r="E119" s="113">
        <v>-19.399999999999999</v>
      </c>
      <c r="F119" s="113">
        <v>-14.9</v>
      </c>
      <c r="G119" s="113">
        <v>6.6</v>
      </c>
      <c r="H119" s="113">
        <v>8.5</v>
      </c>
      <c r="I119" s="113">
        <v>23.1</v>
      </c>
      <c r="J119" s="113">
        <v>27.8</v>
      </c>
      <c r="K119" s="113">
        <v>35.4</v>
      </c>
      <c r="L119" s="113">
        <v>35.4</v>
      </c>
      <c r="M119" s="113">
        <v>31.1</v>
      </c>
      <c r="N119" s="113">
        <v>25</v>
      </c>
      <c r="O119" s="113">
        <v>29.8</v>
      </c>
      <c r="P119" s="113">
        <v>29.8</v>
      </c>
      <c r="Q119" s="113">
        <v>23.9</v>
      </c>
      <c r="R119" s="113">
        <v>23.9</v>
      </c>
      <c r="S119" s="113">
        <v>3.1</v>
      </c>
      <c r="T119" s="113">
        <v>3.1</v>
      </c>
      <c r="U119" s="113">
        <v>2.1</v>
      </c>
      <c r="V119" s="113">
        <v>25.5</v>
      </c>
      <c r="W119" s="113">
        <v>22.8</v>
      </c>
      <c r="X119" s="113">
        <v>40</v>
      </c>
      <c r="Y119" s="113">
        <v>39.299999999999997</v>
      </c>
      <c r="Z119" s="113">
        <v>43.2</v>
      </c>
      <c r="AA119" s="113">
        <v>42.5</v>
      </c>
      <c r="AB119" s="113">
        <v>45.6</v>
      </c>
      <c r="AC119" s="113">
        <v>48</v>
      </c>
      <c r="AD119" s="113">
        <v>30.4</v>
      </c>
      <c r="AE119" s="113">
        <v>30.4</v>
      </c>
      <c r="AF119" s="113">
        <v>7.4</v>
      </c>
      <c r="AG119" s="114">
        <v>75</v>
      </c>
      <c r="AH119" s="47">
        <f t="shared" si="21"/>
        <v>48</v>
      </c>
      <c r="AI119" s="48">
        <f t="shared" si="22"/>
        <v>-19.399999999999999</v>
      </c>
    </row>
    <row r="120" spans="1:35" x14ac:dyDescent="0.25">
      <c r="A120" s="173" t="s">
        <v>120</v>
      </c>
      <c r="B120" s="115">
        <v>-4</v>
      </c>
      <c r="C120" s="115">
        <v>-4.7</v>
      </c>
      <c r="D120" s="115">
        <v>-0.9</v>
      </c>
      <c r="E120" s="115">
        <v>-20</v>
      </c>
      <c r="F120" s="115">
        <v>-13.1</v>
      </c>
      <c r="G120" s="115">
        <v>16.399999999999999</v>
      </c>
      <c r="H120" s="115">
        <v>18.600000000000001</v>
      </c>
      <c r="I120" s="115">
        <v>38.5</v>
      </c>
      <c r="J120" s="115">
        <v>44</v>
      </c>
      <c r="K120" s="115">
        <v>51</v>
      </c>
      <c r="L120" s="115">
        <v>51</v>
      </c>
      <c r="M120" s="115">
        <v>43.1</v>
      </c>
      <c r="N120" s="115">
        <v>36</v>
      </c>
      <c r="O120" s="115">
        <v>42.4</v>
      </c>
      <c r="P120" s="115">
        <v>42.4</v>
      </c>
      <c r="Q120" s="115">
        <v>34.799999999999997</v>
      </c>
      <c r="R120" s="115">
        <v>34.5</v>
      </c>
      <c r="S120" s="115">
        <v>6.4</v>
      </c>
      <c r="T120" s="115">
        <v>6.4</v>
      </c>
      <c r="U120" s="115">
        <v>1.8</v>
      </c>
      <c r="V120" s="115">
        <v>36.1</v>
      </c>
      <c r="W120" s="115">
        <v>30.7</v>
      </c>
      <c r="X120" s="115">
        <v>55.3</v>
      </c>
      <c r="Y120" s="115">
        <v>55.4</v>
      </c>
      <c r="Z120" s="115">
        <v>59</v>
      </c>
      <c r="AA120" s="115">
        <v>58</v>
      </c>
      <c r="AB120" s="115">
        <v>61.6</v>
      </c>
      <c r="AC120" s="115">
        <v>65.7</v>
      </c>
      <c r="AD120" s="115">
        <v>41.7</v>
      </c>
      <c r="AE120" s="115">
        <v>45.1</v>
      </c>
      <c r="AF120" s="115">
        <v>11.3</v>
      </c>
      <c r="AG120" s="114">
        <v>240</v>
      </c>
      <c r="AH120" s="47">
        <f t="shared" si="21"/>
        <v>65.7</v>
      </c>
      <c r="AI120" s="48">
        <f t="shared" si="22"/>
        <v>-20</v>
      </c>
    </row>
    <row r="121" spans="1:35" x14ac:dyDescent="0.25">
      <c r="A121" s="173" t="s">
        <v>121</v>
      </c>
      <c r="B121" s="115">
        <v>-5</v>
      </c>
      <c r="C121" s="115">
        <v>-2</v>
      </c>
      <c r="D121" s="115">
        <v>3</v>
      </c>
      <c r="E121" s="115">
        <v>-46</v>
      </c>
      <c r="F121" s="115">
        <v>-45.7</v>
      </c>
      <c r="G121" s="115">
        <v>-48</v>
      </c>
      <c r="H121" s="115">
        <v>-36</v>
      </c>
      <c r="I121" s="115">
        <f>-14.5-15.7</f>
        <v>-30.2</v>
      </c>
      <c r="J121" s="115">
        <v>-17</v>
      </c>
      <c r="K121" s="115">
        <v>29</v>
      </c>
      <c r="L121" s="115">
        <v>29</v>
      </c>
      <c r="M121" s="115">
        <v>34.5</v>
      </c>
      <c r="N121" s="115">
        <v>23</v>
      </c>
      <c r="O121" s="115">
        <v>13.5</v>
      </c>
      <c r="P121" s="115">
        <v>13.5</v>
      </c>
      <c r="Q121" s="115">
        <v>-32.04</v>
      </c>
      <c r="R121" s="115">
        <v>-12</v>
      </c>
      <c r="S121" s="115">
        <v>-16.7</v>
      </c>
      <c r="T121" s="115">
        <v>-16.7</v>
      </c>
      <c r="U121" s="115">
        <v>48</v>
      </c>
      <c r="V121" s="115">
        <v>43</v>
      </c>
      <c r="W121" s="115">
        <v>48</v>
      </c>
      <c r="X121" s="115">
        <v>56</v>
      </c>
      <c r="Y121" s="115">
        <v>65</v>
      </c>
      <c r="Z121" s="115">
        <v>27.2</v>
      </c>
      <c r="AA121" s="115">
        <v>66</v>
      </c>
      <c r="AB121" s="115">
        <f>31.7+26.5</f>
        <v>58.2</v>
      </c>
      <c r="AC121" s="115">
        <f>27+21.9</f>
        <v>48.9</v>
      </c>
      <c r="AD121" s="115">
        <f>27+21.5</f>
        <v>48.5</v>
      </c>
      <c r="AE121" s="115">
        <f>-9.3-14.4</f>
        <v>-23.700000000000003</v>
      </c>
      <c r="AF121" s="115">
        <f>-17.6-20.5</f>
        <v>-38.1</v>
      </c>
      <c r="AG121" s="114">
        <v>240</v>
      </c>
      <c r="AH121" s="47">
        <f t="shared" si="21"/>
        <v>66</v>
      </c>
      <c r="AI121" s="48">
        <f t="shared" si="22"/>
        <v>-48</v>
      </c>
    </row>
    <row r="122" spans="1:35" ht="15.75" thickBot="1" x14ac:dyDescent="0.3">
      <c r="A122" s="173" t="s">
        <v>122</v>
      </c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>
        <v>60</v>
      </c>
      <c r="Z122" s="115">
        <v>59</v>
      </c>
      <c r="AA122" s="115">
        <v>57.4</v>
      </c>
      <c r="AB122" s="115">
        <v>57.8</v>
      </c>
      <c r="AC122" s="115">
        <v>56.2</v>
      </c>
      <c r="AD122" s="115">
        <v>45.4</v>
      </c>
      <c r="AE122" s="115">
        <v>14.8</v>
      </c>
      <c r="AF122" s="115">
        <v>-6.9</v>
      </c>
      <c r="AG122" s="114">
        <v>60</v>
      </c>
      <c r="AH122" s="47">
        <f t="shared" si="21"/>
        <v>60</v>
      </c>
      <c r="AI122" s="48">
        <f t="shared" si="22"/>
        <v>-6.9</v>
      </c>
    </row>
    <row r="123" spans="1:35" x14ac:dyDescent="0.25">
      <c r="A123" s="172" t="s">
        <v>260</v>
      </c>
      <c r="B123" s="117">
        <f>66.1*1.6</f>
        <v>105.75999999999999</v>
      </c>
      <c r="C123" s="117">
        <f>64.4*1.6</f>
        <v>103.04000000000002</v>
      </c>
      <c r="D123" s="117">
        <f>55.8*1.6</f>
        <v>89.28</v>
      </c>
      <c r="E123" s="117">
        <f>72.2*1.6</f>
        <v>115.52000000000001</v>
      </c>
      <c r="F123" s="117">
        <f>69*1.6</f>
        <v>110.4</v>
      </c>
      <c r="G123" s="117">
        <f>57*1.6</f>
        <v>91.2</v>
      </c>
      <c r="H123" s="117">
        <f>66.7*1.64</f>
        <v>109.38800000000001</v>
      </c>
      <c r="I123" s="117">
        <f>67*1.64</f>
        <v>109.88</v>
      </c>
      <c r="J123" s="117">
        <f>79.8*1.64</f>
        <v>130.87199999999999</v>
      </c>
      <c r="K123" s="117">
        <f>85.1*1.64</f>
        <v>139.56399999999999</v>
      </c>
      <c r="L123" s="117">
        <f>85.1*1.64</f>
        <v>139.56399999999999</v>
      </c>
      <c r="M123" s="117">
        <f>102.4*1.67</f>
        <v>171.00800000000001</v>
      </c>
      <c r="N123" s="117">
        <f>102*1.67</f>
        <v>170.34</v>
      </c>
      <c r="O123" s="117">
        <f>73.4*1.67</f>
        <v>122.578</v>
      </c>
      <c r="P123" s="117">
        <f>73.4*1.67</f>
        <v>122.578</v>
      </c>
      <c r="Q123" s="117">
        <v>126</v>
      </c>
      <c r="R123" s="117">
        <f>52.3*1.67</f>
        <v>87.340999999999994</v>
      </c>
      <c r="S123" s="117">
        <f>1.64*88.6</f>
        <v>145.30399999999997</v>
      </c>
      <c r="T123" s="117">
        <f>1.64*88.6</f>
        <v>145.30399999999997</v>
      </c>
      <c r="U123" s="117">
        <f>97.3*1.6</f>
        <v>155.68</v>
      </c>
      <c r="V123" s="117">
        <f>66.4*1.6</f>
        <v>106.24000000000001</v>
      </c>
      <c r="W123" s="117">
        <f>86.1*1.6</f>
        <v>137.76</v>
      </c>
      <c r="X123" s="117">
        <f>87.4*1.6</f>
        <v>139.84</v>
      </c>
      <c r="Y123" s="117">
        <v>160.96</v>
      </c>
      <c r="Z123" s="117">
        <f>1.64*96.5</f>
        <v>158.26</v>
      </c>
      <c r="AA123" s="117">
        <f>89.4*1.6</f>
        <v>143.04000000000002</v>
      </c>
      <c r="AB123" s="117">
        <f>77.4*1.64</f>
        <v>126.93600000000001</v>
      </c>
      <c r="AC123" s="117">
        <f>66*1.64</f>
        <v>108.24</v>
      </c>
      <c r="AD123" s="117">
        <f>76*1.5</f>
        <v>114</v>
      </c>
      <c r="AE123" s="117">
        <f>56.9*1.6</f>
        <v>91.04</v>
      </c>
      <c r="AF123" s="117">
        <f>58.4*1.6</f>
        <v>93.44</v>
      </c>
      <c r="AG123" s="118">
        <v>120</v>
      </c>
      <c r="AH123" s="47">
        <f t="shared" si="21"/>
        <v>171.00800000000001</v>
      </c>
      <c r="AI123" s="48">
        <f t="shared" si="22"/>
        <v>87.340999999999994</v>
      </c>
    </row>
    <row r="124" spans="1:35" x14ac:dyDescent="0.25">
      <c r="A124" s="173" t="s">
        <v>259</v>
      </c>
      <c r="B124" s="117">
        <v>82.7</v>
      </c>
      <c r="C124" s="117">
        <v>80.7</v>
      </c>
      <c r="D124" s="117">
        <v>74.599999999999994</v>
      </c>
      <c r="E124" s="117">
        <v>87.8</v>
      </c>
      <c r="F124" s="117">
        <v>85.4</v>
      </c>
      <c r="G124" s="117">
        <v>75.3</v>
      </c>
      <c r="H124" s="117">
        <v>82.5</v>
      </c>
      <c r="I124" s="117">
        <v>83.3</v>
      </c>
      <c r="J124" s="117">
        <v>95</v>
      </c>
      <c r="K124" s="117">
        <v>96.8</v>
      </c>
      <c r="L124" s="117">
        <v>96.8</v>
      </c>
      <c r="M124" s="117">
        <v>112</v>
      </c>
      <c r="N124" s="117">
        <v>110.3</v>
      </c>
      <c r="O124" s="117">
        <v>86.5</v>
      </c>
      <c r="P124" s="117">
        <v>86.5</v>
      </c>
      <c r="Q124" s="117">
        <v>90.2</v>
      </c>
      <c r="R124" s="117">
        <v>82</v>
      </c>
      <c r="S124" s="117">
        <v>100.3</v>
      </c>
      <c r="T124" s="117">
        <v>100.3</v>
      </c>
      <c r="U124" s="117">
        <v>107</v>
      </c>
      <c r="V124" s="117">
        <v>83</v>
      </c>
      <c r="W124" s="117">
        <v>100</v>
      </c>
      <c r="X124" s="117">
        <v>99</v>
      </c>
      <c r="Y124" s="117">
        <v>110</v>
      </c>
      <c r="Z124" s="117">
        <v>105.3</v>
      </c>
      <c r="AA124" s="117">
        <v>101</v>
      </c>
      <c r="AB124" s="117">
        <v>90.3</v>
      </c>
      <c r="AC124" s="117">
        <v>81.599999999999994</v>
      </c>
      <c r="AD124" s="117">
        <v>90.9</v>
      </c>
      <c r="AE124" s="117">
        <v>74.5</v>
      </c>
      <c r="AF124" s="117">
        <v>77.2</v>
      </c>
      <c r="AG124" s="118"/>
      <c r="AH124" s="47"/>
      <c r="AI124" s="48"/>
    </row>
    <row r="125" spans="1:35" x14ac:dyDescent="0.25">
      <c r="A125" s="173" t="s">
        <v>256</v>
      </c>
      <c r="B125" s="117">
        <v>62.4</v>
      </c>
      <c r="C125" s="117">
        <v>69.2</v>
      </c>
      <c r="D125" s="117">
        <v>63.9</v>
      </c>
      <c r="E125" s="117">
        <v>81</v>
      </c>
      <c r="F125" s="117">
        <v>78.7</v>
      </c>
      <c r="G125" s="117">
        <v>44.8</v>
      </c>
      <c r="H125" s="117">
        <v>40.700000000000003</v>
      </c>
      <c r="I125" s="117">
        <v>15.9</v>
      </c>
      <c r="J125" s="117">
        <v>9.9</v>
      </c>
      <c r="K125" s="117">
        <v>-22.8</v>
      </c>
      <c r="L125" s="117">
        <v>-22.8</v>
      </c>
      <c r="M125" s="117">
        <v>-25.9</v>
      </c>
      <c r="N125" s="117">
        <v>-11.5</v>
      </c>
      <c r="O125" s="117">
        <v>-37.6</v>
      </c>
      <c r="P125" s="117">
        <v>-37.6</v>
      </c>
      <c r="Q125" s="117">
        <v>9.3000000000000007</v>
      </c>
      <c r="R125" s="117">
        <v>4.0999999999999996</v>
      </c>
      <c r="S125" s="117">
        <v>31.9</v>
      </c>
      <c r="T125" s="117">
        <v>31.9</v>
      </c>
      <c r="U125" s="117">
        <v>29.2</v>
      </c>
      <c r="V125" s="117">
        <v>-37</v>
      </c>
      <c r="W125" s="117">
        <v>-30</v>
      </c>
      <c r="X125" s="117">
        <v>-62.5</v>
      </c>
      <c r="Y125" s="117">
        <v>-65</v>
      </c>
      <c r="Z125" s="117">
        <v>-68.900000000000006</v>
      </c>
      <c r="AA125" s="117">
        <v>-74</v>
      </c>
      <c r="AB125" s="117">
        <v>-66.599999999999994</v>
      </c>
      <c r="AC125" s="117">
        <v>-71.099999999999994</v>
      </c>
      <c r="AD125" s="117">
        <v>-39.299999999999997</v>
      </c>
      <c r="AE125" s="117">
        <v>-10.199999999999999</v>
      </c>
      <c r="AF125" s="117">
        <v>45.9</v>
      </c>
      <c r="AG125" s="118"/>
      <c r="AH125" s="47"/>
      <c r="AI125" s="48"/>
    </row>
    <row r="126" spans="1:35" ht="15.75" thickBot="1" x14ac:dyDescent="0.3">
      <c r="A126" s="173" t="s">
        <v>255</v>
      </c>
      <c r="B126" s="117">
        <v>93.6</v>
      </c>
      <c r="C126" s="117">
        <v>96.3</v>
      </c>
      <c r="D126" s="117">
        <v>62.2</v>
      </c>
      <c r="E126" s="117">
        <v>105.8</v>
      </c>
      <c r="F126" s="117">
        <v>101</v>
      </c>
      <c r="G126" s="117">
        <v>94.1</v>
      </c>
      <c r="H126" s="117">
        <v>96.7</v>
      </c>
      <c r="I126" s="117">
        <v>97.7</v>
      </c>
      <c r="J126" s="117">
        <v>102</v>
      </c>
      <c r="K126" s="117">
        <v>91.4</v>
      </c>
      <c r="L126" s="117">
        <v>91.4</v>
      </c>
      <c r="M126" s="117">
        <v>90.4</v>
      </c>
      <c r="N126" s="117">
        <v>94.9</v>
      </c>
      <c r="O126" s="117">
        <v>71.099999999999994</v>
      </c>
      <c r="P126" s="117">
        <v>71.099999999999994</v>
      </c>
      <c r="Q126" s="117">
        <v>97.2</v>
      </c>
      <c r="R126" s="117">
        <v>70.8</v>
      </c>
      <c r="S126" s="117">
        <v>90.4</v>
      </c>
      <c r="T126" s="117">
        <v>90.4</v>
      </c>
      <c r="U126" s="117">
        <v>103</v>
      </c>
      <c r="V126" s="117">
        <v>67</v>
      </c>
      <c r="W126" s="117">
        <v>91</v>
      </c>
      <c r="X126" s="117">
        <v>79</v>
      </c>
      <c r="Y126" s="117">
        <v>93</v>
      </c>
      <c r="Z126" s="117">
        <v>88.2</v>
      </c>
      <c r="AA126" s="117">
        <v>87</v>
      </c>
      <c r="AB126" s="117">
        <v>78.599999999999994</v>
      </c>
      <c r="AC126" s="117">
        <v>72.8</v>
      </c>
      <c r="AD126" s="117">
        <v>33.799999999999997</v>
      </c>
      <c r="AE126" s="117">
        <v>98.9</v>
      </c>
      <c r="AF126" s="117">
        <v>93</v>
      </c>
      <c r="AG126" s="114"/>
      <c r="AH126" s="47">
        <f t="shared" si="21"/>
        <v>105.8</v>
      </c>
      <c r="AI126" s="48">
        <f t="shared" si="22"/>
        <v>33.799999999999997</v>
      </c>
    </row>
    <row r="127" spans="1:35" x14ac:dyDescent="0.25">
      <c r="A127" s="172" t="s">
        <v>257</v>
      </c>
      <c r="B127" s="117">
        <v>26.9</v>
      </c>
      <c r="C127" s="117">
        <v>29.6</v>
      </c>
      <c r="D127" s="117">
        <v>23.4</v>
      </c>
      <c r="E127" s="117">
        <v>44.8</v>
      </c>
      <c r="F127" s="117">
        <v>44.4</v>
      </c>
      <c r="G127" s="117">
        <v>19.7</v>
      </c>
      <c r="H127" s="117">
        <v>17.8</v>
      </c>
      <c r="I127" s="117">
        <v>1.1000000000000001</v>
      </c>
      <c r="J127" s="117">
        <v>-4</v>
      </c>
      <c r="K127" s="117">
        <v>-7.2</v>
      </c>
      <c r="L127" s="117">
        <v>-7.2</v>
      </c>
      <c r="M127" s="117">
        <v>0</v>
      </c>
      <c r="N127" s="117">
        <v>14.6</v>
      </c>
      <c r="O127" s="117">
        <v>9.1999999999999993</v>
      </c>
      <c r="P127" s="117">
        <v>9.1999999999999993</v>
      </c>
      <c r="Q127" s="117">
        <v>11.3</v>
      </c>
      <c r="R127" s="117">
        <v>38.200000000000003</v>
      </c>
      <c r="S127" s="117">
        <v>35.1</v>
      </c>
      <c r="T127" s="117">
        <v>35.1</v>
      </c>
      <c r="U127" s="117">
        <v>49.1</v>
      </c>
      <c r="V127" s="117">
        <v>22.1</v>
      </c>
      <c r="W127" s="117">
        <v>23.1</v>
      </c>
      <c r="X127" s="117">
        <v>7.1</v>
      </c>
      <c r="Y127" s="117">
        <v>16.399999999999999</v>
      </c>
      <c r="Z127" s="117">
        <v>16.899999999999999</v>
      </c>
      <c r="AA127" s="117">
        <v>14.2</v>
      </c>
      <c r="AB127" s="117">
        <v>8.3000000000000007</v>
      </c>
      <c r="AC127" s="117">
        <v>6.7</v>
      </c>
      <c r="AD127" s="117">
        <v>33</v>
      </c>
      <c r="AE127" s="117">
        <v>25</v>
      </c>
      <c r="AF127" s="106">
        <v>42.3</v>
      </c>
      <c r="AG127" s="114"/>
      <c r="AH127" s="47">
        <f t="shared" si="21"/>
        <v>49.1</v>
      </c>
      <c r="AI127" s="48">
        <f t="shared" si="22"/>
        <v>-7.2</v>
      </c>
    </row>
    <row r="128" spans="1:35" x14ac:dyDescent="0.25">
      <c r="A128" s="173" t="s">
        <v>124</v>
      </c>
      <c r="B128" s="106">
        <v>0.3</v>
      </c>
      <c r="C128" s="106">
        <v>2.5</v>
      </c>
      <c r="D128" s="106">
        <v>4.0999999999999996</v>
      </c>
      <c r="E128" s="106">
        <v>2.6</v>
      </c>
      <c r="F128" s="106">
        <v>3.2</v>
      </c>
      <c r="G128" s="106">
        <v>0.5</v>
      </c>
      <c r="H128" s="106">
        <v>-1.8</v>
      </c>
      <c r="I128" s="106">
        <v>-12.8</v>
      </c>
      <c r="J128" s="106">
        <v>-17.8</v>
      </c>
      <c r="K128" s="106">
        <v>-27</v>
      </c>
      <c r="L128" s="106">
        <v>-27</v>
      </c>
      <c r="M128" s="106">
        <v>-37.4</v>
      </c>
      <c r="N128" s="106">
        <v>-32.4</v>
      </c>
      <c r="O128" s="106">
        <v>-28.7</v>
      </c>
      <c r="P128" s="106">
        <v>-28.7</v>
      </c>
      <c r="Q128" s="106">
        <v>-19.600000000000001</v>
      </c>
      <c r="R128" s="106">
        <v>-14.1</v>
      </c>
      <c r="S128" s="106">
        <v>-15.3</v>
      </c>
      <c r="T128" s="106">
        <v>-15.3</v>
      </c>
      <c r="U128" s="106">
        <v>-18</v>
      </c>
      <c r="V128" s="106">
        <v>-32</v>
      </c>
      <c r="W128" s="106">
        <v>-40</v>
      </c>
      <c r="X128" s="106">
        <v>-53</v>
      </c>
      <c r="Y128" s="106">
        <v>-46.1</v>
      </c>
      <c r="Z128" s="106">
        <v>-44.8</v>
      </c>
      <c r="AA128" s="106">
        <v>-38</v>
      </c>
      <c r="AB128" s="106">
        <v>-32.4</v>
      </c>
      <c r="AC128" s="106">
        <v>-29</v>
      </c>
      <c r="AD128" s="106">
        <v>-22.7</v>
      </c>
      <c r="AE128" s="106">
        <v>-10.1</v>
      </c>
      <c r="AF128" s="106">
        <v>-3</v>
      </c>
      <c r="AG128" s="114"/>
      <c r="AH128" s="47">
        <f t="shared" si="21"/>
        <v>4.0999999999999996</v>
      </c>
      <c r="AI128" s="48">
        <f t="shared" si="22"/>
        <v>-53</v>
      </c>
    </row>
    <row r="129" spans="1:37" x14ac:dyDescent="0.25">
      <c r="A129" s="173" t="s">
        <v>261</v>
      </c>
      <c r="B129" s="106">
        <v>22.2</v>
      </c>
      <c r="C129" s="106">
        <v>21.5</v>
      </c>
      <c r="D129" s="106">
        <v>21.7</v>
      </c>
      <c r="E129" s="106">
        <v>21.6</v>
      </c>
      <c r="F129" s="106">
        <v>21.8</v>
      </c>
      <c r="G129" s="106">
        <v>22.8</v>
      </c>
      <c r="H129" s="106">
        <v>24</v>
      </c>
      <c r="I129" s="106">
        <v>24.5</v>
      </c>
      <c r="J129" s="106">
        <v>25.9</v>
      </c>
      <c r="K129" s="106">
        <v>12.9</v>
      </c>
      <c r="L129" s="106">
        <v>12.9</v>
      </c>
      <c r="M129" s="106">
        <v>12.3</v>
      </c>
      <c r="N129" s="106">
        <v>12.2</v>
      </c>
      <c r="O129" s="106">
        <v>11.8</v>
      </c>
      <c r="P129" s="106">
        <v>11.8</v>
      </c>
      <c r="Q129" s="106">
        <v>23.5</v>
      </c>
      <c r="R129" s="106">
        <v>25.5</v>
      </c>
      <c r="S129" s="106">
        <v>26.4</v>
      </c>
      <c r="T129" s="106">
        <v>26.4</v>
      </c>
      <c r="U129" s="106">
        <v>14.2</v>
      </c>
      <c r="V129" s="106">
        <v>9.4</v>
      </c>
      <c r="W129" s="106">
        <v>10</v>
      </c>
      <c r="X129" s="106">
        <v>11</v>
      </c>
      <c r="Y129" s="106">
        <v>11.6</v>
      </c>
      <c r="Z129" s="106">
        <v>11.3</v>
      </c>
      <c r="AA129" s="106">
        <v>11</v>
      </c>
      <c r="AB129" s="106">
        <v>10.3</v>
      </c>
      <c r="AC129" s="106">
        <v>10.1</v>
      </c>
      <c r="AD129" s="106">
        <v>8.4</v>
      </c>
      <c r="AE129" s="106">
        <v>21.4</v>
      </c>
      <c r="AF129" s="106">
        <v>22.6</v>
      </c>
      <c r="AG129" s="114"/>
      <c r="AH129" s="47">
        <f t="shared" si="21"/>
        <v>26.4</v>
      </c>
      <c r="AI129" s="48">
        <f t="shared" si="22"/>
        <v>8.4</v>
      </c>
    </row>
    <row r="130" spans="1:37" ht="15.75" thickBot="1" x14ac:dyDescent="0.3">
      <c r="A130" s="173" t="s">
        <v>258</v>
      </c>
      <c r="B130" s="106">
        <v>89.2</v>
      </c>
      <c r="C130" s="106">
        <v>80.099999999999994</v>
      </c>
      <c r="D130" s="106">
        <v>71</v>
      </c>
      <c r="E130" s="106">
        <v>80.5</v>
      </c>
      <c r="F130" s="106">
        <v>74.7</v>
      </c>
      <c r="G130" s="106">
        <v>79.8</v>
      </c>
      <c r="H130" s="106">
        <v>87.1</v>
      </c>
      <c r="I130" s="106">
        <v>84.7</v>
      </c>
      <c r="J130" s="106">
        <v>96.5</v>
      </c>
      <c r="K130" s="106">
        <v>92.8</v>
      </c>
      <c r="L130" s="106">
        <v>92.8</v>
      </c>
      <c r="M130" s="106">
        <v>86.2</v>
      </c>
      <c r="N130" s="106">
        <v>82.2</v>
      </c>
      <c r="O130" s="106">
        <v>75</v>
      </c>
      <c r="P130" s="106">
        <v>75</v>
      </c>
      <c r="Q130" s="106">
        <v>113.2</v>
      </c>
      <c r="R130" s="106">
        <v>108.9</v>
      </c>
      <c r="S130" s="106">
        <v>104</v>
      </c>
      <c r="T130" s="106">
        <v>104</v>
      </c>
      <c r="U130" s="106">
        <v>99</v>
      </c>
      <c r="V130" s="106">
        <v>103</v>
      </c>
      <c r="W130" s="106">
        <v>86.4</v>
      </c>
      <c r="X130" s="106">
        <v>107</v>
      </c>
      <c r="Y130" s="106">
        <v>103.1</v>
      </c>
      <c r="Z130" s="106">
        <v>98.5</v>
      </c>
      <c r="AA130" s="106">
        <v>98</v>
      </c>
      <c r="AB130" s="106">
        <v>90.6</v>
      </c>
      <c r="AC130" s="106">
        <v>82.6</v>
      </c>
      <c r="AD130" s="106">
        <v>75.599999999999994</v>
      </c>
      <c r="AE130" s="106">
        <v>98.4</v>
      </c>
      <c r="AF130" s="106">
        <v>92.5</v>
      </c>
      <c r="AG130" s="114"/>
      <c r="AH130" s="47">
        <f t="shared" si="21"/>
        <v>113.2</v>
      </c>
      <c r="AI130" s="48">
        <f t="shared" si="22"/>
        <v>71</v>
      </c>
    </row>
    <row r="131" spans="1:37" x14ac:dyDescent="0.25">
      <c r="A131" s="144" t="s">
        <v>238</v>
      </c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6"/>
      <c r="AG131" s="43"/>
      <c r="AH131" s="47"/>
      <c r="AI131" s="48"/>
    </row>
    <row r="132" spans="1:37" x14ac:dyDescent="0.25">
      <c r="A132" s="189" t="s">
        <v>368</v>
      </c>
      <c r="B132" s="147">
        <v>1983.75</v>
      </c>
      <c r="C132" s="147">
        <v>1984.08</v>
      </c>
      <c r="D132" s="147">
        <v>1984.32</v>
      </c>
      <c r="E132" s="147">
        <v>1984.58</v>
      </c>
      <c r="F132" s="147">
        <v>1984.85</v>
      </c>
      <c r="G132" s="147">
        <v>1985.1</v>
      </c>
      <c r="H132" s="147"/>
      <c r="I132" s="147">
        <v>1985.35</v>
      </c>
      <c r="J132" s="147"/>
      <c r="K132" s="147">
        <v>1985.18</v>
      </c>
      <c r="L132" s="147"/>
      <c r="M132" s="147">
        <v>1984.2</v>
      </c>
      <c r="N132" s="147">
        <v>1983.5</v>
      </c>
      <c r="O132" s="147">
        <v>1982.5</v>
      </c>
      <c r="P132" s="147">
        <v>1982.54</v>
      </c>
      <c r="Q132" s="147">
        <v>1982.34</v>
      </c>
      <c r="R132" s="147">
        <v>1982.8</v>
      </c>
      <c r="S132" s="147">
        <v>1983.12</v>
      </c>
      <c r="T132" s="147">
        <v>1983.42</v>
      </c>
      <c r="U132" s="147">
        <v>1983.7</v>
      </c>
      <c r="V132" s="147">
        <v>1983.9</v>
      </c>
      <c r="W132" s="147">
        <v>1983.8</v>
      </c>
      <c r="X132" s="147">
        <v>1983.5</v>
      </c>
      <c r="Y132" s="147"/>
      <c r="Z132" s="147">
        <v>1982.6</v>
      </c>
      <c r="AA132" s="147"/>
      <c r="AB132" s="147">
        <v>1982.52</v>
      </c>
      <c r="AC132" s="147"/>
      <c r="AD132" s="147">
        <v>1982.67</v>
      </c>
      <c r="AE132" s="147">
        <v>1982.87</v>
      </c>
      <c r="AF132" s="148">
        <v>1983.12</v>
      </c>
      <c r="AG132" s="149"/>
      <c r="AH132" s="47"/>
      <c r="AI132" s="48"/>
    </row>
    <row r="133" spans="1:37" x14ac:dyDescent="0.25">
      <c r="A133" s="189" t="s">
        <v>239</v>
      </c>
      <c r="B133" s="150">
        <v>519.86</v>
      </c>
      <c r="C133" s="150">
        <v>520.25</v>
      </c>
      <c r="D133" s="150">
        <v>520.74</v>
      </c>
      <c r="E133" s="150">
        <v>521.1</v>
      </c>
      <c r="F133" s="150">
        <v>521.5</v>
      </c>
      <c r="G133" s="150">
        <v>521.82000000000005</v>
      </c>
      <c r="H133" s="150"/>
      <c r="I133" s="150">
        <v>521.84</v>
      </c>
      <c r="J133" s="150"/>
      <c r="K133" s="150">
        <v>521.42999999999995</v>
      </c>
      <c r="L133" s="150"/>
      <c r="M133" s="150">
        <v>520.9</v>
      </c>
      <c r="N133" s="150">
        <v>520.46</v>
      </c>
      <c r="O133" s="150">
        <v>520.26</v>
      </c>
      <c r="P133" s="150">
        <v>519.9</v>
      </c>
      <c r="Q133" s="150">
        <v>519.9</v>
      </c>
      <c r="R133" s="150">
        <v>519.80999999999995</v>
      </c>
      <c r="S133" s="150">
        <v>520.04</v>
      </c>
      <c r="T133" s="150">
        <v>520.29999999999995</v>
      </c>
      <c r="U133" s="150">
        <v>520.73</v>
      </c>
      <c r="V133" s="147">
        <v>520.94000000000005</v>
      </c>
      <c r="W133" s="150"/>
      <c r="X133" s="150">
        <v>520.96</v>
      </c>
      <c r="Y133" s="150"/>
      <c r="Z133" s="150">
        <v>520.44000000000005</v>
      </c>
      <c r="AA133" s="150"/>
      <c r="AB133" s="150">
        <v>519.78</v>
      </c>
      <c r="AC133" s="150"/>
      <c r="AD133" s="150">
        <v>519.33000000000004</v>
      </c>
      <c r="AE133" s="150">
        <v>519.20000000000005</v>
      </c>
      <c r="AF133" s="151">
        <v>519.30999999999995</v>
      </c>
      <c r="AG133" s="149"/>
      <c r="AH133" s="47"/>
      <c r="AI133" s="48"/>
    </row>
    <row r="134" spans="1:37" x14ac:dyDescent="0.25">
      <c r="A134" s="189" t="s">
        <v>240</v>
      </c>
      <c r="B134" s="150">
        <v>622.29</v>
      </c>
      <c r="C134" s="150">
        <v>622.76</v>
      </c>
      <c r="D134" s="150">
        <v>623.5</v>
      </c>
      <c r="E134" s="150">
        <v>623.80999999999995</v>
      </c>
      <c r="F134" s="150">
        <v>624.23</v>
      </c>
      <c r="G134" s="150">
        <v>624.37</v>
      </c>
      <c r="H134" s="150"/>
      <c r="I134" s="150">
        <v>624.36</v>
      </c>
      <c r="J134" s="150"/>
      <c r="K134" s="150">
        <v>623.97</v>
      </c>
      <c r="L134" s="150"/>
      <c r="M134" s="150">
        <v>623.4</v>
      </c>
      <c r="N134" s="150">
        <v>623</v>
      </c>
      <c r="O134" s="150">
        <v>622.58000000000004</v>
      </c>
      <c r="P134" s="150">
        <v>621.85</v>
      </c>
      <c r="Q134" s="150">
        <v>621.9</v>
      </c>
      <c r="R134" s="150">
        <v>622.05999999999995</v>
      </c>
      <c r="S134" s="150">
        <v>622.70000000000005</v>
      </c>
      <c r="T134" s="150">
        <v>623.09</v>
      </c>
      <c r="U134" s="150">
        <v>623.5</v>
      </c>
      <c r="V134" s="150">
        <v>623.75</v>
      </c>
      <c r="W134" s="150">
        <v>623.64</v>
      </c>
      <c r="X134" s="150">
        <v>623.64</v>
      </c>
      <c r="Y134" s="150"/>
      <c r="Z134" s="150">
        <v>622.98</v>
      </c>
      <c r="AA134" s="150"/>
      <c r="AB134" s="150">
        <v>622.24</v>
      </c>
      <c r="AC134" s="150"/>
      <c r="AD134" s="150">
        <v>621.66</v>
      </c>
      <c r="AE134" s="150">
        <v>621.5</v>
      </c>
      <c r="AF134" s="151">
        <v>621.55999999999995</v>
      </c>
      <c r="AG134" s="149"/>
      <c r="AH134" s="47"/>
      <c r="AI134" s="48"/>
    </row>
    <row r="135" spans="1:37" x14ac:dyDescent="0.25">
      <c r="A135" s="189" t="s">
        <v>241</v>
      </c>
      <c r="B135" s="150">
        <v>334.89</v>
      </c>
      <c r="C135" s="150">
        <v>335.49</v>
      </c>
      <c r="D135" s="150">
        <v>335.94</v>
      </c>
      <c r="E135" s="150">
        <v>336.4</v>
      </c>
      <c r="F135" s="150">
        <v>336.65</v>
      </c>
      <c r="G135" s="150">
        <v>336.77</v>
      </c>
      <c r="H135" s="150"/>
      <c r="I135" s="150">
        <v>336.83</v>
      </c>
      <c r="J135" s="150"/>
      <c r="K135" s="150">
        <v>336.67</v>
      </c>
      <c r="L135" s="150"/>
      <c r="M135" s="150">
        <v>336.34</v>
      </c>
      <c r="N135" s="150">
        <v>336.14</v>
      </c>
      <c r="O135" s="150">
        <v>335.87</v>
      </c>
      <c r="P135" s="150">
        <v>335.05</v>
      </c>
      <c r="Q135" s="150">
        <v>335.05</v>
      </c>
      <c r="R135" s="150">
        <v>335.28</v>
      </c>
      <c r="S135" s="150">
        <v>335.63</v>
      </c>
      <c r="T135" s="150">
        <v>336.14</v>
      </c>
      <c r="U135" s="150">
        <v>336.38</v>
      </c>
      <c r="V135" s="150">
        <v>336.46</v>
      </c>
      <c r="W135" s="150">
        <v>336.41</v>
      </c>
      <c r="X135" s="150">
        <v>336.33</v>
      </c>
      <c r="Y135" s="150"/>
      <c r="Z135" s="150">
        <v>335.99</v>
      </c>
      <c r="AA135" s="150"/>
      <c r="AB135" s="150">
        <v>335.55</v>
      </c>
      <c r="AC135" s="150"/>
      <c r="AD135" s="150">
        <v>335.06</v>
      </c>
      <c r="AE135" s="150">
        <v>334.49</v>
      </c>
      <c r="AF135" s="151">
        <v>334.02</v>
      </c>
      <c r="AG135" s="149"/>
      <c r="AH135" s="47"/>
      <c r="AI135" s="48"/>
    </row>
    <row r="136" spans="1:37" x14ac:dyDescent="0.25">
      <c r="A136" s="189" t="s">
        <v>407</v>
      </c>
      <c r="B136" s="150">
        <v>883.9</v>
      </c>
      <c r="C136" s="150">
        <v>884.7</v>
      </c>
      <c r="D136" s="150">
        <v>885.5</v>
      </c>
      <c r="E136" s="150">
        <v>885.9</v>
      </c>
      <c r="F136" s="150">
        <v>886.5</v>
      </c>
      <c r="G136" s="150">
        <v>886.6</v>
      </c>
      <c r="H136" s="150"/>
      <c r="I136" s="150">
        <v>886.4</v>
      </c>
      <c r="J136" s="150"/>
      <c r="K136" s="150">
        <v>885.2</v>
      </c>
      <c r="L136" s="150"/>
      <c r="M136" s="150">
        <v>883.3</v>
      </c>
      <c r="N136" s="150">
        <v>883.1</v>
      </c>
      <c r="O136" s="150">
        <v>882.7</v>
      </c>
      <c r="P136" s="150">
        <v>882.6</v>
      </c>
      <c r="Q136" s="150">
        <v>882.6</v>
      </c>
      <c r="R136" s="150">
        <v>882.6</v>
      </c>
      <c r="S136" s="150">
        <v>883.7</v>
      </c>
      <c r="T136" s="150">
        <v>884.2</v>
      </c>
      <c r="U136" s="150">
        <v>884.9</v>
      </c>
      <c r="V136" s="150">
        <v>885.6</v>
      </c>
      <c r="W136" s="150">
        <v>885.8</v>
      </c>
      <c r="X136" s="150">
        <v>885.8</v>
      </c>
      <c r="Y136" s="150"/>
      <c r="Z136" s="150">
        <v>884.7</v>
      </c>
      <c r="AA136" s="150"/>
      <c r="AB136" s="150">
        <v>884</v>
      </c>
      <c r="AC136" s="150"/>
      <c r="AD136" s="150">
        <v>883.6</v>
      </c>
      <c r="AE136" s="150">
        <v>883.6</v>
      </c>
      <c r="AF136" s="151">
        <v>883.5</v>
      </c>
      <c r="AG136" s="149"/>
      <c r="AH136" s="47"/>
      <c r="AI136" s="48"/>
    </row>
    <row r="137" spans="1:37" ht="15.75" thickBot="1" x14ac:dyDescent="0.3">
      <c r="A137" s="189" t="s">
        <v>242</v>
      </c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  <c r="AC137" s="152"/>
      <c r="AD137" s="152"/>
      <c r="AE137" s="152"/>
      <c r="AF137" s="153"/>
      <c r="AG137" s="149"/>
      <c r="AH137" s="47"/>
      <c r="AI137" s="48"/>
    </row>
    <row r="138" spans="1:37" ht="15.75" thickBot="1" x14ac:dyDescent="0.3">
      <c r="A138" s="120" t="s">
        <v>125</v>
      </c>
      <c r="B138" s="121"/>
      <c r="C138" s="121"/>
      <c r="D138" s="121"/>
      <c r="E138" s="121"/>
      <c r="F138" s="170" t="s">
        <v>254</v>
      </c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74"/>
      <c r="AH138" s="47"/>
      <c r="AI138" s="48"/>
      <c r="AK138" s="50"/>
    </row>
    <row r="139" spans="1:37" x14ac:dyDescent="0.25">
      <c r="A139" s="122" t="s">
        <v>126</v>
      </c>
      <c r="B139" s="123"/>
      <c r="C139" s="124"/>
      <c r="D139" s="124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5">
        <v>9.94</v>
      </c>
      <c r="AH139" s="47"/>
      <c r="AI139" s="48"/>
      <c r="AK139" s="50"/>
    </row>
    <row r="140" spans="1:37" x14ac:dyDescent="0.25">
      <c r="A140" s="103" t="s">
        <v>127</v>
      </c>
      <c r="B140" s="123"/>
      <c r="C140" s="124"/>
      <c r="D140" s="124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5"/>
      <c r="AH140" s="47"/>
      <c r="AI140" s="48"/>
      <c r="AK140" s="50"/>
    </row>
    <row r="141" spans="1:37" x14ac:dyDescent="0.25">
      <c r="A141" s="103" t="s">
        <v>128</v>
      </c>
      <c r="B141" s="123"/>
      <c r="C141" s="124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5"/>
      <c r="AH141" s="47"/>
      <c r="AI141" s="48"/>
      <c r="AK141" s="50"/>
    </row>
    <row r="142" spans="1:37" x14ac:dyDescent="0.25">
      <c r="A142" s="103" t="s">
        <v>129</v>
      </c>
      <c r="B142" s="123"/>
      <c r="C142" s="124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5"/>
      <c r="AH142" s="47"/>
      <c r="AI142" s="48"/>
      <c r="AK142" s="50"/>
    </row>
    <row r="143" spans="1:37" x14ac:dyDescent="0.25">
      <c r="A143" s="103" t="s">
        <v>130</v>
      </c>
      <c r="B143" s="123"/>
      <c r="C143" s="124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5"/>
      <c r="AH143" s="47"/>
      <c r="AI143" s="48"/>
      <c r="AK143" s="50"/>
    </row>
    <row r="144" spans="1:37" x14ac:dyDescent="0.25">
      <c r="A144" s="103" t="s">
        <v>131</v>
      </c>
      <c r="B144" s="123"/>
      <c r="C144" s="124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5"/>
      <c r="AH144" s="47"/>
      <c r="AI144" s="48"/>
      <c r="AK144" s="50"/>
    </row>
    <row r="145" spans="1:37" x14ac:dyDescent="0.25">
      <c r="A145" s="103" t="s">
        <v>132</v>
      </c>
      <c r="B145" s="123"/>
      <c r="C145" s="124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5"/>
      <c r="AH145" s="47"/>
      <c r="AI145" s="48"/>
      <c r="AK145" s="50"/>
    </row>
    <row r="146" spans="1:37" x14ac:dyDescent="0.25">
      <c r="A146" s="103" t="s">
        <v>133</v>
      </c>
      <c r="B146" s="123"/>
      <c r="C146" s="124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5"/>
      <c r="AH146" s="47"/>
      <c r="AI146" s="48"/>
      <c r="AK146" s="50"/>
    </row>
    <row r="147" spans="1:37" x14ac:dyDescent="0.25">
      <c r="A147" s="103" t="s">
        <v>134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5"/>
      <c r="AH147" s="47"/>
      <c r="AI147" s="48"/>
      <c r="AK147" s="50"/>
    </row>
    <row r="148" spans="1:37" x14ac:dyDescent="0.25">
      <c r="A148" s="103" t="s">
        <v>135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5"/>
      <c r="AH148" s="47"/>
      <c r="AI148" s="48"/>
      <c r="AK148" s="50"/>
    </row>
    <row r="149" spans="1:37" x14ac:dyDescent="0.25">
      <c r="A149" s="103" t="s">
        <v>136</v>
      </c>
      <c r="B149" s="123"/>
      <c r="C149" s="124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5"/>
      <c r="AH149" s="47"/>
      <c r="AI149" s="48"/>
      <c r="AK149" s="50"/>
    </row>
    <row r="150" spans="1:37" x14ac:dyDescent="0.25">
      <c r="A150" s="103" t="s">
        <v>137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5"/>
      <c r="AH150" s="47"/>
      <c r="AI150" s="48"/>
      <c r="AK150" s="50"/>
    </row>
    <row r="151" spans="1:37" x14ac:dyDescent="0.25">
      <c r="A151" s="103" t="s">
        <v>138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5"/>
      <c r="AH151" s="47"/>
      <c r="AI151" s="48"/>
      <c r="AK151" s="50"/>
    </row>
    <row r="152" spans="1:37" x14ac:dyDescent="0.25">
      <c r="A152" s="103" t="s">
        <v>139</v>
      </c>
      <c r="B152" s="123"/>
      <c r="C152" s="124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5"/>
      <c r="AH152" s="47"/>
      <c r="AI152" s="48"/>
      <c r="AK152" s="50"/>
    </row>
    <row r="153" spans="1:37" x14ac:dyDescent="0.25">
      <c r="A153" s="103" t="s">
        <v>140</v>
      </c>
      <c r="B153" s="123"/>
      <c r="C153" s="124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5"/>
      <c r="AH153" s="47"/>
      <c r="AI153" s="48"/>
      <c r="AK153" s="50"/>
    </row>
    <row r="154" spans="1:37" x14ac:dyDescent="0.25">
      <c r="A154" s="103" t="s">
        <v>141</v>
      </c>
      <c r="B154" s="123"/>
      <c r="C154" s="124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5"/>
      <c r="AH154" s="47"/>
      <c r="AI154" s="48"/>
      <c r="AK154" s="50"/>
    </row>
    <row r="155" spans="1:37" x14ac:dyDescent="0.25">
      <c r="A155" s="103" t="s">
        <v>142</v>
      </c>
      <c r="B155" s="126"/>
      <c r="C155" s="127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8">
        <v>9.9</v>
      </c>
      <c r="AH155" s="47"/>
      <c r="AI155" s="48"/>
      <c r="AK155" s="50"/>
    </row>
    <row r="156" spans="1:37" x14ac:dyDescent="0.25">
      <c r="A156" s="116" t="s">
        <v>143</v>
      </c>
      <c r="B156" s="126"/>
      <c r="C156" s="127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9">
        <v>9.6579999999999995</v>
      </c>
      <c r="AH156" s="47"/>
      <c r="AI156" s="48"/>
      <c r="AK156" s="50"/>
    </row>
    <row r="157" spans="1:37" x14ac:dyDescent="0.25">
      <c r="A157" s="116" t="s">
        <v>144</v>
      </c>
      <c r="B157" s="126"/>
      <c r="C157" s="127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9">
        <v>9.6</v>
      </c>
      <c r="AH157" s="47"/>
      <c r="AI157" s="48"/>
      <c r="AK157" s="50"/>
    </row>
    <row r="158" spans="1:37" x14ac:dyDescent="0.25">
      <c r="A158" s="116" t="s">
        <v>145</v>
      </c>
      <c r="B158" s="126"/>
      <c r="C158" s="127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9">
        <v>9.51</v>
      </c>
      <c r="AH158" s="47"/>
      <c r="AI158" s="48"/>
      <c r="AK158" s="50"/>
    </row>
    <row r="159" spans="1:37" x14ac:dyDescent="0.25">
      <c r="A159" s="116" t="s">
        <v>146</v>
      </c>
      <c r="B159" s="126"/>
      <c r="C159" s="127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9">
        <v>9.4</v>
      </c>
      <c r="AH159" s="47"/>
      <c r="AI159" s="48"/>
      <c r="AK159" s="50"/>
    </row>
    <row r="160" spans="1:37" x14ac:dyDescent="0.25">
      <c r="A160" s="116" t="s">
        <v>147</v>
      </c>
      <c r="B160" s="126"/>
      <c r="C160" s="127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9">
        <v>8.8000000000000007</v>
      </c>
      <c r="AH160" s="47"/>
      <c r="AI160" s="48"/>
      <c r="AK160" s="50"/>
    </row>
    <row r="161" spans="1:37" x14ac:dyDescent="0.25">
      <c r="A161" s="116" t="s">
        <v>148</v>
      </c>
      <c r="B161" s="126"/>
      <c r="C161" s="127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9">
        <v>8.5</v>
      </c>
      <c r="AH161" s="47"/>
      <c r="AI161" s="48"/>
      <c r="AK161" s="50"/>
    </row>
    <row r="162" spans="1:37" x14ac:dyDescent="0.25">
      <c r="A162" s="116" t="s">
        <v>149</v>
      </c>
      <c r="B162" s="126"/>
      <c r="C162" s="127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9">
        <v>8.5</v>
      </c>
      <c r="AH162" s="47"/>
      <c r="AI162" s="48"/>
      <c r="AK162" s="50"/>
    </row>
    <row r="163" spans="1:37" x14ac:dyDescent="0.25">
      <c r="A163" s="116" t="s">
        <v>150</v>
      </c>
      <c r="B163" s="126"/>
      <c r="C163" s="127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9">
        <v>8.4</v>
      </c>
      <c r="AH163" s="47"/>
      <c r="AI163" s="48"/>
      <c r="AK163" s="50"/>
    </row>
    <row r="164" spans="1:37" ht="13.5" customHeight="1" x14ac:dyDescent="0.25">
      <c r="A164" s="116" t="s">
        <v>151</v>
      </c>
      <c r="B164" s="126"/>
      <c r="C164" s="127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9">
        <v>8</v>
      </c>
      <c r="AH164" s="47"/>
      <c r="AI164" s="48"/>
      <c r="AK164" s="50"/>
    </row>
    <row r="165" spans="1:37" x14ac:dyDescent="0.25">
      <c r="A165" s="116" t="s">
        <v>152</v>
      </c>
      <c r="B165" s="126"/>
      <c r="C165" s="127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9">
        <v>8</v>
      </c>
      <c r="AH165" s="47"/>
      <c r="AI165" s="48"/>
      <c r="AK165" s="50"/>
    </row>
    <row r="166" spans="1:37" x14ac:dyDescent="0.25">
      <c r="A166" s="116" t="s">
        <v>153</v>
      </c>
      <c r="B166" s="126"/>
      <c r="C166" s="127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9">
        <v>8</v>
      </c>
      <c r="AH166" s="47"/>
      <c r="AI166" s="48"/>
      <c r="AK166" s="50"/>
    </row>
    <row r="167" spans="1:37" x14ac:dyDescent="0.25">
      <c r="A167" s="116" t="s">
        <v>154</v>
      </c>
      <c r="B167" s="126"/>
      <c r="C167" s="127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9">
        <v>7.8</v>
      </c>
      <c r="AH167" s="47"/>
      <c r="AI167" s="48"/>
      <c r="AK167" s="50"/>
    </row>
    <row r="168" spans="1:37" x14ac:dyDescent="0.25">
      <c r="A168" s="116" t="s">
        <v>155</v>
      </c>
      <c r="B168" s="126"/>
      <c r="C168" s="127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9">
        <v>7.6</v>
      </c>
      <c r="AH168" s="47"/>
      <c r="AI168" s="48"/>
      <c r="AK168" s="50"/>
    </row>
    <row r="169" spans="1:37" x14ac:dyDescent="0.25">
      <c r="A169" s="116" t="s">
        <v>156</v>
      </c>
      <c r="B169" s="126"/>
      <c r="C169" s="127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9">
        <v>7.5</v>
      </c>
      <c r="AH169" s="47"/>
      <c r="AI169" s="48"/>
      <c r="AK169" s="50"/>
    </row>
    <row r="170" spans="1:37" x14ac:dyDescent="0.25">
      <c r="A170" s="116" t="s">
        <v>157</v>
      </c>
      <c r="B170" s="126"/>
      <c r="C170" s="127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9">
        <v>7.5</v>
      </c>
      <c r="AH170" s="47"/>
      <c r="AI170" s="48"/>
      <c r="AK170" s="50"/>
    </row>
    <row r="171" spans="1:37" x14ac:dyDescent="0.25">
      <c r="A171" s="116" t="s">
        <v>158</v>
      </c>
      <c r="B171" s="126"/>
      <c r="C171" s="127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9">
        <v>7</v>
      </c>
      <c r="AH171" s="47"/>
      <c r="AI171" s="48"/>
      <c r="AK171" s="50"/>
    </row>
    <row r="172" spans="1:37" x14ac:dyDescent="0.25">
      <c r="A172" s="116" t="s">
        <v>159</v>
      </c>
      <c r="B172" s="126"/>
      <c r="C172" s="127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9">
        <v>7</v>
      </c>
      <c r="AH172" s="47"/>
      <c r="AI172" s="48"/>
      <c r="AK172" s="50"/>
    </row>
    <row r="173" spans="1:37" x14ac:dyDescent="0.25">
      <c r="A173" s="116" t="s">
        <v>160</v>
      </c>
      <c r="B173" s="126"/>
      <c r="C173" s="127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9">
        <v>7</v>
      </c>
      <c r="AH173" s="47"/>
      <c r="AI173" s="48"/>
      <c r="AK173" s="50"/>
    </row>
    <row r="174" spans="1:37" x14ac:dyDescent="0.25">
      <c r="A174" s="116" t="s">
        <v>161</v>
      </c>
      <c r="B174" s="126"/>
      <c r="C174" s="127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9">
        <v>7</v>
      </c>
      <c r="AH174" s="47"/>
      <c r="AI174" s="48"/>
      <c r="AK174" s="50"/>
    </row>
    <row r="175" spans="1:37" x14ac:dyDescent="0.25">
      <c r="A175" s="116" t="s">
        <v>162</v>
      </c>
      <c r="B175" s="126"/>
      <c r="C175" s="127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9">
        <v>6.6</v>
      </c>
      <c r="AH175" s="47"/>
      <c r="AI175" s="48"/>
      <c r="AK175" s="50"/>
    </row>
    <row r="176" spans="1:37" x14ac:dyDescent="0.25">
      <c r="A176" s="116" t="s">
        <v>163</v>
      </c>
      <c r="B176" s="126"/>
      <c r="C176" s="127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9">
        <v>6.6</v>
      </c>
      <c r="AH176" s="47"/>
      <c r="AI176" s="48"/>
      <c r="AK176" s="50"/>
    </row>
    <row r="177" spans="1:37" x14ac:dyDescent="0.25">
      <c r="A177" s="116" t="s">
        <v>164</v>
      </c>
      <c r="B177" s="126"/>
      <c r="C177" s="127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9">
        <v>6.4</v>
      </c>
      <c r="AH177" s="47"/>
      <c r="AI177" s="48"/>
      <c r="AK177" s="50"/>
    </row>
    <row r="178" spans="1:37" x14ac:dyDescent="0.25">
      <c r="A178" s="116" t="s">
        <v>165</v>
      </c>
      <c r="B178" s="126"/>
      <c r="C178" s="127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9">
        <v>6</v>
      </c>
      <c r="AH178" s="47"/>
      <c r="AI178" s="48"/>
      <c r="AK178" s="50"/>
    </row>
    <row r="179" spans="1:37" x14ac:dyDescent="0.25">
      <c r="A179" s="116" t="s">
        <v>166</v>
      </c>
      <c r="B179" s="126"/>
      <c r="C179" s="127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9">
        <v>5.0999999999999996</v>
      </c>
      <c r="AH179" s="47"/>
      <c r="AI179" s="48"/>
      <c r="AK179" s="50"/>
    </row>
    <row r="180" spans="1:37" x14ac:dyDescent="0.25">
      <c r="A180" s="116" t="s">
        <v>167</v>
      </c>
      <c r="B180" s="126"/>
      <c r="C180" s="127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9">
        <v>5</v>
      </c>
      <c r="AH180" s="47"/>
      <c r="AI180" s="48"/>
      <c r="AK180" s="50"/>
    </row>
    <row r="181" spans="1:37" x14ac:dyDescent="0.25">
      <c r="A181" s="103" t="s">
        <v>168</v>
      </c>
      <c r="B181" s="126"/>
      <c r="C181" s="127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8">
        <v>5</v>
      </c>
      <c r="AH181" s="47"/>
      <c r="AI181" s="48"/>
      <c r="AK181" s="50"/>
    </row>
    <row r="182" spans="1:37" x14ac:dyDescent="0.25">
      <c r="A182" s="116" t="s">
        <v>169</v>
      </c>
      <c r="B182" s="126"/>
      <c r="C182" s="127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9">
        <v>5</v>
      </c>
      <c r="AH182" s="47"/>
      <c r="AI182" s="48"/>
      <c r="AK182" s="50"/>
    </row>
    <row r="183" spans="1:37" x14ac:dyDescent="0.25">
      <c r="A183" s="116" t="s">
        <v>170</v>
      </c>
      <c r="B183" s="126"/>
      <c r="C183" s="127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9">
        <v>5</v>
      </c>
      <c r="AH183" s="47"/>
      <c r="AI183" s="48"/>
      <c r="AK183" s="50"/>
    </row>
    <row r="184" spans="1:37" x14ac:dyDescent="0.25">
      <c r="A184" s="116" t="s">
        <v>171</v>
      </c>
      <c r="B184" s="126"/>
      <c r="C184" s="127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9">
        <v>5</v>
      </c>
      <c r="AH184" s="47"/>
      <c r="AI184" s="48"/>
      <c r="AK184" s="50"/>
    </row>
    <row r="185" spans="1:37" x14ac:dyDescent="0.25">
      <c r="A185" s="116" t="s">
        <v>172</v>
      </c>
      <c r="B185" s="126"/>
      <c r="C185" s="127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9">
        <v>5</v>
      </c>
      <c r="AH185" s="47"/>
      <c r="AI185" s="48"/>
      <c r="AK185" s="50"/>
    </row>
    <row r="186" spans="1:37" x14ac:dyDescent="0.25">
      <c r="A186" s="116" t="s">
        <v>173</v>
      </c>
      <c r="B186" s="126"/>
      <c r="C186" s="127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9">
        <v>5</v>
      </c>
      <c r="AH186" s="47"/>
      <c r="AI186" s="48"/>
      <c r="AK186" s="50"/>
    </row>
    <row r="187" spans="1:37" x14ac:dyDescent="0.25">
      <c r="A187" s="116" t="s">
        <v>174</v>
      </c>
      <c r="B187" s="126"/>
      <c r="C187" s="127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9">
        <v>4.9930000000000003</v>
      </c>
      <c r="AH187" s="47"/>
      <c r="AI187" s="48"/>
      <c r="AK187" s="50"/>
    </row>
    <row r="188" spans="1:37" x14ac:dyDescent="0.25">
      <c r="A188" s="116" t="s">
        <v>175</v>
      </c>
      <c r="B188" s="126"/>
      <c r="C188" s="127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9">
        <v>4.9800000000000004</v>
      </c>
      <c r="AH188" s="47"/>
      <c r="AI188" s="48"/>
      <c r="AK188" s="50"/>
    </row>
    <row r="189" spans="1:37" x14ac:dyDescent="0.25">
      <c r="A189" s="116" t="s">
        <v>176</v>
      </c>
      <c r="B189" s="126"/>
      <c r="C189" s="127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9">
        <v>4.95</v>
      </c>
      <c r="AH189" s="47"/>
      <c r="AI189" s="48"/>
      <c r="AK189" s="50"/>
    </row>
    <row r="190" spans="1:37" x14ac:dyDescent="0.25">
      <c r="A190" s="116" t="s">
        <v>177</v>
      </c>
      <c r="B190" s="126"/>
      <c r="C190" s="127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9">
        <v>4.95</v>
      </c>
      <c r="AH190" s="47"/>
      <c r="AI190" s="48"/>
      <c r="AK190" s="50"/>
    </row>
    <row r="191" spans="1:37" x14ac:dyDescent="0.25">
      <c r="A191" s="116" t="s">
        <v>178</v>
      </c>
      <c r="B191" s="126"/>
      <c r="C191" s="127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9">
        <v>4.8</v>
      </c>
      <c r="AH191" s="47"/>
      <c r="AI191" s="48"/>
      <c r="AK191" s="50"/>
    </row>
    <row r="192" spans="1:37" x14ac:dyDescent="0.25">
      <c r="A192" s="116" t="s">
        <v>179</v>
      </c>
      <c r="B192" s="126"/>
      <c r="C192" s="127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9">
        <v>4.8</v>
      </c>
      <c r="AH192" s="47"/>
      <c r="AI192" s="48"/>
      <c r="AK192" s="50"/>
    </row>
    <row r="193" spans="1:37" x14ac:dyDescent="0.25">
      <c r="A193" s="116" t="s">
        <v>180</v>
      </c>
      <c r="B193" s="126"/>
      <c r="C193" s="127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9">
        <v>4.8</v>
      </c>
      <c r="AH193" s="47"/>
      <c r="AI193" s="48"/>
      <c r="AK193" s="50"/>
    </row>
    <row r="194" spans="1:37" x14ac:dyDescent="0.25">
      <c r="A194" s="116" t="s">
        <v>181</v>
      </c>
      <c r="B194" s="126"/>
      <c r="C194" s="127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9">
        <v>4.5</v>
      </c>
      <c r="AH194" s="47"/>
      <c r="AI194" s="48"/>
      <c r="AK194" s="50"/>
    </row>
    <row r="195" spans="1:37" x14ac:dyDescent="0.25">
      <c r="A195" s="116" t="s">
        <v>182</v>
      </c>
      <c r="B195" s="126"/>
      <c r="C195" s="127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9">
        <v>4.5</v>
      </c>
      <c r="AH195" s="47"/>
      <c r="AI195" s="48"/>
      <c r="AK195" s="50"/>
    </row>
    <row r="196" spans="1:37" x14ac:dyDescent="0.25">
      <c r="A196" s="116" t="s">
        <v>183</v>
      </c>
      <c r="B196" s="126"/>
      <c r="C196" s="127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9">
        <v>4.4550000000000001</v>
      </c>
      <c r="AH196" s="47"/>
      <c r="AI196" s="48"/>
      <c r="AK196" s="50"/>
    </row>
    <row r="197" spans="1:37" x14ac:dyDescent="0.25">
      <c r="A197" s="116" t="s">
        <v>184</v>
      </c>
      <c r="B197" s="126"/>
      <c r="C197" s="127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9">
        <v>4.41</v>
      </c>
      <c r="AH197" s="47"/>
      <c r="AI197" s="48"/>
      <c r="AK197" s="50"/>
    </row>
    <row r="198" spans="1:37" x14ac:dyDescent="0.25">
      <c r="A198" s="116" t="s">
        <v>185</v>
      </c>
      <c r="B198" s="126"/>
      <c r="C198" s="127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9">
        <v>4.4000000000000004</v>
      </c>
      <c r="AH198" s="47"/>
      <c r="AI198" s="48"/>
      <c r="AK198" s="50"/>
    </row>
    <row r="199" spans="1:37" x14ac:dyDescent="0.25">
      <c r="A199" s="116" t="s">
        <v>186</v>
      </c>
      <c r="B199" s="126"/>
      <c r="C199" s="127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9">
        <v>4.3600000000000003</v>
      </c>
      <c r="AH199" s="47"/>
      <c r="AI199" s="48"/>
      <c r="AK199" s="50"/>
    </row>
    <row r="200" spans="1:37" x14ac:dyDescent="0.25">
      <c r="A200" s="116" t="s">
        <v>187</v>
      </c>
      <c r="B200" s="126"/>
      <c r="C200" s="127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9">
        <v>4.2</v>
      </c>
      <c r="AH200" s="47"/>
      <c r="AI200" s="48"/>
      <c r="AK200" s="50"/>
    </row>
    <row r="201" spans="1:37" x14ac:dyDescent="0.25">
      <c r="A201" s="116" t="s">
        <v>188</v>
      </c>
      <c r="B201" s="126"/>
      <c r="C201" s="127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9">
        <v>4</v>
      </c>
      <c r="AH201" s="47"/>
      <c r="AI201" s="48"/>
      <c r="AK201" s="50"/>
    </row>
    <row r="202" spans="1:37" x14ac:dyDescent="0.25">
      <c r="A202" s="116" t="s">
        <v>189</v>
      </c>
      <c r="B202" s="126"/>
      <c r="C202" s="127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9">
        <v>4</v>
      </c>
      <c r="AH202" s="47"/>
      <c r="AI202" s="48"/>
      <c r="AK202" s="50"/>
    </row>
    <row r="203" spans="1:37" x14ac:dyDescent="0.25">
      <c r="A203" s="116" t="s">
        <v>190</v>
      </c>
      <c r="B203" s="126"/>
      <c r="C203" s="127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9">
        <v>4</v>
      </c>
      <c r="AH203" s="47"/>
      <c r="AI203" s="48"/>
      <c r="AK203" s="50"/>
    </row>
    <row r="204" spans="1:37" x14ac:dyDescent="0.25">
      <c r="A204" s="116" t="s">
        <v>191</v>
      </c>
      <c r="B204" s="126"/>
      <c r="C204" s="127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9">
        <v>4</v>
      </c>
      <c r="AH204" s="47"/>
      <c r="AI204" s="48"/>
      <c r="AK204" s="50"/>
    </row>
    <row r="205" spans="1:37" x14ac:dyDescent="0.25">
      <c r="A205" s="116" t="s">
        <v>192</v>
      </c>
      <c r="B205" s="126"/>
      <c r="C205" s="127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9">
        <v>4</v>
      </c>
      <c r="AH205" s="47"/>
      <c r="AI205" s="48"/>
      <c r="AK205" s="50"/>
    </row>
    <row r="206" spans="1:37" x14ac:dyDescent="0.25">
      <c r="A206" s="116" t="s">
        <v>193</v>
      </c>
      <c r="B206" s="126"/>
      <c r="C206" s="127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9">
        <v>4</v>
      </c>
      <c r="AH206" s="47"/>
      <c r="AI206" s="48"/>
      <c r="AK206" s="50"/>
    </row>
    <row r="207" spans="1:37" x14ac:dyDescent="0.25">
      <c r="A207" s="116" t="s">
        <v>194</v>
      </c>
      <c r="B207" s="126"/>
      <c r="C207" s="127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9">
        <v>4</v>
      </c>
      <c r="AH207" s="47"/>
      <c r="AI207" s="48"/>
      <c r="AK207" s="50"/>
    </row>
    <row r="208" spans="1:37" x14ac:dyDescent="0.25">
      <c r="A208" s="116" t="s">
        <v>195</v>
      </c>
      <c r="B208" s="126"/>
      <c r="C208" s="127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9">
        <v>4</v>
      </c>
      <c r="AH208" s="47"/>
      <c r="AI208" s="48"/>
      <c r="AK208" s="50"/>
    </row>
    <row r="209" spans="1:37" x14ac:dyDescent="0.25">
      <c r="A209" s="116" t="s">
        <v>196</v>
      </c>
      <c r="B209" s="126"/>
      <c r="C209" s="127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9">
        <v>3.75</v>
      </c>
      <c r="AH209" s="47"/>
      <c r="AI209" s="48"/>
      <c r="AK209" s="50"/>
    </row>
    <row r="210" spans="1:37" x14ac:dyDescent="0.25">
      <c r="A210" s="116" t="s">
        <v>197</v>
      </c>
      <c r="B210" s="126"/>
      <c r="C210" s="127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9">
        <v>3.52</v>
      </c>
      <c r="AH210" s="47"/>
      <c r="AI210" s="48"/>
      <c r="AK210" s="50"/>
    </row>
    <row r="211" spans="1:37" x14ac:dyDescent="0.25">
      <c r="A211" s="116" t="s">
        <v>198</v>
      </c>
      <c r="B211" s="126"/>
      <c r="C211" s="127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9">
        <v>3.33</v>
      </c>
      <c r="AH211" s="47"/>
      <c r="AI211" s="48"/>
      <c r="AK211" s="50"/>
    </row>
    <row r="212" spans="1:37" x14ac:dyDescent="0.25">
      <c r="A212" s="116" t="s">
        <v>199</v>
      </c>
      <c r="B212" s="126"/>
      <c r="C212" s="127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9">
        <v>3.2</v>
      </c>
      <c r="AH212" s="47"/>
      <c r="AI212" s="48"/>
      <c r="AK212" s="50"/>
    </row>
    <row r="213" spans="1:37" x14ac:dyDescent="0.25">
      <c r="A213" s="116" t="s">
        <v>200</v>
      </c>
      <c r="B213" s="126"/>
      <c r="C213" s="127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9">
        <v>3</v>
      </c>
      <c r="AH213" s="47"/>
      <c r="AI213" s="48"/>
      <c r="AK213" s="50"/>
    </row>
    <row r="214" spans="1:37" x14ac:dyDescent="0.25">
      <c r="A214" s="116" t="s">
        <v>201</v>
      </c>
      <c r="B214" s="126"/>
      <c r="C214" s="127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9">
        <v>3</v>
      </c>
      <c r="AH214" s="47"/>
      <c r="AI214" s="48"/>
      <c r="AK214" s="50"/>
    </row>
    <row r="215" spans="1:37" x14ac:dyDescent="0.25">
      <c r="A215" s="116" t="s">
        <v>202</v>
      </c>
      <c r="B215" s="126"/>
      <c r="C215" s="127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9">
        <v>3</v>
      </c>
      <c r="AH215" s="47"/>
      <c r="AI215" s="48"/>
      <c r="AK215" s="50"/>
    </row>
    <row r="216" spans="1:37" x14ac:dyDescent="0.25">
      <c r="A216" s="116" t="s">
        <v>203</v>
      </c>
      <c r="B216" s="126"/>
      <c r="C216" s="127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9">
        <v>3</v>
      </c>
      <c r="AH216" s="47"/>
      <c r="AI216" s="48"/>
      <c r="AK216" s="50"/>
    </row>
    <row r="217" spans="1:37" x14ac:dyDescent="0.25">
      <c r="A217" s="116" t="s">
        <v>204</v>
      </c>
      <c r="B217" s="126"/>
      <c r="C217" s="127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9">
        <v>3</v>
      </c>
      <c r="AH217" s="47"/>
      <c r="AI217" s="48"/>
      <c r="AK217" s="50"/>
    </row>
    <row r="218" spans="1:37" x14ac:dyDescent="0.25">
      <c r="A218" s="116" t="s">
        <v>205</v>
      </c>
      <c r="B218" s="126"/>
      <c r="C218" s="127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9">
        <v>3</v>
      </c>
      <c r="AH218" s="47"/>
      <c r="AI218" s="48"/>
      <c r="AK218" s="50"/>
    </row>
    <row r="219" spans="1:37" x14ac:dyDescent="0.25">
      <c r="A219" s="116" t="s">
        <v>206</v>
      </c>
      <c r="B219" s="126"/>
      <c r="C219" s="127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9">
        <v>3</v>
      </c>
      <c r="AH219" s="47"/>
      <c r="AI219" s="48"/>
      <c r="AK219" s="50"/>
    </row>
    <row r="220" spans="1:37" x14ac:dyDescent="0.25">
      <c r="A220" s="116" t="s">
        <v>207</v>
      </c>
      <c r="B220" s="126"/>
      <c r="C220" s="127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9">
        <v>3</v>
      </c>
      <c r="AH220" s="47"/>
      <c r="AI220" s="48"/>
      <c r="AK220" s="50"/>
    </row>
    <row r="221" spans="1:37" x14ac:dyDescent="0.25">
      <c r="A221" s="116" t="s">
        <v>208</v>
      </c>
      <c r="B221" s="126"/>
      <c r="C221" s="127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9">
        <v>2.83</v>
      </c>
      <c r="AH221" s="47"/>
      <c r="AI221" s="48"/>
      <c r="AK221" s="50"/>
    </row>
    <row r="222" spans="1:37" x14ac:dyDescent="0.25">
      <c r="A222" s="116" t="s">
        <v>209</v>
      </c>
      <c r="B222" s="126"/>
      <c r="C222" s="127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9">
        <v>2.5</v>
      </c>
      <c r="AH222" s="47"/>
      <c r="AI222" s="48"/>
      <c r="AK222" s="50"/>
    </row>
    <row r="223" spans="1:37" x14ac:dyDescent="0.25">
      <c r="A223" s="116" t="s">
        <v>210</v>
      </c>
      <c r="B223" s="126"/>
      <c r="C223" s="127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9">
        <v>2.5</v>
      </c>
      <c r="AH223" s="47"/>
      <c r="AI223" s="48"/>
      <c r="AK223" s="50"/>
    </row>
    <row r="224" spans="1:37" x14ac:dyDescent="0.25">
      <c r="A224" s="116" t="s">
        <v>211</v>
      </c>
      <c r="B224" s="126"/>
      <c r="C224" s="127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9">
        <v>2.4</v>
      </c>
      <c r="AH224" s="47"/>
      <c r="AI224" s="48"/>
      <c r="AK224" s="50"/>
    </row>
    <row r="225" spans="1:37" x14ac:dyDescent="0.25">
      <c r="A225" s="116" t="s">
        <v>212</v>
      </c>
      <c r="B225" s="126"/>
      <c r="C225" s="127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9">
        <v>2.4</v>
      </c>
      <c r="AH225" s="47"/>
      <c r="AI225" s="48"/>
      <c r="AK225" s="50"/>
    </row>
    <row r="226" spans="1:37" x14ac:dyDescent="0.25">
      <c r="A226" s="116" t="s">
        <v>213</v>
      </c>
      <c r="B226" s="126"/>
      <c r="C226" s="127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9">
        <v>2.2000000000000002</v>
      </c>
      <c r="AH226" s="47"/>
      <c r="AI226" s="48"/>
      <c r="AK226" s="50"/>
    </row>
    <row r="227" spans="1:37" x14ac:dyDescent="0.25">
      <c r="A227" s="116" t="s">
        <v>214</v>
      </c>
      <c r="B227" s="126"/>
      <c r="C227" s="127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9">
        <v>2</v>
      </c>
      <c r="AH227" s="47"/>
      <c r="AI227" s="48"/>
      <c r="AK227" s="50"/>
    </row>
    <row r="228" spans="1:37" x14ac:dyDescent="0.25">
      <c r="A228" s="116" t="s">
        <v>215</v>
      </c>
      <c r="B228" s="126"/>
      <c r="C228" s="127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9">
        <v>2</v>
      </c>
      <c r="AH228" s="47"/>
      <c r="AI228" s="48"/>
      <c r="AK228" s="50"/>
    </row>
    <row r="229" spans="1:37" x14ac:dyDescent="0.25">
      <c r="A229" s="116" t="s">
        <v>216</v>
      </c>
      <c r="B229" s="126"/>
      <c r="C229" s="127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9">
        <v>2</v>
      </c>
      <c r="AH229" s="47"/>
      <c r="AI229" s="48"/>
      <c r="AK229" s="50"/>
    </row>
    <row r="230" spans="1:37" x14ac:dyDescent="0.25">
      <c r="A230" s="116" t="s">
        <v>217</v>
      </c>
      <c r="B230" s="126"/>
      <c r="C230" s="127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9">
        <v>1.8</v>
      </c>
      <c r="AH230" s="47"/>
      <c r="AI230" s="48"/>
      <c r="AK230" s="50"/>
    </row>
    <row r="231" spans="1:37" x14ac:dyDescent="0.25">
      <c r="A231" s="116" t="s">
        <v>218</v>
      </c>
      <c r="B231" s="126"/>
      <c r="C231" s="127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9">
        <v>1.8</v>
      </c>
      <c r="AH231" s="47"/>
      <c r="AI231" s="48"/>
      <c r="AK231" s="50"/>
    </row>
    <row r="232" spans="1:37" x14ac:dyDescent="0.25">
      <c r="A232" s="116" t="s">
        <v>219</v>
      </c>
      <c r="B232" s="126"/>
      <c r="C232" s="127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9">
        <v>1.65</v>
      </c>
      <c r="AH232" s="47"/>
      <c r="AI232" s="48"/>
      <c r="AK232" s="50"/>
    </row>
    <row r="233" spans="1:37" x14ac:dyDescent="0.25">
      <c r="A233" s="116" t="s">
        <v>220</v>
      </c>
      <c r="B233" s="126"/>
      <c r="C233" s="127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9">
        <v>1.5</v>
      </c>
      <c r="AH233" s="47"/>
      <c r="AI233" s="48"/>
      <c r="AK233" s="50"/>
    </row>
    <row r="234" spans="1:37" x14ac:dyDescent="0.25">
      <c r="A234" s="116" t="s">
        <v>221</v>
      </c>
      <c r="B234" s="126"/>
      <c r="C234" s="127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9">
        <v>0.998</v>
      </c>
      <c r="AH234" s="47"/>
      <c r="AI234" s="48"/>
      <c r="AK234" s="50"/>
    </row>
    <row r="235" spans="1:37" x14ac:dyDescent="0.25">
      <c r="A235" s="116" t="s">
        <v>222</v>
      </c>
      <c r="B235" s="126"/>
      <c r="C235" s="127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9">
        <v>0.997</v>
      </c>
      <c r="AH235" s="47"/>
      <c r="AI235" s="48"/>
      <c r="AK235" s="50"/>
    </row>
    <row r="236" spans="1:37" x14ac:dyDescent="0.25">
      <c r="A236" s="116" t="s">
        <v>223</v>
      </c>
      <c r="B236" s="126"/>
      <c r="C236" s="127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9">
        <v>0.997</v>
      </c>
      <c r="AH236" s="47"/>
      <c r="AI236" s="48"/>
      <c r="AK236" s="50"/>
    </row>
    <row r="237" spans="1:37" x14ac:dyDescent="0.25">
      <c r="A237" s="116" t="s">
        <v>224</v>
      </c>
      <c r="B237" s="126"/>
      <c r="C237" s="127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9">
        <v>0.996</v>
      </c>
      <c r="AH237" s="47"/>
      <c r="AI237" s="48"/>
      <c r="AK237" s="50"/>
    </row>
    <row r="238" spans="1:37" x14ac:dyDescent="0.25">
      <c r="A238" s="116" t="s">
        <v>225</v>
      </c>
      <c r="B238" s="126"/>
      <c r="C238" s="127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9">
        <v>0.996</v>
      </c>
      <c r="AH238" s="47"/>
      <c r="AI238" s="48"/>
      <c r="AK238" s="50"/>
    </row>
    <row r="239" spans="1:37" x14ac:dyDescent="0.25">
      <c r="A239" s="116" t="s">
        <v>226</v>
      </c>
      <c r="B239" s="126"/>
      <c r="C239" s="127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9">
        <v>0.996</v>
      </c>
      <c r="AH239" s="47"/>
      <c r="AI239" s="48"/>
      <c r="AK239" s="50"/>
    </row>
    <row r="240" spans="1:37" x14ac:dyDescent="0.25">
      <c r="A240" s="116" t="s">
        <v>227</v>
      </c>
      <c r="B240" s="126"/>
      <c r="C240" s="127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9">
        <v>0.995</v>
      </c>
      <c r="AH240" s="47"/>
      <c r="AI240" s="48"/>
      <c r="AK240" s="50"/>
    </row>
    <row r="241" spans="1:37" x14ac:dyDescent="0.25">
      <c r="A241" s="116" t="s">
        <v>228</v>
      </c>
      <c r="B241" s="126"/>
      <c r="C241" s="127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9">
        <v>0.99299999999999999</v>
      </c>
      <c r="AH241" s="47"/>
      <c r="AI241" s="48"/>
      <c r="AK241" s="50"/>
    </row>
    <row r="242" spans="1:37" x14ac:dyDescent="0.25">
      <c r="A242" s="116" t="s">
        <v>229</v>
      </c>
      <c r="B242" s="126"/>
      <c r="C242" s="124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9">
        <v>0.99</v>
      </c>
      <c r="AH242" s="47"/>
      <c r="AI242" s="48"/>
      <c r="AK242" s="50"/>
    </row>
    <row r="243" spans="1:37" ht="15.75" thickBot="1" x14ac:dyDescent="0.3">
      <c r="A243" s="116" t="s">
        <v>230</v>
      </c>
      <c r="B243" s="130"/>
      <c r="C243" s="131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29">
        <v>0.97899999999999998</v>
      </c>
      <c r="AH243" s="47"/>
      <c r="AI243" s="48"/>
      <c r="AK243" s="50"/>
    </row>
    <row r="244" spans="1:37" ht="15.75" thickBot="1" x14ac:dyDescent="0.3">
      <c r="A244" s="132" t="s">
        <v>231</v>
      </c>
      <c r="B244" s="133">
        <f t="shared" ref="B244:AG244" si="72">SUM(B139:B243)</f>
        <v>0</v>
      </c>
      <c r="C244" s="134">
        <f t="shared" si="72"/>
        <v>0</v>
      </c>
      <c r="D244" s="134">
        <f t="shared" si="72"/>
        <v>0</v>
      </c>
      <c r="E244" s="134">
        <f t="shared" si="72"/>
        <v>0</v>
      </c>
      <c r="F244" s="134">
        <f t="shared" si="72"/>
        <v>0</v>
      </c>
      <c r="G244" s="134">
        <f t="shared" si="72"/>
        <v>0</v>
      </c>
      <c r="H244" s="134">
        <f t="shared" si="72"/>
        <v>0</v>
      </c>
      <c r="I244" s="134">
        <f t="shared" si="72"/>
        <v>0</v>
      </c>
      <c r="J244" s="134">
        <f t="shared" si="72"/>
        <v>0</v>
      </c>
      <c r="K244" s="134">
        <f t="shared" si="72"/>
        <v>0</v>
      </c>
      <c r="L244" s="134">
        <f t="shared" si="72"/>
        <v>0</v>
      </c>
      <c r="M244" s="134">
        <f t="shared" si="72"/>
        <v>0</v>
      </c>
      <c r="N244" s="134">
        <f t="shared" si="72"/>
        <v>0</v>
      </c>
      <c r="O244" s="134">
        <f t="shared" si="72"/>
        <v>0</v>
      </c>
      <c r="P244" s="134">
        <f t="shared" si="72"/>
        <v>0</v>
      </c>
      <c r="Q244" s="134">
        <f t="shared" si="72"/>
        <v>0</v>
      </c>
      <c r="R244" s="134">
        <f t="shared" si="72"/>
        <v>0</v>
      </c>
      <c r="S244" s="134">
        <f t="shared" si="72"/>
        <v>0</v>
      </c>
      <c r="T244" s="134">
        <f t="shared" si="72"/>
        <v>0</v>
      </c>
      <c r="U244" s="134">
        <f t="shared" si="72"/>
        <v>0</v>
      </c>
      <c r="V244" s="134">
        <f t="shared" si="72"/>
        <v>0</v>
      </c>
      <c r="W244" s="134">
        <f t="shared" si="72"/>
        <v>0</v>
      </c>
      <c r="X244" s="134">
        <f t="shared" si="72"/>
        <v>0</v>
      </c>
      <c r="Y244" s="134">
        <f t="shared" si="72"/>
        <v>0</v>
      </c>
      <c r="Z244" s="134">
        <f t="shared" si="72"/>
        <v>0</v>
      </c>
      <c r="AA244" s="134">
        <f t="shared" si="72"/>
        <v>0</v>
      </c>
      <c r="AB244" s="134">
        <f t="shared" si="72"/>
        <v>0</v>
      </c>
      <c r="AC244" s="134">
        <f t="shared" si="72"/>
        <v>0</v>
      </c>
      <c r="AD244" s="134">
        <f t="shared" si="72"/>
        <v>0</v>
      </c>
      <c r="AE244" s="134">
        <f t="shared" si="72"/>
        <v>0</v>
      </c>
      <c r="AF244" s="135">
        <f t="shared" si="72"/>
        <v>0</v>
      </c>
      <c r="AG244" s="136">
        <f t="shared" si="72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19"/>
      <c r="AH245" s="47"/>
      <c r="AI245" s="48"/>
      <c r="AK245" s="50"/>
    </row>
    <row r="246" spans="1:37" x14ac:dyDescent="0.25">
      <c r="A246" s="100" t="s">
        <v>232</v>
      </c>
      <c r="B246" s="138">
        <f t="shared" ref="B246:B251" si="73">AF246</f>
        <v>0.3</v>
      </c>
      <c r="C246" s="138">
        <v>0.3</v>
      </c>
      <c r="D246" s="138">
        <f t="shared" ref="D246:S251" si="74">C246</f>
        <v>0.3</v>
      </c>
      <c r="E246" s="138">
        <f t="shared" si="74"/>
        <v>0.3</v>
      </c>
      <c r="F246" s="138">
        <f t="shared" si="74"/>
        <v>0.3</v>
      </c>
      <c r="G246" s="138">
        <f t="shared" si="74"/>
        <v>0.3</v>
      </c>
      <c r="H246" s="138">
        <f t="shared" si="74"/>
        <v>0.3</v>
      </c>
      <c r="I246" s="138">
        <f t="shared" si="74"/>
        <v>0.3</v>
      </c>
      <c r="J246" s="138">
        <f t="shared" si="74"/>
        <v>0.3</v>
      </c>
      <c r="K246" s="138">
        <f t="shared" si="74"/>
        <v>0.3</v>
      </c>
      <c r="L246" s="138">
        <f t="shared" si="74"/>
        <v>0.3</v>
      </c>
      <c r="M246" s="138">
        <f t="shared" si="74"/>
        <v>0.3</v>
      </c>
      <c r="N246" s="138">
        <f t="shared" si="74"/>
        <v>0.3</v>
      </c>
      <c r="O246" s="138">
        <f t="shared" si="74"/>
        <v>0.3</v>
      </c>
      <c r="P246" s="138">
        <f t="shared" si="74"/>
        <v>0.3</v>
      </c>
      <c r="Q246" s="138">
        <f t="shared" si="74"/>
        <v>0.3</v>
      </c>
      <c r="R246" s="138">
        <f t="shared" si="74"/>
        <v>0.3</v>
      </c>
      <c r="S246" s="138">
        <f t="shared" si="74"/>
        <v>0.3</v>
      </c>
      <c r="T246" s="138">
        <f t="shared" ref="T246:AF251" si="75">S246</f>
        <v>0.3</v>
      </c>
      <c r="U246" s="138">
        <f t="shared" si="75"/>
        <v>0.3</v>
      </c>
      <c r="V246" s="138">
        <f t="shared" si="75"/>
        <v>0.3</v>
      </c>
      <c r="W246" s="138">
        <f t="shared" si="75"/>
        <v>0.3</v>
      </c>
      <c r="X246" s="138">
        <f t="shared" si="75"/>
        <v>0.3</v>
      </c>
      <c r="Y246" s="138">
        <f t="shared" si="75"/>
        <v>0.3</v>
      </c>
      <c r="Z246" s="138">
        <f t="shared" si="75"/>
        <v>0.3</v>
      </c>
      <c r="AA246" s="138">
        <f t="shared" si="75"/>
        <v>0.3</v>
      </c>
      <c r="AB246" s="138">
        <f t="shared" si="75"/>
        <v>0.3</v>
      </c>
      <c r="AC246" s="138">
        <f t="shared" si="75"/>
        <v>0.3</v>
      </c>
      <c r="AD246" s="138">
        <f t="shared" si="75"/>
        <v>0.3</v>
      </c>
      <c r="AE246" s="138">
        <f t="shared" si="75"/>
        <v>0.3</v>
      </c>
      <c r="AF246" s="138">
        <f t="shared" si="75"/>
        <v>0.3</v>
      </c>
      <c r="AG246" s="139">
        <v>2.4</v>
      </c>
      <c r="AH246" s="47"/>
      <c r="AI246" s="48"/>
      <c r="AK246" s="50"/>
    </row>
    <row r="247" spans="1:37" x14ac:dyDescent="0.25">
      <c r="A247" s="103" t="s">
        <v>233</v>
      </c>
      <c r="B247" s="126">
        <f t="shared" si="73"/>
        <v>0.4</v>
      </c>
      <c r="C247" s="126">
        <v>0.4</v>
      </c>
      <c r="D247" s="126">
        <f t="shared" si="74"/>
        <v>0.4</v>
      </c>
      <c r="E247" s="126">
        <f t="shared" si="74"/>
        <v>0.4</v>
      </c>
      <c r="F247" s="126">
        <f t="shared" si="74"/>
        <v>0.4</v>
      </c>
      <c r="G247" s="126">
        <f t="shared" si="74"/>
        <v>0.4</v>
      </c>
      <c r="H247" s="126">
        <f t="shared" si="74"/>
        <v>0.4</v>
      </c>
      <c r="I247" s="126">
        <f t="shared" si="74"/>
        <v>0.4</v>
      </c>
      <c r="J247" s="126">
        <f t="shared" si="74"/>
        <v>0.4</v>
      </c>
      <c r="K247" s="126">
        <f t="shared" si="74"/>
        <v>0.4</v>
      </c>
      <c r="L247" s="126">
        <f t="shared" si="74"/>
        <v>0.4</v>
      </c>
      <c r="M247" s="126">
        <f t="shared" si="74"/>
        <v>0.4</v>
      </c>
      <c r="N247" s="126">
        <f t="shared" si="74"/>
        <v>0.4</v>
      </c>
      <c r="O247" s="126">
        <f t="shared" si="74"/>
        <v>0.4</v>
      </c>
      <c r="P247" s="126">
        <f t="shared" si="74"/>
        <v>0.4</v>
      </c>
      <c r="Q247" s="126">
        <f t="shared" si="74"/>
        <v>0.4</v>
      </c>
      <c r="R247" s="126">
        <f t="shared" si="74"/>
        <v>0.4</v>
      </c>
      <c r="S247" s="126">
        <f t="shared" si="74"/>
        <v>0.4</v>
      </c>
      <c r="T247" s="126">
        <f t="shared" si="75"/>
        <v>0.4</v>
      </c>
      <c r="U247" s="126">
        <f t="shared" si="75"/>
        <v>0.4</v>
      </c>
      <c r="V247" s="126">
        <f t="shared" si="75"/>
        <v>0.4</v>
      </c>
      <c r="W247" s="126">
        <f t="shared" si="75"/>
        <v>0.4</v>
      </c>
      <c r="X247" s="126">
        <f t="shared" si="75"/>
        <v>0.4</v>
      </c>
      <c r="Y247" s="126">
        <f t="shared" si="75"/>
        <v>0.4</v>
      </c>
      <c r="Z247" s="126">
        <f t="shared" si="75"/>
        <v>0.4</v>
      </c>
      <c r="AA247" s="126">
        <f t="shared" si="75"/>
        <v>0.4</v>
      </c>
      <c r="AB247" s="126">
        <f t="shared" si="75"/>
        <v>0.4</v>
      </c>
      <c r="AC247" s="126">
        <f t="shared" si="75"/>
        <v>0.4</v>
      </c>
      <c r="AD247" s="126">
        <f t="shared" si="75"/>
        <v>0.4</v>
      </c>
      <c r="AE247" s="126">
        <f t="shared" si="75"/>
        <v>0.4</v>
      </c>
      <c r="AF247" s="126">
        <f t="shared" si="75"/>
        <v>0.4</v>
      </c>
      <c r="AG247" s="140">
        <v>2</v>
      </c>
      <c r="AH247" s="47"/>
      <c r="AI247" s="48"/>
      <c r="AK247" s="50"/>
    </row>
    <row r="248" spans="1:37" x14ac:dyDescent="0.25">
      <c r="A248" s="103" t="s">
        <v>234</v>
      </c>
      <c r="B248" s="126">
        <f t="shared" si="73"/>
        <v>1.5</v>
      </c>
      <c r="C248" s="126">
        <v>1.5</v>
      </c>
      <c r="D248" s="126">
        <f t="shared" si="74"/>
        <v>1.5</v>
      </c>
      <c r="E248" s="126">
        <f t="shared" si="74"/>
        <v>1.5</v>
      </c>
      <c r="F248" s="126">
        <f t="shared" si="74"/>
        <v>1.5</v>
      </c>
      <c r="G248" s="126">
        <f t="shared" si="74"/>
        <v>1.5</v>
      </c>
      <c r="H248" s="126">
        <f t="shared" si="74"/>
        <v>1.5</v>
      </c>
      <c r="I248" s="126">
        <f t="shared" si="74"/>
        <v>1.5</v>
      </c>
      <c r="J248" s="126">
        <f t="shared" si="74"/>
        <v>1.5</v>
      </c>
      <c r="K248" s="126">
        <f t="shared" si="74"/>
        <v>1.5</v>
      </c>
      <c r="L248" s="126">
        <f t="shared" si="74"/>
        <v>1.5</v>
      </c>
      <c r="M248" s="126">
        <f t="shared" si="74"/>
        <v>1.5</v>
      </c>
      <c r="N248" s="126">
        <f t="shared" si="74"/>
        <v>1.5</v>
      </c>
      <c r="O248" s="126">
        <f t="shared" si="74"/>
        <v>1.5</v>
      </c>
      <c r="P248" s="126">
        <f t="shared" si="74"/>
        <v>1.5</v>
      </c>
      <c r="Q248" s="126">
        <f t="shared" si="74"/>
        <v>1.5</v>
      </c>
      <c r="R248" s="126">
        <f t="shared" si="74"/>
        <v>1.5</v>
      </c>
      <c r="S248" s="126">
        <f t="shared" si="74"/>
        <v>1.5</v>
      </c>
      <c r="T248" s="126">
        <f t="shared" si="75"/>
        <v>1.5</v>
      </c>
      <c r="U248" s="126">
        <f t="shared" si="75"/>
        <v>1.5</v>
      </c>
      <c r="V248" s="126">
        <f t="shared" si="75"/>
        <v>1.5</v>
      </c>
      <c r="W248" s="126">
        <f t="shared" si="75"/>
        <v>1.5</v>
      </c>
      <c r="X248" s="126">
        <f t="shared" si="75"/>
        <v>1.5</v>
      </c>
      <c r="Y248" s="126">
        <f t="shared" si="75"/>
        <v>1.5</v>
      </c>
      <c r="Z248" s="126">
        <f t="shared" si="75"/>
        <v>1.5</v>
      </c>
      <c r="AA248" s="126">
        <f t="shared" si="75"/>
        <v>1.5</v>
      </c>
      <c r="AB248" s="126">
        <f t="shared" si="75"/>
        <v>1.5</v>
      </c>
      <c r="AC248" s="126">
        <f t="shared" si="75"/>
        <v>1.5</v>
      </c>
      <c r="AD248" s="126">
        <f t="shared" si="75"/>
        <v>1.5</v>
      </c>
      <c r="AE248" s="126">
        <f t="shared" si="75"/>
        <v>1.5</v>
      </c>
      <c r="AF248" s="126">
        <f t="shared" si="75"/>
        <v>1.5</v>
      </c>
      <c r="AG248" s="140">
        <v>1.5</v>
      </c>
      <c r="AH248" s="47"/>
      <c r="AI248" s="48"/>
      <c r="AK248" s="50"/>
    </row>
    <row r="249" spans="1:37" x14ac:dyDescent="0.25">
      <c r="A249" s="103" t="s">
        <v>235</v>
      </c>
      <c r="B249" s="126">
        <f t="shared" si="73"/>
        <v>0.3</v>
      </c>
      <c r="C249" s="126">
        <v>0.3</v>
      </c>
      <c r="D249" s="126">
        <f t="shared" si="74"/>
        <v>0.3</v>
      </c>
      <c r="E249" s="126">
        <f t="shared" si="74"/>
        <v>0.3</v>
      </c>
      <c r="F249" s="126">
        <f t="shared" si="74"/>
        <v>0.3</v>
      </c>
      <c r="G249" s="126">
        <f t="shared" si="74"/>
        <v>0.3</v>
      </c>
      <c r="H249" s="126">
        <f t="shared" si="74"/>
        <v>0.3</v>
      </c>
      <c r="I249" s="126">
        <f t="shared" si="74"/>
        <v>0.3</v>
      </c>
      <c r="J249" s="126">
        <f t="shared" si="74"/>
        <v>0.3</v>
      </c>
      <c r="K249" s="126">
        <f t="shared" si="74"/>
        <v>0.3</v>
      </c>
      <c r="L249" s="126">
        <f t="shared" si="74"/>
        <v>0.3</v>
      </c>
      <c r="M249" s="126">
        <f t="shared" si="74"/>
        <v>0.3</v>
      </c>
      <c r="N249" s="126">
        <f t="shared" si="74"/>
        <v>0.3</v>
      </c>
      <c r="O249" s="126">
        <f t="shared" si="74"/>
        <v>0.3</v>
      </c>
      <c r="P249" s="126">
        <f t="shared" si="74"/>
        <v>0.3</v>
      </c>
      <c r="Q249" s="126">
        <f t="shared" si="74"/>
        <v>0.3</v>
      </c>
      <c r="R249" s="126">
        <f t="shared" si="74"/>
        <v>0.3</v>
      </c>
      <c r="S249" s="126">
        <f t="shared" si="74"/>
        <v>0.3</v>
      </c>
      <c r="T249" s="126">
        <f t="shared" si="75"/>
        <v>0.3</v>
      </c>
      <c r="U249" s="126">
        <f t="shared" si="75"/>
        <v>0.3</v>
      </c>
      <c r="V249" s="126">
        <f t="shared" si="75"/>
        <v>0.3</v>
      </c>
      <c r="W249" s="126">
        <f t="shared" si="75"/>
        <v>0.3</v>
      </c>
      <c r="X249" s="126">
        <f t="shared" si="75"/>
        <v>0.3</v>
      </c>
      <c r="Y249" s="126">
        <f t="shared" si="75"/>
        <v>0.3</v>
      </c>
      <c r="Z249" s="126">
        <f t="shared" si="75"/>
        <v>0.3</v>
      </c>
      <c r="AA249" s="126">
        <f t="shared" si="75"/>
        <v>0.3</v>
      </c>
      <c r="AB249" s="126">
        <f t="shared" si="75"/>
        <v>0.3</v>
      </c>
      <c r="AC249" s="126">
        <f t="shared" si="75"/>
        <v>0.3</v>
      </c>
      <c r="AD249" s="126">
        <f t="shared" si="75"/>
        <v>0.3</v>
      </c>
      <c r="AE249" s="126">
        <f t="shared" si="75"/>
        <v>0.3</v>
      </c>
      <c r="AF249" s="126">
        <f t="shared" si="75"/>
        <v>0.3</v>
      </c>
      <c r="AG249" s="140">
        <v>1</v>
      </c>
      <c r="AH249" s="47"/>
      <c r="AI249" s="48"/>
      <c r="AK249" s="50"/>
    </row>
    <row r="250" spans="1:37" x14ac:dyDescent="0.25">
      <c r="A250" s="103" t="s">
        <v>236</v>
      </c>
      <c r="B250" s="126">
        <f t="shared" si="73"/>
        <v>0.4</v>
      </c>
      <c r="C250" s="126">
        <v>0.4</v>
      </c>
      <c r="D250" s="126">
        <f t="shared" si="74"/>
        <v>0.4</v>
      </c>
      <c r="E250" s="126">
        <f t="shared" si="74"/>
        <v>0.4</v>
      </c>
      <c r="F250" s="126">
        <f t="shared" si="74"/>
        <v>0.4</v>
      </c>
      <c r="G250" s="126">
        <f t="shared" si="74"/>
        <v>0.4</v>
      </c>
      <c r="H250" s="126">
        <f t="shared" si="74"/>
        <v>0.4</v>
      </c>
      <c r="I250" s="126">
        <f t="shared" si="74"/>
        <v>0.4</v>
      </c>
      <c r="J250" s="126">
        <f t="shared" si="74"/>
        <v>0.4</v>
      </c>
      <c r="K250" s="126">
        <f t="shared" si="74"/>
        <v>0.4</v>
      </c>
      <c r="L250" s="126">
        <f t="shared" si="74"/>
        <v>0.4</v>
      </c>
      <c r="M250" s="126">
        <f t="shared" si="74"/>
        <v>0.4</v>
      </c>
      <c r="N250" s="126">
        <f t="shared" si="74"/>
        <v>0.4</v>
      </c>
      <c r="O250" s="126">
        <f t="shared" si="74"/>
        <v>0.4</v>
      </c>
      <c r="P250" s="126">
        <f t="shared" si="74"/>
        <v>0.4</v>
      </c>
      <c r="Q250" s="126">
        <f t="shared" si="74"/>
        <v>0.4</v>
      </c>
      <c r="R250" s="126">
        <f t="shared" si="74"/>
        <v>0.4</v>
      </c>
      <c r="S250" s="126">
        <f t="shared" si="74"/>
        <v>0.4</v>
      </c>
      <c r="T250" s="126">
        <f t="shared" si="75"/>
        <v>0.4</v>
      </c>
      <c r="U250" s="126">
        <f t="shared" si="75"/>
        <v>0.4</v>
      </c>
      <c r="V250" s="126">
        <f t="shared" si="75"/>
        <v>0.4</v>
      </c>
      <c r="W250" s="126">
        <f t="shared" si="75"/>
        <v>0.4</v>
      </c>
      <c r="X250" s="126">
        <f t="shared" si="75"/>
        <v>0.4</v>
      </c>
      <c r="Y250" s="126">
        <f t="shared" si="75"/>
        <v>0.4</v>
      </c>
      <c r="Z250" s="126">
        <f t="shared" si="75"/>
        <v>0.4</v>
      </c>
      <c r="AA250" s="126">
        <f t="shared" si="75"/>
        <v>0.4</v>
      </c>
      <c r="AB250" s="126">
        <f t="shared" si="75"/>
        <v>0.4</v>
      </c>
      <c r="AC250" s="126">
        <f t="shared" si="75"/>
        <v>0.4</v>
      </c>
      <c r="AD250" s="126">
        <f t="shared" si="75"/>
        <v>0.4</v>
      </c>
      <c r="AE250" s="126">
        <f t="shared" si="75"/>
        <v>0.4</v>
      </c>
      <c r="AF250" s="126">
        <f t="shared" si="75"/>
        <v>0.4</v>
      </c>
      <c r="AG250" s="140">
        <v>1</v>
      </c>
      <c r="AH250" s="47"/>
      <c r="AI250" s="48"/>
      <c r="AK250" s="50"/>
    </row>
    <row r="251" spans="1:37" ht="15.75" thickBot="1" x14ac:dyDescent="0.3">
      <c r="A251" s="116" t="s">
        <v>237</v>
      </c>
      <c r="B251" s="130">
        <f t="shared" si="73"/>
        <v>0.64</v>
      </c>
      <c r="C251" s="130">
        <v>0.64</v>
      </c>
      <c r="D251" s="130">
        <f t="shared" si="74"/>
        <v>0.64</v>
      </c>
      <c r="E251" s="130">
        <f t="shared" si="74"/>
        <v>0.64</v>
      </c>
      <c r="F251" s="130">
        <f t="shared" si="74"/>
        <v>0.64</v>
      </c>
      <c r="G251" s="130">
        <f t="shared" si="74"/>
        <v>0.64</v>
      </c>
      <c r="H251" s="130">
        <f t="shared" si="74"/>
        <v>0.64</v>
      </c>
      <c r="I251" s="130">
        <f t="shared" si="74"/>
        <v>0.64</v>
      </c>
      <c r="J251" s="130">
        <f t="shared" si="74"/>
        <v>0.64</v>
      </c>
      <c r="K251" s="130">
        <f t="shared" si="74"/>
        <v>0.64</v>
      </c>
      <c r="L251" s="130">
        <f t="shared" si="74"/>
        <v>0.64</v>
      </c>
      <c r="M251" s="130">
        <f t="shared" si="74"/>
        <v>0.64</v>
      </c>
      <c r="N251" s="130">
        <f t="shared" si="74"/>
        <v>0.64</v>
      </c>
      <c r="O251" s="130">
        <f t="shared" si="74"/>
        <v>0.64</v>
      </c>
      <c r="P251" s="130">
        <f t="shared" si="74"/>
        <v>0.64</v>
      </c>
      <c r="Q251" s="130">
        <f t="shared" si="74"/>
        <v>0.64</v>
      </c>
      <c r="R251" s="130">
        <f t="shared" si="74"/>
        <v>0.64</v>
      </c>
      <c r="S251" s="130">
        <f t="shared" si="74"/>
        <v>0.64</v>
      </c>
      <c r="T251" s="130">
        <f t="shared" si="75"/>
        <v>0.64</v>
      </c>
      <c r="U251" s="130">
        <f t="shared" si="75"/>
        <v>0.64</v>
      </c>
      <c r="V251" s="130">
        <f t="shared" si="75"/>
        <v>0.64</v>
      </c>
      <c r="W251" s="130">
        <f t="shared" si="75"/>
        <v>0.64</v>
      </c>
      <c r="X251" s="130">
        <f t="shared" si="75"/>
        <v>0.64</v>
      </c>
      <c r="Y251" s="130">
        <f t="shared" si="75"/>
        <v>0.64</v>
      </c>
      <c r="Z251" s="130">
        <f t="shared" si="75"/>
        <v>0.64</v>
      </c>
      <c r="AA251" s="130">
        <f t="shared" si="75"/>
        <v>0.64</v>
      </c>
      <c r="AB251" s="130">
        <f t="shared" si="75"/>
        <v>0.64</v>
      </c>
      <c r="AC251" s="130">
        <f t="shared" si="75"/>
        <v>0.64</v>
      </c>
      <c r="AD251" s="130">
        <f t="shared" si="75"/>
        <v>0.64</v>
      </c>
      <c r="AE251" s="130">
        <f t="shared" si="75"/>
        <v>0.64</v>
      </c>
      <c r="AF251" s="130">
        <f t="shared" si="75"/>
        <v>0.64</v>
      </c>
      <c r="AG251" s="141">
        <v>0.66</v>
      </c>
      <c r="AH251" s="47"/>
      <c r="AI251" s="48"/>
    </row>
    <row r="252" spans="1:37" ht="15.75" thickBot="1" x14ac:dyDescent="0.3">
      <c r="A252" s="142" t="s">
        <v>75</v>
      </c>
      <c r="B252" s="134">
        <f t="shared" ref="B252:AG252" si="76">SUM(B246:B251)</f>
        <v>3.54</v>
      </c>
      <c r="C252" s="134">
        <f t="shared" si="76"/>
        <v>3.54</v>
      </c>
      <c r="D252" s="134">
        <f t="shared" si="76"/>
        <v>3.54</v>
      </c>
      <c r="E252" s="134">
        <f t="shared" si="76"/>
        <v>3.54</v>
      </c>
      <c r="F252" s="134">
        <f t="shared" si="76"/>
        <v>3.54</v>
      </c>
      <c r="G252" s="134">
        <f t="shared" si="76"/>
        <v>3.54</v>
      </c>
      <c r="H252" s="134">
        <f t="shared" si="76"/>
        <v>3.54</v>
      </c>
      <c r="I252" s="134">
        <f t="shared" si="76"/>
        <v>3.54</v>
      </c>
      <c r="J252" s="134">
        <f t="shared" si="76"/>
        <v>3.54</v>
      </c>
      <c r="K252" s="134">
        <f t="shared" si="76"/>
        <v>3.54</v>
      </c>
      <c r="L252" s="134">
        <f t="shared" si="76"/>
        <v>3.54</v>
      </c>
      <c r="M252" s="134">
        <f t="shared" si="76"/>
        <v>3.54</v>
      </c>
      <c r="N252" s="134">
        <f t="shared" si="76"/>
        <v>3.54</v>
      </c>
      <c r="O252" s="134">
        <f t="shared" si="76"/>
        <v>3.54</v>
      </c>
      <c r="P252" s="134">
        <f t="shared" si="76"/>
        <v>3.54</v>
      </c>
      <c r="Q252" s="134">
        <f t="shared" si="76"/>
        <v>3.54</v>
      </c>
      <c r="R252" s="134">
        <f t="shared" si="76"/>
        <v>3.54</v>
      </c>
      <c r="S252" s="134">
        <f t="shared" si="76"/>
        <v>3.54</v>
      </c>
      <c r="T252" s="134">
        <f t="shared" si="76"/>
        <v>3.54</v>
      </c>
      <c r="U252" s="134">
        <f t="shared" si="76"/>
        <v>3.54</v>
      </c>
      <c r="V252" s="134">
        <f t="shared" si="76"/>
        <v>3.54</v>
      </c>
      <c r="W252" s="134">
        <f t="shared" si="76"/>
        <v>3.54</v>
      </c>
      <c r="X252" s="134">
        <f t="shared" si="76"/>
        <v>3.54</v>
      </c>
      <c r="Y252" s="134">
        <f t="shared" si="76"/>
        <v>3.54</v>
      </c>
      <c r="Z252" s="134">
        <f t="shared" si="76"/>
        <v>3.54</v>
      </c>
      <c r="AA252" s="134">
        <f t="shared" si="76"/>
        <v>3.54</v>
      </c>
      <c r="AB252" s="134">
        <f t="shared" si="76"/>
        <v>3.54</v>
      </c>
      <c r="AC252" s="134">
        <f t="shared" si="76"/>
        <v>3.54</v>
      </c>
      <c r="AD252" s="134">
        <f t="shared" si="76"/>
        <v>3.54</v>
      </c>
      <c r="AE252" s="134">
        <f t="shared" si="76"/>
        <v>3.54</v>
      </c>
      <c r="AF252" s="134">
        <f t="shared" si="76"/>
        <v>3.54</v>
      </c>
      <c r="AG252" s="143">
        <f t="shared" si="76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37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54" t="s">
        <v>243</v>
      </c>
      <c r="B256" s="155">
        <f>MAX(G99:N99)</f>
        <v>1862.1399999999999</v>
      </c>
      <c r="C256" s="156">
        <f>INDEX(G9:N9,1,MATCH(MAX(G99:N99),G99:N99,0))</f>
        <v>0.33333333333333331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50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157" t="str">
        <f ca="1">MID(CELL("filename",C7),FIND("]",CELL("filename",C7))+1,600)</f>
        <v>11</v>
      </c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50" x14ac:dyDescent="0.25">
      <c r="A258" s="257" t="s">
        <v>244</v>
      </c>
      <c r="B258" s="257"/>
      <c r="C258" s="43"/>
      <c r="D258" s="157" t="str">
        <f ca="1">"Pie Chart of Daily Peak Demand(Inclusive of Export) of Nepal ("&amp;A4&amp;" "&amp;B4&amp;")"</f>
        <v>Pie Chart of Daily Peak Demand(Inclusive of Export) of Nepal (Nepali Date: 2080/10/11)</v>
      </c>
      <c r="E258" s="43"/>
      <c r="F258" s="43"/>
      <c r="G258" s="157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157" t="str">
        <f ca="1">"Daily Load Curve(Excluding of Export) of Nepal ("&amp;A4&amp;" "&amp;B4&amp;")"</f>
        <v>Daily Load Curve(Excluding of Export) of Nepal (Nepali Date: 2080/10/11)</v>
      </c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50" ht="12.75" customHeight="1" thickBot="1" x14ac:dyDescent="0.3">
      <c r="A259" s="158" t="s">
        <v>7</v>
      </c>
      <c r="B259" s="159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50" ht="15.75" thickTop="1" x14ac:dyDescent="0.25">
      <c r="A260" s="158" t="s">
        <v>245</v>
      </c>
      <c r="B260" s="15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160" t="s">
        <v>246</v>
      </c>
      <c r="T260" s="161">
        <v>0</v>
      </c>
      <c r="U260" s="162">
        <v>4.1666666666666664E-2</v>
      </c>
      <c r="V260" s="163">
        <v>8.3333333333333301E-2</v>
      </c>
      <c r="W260" s="163">
        <v>0.125</v>
      </c>
      <c r="X260" s="163">
        <v>0.16666666666666699</v>
      </c>
      <c r="Y260" s="163">
        <v>0.20833333333333301</v>
      </c>
      <c r="Z260" s="163">
        <v>0.22916666666666666</v>
      </c>
      <c r="AA260" s="163">
        <v>0.25</v>
      </c>
      <c r="AB260" s="163">
        <v>0.27083333333333331</v>
      </c>
      <c r="AC260" s="163">
        <v>0.29166666666666669</v>
      </c>
      <c r="AD260" s="163">
        <v>0.3125</v>
      </c>
      <c r="AE260" s="164">
        <v>0.33333333333333331</v>
      </c>
      <c r="AF260" s="164">
        <v>0.375</v>
      </c>
      <c r="AG260" s="164">
        <v>0.41666666666666702</v>
      </c>
      <c r="AH260" s="164">
        <v>0.45833333333333298</v>
      </c>
      <c r="AI260" s="164">
        <v>0.5</v>
      </c>
      <c r="AJ260" s="164">
        <v>0.54166666666666696</v>
      </c>
      <c r="AK260" s="164">
        <v>0.58333333333333304</v>
      </c>
      <c r="AL260" s="164">
        <v>0.625</v>
      </c>
      <c r="AM260" s="164">
        <v>0.66666666666666696</v>
      </c>
      <c r="AN260" s="164">
        <v>0.70833333333333304</v>
      </c>
      <c r="AO260" s="164">
        <v>0.72916666666666663</v>
      </c>
      <c r="AP260" s="164">
        <v>0.75</v>
      </c>
      <c r="AQ260" s="164">
        <v>0.77083333333333337</v>
      </c>
      <c r="AR260" s="164">
        <v>0.79166666666666663</v>
      </c>
      <c r="AS260" s="164">
        <v>0.8125</v>
      </c>
      <c r="AT260" s="163">
        <v>0.83333333333333337</v>
      </c>
      <c r="AU260" s="163">
        <v>0.85416666666666663</v>
      </c>
      <c r="AV260" s="163">
        <v>0.875</v>
      </c>
      <c r="AW260" s="163">
        <v>0.91666666666666696</v>
      </c>
      <c r="AX260" s="163">
        <v>0.95833333333333304</v>
      </c>
    </row>
    <row r="261" spans="1:50" x14ac:dyDescent="0.25">
      <c r="A261" s="158" t="s">
        <v>247</v>
      </c>
      <c r="B261" s="15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 t="s">
        <v>248</v>
      </c>
      <c r="T261" s="165">
        <f t="shared" ref="T261:AX261" si="77">B99</f>
        <v>1198.7800000000002</v>
      </c>
      <c r="U261" s="165">
        <f t="shared" si="77"/>
        <v>1181.0800000000002</v>
      </c>
      <c r="V261" s="165">
        <f t="shared" si="77"/>
        <v>1130.7800000000002</v>
      </c>
      <c r="W261" s="165">
        <f t="shared" si="77"/>
        <v>1148.74</v>
      </c>
      <c r="X261" s="165">
        <f t="shared" si="77"/>
        <v>1153.8399999999999</v>
      </c>
      <c r="Y261" s="165">
        <f t="shared" si="77"/>
        <v>1226.2399999999998</v>
      </c>
      <c r="Z261" s="165">
        <f t="shared" si="77"/>
        <v>1316.34</v>
      </c>
      <c r="AA261" s="165">
        <f t="shared" si="77"/>
        <v>1394.94</v>
      </c>
      <c r="AB261" s="165">
        <f t="shared" si="77"/>
        <v>1520.4399999999998</v>
      </c>
      <c r="AC261" s="165">
        <f t="shared" si="77"/>
        <v>1711.77</v>
      </c>
      <c r="AD261" s="165">
        <f t="shared" si="77"/>
        <v>1821.24</v>
      </c>
      <c r="AE261" s="165">
        <f t="shared" si="77"/>
        <v>1862.1399999999999</v>
      </c>
      <c r="AF261" s="165">
        <f t="shared" si="77"/>
        <v>1793.94</v>
      </c>
      <c r="AG261" s="165">
        <f t="shared" si="77"/>
        <v>1721.5399999999997</v>
      </c>
      <c r="AH261" s="165">
        <f t="shared" si="77"/>
        <v>1684.7399999999998</v>
      </c>
      <c r="AI261" s="165">
        <f t="shared" si="77"/>
        <v>1623.7399999999998</v>
      </c>
      <c r="AJ261" s="165">
        <f t="shared" si="77"/>
        <v>1571.6399999999999</v>
      </c>
      <c r="AK261" s="165">
        <f t="shared" si="77"/>
        <v>1520.54</v>
      </c>
      <c r="AL261" s="165">
        <f t="shared" si="77"/>
        <v>1527.3399999999997</v>
      </c>
      <c r="AM261" s="165">
        <f t="shared" si="77"/>
        <v>1528.84</v>
      </c>
      <c r="AN261" s="165">
        <f t="shared" si="77"/>
        <v>1524.0399999999997</v>
      </c>
      <c r="AO261" s="165">
        <f t="shared" si="77"/>
        <v>1661.54</v>
      </c>
      <c r="AP261" s="165">
        <f t="shared" si="77"/>
        <v>1904.04</v>
      </c>
      <c r="AQ261" s="165">
        <f t="shared" si="77"/>
        <v>1999.34</v>
      </c>
      <c r="AR261" s="165">
        <f t="shared" si="77"/>
        <v>1974.2399999999998</v>
      </c>
      <c r="AS261" s="165">
        <f t="shared" si="77"/>
        <v>1964.34</v>
      </c>
      <c r="AT261" s="165">
        <f t="shared" si="77"/>
        <v>1880.8400000000001</v>
      </c>
      <c r="AU261" s="165">
        <f t="shared" si="77"/>
        <v>1817.74</v>
      </c>
      <c r="AV261" s="165">
        <f t="shared" si="77"/>
        <v>1725.9400000000003</v>
      </c>
      <c r="AW261" s="165">
        <f t="shared" si="77"/>
        <v>1438.54</v>
      </c>
      <c r="AX261" s="165">
        <f t="shared" si="77"/>
        <v>1315.34</v>
      </c>
    </row>
    <row r="262" spans="1:50" x14ac:dyDescent="0.25">
      <c r="A262" s="158" t="s">
        <v>249</v>
      </c>
      <c r="B262" s="15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50" x14ac:dyDescent="0.25">
      <c r="A263" s="158" t="s">
        <v>250</v>
      </c>
      <c r="B263" s="15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50" x14ac:dyDescent="0.25">
      <c r="A264" s="158" t="s">
        <v>251</v>
      </c>
      <c r="B264" s="15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50" x14ac:dyDescent="0.25">
      <c r="A265" s="158" t="s">
        <v>252</v>
      </c>
      <c r="B265" s="166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50" x14ac:dyDescent="0.25">
      <c r="A266" s="158" t="s">
        <v>253</v>
      </c>
      <c r="B266" s="15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50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50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50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50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50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50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1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1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1:34" x14ac:dyDescent="0.25">
      <c r="A282" s="167" t="s">
        <v>238</v>
      </c>
      <c r="B282" s="168">
        <f t="shared" ref="B282:AE282" si="78">C251</f>
        <v>0.64</v>
      </c>
      <c r="C282" s="168">
        <f t="shared" si="78"/>
        <v>0.64</v>
      </c>
      <c r="D282" s="168">
        <f t="shared" si="78"/>
        <v>0.64</v>
      </c>
      <c r="E282" s="168">
        <f t="shared" si="78"/>
        <v>0.64</v>
      </c>
      <c r="F282" s="168">
        <f t="shared" si="78"/>
        <v>0.64</v>
      </c>
      <c r="G282" s="168">
        <f t="shared" si="78"/>
        <v>0.64</v>
      </c>
      <c r="H282" s="168">
        <f t="shared" si="78"/>
        <v>0.64</v>
      </c>
      <c r="I282" s="168">
        <f t="shared" si="78"/>
        <v>0.64</v>
      </c>
      <c r="J282" s="168">
        <f t="shared" si="78"/>
        <v>0.64</v>
      </c>
      <c r="K282" s="168">
        <f t="shared" si="78"/>
        <v>0.64</v>
      </c>
      <c r="L282" s="168">
        <f t="shared" si="78"/>
        <v>0.64</v>
      </c>
      <c r="M282" s="168">
        <f t="shared" si="78"/>
        <v>0.64</v>
      </c>
      <c r="N282" s="168">
        <f t="shared" si="78"/>
        <v>0.64</v>
      </c>
      <c r="O282" s="168">
        <f t="shared" si="78"/>
        <v>0.64</v>
      </c>
      <c r="P282" s="168">
        <f t="shared" si="78"/>
        <v>0.64</v>
      </c>
      <c r="Q282" s="168">
        <f t="shared" si="78"/>
        <v>0.64</v>
      </c>
      <c r="R282" s="168">
        <f t="shared" si="78"/>
        <v>0.64</v>
      </c>
      <c r="S282" s="168">
        <f t="shared" si="78"/>
        <v>0.64</v>
      </c>
      <c r="T282" s="168">
        <f t="shared" si="78"/>
        <v>0.64</v>
      </c>
      <c r="U282" s="168">
        <f t="shared" si="78"/>
        <v>0.64</v>
      </c>
      <c r="V282" s="168">
        <f t="shared" si="78"/>
        <v>0.64</v>
      </c>
      <c r="W282" s="168">
        <f t="shared" si="78"/>
        <v>0.64</v>
      </c>
      <c r="X282" s="168">
        <f t="shared" si="78"/>
        <v>0.64</v>
      </c>
      <c r="Y282" s="168">
        <f t="shared" si="78"/>
        <v>0.64</v>
      </c>
      <c r="Z282" s="168">
        <f t="shared" si="78"/>
        <v>0.64</v>
      </c>
      <c r="AA282" s="168">
        <f t="shared" si="78"/>
        <v>0.64</v>
      </c>
      <c r="AB282" s="168">
        <f t="shared" si="78"/>
        <v>0.64</v>
      </c>
      <c r="AC282" s="168">
        <f t="shared" si="78"/>
        <v>0.64</v>
      </c>
      <c r="AD282" s="168">
        <f t="shared" si="78"/>
        <v>0.64</v>
      </c>
      <c r="AE282" s="168">
        <f t="shared" si="78"/>
        <v>0.64</v>
      </c>
      <c r="AF282" s="168">
        <f>B251</f>
        <v>0.64</v>
      </c>
      <c r="AG282" s="43"/>
      <c r="AH282" s="43"/>
    </row>
    <row r="283" spans="1:34" x14ac:dyDescent="0.25">
      <c r="A283" s="169" t="e">
        <f>#REF!</f>
        <v>#REF!</v>
      </c>
      <c r="B283" s="169" t="e">
        <f>IF(#REF!&lt;100,"",#REF!-520)</f>
        <v>#REF!</v>
      </c>
      <c r="C283" s="169" t="e">
        <f>IF(#REF!&lt;100,"",#REF!-520)</f>
        <v>#REF!</v>
      </c>
      <c r="D283" s="169" t="e">
        <f>IF(#REF!&lt;100,"",#REF!-520)</f>
        <v>#REF!</v>
      </c>
      <c r="E283" s="169" t="e">
        <f>IF(#REF!&lt;100,"",#REF!-520)</f>
        <v>#REF!</v>
      </c>
      <c r="F283" s="169" t="e">
        <f>IF(#REF!&lt;100,"",#REF!-520)</f>
        <v>#REF!</v>
      </c>
      <c r="G283" s="169" t="e">
        <f>IF(#REF!&lt;100,"",#REF!-520)</f>
        <v>#REF!</v>
      </c>
      <c r="H283" s="169" t="e">
        <f>IF(#REF!&lt;100,"",#REF!-520)</f>
        <v>#REF!</v>
      </c>
      <c r="I283" s="169" t="e">
        <f>IF(#REF!&lt;100,"",#REF!-520)</f>
        <v>#REF!</v>
      </c>
      <c r="J283" s="169" t="e">
        <f>IF(#REF!&lt;100,"",#REF!-520)</f>
        <v>#REF!</v>
      </c>
      <c r="K283" s="169" t="e">
        <f>IF(#REF!&lt;100,"",#REF!-520)</f>
        <v>#REF!</v>
      </c>
      <c r="L283" s="169" t="e">
        <f>IF(#REF!&lt;100,"",#REF!-520)</f>
        <v>#REF!</v>
      </c>
      <c r="M283" s="169" t="e">
        <f>IF(#REF!&lt;100,"",#REF!-520)</f>
        <v>#REF!</v>
      </c>
      <c r="N283" s="169" t="e">
        <f>IF(#REF!&lt;100,"",#REF!-520)</f>
        <v>#REF!</v>
      </c>
      <c r="O283" s="169" t="e">
        <f>IF(#REF!&lt;100,"",#REF!-520)</f>
        <v>#REF!</v>
      </c>
      <c r="P283" s="169" t="e">
        <f>IF(#REF!&lt;100,"",#REF!-520)</f>
        <v>#REF!</v>
      </c>
      <c r="Q283" s="169" t="e">
        <f>IF(#REF!&lt;100,"",#REF!-520)</f>
        <v>#REF!</v>
      </c>
      <c r="R283" s="169" t="e">
        <f>IF(#REF!&lt;100,"",#REF!-520)</f>
        <v>#REF!</v>
      </c>
      <c r="S283" s="169" t="e">
        <f>IF(#REF!&lt;100,"",#REF!-520)</f>
        <v>#REF!</v>
      </c>
      <c r="T283" s="169" t="e">
        <f>IF(#REF!&lt;100,"",#REF!-520)</f>
        <v>#REF!</v>
      </c>
      <c r="U283" s="169" t="e">
        <f>IF(#REF!&lt;100,"",#REF!-520)</f>
        <v>#REF!</v>
      </c>
      <c r="V283" s="169" t="e">
        <f>IF(#REF!&lt;100,"",#REF!-520)</f>
        <v>#REF!</v>
      </c>
      <c r="W283" s="169" t="e">
        <f>IF(#REF!&lt;100,"",#REF!-520)</f>
        <v>#REF!</v>
      </c>
      <c r="X283" s="169" t="e">
        <f>IF(#REF!&lt;100,"",#REF!-520)</f>
        <v>#REF!</v>
      </c>
      <c r="Y283" s="169" t="e">
        <f>IF(#REF!&lt;100,"",#REF!-520)</f>
        <v>#REF!</v>
      </c>
      <c r="Z283" s="169" t="e">
        <f>IF(#REF!&lt;100,"",#REF!-520)</f>
        <v>#REF!</v>
      </c>
      <c r="AA283" s="169" t="e">
        <f>IF(#REF!&lt;100,"",#REF!-520)</f>
        <v>#REF!</v>
      </c>
      <c r="AB283" s="169" t="e">
        <f>IF(#REF!&lt;100,"",#REF!-520)</f>
        <v>#REF!</v>
      </c>
      <c r="AC283" s="169" t="e">
        <f>IF(#REF!&lt;100,"",#REF!-520)</f>
        <v>#REF!</v>
      </c>
      <c r="AD283" s="169" t="e">
        <f>IF(#REF!&lt;100,"",#REF!-520)</f>
        <v>#REF!</v>
      </c>
      <c r="AE283" s="169" t="e">
        <f>IF(#REF!&lt;100,"",#REF!-520)</f>
        <v>#REF!</v>
      </c>
      <c r="AF283" s="169" t="e">
        <f>IF(#REF!&lt;100,"",#REF!-520)</f>
        <v>#REF!</v>
      </c>
      <c r="AG283" s="43"/>
      <c r="AH283" s="43"/>
    </row>
    <row r="284" spans="1:34" x14ac:dyDescent="0.25">
      <c r="A284" s="169" t="e">
        <f>#REF!</f>
        <v>#REF!</v>
      </c>
      <c r="B284" s="169" t="e">
        <f>IF(#REF!&lt;100,"",#REF!-620)</f>
        <v>#REF!</v>
      </c>
      <c r="C284" s="169" t="e">
        <f>IF(#REF!&lt;100,"",#REF!-620)</f>
        <v>#REF!</v>
      </c>
      <c r="D284" s="169" t="e">
        <f>IF(#REF!&lt;100,"",#REF!-620)</f>
        <v>#REF!</v>
      </c>
      <c r="E284" s="169" t="e">
        <f>IF(#REF!&lt;100,"",#REF!-620)</f>
        <v>#REF!</v>
      </c>
      <c r="F284" s="169" t="e">
        <f>IF(#REF!&lt;100,"",#REF!-620)</f>
        <v>#REF!</v>
      </c>
      <c r="G284" s="169" t="e">
        <f>IF(#REF!&lt;100,"",#REF!-620)</f>
        <v>#REF!</v>
      </c>
      <c r="H284" s="169" t="e">
        <f>IF(#REF!&lt;100,"",#REF!-620)</f>
        <v>#REF!</v>
      </c>
      <c r="I284" s="169" t="e">
        <f>IF(#REF!&lt;100,"",#REF!-620)</f>
        <v>#REF!</v>
      </c>
      <c r="J284" s="169" t="e">
        <f>IF(#REF!&lt;100,"",#REF!-620)</f>
        <v>#REF!</v>
      </c>
      <c r="K284" s="169" t="e">
        <f>IF(#REF!&lt;100,"",#REF!-620)</f>
        <v>#REF!</v>
      </c>
      <c r="L284" s="169" t="e">
        <f>IF(#REF!&lt;100,"",#REF!-620)</f>
        <v>#REF!</v>
      </c>
      <c r="M284" s="169" t="e">
        <f>IF(#REF!&lt;100,"",#REF!-620)</f>
        <v>#REF!</v>
      </c>
      <c r="N284" s="169" t="e">
        <f>IF(#REF!&lt;100,"",#REF!-620)</f>
        <v>#REF!</v>
      </c>
      <c r="O284" s="169" t="e">
        <f>IF(#REF!&lt;100,"",#REF!-620)</f>
        <v>#REF!</v>
      </c>
      <c r="P284" s="169" t="e">
        <f>IF(#REF!&lt;100,"",#REF!-620)</f>
        <v>#REF!</v>
      </c>
      <c r="Q284" s="169" t="e">
        <f>IF(#REF!&lt;100,"",#REF!-620)</f>
        <v>#REF!</v>
      </c>
      <c r="R284" s="169" t="e">
        <f>IF(#REF!&lt;100,"",#REF!-620)</f>
        <v>#REF!</v>
      </c>
      <c r="S284" s="169" t="e">
        <f>IF(#REF!&lt;100,"",#REF!-620)</f>
        <v>#REF!</v>
      </c>
      <c r="T284" s="169" t="e">
        <f>IF(#REF!&lt;100,"",#REF!-620)</f>
        <v>#REF!</v>
      </c>
      <c r="U284" s="169" t="e">
        <f>IF(#REF!&lt;100,"",#REF!-620)</f>
        <v>#REF!</v>
      </c>
      <c r="V284" s="169" t="e">
        <f>IF(#REF!&lt;100,"",#REF!-620)</f>
        <v>#REF!</v>
      </c>
      <c r="W284" s="169" t="e">
        <f>IF(#REF!&lt;100,"",#REF!-620)</f>
        <v>#REF!</v>
      </c>
      <c r="X284" s="169" t="e">
        <f>IF(#REF!&lt;100,"",#REF!-620)</f>
        <v>#REF!</v>
      </c>
      <c r="Y284" s="169" t="e">
        <f>IF(#REF!&lt;100,"",#REF!-620)</f>
        <v>#REF!</v>
      </c>
      <c r="Z284" s="169" t="e">
        <f>IF(#REF!&lt;100,"",#REF!-620)</f>
        <v>#REF!</v>
      </c>
      <c r="AA284" s="169" t="e">
        <f>IF(#REF!&lt;100,"",#REF!-620)</f>
        <v>#REF!</v>
      </c>
      <c r="AB284" s="169" t="e">
        <f>IF(#REF!&lt;100,"",#REF!-620)</f>
        <v>#REF!</v>
      </c>
      <c r="AC284" s="169" t="e">
        <f>IF(#REF!&lt;100,"",#REF!-620)</f>
        <v>#REF!</v>
      </c>
      <c r="AD284" s="169" t="e">
        <f>IF(#REF!&lt;100,"",#REF!-620)</f>
        <v>#REF!</v>
      </c>
      <c r="AE284" s="169" t="e">
        <f>IF(#REF!&lt;100,"",#REF!-620)</f>
        <v>#REF!</v>
      </c>
      <c r="AF284" s="169" t="e">
        <f>IF(#REF!&lt;100,"",#REF!-620)</f>
        <v>#REF!</v>
      </c>
      <c r="AG284" s="43"/>
      <c r="AH284" s="43"/>
    </row>
    <row r="285" spans="1:34" x14ac:dyDescent="0.25">
      <c r="A285" s="169" t="e">
        <f>#REF!</f>
        <v>#REF!</v>
      </c>
      <c r="B285" s="169" t="e">
        <f>IF(#REF!&lt;100,"",#REF!-330)</f>
        <v>#REF!</v>
      </c>
      <c r="C285" s="169" t="e">
        <f>IF(#REF!&lt;100,"",#REF!-330)</f>
        <v>#REF!</v>
      </c>
      <c r="D285" s="169" t="e">
        <f>IF(#REF!&lt;100,"",#REF!-330)</f>
        <v>#REF!</v>
      </c>
      <c r="E285" s="169" t="e">
        <f>IF(#REF!&lt;100,"",#REF!-330)</f>
        <v>#REF!</v>
      </c>
      <c r="F285" s="169" t="e">
        <f>IF(#REF!&lt;100,"",#REF!-330)</f>
        <v>#REF!</v>
      </c>
      <c r="G285" s="169" t="e">
        <f>IF(#REF!&lt;100,"",#REF!-330)</f>
        <v>#REF!</v>
      </c>
      <c r="H285" s="169" t="e">
        <f>IF(#REF!&lt;100,"",#REF!-330)</f>
        <v>#REF!</v>
      </c>
      <c r="I285" s="169" t="e">
        <f>IF(#REF!&lt;100,"",#REF!-330)</f>
        <v>#REF!</v>
      </c>
      <c r="J285" s="169" t="e">
        <f>IF(#REF!&lt;100,"",#REF!-330)</f>
        <v>#REF!</v>
      </c>
      <c r="K285" s="169" t="e">
        <f>IF(#REF!&lt;100,"",#REF!-330)</f>
        <v>#REF!</v>
      </c>
      <c r="L285" s="169" t="e">
        <f>IF(#REF!&lt;100,"",#REF!-330)</f>
        <v>#REF!</v>
      </c>
      <c r="M285" s="169" t="e">
        <f>IF(#REF!&lt;100,"",#REF!-330)</f>
        <v>#REF!</v>
      </c>
      <c r="N285" s="169" t="e">
        <f>IF(#REF!&lt;100,"",#REF!-330)</f>
        <v>#REF!</v>
      </c>
      <c r="O285" s="169" t="e">
        <f>IF(#REF!&lt;100,"",#REF!-330)</f>
        <v>#REF!</v>
      </c>
      <c r="P285" s="169" t="e">
        <f>IF(#REF!&lt;100,"",#REF!-330)</f>
        <v>#REF!</v>
      </c>
      <c r="Q285" s="169" t="e">
        <f>IF(#REF!&lt;100,"",#REF!-330)</f>
        <v>#REF!</v>
      </c>
      <c r="R285" s="169" t="e">
        <f>IF(#REF!&lt;100,"",#REF!-330)</f>
        <v>#REF!</v>
      </c>
      <c r="S285" s="169" t="e">
        <f>IF(#REF!&lt;100,"",#REF!-330)</f>
        <v>#REF!</v>
      </c>
      <c r="T285" s="169" t="e">
        <f>IF(#REF!&lt;100,"",#REF!-330)</f>
        <v>#REF!</v>
      </c>
      <c r="U285" s="169" t="e">
        <f>IF(#REF!&lt;100,"",#REF!-330)</f>
        <v>#REF!</v>
      </c>
      <c r="V285" s="169" t="e">
        <f>IF(#REF!&lt;100,"",#REF!-330)</f>
        <v>#REF!</v>
      </c>
      <c r="W285" s="169" t="e">
        <f>IF(#REF!&lt;100,"",#REF!-330)</f>
        <v>#REF!</v>
      </c>
      <c r="X285" s="169" t="e">
        <f>IF(#REF!&lt;100,"",#REF!-330)</f>
        <v>#REF!</v>
      </c>
      <c r="Y285" s="169" t="e">
        <f>IF(#REF!&lt;100,"",#REF!-330)</f>
        <v>#REF!</v>
      </c>
      <c r="Z285" s="169" t="e">
        <f>IF(#REF!&lt;100,"",#REF!-330)</f>
        <v>#REF!</v>
      </c>
      <c r="AA285" s="169" t="e">
        <f>IF(#REF!&lt;100,"",#REF!-330)</f>
        <v>#REF!</v>
      </c>
      <c r="AB285" s="169" t="e">
        <f>IF(#REF!&lt;100,"",#REF!-330)</f>
        <v>#REF!</v>
      </c>
      <c r="AC285" s="169" t="e">
        <f>IF(#REF!&lt;100,"",#REF!-330)</f>
        <v>#REF!</v>
      </c>
      <c r="AD285" s="169" t="e">
        <f>IF(#REF!&lt;100,"",#REF!-330)</f>
        <v>#REF!</v>
      </c>
      <c r="AE285" s="169" t="e">
        <f>IF(#REF!&lt;100,"",#REF!-330)</f>
        <v>#REF!</v>
      </c>
      <c r="AF285" s="169" t="e">
        <f>IF(#REF!&lt;100,"",#REF!-330)</f>
        <v>#REF!</v>
      </c>
      <c r="AG285" s="43"/>
      <c r="AH285" s="43"/>
    </row>
    <row r="286" spans="1:34" x14ac:dyDescent="0.25">
      <c r="A286" s="169" t="e">
        <f>#REF!</f>
        <v>#REF!</v>
      </c>
      <c r="B286" s="169" t="e">
        <f>IF(#REF!&lt;100,"",#REF!-1500)</f>
        <v>#REF!</v>
      </c>
      <c r="C286" s="169" t="e">
        <f>IF(#REF!&lt;100,"",#REF!-1500)</f>
        <v>#REF!</v>
      </c>
      <c r="D286" s="169" t="e">
        <f>IF(#REF!&lt;100,"",#REF!-1500)</f>
        <v>#REF!</v>
      </c>
      <c r="E286" s="169" t="e">
        <f>IF(#REF!&lt;100,"",#REF!-1500)</f>
        <v>#REF!</v>
      </c>
      <c r="F286" s="169" t="e">
        <f>IF(#REF!&lt;100,"",#REF!-1500)</f>
        <v>#REF!</v>
      </c>
      <c r="G286" s="169" t="e">
        <f>IF(#REF!&lt;100,"",#REF!-1500)</f>
        <v>#REF!</v>
      </c>
      <c r="H286" s="169" t="e">
        <f>IF(#REF!&lt;100,"",#REF!-1500)</f>
        <v>#REF!</v>
      </c>
      <c r="I286" s="169" t="e">
        <f>IF(#REF!&lt;100,"",#REF!-1500)</f>
        <v>#REF!</v>
      </c>
      <c r="J286" s="169" t="e">
        <f>IF(#REF!&lt;100,"",#REF!-1500)</f>
        <v>#REF!</v>
      </c>
      <c r="K286" s="169" t="e">
        <f>IF(#REF!&lt;100,"",#REF!-1500)</f>
        <v>#REF!</v>
      </c>
      <c r="L286" s="169" t="e">
        <f>IF(#REF!&lt;100,"",#REF!-1500)</f>
        <v>#REF!</v>
      </c>
      <c r="M286" s="169" t="e">
        <f>IF(#REF!&lt;100,"",#REF!-1500)</f>
        <v>#REF!</v>
      </c>
      <c r="N286" s="169" t="e">
        <f>IF(#REF!&lt;100,"",#REF!-1500)</f>
        <v>#REF!</v>
      </c>
      <c r="O286" s="169" t="e">
        <f>IF(#REF!&lt;100,"",#REF!-1500)</f>
        <v>#REF!</v>
      </c>
      <c r="P286" s="169" t="e">
        <f>IF(#REF!&lt;100,"",#REF!-1500)</f>
        <v>#REF!</v>
      </c>
      <c r="Q286" s="169" t="e">
        <f>IF(#REF!&lt;100,"",#REF!-1500)</f>
        <v>#REF!</v>
      </c>
      <c r="R286" s="169" t="e">
        <f>IF(#REF!&lt;100,"",#REF!-1500)</f>
        <v>#REF!</v>
      </c>
      <c r="S286" s="169" t="e">
        <f>IF(#REF!&lt;100,"",#REF!-1500)</f>
        <v>#REF!</v>
      </c>
      <c r="T286" s="169" t="e">
        <f>IF(#REF!&lt;100,"",#REF!-1500)</f>
        <v>#REF!</v>
      </c>
      <c r="U286" s="169" t="e">
        <f>IF(#REF!&lt;100,"",#REF!-1500)</f>
        <v>#REF!</v>
      </c>
      <c r="V286" s="169" t="e">
        <f>IF(#REF!&lt;100,"",#REF!-1500)</f>
        <v>#REF!</v>
      </c>
      <c r="W286" s="169" t="e">
        <f>IF(#REF!&lt;100,"",#REF!-1500)</f>
        <v>#REF!</v>
      </c>
      <c r="X286" s="169" t="e">
        <f>IF(#REF!&lt;100,"",#REF!-1500)</f>
        <v>#REF!</v>
      </c>
      <c r="Y286" s="169" t="e">
        <f>IF(#REF!&lt;100,"",#REF!-1500)</f>
        <v>#REF!</v>
      </c>
      <c r="Z286" s="169" t="e">
        <f>IF(#REF!&lt;100,"",#REF!-1500)</f>
        <v>#REF!</v>
      </c>
      <c r="AA286" s="169" t="e">
        <f>IF(#REF!&lt;100,"",#REF!-1500)</f>
        <v>#REF!</v>
      </c>
      <c r="AB286" s="169" t="e">
        <f>IF(#REF!&lt;100,"",#REF!-1500)</f>
        <v>#REF!</v>
      </c>
      <c r="AC286" s="169" t="e">
        <f>IF(#REF!&lt;100,"",#REF!-1500)</f>
        <v>#REF!</v>
      </c>
      <c r="AD286" s="169" t="e">
        <f>IF(#REF!&lt;100,"",#REF!-1500)</f>
        <v>#REF!</v>
      </c>
      <c r="AE286" s="169" t="e">
        <f>IF(#REF!&lt;100,"",#REF!-1500)</f>
        <v>#REF!</v>
      </c>
      <c r="AF286" s="169" t="e">
        <f>IF(#REF!&lt;100,"",#REF!-1500)</f>
        <v>#REF!</v>
      </c>
      <c r="AG286" s="43"/>
      <c r="AH286" s="43"/>
    </row>
    <row r="287" spans="1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1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2:34" x14ac:dyDescent="0.25"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2:34" x14ac:dyDescent="0.25"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2:34" x14ac:dyDescent="0.25"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2:34" x14ac:dyDescent="0.25"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2:34" x14ac:dyDescent="0.25"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1786" priority="1">
      <formula>$AH11=0</formula>
    </cfRule>
  </conditionalFormatting>
  <conditionalFormatting sqref="A132:A253">
    <cfRule type="expression" dxfId="1785" priority="6">
      <formula>$AH132=0</formula>
    </cfRule>
  </conditionalFormatting>
  <conditionalFormatting sqref="B8 M8 S8 AB8">
    <cfRule type="expression" dxfId="1784" priority="115">
      <formula>AND(C$9&gt;=8/24,C$9&lt;14/24)</formula>
    </cfRule>
    <cfRule type="expression" dxfId="1783" priority="114">
      <formula>AND(C$9&gt;=14/24,C$9&lt;20/24)</formula>
    </cfRule>
    <cfRule type="expression" dxfId="1782" priority="116">
      <formula>C$9&lt;8/24</formula>
    </cfRule>
  </conditionalFormatting>
  <conditionalFormatting sqref="B63:I74 J64:J74 K68:K74 K69:L71 L69:M74">
    <cfRule type="expression" dxfId="1781" priority="24">
      <formula>B$9&lt;8/24</formula>
    </cfRule>
    <cfRule type="expression" dxfId="1780" priority="21">
      <formula>B$9&gt;=20/24</formula>
    </cfRule>
    <cfRule type="expression" dxfId="1779" priority="22">
      <formula>AND(B$9&gt;=14/24,B$9&lt;20/24)</formula>
    </cfRule>
    <cfRule type="expression" dxfId="1778" priority="23">
      <formula>AND(B$9&gt;=8/24,B$9&lt;14/24)</formula>
    </cfRule>
  </conditionalFormatting>
  <conditionalFormatting sqref="B9:AF52">
    <cfRule type="expression" dxfId="1777" priority="27">
      <formula>AND(B$9&gt;=14/24,B$9&lt;20/24)</formula>
    </cfRule>
    <cfRule type="expression" dxfId="1776" priority="28">
      <formula>AND(B$9&gt;=8/24,B$9&lt;14/24)</formula>
    </cfRule>
    <cfRule type="expression" dxfId="1775" priority="29">
      <formula>B$9&lt;8/24</formula>
    </cfRule>
    <cfRule type="expression" dxfId="1774" priority="26">
      <formula>B$9&gt;=20/24</formula>
    </cfRule>
  </conditionalFormatting>
  <conditionalFormatting sqref="B11:AF54">
    <cfRule type="expression" dxfId="1773" priority="15">
      <formula>B11&gt;$AG11</formula>
    </cfRule>
  </conditionalFormatting>
  <conditionalFormatting sqref="B53:AF54">
    <cfRule type="expression" dxfId="1772" priority="13">
      <formula>AND(B$9&gt;=8/24,B$9&lt;14/24)</formula>
    </cfRule>
    <cfRule type="expression" dxfId="1771" priority="11">
      <formula>B$9&gt;=20/24</formula>
    </cfRule>
    <cfRule type="expression" dxfId="1770" priority="12">
      <formula>AND(B$9&gt;=14/24,B$9&lt;20/24)</formula>
    </cfRule>
    <cfRule type="expression" dxfId="1769" priority="14">
      <formula>B$9&lt;8/24</formula>
    </cfRule>
  </conditionalFormatting>
  <conditionalFormatting sqref="B55:AF55">
    <cfRule type="expression" dxfId="1768" priority="35">
      <formula>B55&gt;$AG55</formula>
    </cfRule>
  </conditionalFormatting>
  <conditionalFormatting sqref="B55:AF57">
    <cfRule type="expression" dxfId="1767" priority="34">
      <formula>B$9&lt;8/24</formula>
    </cfRule>
    <cfRule type="expression" dxfId="1766" priority="33">
      <formula>AND(B$9&gt;=8/24,B$9&lt;14/24)</formula>
    </cfRule>
    <cfRule type="expression" dxfId="1765" priority="32">
      <formula>AND(B$9&gt;=14/24,B$9&lt;20/24)</formula>
    </cfRule>
    <cfRule type="expression" dxfId="1764" priority="31">
      <formula>B$9&gt;=20/24</formula>
    </cfRule>
  </conditionalFormatting>
  <conditionalFormatting sqref="B56:AF61">
    <cfRule type="expression" dxfId="1763" priority="30">
      <formula>B56&gt;$AG56</formula>
    </cfRule>
  </conditionalFormatting>
  <conditionalFormatting sqref="B59:AF61">
    <cfRule type="expression" dxfId="1762" priority="41">
      <formula>B$9&gt;=20/24</formula>
    </cfRule>
    <cfRule type="expression" dxfId="1761" priority="42">
      <formula>AND(B$9&gt;=14/24,B$9&lt;20/24)</formula>
    </cfRule>
    <cfRule type="expression" dxfId="1760" priority="44">
      <formula>B$9&lt;8/24</formula>
    </cfRule>
    <cfRule type="expression" dxfId="1759" priority="43">
      <formula>AND(B$9&gt;=8/24,B$9&lt;14/24)</formula>
    </cfRule>
  </conditionalFormatting>
  <conditionalFormatting sqref="B63:AF74">
    <cfRule type="expression" dxfId="1758" priority="20">
      <formula>B63&gt;$AG63</formula>
    </cfRule>
  </conditionalFormatting>
  <conditionalFormatting sqref="B77:AF79">
    <cfRule type="expression" dxfId="1757" priority="47">
      <formula>AND(B$9&gt;=14/24,B$9&lt;20/24)</formula>
    </cfRule>
    <cfRule type="expression" dxfId="1756" priority="48">
      <formula>AND(B$9&gt;=8/24,B$9&lt;14/24)</formula>
    </cfRule>
    <cfRule type="expression" dxfId="1755" priority="49">
      <formula>B$9&lt;8/24</formula>
    </cfRule>
    <cfRule type="expression" dxfId="1754" priority="45">
      <formula>B77&gt;$AG77</formula>
    </cfRule>
    <cfRule type="expression" dxfId="1753" priority="46">
      <formula>B$9&gt;=20/24</formula>
    </cfRule>
  </conditionalFormatting>
  <conditionalFormatting sqref="B81:AF99">
    <cfRule type="expression" dxfId="1752" priority="19">
      <formula>B$9&lt;8/24</formula>
    </cfRule>
    <cfRule type="expression" dxfId="1751" priority="18">
      <formula>AND(B$9&gt;=8/24,B$9&lt;14/24)</formula>
    </cfRule>
    <cfRule type="expression" dxfId="1750" priority="17">
      <formula>AND(B$9&gt;=14/24,B$9&lt;20/24)</formula>
    </cfRule>
    <cfRule type="expression" dxfId="1749" priority="16">
      <formula>B$9&gt;=20/24</formula>
    </cfRule>
  </conditionalFormatting>
  <conditionalFormatting sqref="B101:AF117">
    <cfRule type="expression" dxfId="1748" priority="7">
      <formula>B$9&gt;=20/24</formula>
    </cfRule>
    <cfRule type="expression" dxfId="1747" priority="8">
      <formula>AND(B$9&gt;=14/24,B$9&lt;20/24)</formula>
    </cfRule>
    <cfRule type="expression" dxfId="1746" priority="10">
      <formula>B$9&lt;8/24</formula>
    </cfRule>
    <cfRule type="expression" dxfId="1745" priority="9">
      <formula>AND(B$9&gt;=8/24,B$9&lt;14/24)</formula>
    </cfRule>
  </conditionalFormatting>
  <conditionalFormatting sqref="B119:AF137">
    <cfRule type="expression" dxfId="1744" priority="2">
      <formula>B$9&gt;=20/24</formula>
    </cfRule>
    <cfRule type="expression" dxfId="1743" priority="3">
      <formula>AND(B$9&gt;=14/24,B$9&lt;20/24)</formula>
    </cfRule>
    <cfRule type="expression" dxfId="1742" priority="4">
      <formula>AND(B$9&gt;=8/24,B$9&lt;14/24)</formula>
    </cfRule>
    <cfRule type="expression" dxfId="1741" priority="5">
      <formula>B$9&lt;8/24</formula>
    </cfRule>
  </conditionalFormatting>
  <conditionalFormatting sqref="B244:AF244 B246:B252 D246:AF252 U260:AF260">
    <cfRule type="expression" dxfId="1740" priority="108">
      <formula>AND(B$9&gt;=14/24,B$9&lt;20/24)</formula>
    </cfRule>
    <cfRule type="expression" dxfId="1739" priority="107">
      <formula>B$9&gt;=20/24</formula>
    </cfRule>
    <cfRule type="expression" dxfId="1738" priority="109">
      <formula>AND(B$9&gt;=8/24,B$9&lt;14/24)</formula>
    </cfRule>
    <cfRule type="expression" dxfId="1737" priority="110">
      <formula>B$9&lt;8/24</formula>
    </cfRule>
  </conditionalFormatting>
  <conditionalFormatting sqref="B62:AG62">
    <cfRule type="expression" dxfId="1736" priority="50">
      <formula>B62&gt;$AG62</formula>
    </cfRule>
    <cfRule type="expression" dxfId="1735" priority="51">
      <formula>B$9&gt;=20/24</formula>
    </cfRule>
    <cfRule type="expression" dxfId="1734" priority="52">
      <formula>AND(B$9&gt;=14/24,B$9&lt;20/24)</formula>
    </cfRule>
    <cfRule type="expression" dxfId="1733" priority="53">
      <formula>AND(B$9&gt;=8/24,B$9&lt;14/24)</formula>
    </cfRule>
    <cfRule type="expression" dxfId="1732" priority="54">
      <formula>B$9&lt;8/24</formula>
    </cfRule>
  </conditionalFormatting>
  <conditionalFormatting sqref="B75:AG76 B80:AG80">
    <cfRule type="expression" dxfId="1731" priority="36">
      <formula>B75&gt;$AG75</formula>
    </cfRule>
  </conditionalFormatting>
  <conditionalFormatting sqref="B80:AG80">
    <cfRule type="expression" dxfId="1730" priority="38">
      <formula>AND(B$9&gt;=14/24,B$9&lt;20/24)</formula>
    </cfRule>
    <cfRule type="expression" dxfId="1729" priority="37">
      <formula>B$9&gt;=20/24</formula>
    </cfRule>
    <cfRule type="expression" dxfId="1728" priority="39">
      <formula>AND(B$9&gt;=8/24,B$9&lt;14/24)</formula>
    </cfRule>
    <cfRule type="expression" dxfId="1727" priority="40">
      <formula>B$9&lt;8/24</formula>
    </cfRule>
  </conditionalFormatting>
  <conditionalFormatting sqref="F63:L65">
    <cfRule type="expression" dxfId="1726" priority="88">
      <formula>F$9&gt;=20/24</formula>
    </cfRule>
    <cfRule type="expression" dxfId="1725" priority="89">
      <formula>AND(F$9&gt;=14/24,F$9&lt;20/24)</formula>
    </cfRule>
    <cfRule type="expression" dxfId="1724" priority="90">
      <formula>AND(F$9&gt;=8/24,F$9&lt;14/24)</formula>
    </cfRule>
    <cfRule type="expression" dxfId="1723" priority="91">
      <formula>F$9&lt;8/24</formula>
    </cfRule>
  </conditionalFormatting>
  <conditionalFormatting sqref="F68:AF68">
    <cfRule type="expression" dxfId="1722" priority="65">
      <formula>F$9&gt;=20/24</formula>
    </cfRule>
    <cfRule type="expression" dxfId="1721" priority="66">
      <formula>AND(F$9&gt;=14/24,F$9&lt;20/24)</formula>
    </cfRule>
    <cfRule type="expression" dxfId="1720" priority="67">
      <formula>AND(F$9&gt;=8/24,F$9&lt;14/24)</formula>
    </cfRule>
    <cfRule type="expression" dxfId="1719" priority="68">
      <formula>F$9&lt;8/24</formula>
    </cfRule>
  </conditionalFormatting>
  <conditionalFormatting sqref="F69:AF74">
    <cfRule type="expression" dxfId="1718" priority="55">
      <formula>F$9&gt;=20/24</formula>
    </cfRule>
    <cfRule type="expression" dxfId="1717" priority="56">
      <formula>AND(F$9&gt;=14/24,F$9&lt;20/24)</formula>
    </cfRule>
    <cfRule type="expression" dxfId="1716" priority="57">
      <formula>AND(F$9&gt;=8/24,F$9&lt;14/24)</formula>
    </cfRule>
    <cfRule type="expression" dxfId="1715" priority="58">
      <formula>F$9&lt;8/24</formula>
    </cfRule>
  </conditionalFormatting>
  <conditionalFormatting sqref="M63:AA67">
    <cfRule type="expression" dxfId="1714" priority="93">
      <formula>AND(M$9&gt;=14/24,M$9&lt;20/24)</formula>
    </cfRule>
    <cfRule type="expression" dxfId="1713" priority="92">
      <formula>M$9&gt;=20/24</formula>
    </cfRule>
    <cfRule type="expression" dxfId="1712" priority="94">
      <formula>AND(M$9&gt;=8/24,M$9&lt;14/24)</formula>
    </cfRule>
    <cfRule type="expression" dxfId="1711" priority="95">
      <formula>M$9&lt;8/24</formula>
    </cfRule>
  </conditionalFormatting>
  <conditionalFormatting sqref="O3:P3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1710" priority="113">
      <formula>C$9&gt;=20/24</formula>
    </cfRule>
  </conditionalFormatting>
  <conditionalFormatting sqref="S8">
    <cfRule type="expression" dxfId="1709" priority="100">
      <formula>U$9&gt;=20/24</formula>
    </cfRule>
    <cfRule type="expression" dxfId="1708" priority="103">
      <formula>U$9&lt;8/24</formula>
    </cfRule>
    <cfRule type="expression" dxfId="1707" priority="102">
      <formula>AND(U$9&gt;=8/24,U$9&lt;14/24)</formula>
    </cfRule>
    <cfRule type="expression" dxfId="1706" priority="101">
      <formula>AND(U$9&gt;=14/24,U$9&lt;20/24)</formula>
    </cfRule>
  </conditionalFormatting>
  <conditionalFormatting sqref="T260">
    <cfRule type="expression" dxfId="1705" priority="128">
      <formula>AX$9&lt;8/24</formula>
    </cfRule>
    <cfRule type="expression" dxfId="1704" priority="125">
      <formula>AX$9&gt;=20/24</formula>
    </cfRule>
    <cfRule type="expression" dxfId="1703" priority="126">
      <formula>AND(AX$9&gt;=14/24,AX$9&lt;20/24)</formula>
    </cfRule>
    <cfRule type="expression" dxfId="1702" priority="127">
      <formula>AND(AX$9&gt;=8/24,AX$9&lt;14/24)</formula>
    </cfRule>
  </conditionalFormatting>
  <conditionalFormatting sqref="T63:AF68">
    <cfRule type="expression" dxfId="1701" priority="59">
      <formula>T$9&gt;=20/24</formula>
    </cfRule>
    <cfRule type="expression" dxfId="1700" priority="60">
      <formula>AND(T$9&gt;=14/24,T$9&lt;20/24)</formula>
    </cfRule>
    <cfRule type="expression" dxfId="1699" priority="61">
      <formula>AND(T$9&gt;=8/24,T$9&lt;14/24)</formula>
    </cfRule>
    <cfRule type="expression" dxfId="1698" priority="62">
      <formula>T$9&lt;8/24</formula>
    </cfRule>
  </conditionalFormatting>
  <conditionalFormatting sqref="V3 AB3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1697" priority="97">
      <formula>AND(AD$9&gt;=14/24,AD$9&lt;20/24)</formula>
    </cfRule>
    <cfRule type="expression" dxfId="1696" priority="96">
      <formula>AD$9&gt;=20/24</formula>
    </cfRule>
    <cfRule type="expression" dxfId="1695" priority="99">
      <formula>AD$9&lt;8/24</formula>
    </cfRule>
    <cfRule type="expression" dxfId="1694" priority="98">
      <formula>AND(AD$9&gt;=8/24,AD$9&lt;14/24)</formula>
    </cfRule>
  </conditionalFormatting>
  <conditionalFormatting sqref="AG58">
    <cfRule type="expression" dxfId="1693" priority="83">
      <formula>AG58&gt;$AG58</formula>
    </cfRule>
  </conditionalFormatting>
  <conditionalFormatting sqref="AG97">
    <cfRule type="expression" dxfId="1692" priority="86">
      <formula>AND(AG$9&gt;=8/24,AG$9&lt;14/24)</formula>
    </cfRule>
    <cfRule type="expression" dxfId="1691" priority="87">
      <formula>AG$9&lt;8/24</formula>
    </cfRule>
    <cfRule type="expression" dxfId="1690" priority="85">
      <formula>AND(AG$9&gt;=14/24,AG$9&lt;20/24)</formula>
    </cfRule>
    <cfRule type="expression" dxfId="1689" priority="84">
      <formula>AG$9&gt;=20/24</formula>
    </cfRule>
  </conditionalFormatting>
  <conditionalFormatting sqref="AG260">
    <cfRule type="expression" dxfId="1688" priority="117">
      <formula>B$9&gt;=20/24</formula>
    </cfRule>
    <cfRule type="expression" dxfId="1687" priority="118">
      <formula>AND(B$9&gt;=14/24,B$9&lt;20/24)</formula>
    </cfRule>
    <cfRule type="expression" dxfId="1686" priority="119">
      <formula>AND(B$9&gt;=8/24,B$9&lt;14/24)</formula>
    </cfRule>
    <cfRule type="expression" dxfId="1685" priority="120">
      <formula>B$9&lt;8/24</formula>
    </cfRule>
  </conditionalFormatting>
  <conditionalFormatting sqref="AH260:AX260">
    <cfRule type="expression" dxfId="1684" priority="121">
      <formula>AG$9&gt;=20/24</formula>
    </cfRule>
    <cfRule type="expression" dxfId="1683" priority="122">
      <formula>AND(AG$9&gt;=14/24,AG$9&lt;20/24)</formula>
    </cfRule>
    <cfRule type="expression" dxfId="1682" priority="123">
      <formula>AND(AG$9&gt;=8/24,AG$9&lt;14/24)</formula>
    </cfRule>
    <cfRule type="expression" dxfId="1681" priority="124">
      <formula>AG$9&lt;8/24</formula>
    </cfRule>
  </conditionalFormatting>
  <conditionalFormatting sqref="AL4:AL6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19:AL20">
    <cfRule type="iconSet" priority="71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8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70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8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82">
      <iconSet iconSet="3TrafficLights2" reverse="1">
        <cfvo type="percent" val="0"/>
        <cfvo type="num" val="1"/>
        <cfvo type="num" val="1"/>
      </iconSet>
    </cfRule>
  </conditionalFormatting>
  <conditionalFormatting sqref="AL48 AL45:AL46 AL21:AL24 AL7:AL18 AL26:AL37 AL39:AL43 AL54:AL55">
    <cfRule type="iconSet" priority="129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04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69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1680" priority="130">
      <formula>AJ$9&gt;=20/24</formula>
    </cfRule>
    <cfRule type="expression" dxfId="1679" priority="131">
      <formula>AND(AJ$9&gt;=14/24,AJ$9&lt;20/24)</formula>
    </cfRule>
    <cfRule type="expression" dxfId="1678" priority="132">
      <formula>AND(AJ$9&gt;=8/24,AJ$9&lt;14/24)</formula>
    </cfRule>
    <cfRule type="expression" dxfId="1677" priority="133">
      <formula>AJ$9&lt;8/24</formula>
    </cfRule>
  </conditionalFormatting>
  <conditionalFormatting sqref="AL88:AN88 AL94:AN94">
    <cfRule type="expression" dxfId="1676" priority="76">
      <formula>AL$9&gt;=20/24</formula>
    </cfRule>
    <cfRule type="expression" dxfId="1675" priority="77">
      <formula>AND(AL$9&gt;=14/24,AL$9&lt;20/24)</formula>
    </cfRule>
    <cfRule type="expression" dxfId="1674" priority="78">
      <formula>AND(AL$9&gt;=8/24,AL$9&lt;14/24)</formula>
    </cfRule>
    <cfRule type="expression" dxfId="1673" priority="79">
      <formula>AL$9&lt;8/24</formula>
    </cfRule>
  </conditionalFormatting>
  <conditionalFormatting sqref="AN89:AN92">
    <cfRule type="expression" dxfId="1672" priority="72">
      <formula>AN$9&gt;=20/24</formula>
    </cfRule>
    <cfRule type="expression" dxfId="1671" priority="73">
      <formula>AND(AN$9&gt;=14/24,AN$9&lt;20/24)</formula>
    </cfRule>
    <cfRule type="expression" dxfId="1670" priority="74">
      <formula>AND(AN$9&gt;=8/24,AN$9&lt;14/24)</formula>
    </cfRule>
    <cfRule type="expression" dxfId="1669" priority="75">
      <formula>AN$9&lt;8/24</formula>
    </cfRule>
  </conditionalFormatting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91F66-8E60-48BB-8A63-CAAB5126F186}">
  <sheetPr codeName="Sheet13"/>
  <dimension ref="A1:CJ293"/>
  <sheetViews>
    <sheetView zoomScale="90" zoomScaleNormal="90" workbookViewId="0">
      <pane xSplit="1" ySplit="10" topLeftCell="I76" activePane="bottomRight" state="frozen"/>
      <selection activeCell="P118" sqref="P118"/>
      <selection pane="topRight" activeCell="P118" sqref="P118"/>
      <selection pane="bottomLeft" activeCell="P118" sqref="P118"/>
      <selection pane="bottomRight" activeCell="I81" sqref="I81:AF81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5" width="9.140625" style="1" customWidth="1"/>
    <col min="6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hidden="1" customHeight="1" thickBot="1" x14ac:dyDescent="0.3">
      <c r="A1" s="275" t="s">
        <v>0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  <c r="AD1" s="275"/>
      <c r="AE1" s="275"/>
      <c r="AF1" s="275"/>
      <c r="AG1" s="276" t="s">
        <v>1</v>
      </c>
      <c r="AH1" s="276"/>
      <c r="AI1" s="276"/>
      <c r="AL1" s="2"/>
    </row>
    <row r="2" spans="1:88" ht="20.25" hidden="1" x14ac:dyDescent="0.25">
      <c r="A2" s="3"/>
      <c r="B2" s="277" t="s">
        <v>2</v>
      </c>
      <c r="C2" s="4"/>
      <c r="D2" s="279" t="s">
        <v>3</v>
      </c>
      <c r="E2" s="4"/>
      <c r="F2" s="279" t="s">
        <v>4</v>
      </c>
      <c r="G2" s="4"/>
      <c r="H2" s="279" t="s">
        <v>5</v>
      </c>
      <c r="I2" s="5"/>
      <c r="J2" s="281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78"/>
      <c r="C3" s="16"/>
      <c r="D3" s="280"/>
      <c r="E3" s="16"/>
      <c r="F3" s="280"/>
      <c r="G3" s="16"/>
      <c r="H3" s="280"/>
      <c r="I3" s="17"/>
      <c r="J3" s="281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70" t="str">
        <f ca="1">"2080/"&amp;"10/"&amp;INT(MID(CELL("filename",D6),FIND("]",CELL("filename",D6))+1,200))</f>
        <v>2080/10/12</v>
      </c>
      <c r="C4" s="270"/>
      <c r="D4" s="270"/>
      <c r="E4" s="271" t="str">
        <f ca="1">"2080/"&amp;"10/"&amp;INT(MID(CELL("filename",G6),FIND("]",CELL("filename",G6))+1,200))</f>
        <v>2080/10/12</v>
      </c>
      <c r="F4" s="271"/>
      <c r="G4" s="271"/>
      <c r="H4" s="271" t="str">
        <f ca="1">TEXT(E4,"dddd")</f>
        <v>Saturday</v>
      </c>
      <c r="I4" s="271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C92</f>
        <v>514.79999999999995</v>
      </c>
      <c r="C5" s="30">
        <f t="shared" si="0"/>
        <v>488</v>
      </c>
      <c r="D5" s="30">
        <f t="shared" si="0"/>
        <v>505.8</v>
      </c>
      <c r="E5" s="30">
        <f t="shared" si="0"/>
        <v>501.59999999999997</v>
      </c>
      <c r="F5" s="30">
        <f t="shared" si="0"/>
        <v>481.2</v>
      </c>
      <c r="G5" s="30">
        <f t="shared" si="0"/>
        <v>492.7</v>
      </c>
      <c r="H5" s="30">
        <f t="shared" si="0"/>
        <v>532.6</v>
      </c>
      <c r="I5" s="30">
        <f t="shared" si="0"/>
        <v>496</v>
      </c>
      <c r="J5" s="30">
        <f t="shared" si="0"/>
        <v>361</v>
      </c>
      <c r="K5" s="30">
        <f t="shared" si="0"/>
        <v>207.9</v>
      </c>
      <c r="L5" s="30">
        <f t="shared" si="0"/>
        <v>235</v>
      </c>
      <c r="M5" s="30">
        <f t="shared" si="0"/>
        <v>292.5</v>
      </c>
      <c r="N5" s="30">
        <f t="shared" si="0"/>
        <v>302.89999999999998</v>
      </c>
      <c r="O5" s="30">
        <f t="shared" si="0"/>
        <v>499.4</v>
      </c>
      <c r="P5" s="30">
        <f t="shared" si="0"/>
        <v>584.5</v>
      </c>
      <c r="Q5" s="30">
        <f t="shared" si="0"/>
        <v>712.7</v>
      </c>
      <c r="R5" s="30">
        <f t="shared" si="0"/>
        <v>748</v>
      </c>
      <c r="S5" s="30">
        <f t="shared" si="0"/>
        <v>734.5</v>
      </c>
      <c r="T5" s="30">
        <f t="shared" si="0"/>
        <v>722.80000000000007</v>
      </c>
      <c r="U5" s="30">
        <f t="shared" si="0"/>
        <v>570</v>
      </c>
      <c r="V5" s="30">
        <f t="shared" si="0"/>
        <v>554</v>
      </c>
      <c r="W5" s="30">
        <f t="shared" si="0"/>
        <v>467</v>
      </c>
      <c r="X5" s="30">
        <f t="shared" si="0"/>
        <v>447.1</v>
      </c>
      <c r="Y5" s="30">
        <f t="shared" si="0"/>
        <v>431.20000000000005</v>
      </c>
      <c r="Z5" s="30">
        <f t="shared" si="0"/>
        <v>452.5</v>
      </c>
      <c r="AA5" s="30">
        <f t="shared" si="0"/>
        <v>396</v>
      </c>
      <c r="AB5" s="30">
        <f t="shared" si="0"/>
        <v>540</v>
      </c>
      <c r="AC5" s="30">
        <f t="shared" si="0"/>
        <v>566.70000000000005</v>
      </c>
      <c r="AD5" s="30">
        <f t="shared" si="0"/>
        <v>619.5</v>
      </c>
      <c r="AE5" s="30">
        <f t="shared" si="0"/>
        <v>626.1</v>
      </c>
      <c r="AF5" s="30">
        <f>B92</f>
        <v>537.20000000000005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1889MW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Load=1184</v>
      </c>
      <c r="B7" s="35">
        <f>B100</f>
        <v>1238.3400000000001</v>
      </c>
      <c r="C7" s="35">
        <f t="shared" ref="C7:AF7" si="1">C100</f>
        <v>1208.2399999999998</v>
      </c>
      <c r="D7" s="35">
        <f t="shared" si="1"/>
        <v>1184.24</v>
      </c>
      <c r="E7" s="35">
        <f t="shared" si="1"/>
        <v>1202.3400000000001</v>
      </c>
      <c r="F7" s="35">
        <f t="shared" si="1"/>
        <v>1185.94</v>
      </c>
      <c r="G7" s="35">
        <f t="shared" si="1"/>
        <v>1255.24</v>
      </c>
      <c r="H7" s="35">
        <f t="shared" si="1"/>
        <v>1340.0400000000002</v>
      </c>
      <c r="I7" s="35">
        <f t="shared" si="1"/>
        <v>1495.74</v>
      </c>
      <c r="J7" s="35">
        <f t="shared" si="1"/>
        <v>1546.3400000000001</v>
      </c>
      <c r="K7" s="35">
        <f t="shared" si="1"/>
        <v>1758.64</v>
      </c>
      <c r="L7" s="35">
        <f t="shared" si="1"/>
        <v>1804.3400000000001</v>
      </c>
      <c r="M7" s="35">
        <f t="shared" si="1"/>
        <v>1888.64</v>
      </c>
      <c r="N7" s="35">
        <f t="shared" si="1"/>
        <v>1740.04</v>
      </c>
      <c r="O7" s="35">
        <f t="shared" si="1"/>
        <v>1703.6399999999999</v>
      </c>
      <c r="P7" s="35">
        <f t="shared" si="1"/>
        <v>1681.1399999999999</v>
      </c>
      <c r="Q7" s="35">
        <f t="shared" si="1"/>
        <v>1600.24</v>
      </c>
      <c r="R7" s="35">
        <f t="shared" si="1"/>
        <v>1558.64</v>
      </c>
      <c r="S7" s="35">
        <f t="shared" si="1"/>
        <v>1587.6399999999999</v>
      </c>
      <c r="T7" s="35">
        <f t="shared" si="1"/>
        <v>1579.84</v>
      </c>
      <c r="U7" s="35">
        <f t="shared" si="1"/>
        <v>1570.94</v>
      </c>
      <c r="V7" s="35">
        <f t="shared" si="1"/>
        <v>1576.7399999999998</v>
      </c>
      <c r="W7" s="35">
        <f t="shared" si="1"/>
        <v>1676.34</v>
      </c>
      <c r="X7" s="35">
        <f t="shared" si="1"/>
        <v>2000.68</v>
      </c>
      <c r="Y7" s="35">
        <f t="shared" si="1"/>
        <v>2030.239</v>
      </c>
      <c r="Z7" s="35">
        <f t="shared" si="1"/>
        <v>2001.739</v>
      </c>
      <c r="AA7" s="35">
        <f t="shared" si="1"/>
        <v>1982.54</v>
      </c>
      <c r="AB7" s="35">
        <f t="shared" si="1"/>
        <v>1915.1399999999999</v>
      </c>
      <c r="AC7" s="35">
        <f t="shared" si="1"/>
        <v>1824.94</v>
      </c>
      <c r="AD7" s="35">
        <f t="shared" si="1"/>
        <v>1703.3400000000001</v>
      </c>
      <c r="AE7" s="35">
        <f t="shared" si="1"/>
        <v>1456.3400000000001</v>
      </c>
      <c r="AF7" s="35">
        <f t="shared" si="1"/>
        <v>1328.74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72" t="s">
        <v>14</v>
      </c>
      <c r="C8" s="273"/>
      <c r="D8" s="273"/>
      <c r="E8" s="273"/>
      <c r="F8" s="273"/>
      <c r="G8" s="273"/>
      <c r="H8" s="273"/>
      <c r="I8" s="273"/>
      <c r="J8" s="273"/>
      <c r="K8" s="273"/>
      <c r="L8" s="274"/>
      <c r="M8" s="265" t="s">
        <v>15</v>
      </c>
      <c r="N8" s="266"/>
      <c r="O8" s="266"/>
      <c r="P8" s="266"/>
      <c r="Q8" s="266"/>
      <c r="R8" s="267"/>
      <c r="S8" s="265" t="s">
        <v>16</v>
      </c>
      <c r="T8" s="266"/>
      <c r="U8" s="266"/>
      <c r="V8" s="266"/>
      <c r="W8" s="266"/>
      <c r="X8" s="266"/>
      <c r="Y8" s="266"/>
      <c r="Z8" s="266"/>
      <c r="AA8" s="267"/>
      <c r="AB8" s="265" t="s">
        <v>17</v>
      </c>
      <c r="AC8" s="266"/>
      <c r="AD8" s="266"/>
      <c r="AE8" s="266"/>
      <c r="AF8" s="267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68" t="s">
        <v>18</v>
      </c>
      <c r="B9" s="264">
        <v>0</v>
      </c>
      <c r="C9" s="264">
        <v>4.1666666666666664E-2</v>
      </c>
      <c r="D9" s="264">
        <v>8.3333333333333301E-2</v>
      </c>
      <c r="E9" s="264">
        <v>0.125</v>
      </c>
      <c r="F9" s="264">
        <v>0.16666666666666699</v>
      </c>
      <c r="G9" s="264">
        <v>0.20833333333333301</v>
      </c>
      <c r="H9" s="264">
        <v>0.22916666666666666</v>
      </c>
      <c r="I9" s="264">
        <v>0.25</v>
      </c>
      <c r="J9" s="264">
        <v>0.27083333333333331</v>
      </c>
      <c r="K9" s="264">
        <v>0.29166666666666669</v>
      </c>
      <c r="L9" s="264">
        <v>0.3125</v>
      </c>
      <c r="M9" s="262">
        <v>0.33333333333333331</v>
      </c>
      <c r="N9" s="262">
        <v>0.375</v>
      </c>
      <c r="O9" s="262">
        <v>0.41666666666666702</v>
      </c>
      <c r="P9" s="262">
        <v>0.45833333333333298</v>
      </c>
      <c r="Q9" s="262">
        <v>0.5</v>
      </c>
      <c r="R9" s="262">
        <v>0.54166666666666696</v>
      </c>
      <c r="S9" s="258">
        <v>0.58333333333333304</v>
      </c>
      <c r="T9" s="258">
        <v>0.625</v>
      </c>
      <c r="U9" s="258">
        <v>0.66666666666666696</v>
      </c>
      <c r="V9" s="258">
        <v>0.70833333333333304</v>
      </c>
      <c r="W9" s="258">
        <v>0.72916666666666663</v>
      </c>
      <c r="X9" s="258">
        <v>0.75</v>
      </c>
      <c r="Y9" s="258">
        <v>0.77083333333333337</v>
      </c>
      <c r="Z9" s="258">
        <v>0.79166666666666663</v>
      </c>
      <c r="AA9" s="258">
        <v>0.8125</v>
      </c>
      <c r="AB9" s="258">
        <v>0.83333333333333337</v>
      </c>
      <c r="AC9" s="258">
        <v>0.85416666666666663</v>
      </c>
      <c r="AD9" s="258">
        <v>0.875</v>
      </c>
      <c r="AE9" s="258">
        <v>0.91666666666666696</v>
      </c>
      <c r="AF9" s="258">
        <v>0.95833333333333304</v>
      </c>
      <c r="AG9" s="260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69"/>
      <c r="B10" s="259"/>
      <c r="C10" s="259"/>
      <c r="D10" s="259"/>
      <c r="E10" s="259"/>
      <c r="F10" s="259"/>
      <c r="G10" s="259"/>
      <c r="H10" s="259"/>
      <c r="I10" s="259"/>
      <c r="J10" s="259"/>
      <c r="K10" s="259"/>
      <c r="L10" s="259"/>
      <c r="M10" s="263"/>
      <c r="N10" s="263"/>
      <c r="O10" s="263"/>
      <c r="P10" s="263"/>
      <c r="Q10" s="263"/>
      <c r="R10" s="263"/>
      <c r="S10" s="259"/>
      <c r="T10" s="259"/>
      <c r="U10" s="259"/>
      <c r="V10" s="259"/>
      <c r="W10" s="259"/>
      <c r="X10" s="259"/>
      <c r="Y10" s="259"/>
      <c r="Z10" s="259"/>
      <c r="AA10" s="259"/>
      <c r="AB10" s="259"/>
      <c r="AC10" s="259"/>
      <c r="AD10" s="259"/>
      <c r="AE10" s="259"/>
      <c r="AF10" s="259"/>
      <c r="AG10" s="261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30.7</v>
      </c>
      <c r="C11" s="45">
        <v>31.1</v>
      </c>
      <c r="D11" s="45">
        <v>31</v>
      </c>
      <c r="E11" s="45">
        <v>31.3</v>
      </c>
      <c r="F11" s="45">
        <v>19.600000000000001</v>
      </c>
      <c r="G11" s="45">
        <v>23.8</v>
      </c>
      <c r="H11" s="45">
        <v>30.1</v>
      </c>
      <c r="I11" s="45">
        <v>30.7</v>
      </c>
      <c r="J11" s="45">
        <v>38.5</v>
      </c>
      <c r="K11" s="45">
        <v>35.799999999999997</v>
      </c>
      <c r="L11" s="45">
        <v>35.799999999999997</v>
      </c>
      <c r="M11" s="45">
        <v>33.200000000000003</v>
      </c>
      <c r="N11" s="45">
        <v>33.200000000000003</v>
      </c>
      <c r="O11" s="45">
        <v>33.200000000000003</v>
      </c>
      <c r="P11" s="45">
        <v>33.200000000000003</v>
      </c>
      <c r="Q11" s="45">
        <v>33.200000000000003</v>
      </c>
      <c r="R11" s="45">
        <v>33.200000000000003</v>
      </c>
      <c r="S11" s="45">
        <v>33.200000000000003</v>
      </c>
      <c r="T11" s="45">
        <v>33.200000000000003</v>
      </c>
      <c r="U11" s="45">
        <v>33.200000000000003</v>
      </c>
      <c r="V11" s="45">
        <v>33.200000000000003</v>
      </c>
      <c r="W11" s="45">
        <v>33.200000000000003</v>
      </c>
      <c r="X11" s="45">
        <v>33.200000000000003</v>
      </c>
      <c r="Y11" s="45">
        <v>33.200000000000003</v>
      </c>
      <c r="Z11" s="45">
        <v>33.200000000000003</v>
      </c>
      <c r="AA11" s="45">
        <v>33.200000000000003</v>
      </c>
      <c r="AB11" s="45">
        <v>33.200000000000003</v>
      </c>
      <c r="AC11" s="45">
        <v>33.200000000000003</v>
      </c>
      <c r="AD11" s="45">
        <v>33.200000000000003</v>
      </c>
      <c r="AE11" s="45">
        <v>33.200000000000003</v>
      </c>
      <c r="AF11" s="45">
        <v>33.200000000000003</v>
      </c>
      <c r="AG11" s="46">
        <v>86</v>
      </c>
      <c r="AH11" s="47">
        <f t="shared" ref="AH11:AH84" si="2">MAX(B11:AF11)</f>
        <v>38.5</v>
      </c>
      <c r="AI11" s="48">
        <f t="shared" ref="AI11:AI84" si="3">MIN(B11:AF11)</f>
        <v>19.600000000000001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262</v>
      </c>
      <c r="B12" s="45">
        <v>11.1</v>
      </c>
      <c r="C12" s="45">
        <v>11.1</v>
      </c>
      <c r="D12" s="45">
        <v>11.1</v>
      </c>
      <c r="E12" s="45">
        <v>11.1</v>
      </c>
      <c r="F12" s="45">
        <v>11.1</v>
      </c>
      <c r="G12" s="45">
        <v>11.1</v>
      </c>
      <c r="H12" s="45">
        <v>11.1</v>
      </c>
      <c r="I12" s="45">
        <v>11.1</v>
      </c>
      <c r="J12" s="45">
        <v>11.1</v>
      </c>
      <c r="K12" s="45">
        <v>11.1</v>
      </c>
      <c r="L12" s="45">
        <v>11.1</v>
      </c>
      <c r="M12" s="45">
        <v>11.1</v>
      </c>
      <c r="N12" s="45">
        <v>11.1</v>
      </c>
      <c r="O12" s="45">
        <v>11.1</v>
      </c>
      <c r="P12" s="45">
        <v>11.1</v>
      </c>
      <c r="Q12" s="45">
        <v>11.1</v>
      </c>
      <c r="R12" s="45">
        <v>11.1</v>
      </c>
      <c r="S12" s="45">
        <v>11.1</v>
      </c>
      <c r="T12" s="45">
        <v>11.1</v>
      </c>
      <c r="U12" s="45">
        <v>11.1</v>
      </c>
      <c r="V12" s="45">
        <v>11.1</v>
      </c>
      <c r="W12" s="45">
        <v>11.1</v>
      </c>
      <c r="X12" s="45">
        <v>11.1</v>
      </c>
      <c r="Y12" s="45">
        <v>11.1</v>
      </c>
      <c r="Z12" s="45">
        <v>11.1</v>
      </c>
      <c r="AA12" s="45">
        <v>11.1</v>
      </c>
      <c r="AB12" s="45">
        <v>11.1</v>
      </c>
      <c r="AC12" s="45">
        <v>11.1</v>
      </c>
      <c r="AD12" s="45">
        <v>11.1</v>
      </c>
      <c r="AE12" s="45">
        <v>11.1</v>
      </c>
      <c r="AF12" s="45">
        <v>11.1</v>
      </c>
      <c r="AG12" s="49">
        <v>54</v>
      </c>
      <c r="AH12" s="47">
        <f t="shared" si="2"/>
        <v>11.1</v>
      </c>
      <c r="AI12" s="48">
        <f t="shared" si="3"/>
        <v>11.1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15.5</v>
      </c>
      <c r="C13" s="45">
        <v>15.5</v>
      </c>
      <c r="D13" s="45">
        <v>15.5</v>
      </c>
      <c r="E13" s="45">
        <v>15.5</v>
      </c>
      <c r="F13" s="45">
        <v>15.5</v>
      </c>
      <c r="G13" s="45">
        <v>15.5</v>
      </c>
      <c r="H13" s="45">
        <v>15.5</v>
      </c>
      <c r="I13" s="45">
        <v>15.5</v>
      </c>
      <c r="J13" s="45">
        <v>15.5</v>
      </c>
      <c r="K13" s="45">
        <v>15.5</v>
      </c>
      <c r="L13" s="45">
        <v>15.5</v>
      </c>
      <c r="M13" s="45">
        <v>15.5</v>
      </c>
      <c r="N13" s="45">
        <v>15.5</v>
      </c>
      <c r="O13" s="45">
        <v>15.5</v>
      </c>
      <c r="P13" s="45">
        <v>15.5</v>
      </c>
      <c r="Q13" s="45">
        <v>15.5</v>
      </c>
      <c r="R13" s="45">
        <v>15.5</v>
      </c>
      <c r="S13" s="45">
        <v>15.5</v>
      </c>
      <c r="T13" s="45">
        <v>15.5</v>
      </c>
      <c r="U13" s="45">
        <v>15.5</v>
      </c>
      <c r="V13" s="45">
        <v>15.5</v>
      </c>
      <c r="W13" s="45">
        <v>15.5</v>
      </c>
      <c r="X13" s="45">
        <v>15.5</v>
      </c>
      <c r="Y13" s="45">
        <v>15.5</v>
      </c>
      <c r="Z13" s="45">
        <v>15.5</v>
      </c>
      <c r="AA13" s="45">
        <v>15.5</v>
      </c>
      <c r="AB13" s="45">
        <v>15.5</v>
      </c>
      <c r="AC13" s="45">
        <v>15.5</v>
      </c>
      <c r="AD13" s="45">
        <v>15.5</v>
      </c>
      <c r="AE13" s="45">
        <v>15.5</v>
      </c>
      <c r="AF13" s="45">
        <v>15.5</v>
      </c>
      <c r="AG13" s="49">
        <v>54</v>
      </c>
      <c r="AH13" s="47">
        <f t="shared" si="2"/>
        <v>15.5</v>
      </c>
      <c r="AI13" s="48">
        <f t="shared" si="3"/>
        <v>15.5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16</v>
      </c>
      <c r="C14" s="45">
        <v>15.5</v>
      </c>
      <c r="D14" s="45">
        <v>15.5</v>
      </c>
      <c r="E14" s="45">
        <v>15.5</v>
      </c>
      <c r="F14" s="45">
        <v>15.5</v>
      </c>
      <c r="G14" s="45">
        <v>15.5</v>
      </c>
      <c r="H14" s="45">
        <v>15.5</v>
      </c>
      <c r="I14" s="45">
        <v>15.5</v>
      </c>
      <c r="J14" s="45">
        <v>15.5</v>
      </c>
      <c r="K14" s="45">
        <v>15.5</v>
      </c>
      <c r="L14" s="45">
        <v>15.5</v>
      </c>
      <c r="M14" s="45">
        <v>15.5</v>
      </c>
      <c r="N14" s="45">
        <v>15.5</v>
      </c>
      <c r="O14" s="45">
        <v>15.5</v>
      </c>
      <c r="P14" s="45">
        <v>15.5</v>
      </c>
      <c r="Q14" s="45">
        <v>15.5</v>
      </c>
      <c r="R14" s="45">
        <v>15.5</v>
      </c>
      <c r="S14" s="45">
        <v>15.5</v>
      </c>
      <c r="T14" s="45">
        <v>15.5</v>
      </c>
      <c r="U14" s="45">
        <v>15.5</v>
      </c>
      <c r="V14" s="45">
        <v>15.5</v>
      </c>
      <c r="W14" s="45">
        <v>15.5</v>
      </c>
      <c r="X14" s="45">
        <v>15.5</v>
      </c>
      <c r="Y14" s="45">
        <v>15.5</v>
      </c>
      <c r="Z14" s="45">
        <v>15.5</v>
      </c>
      <c r="AA14" s="45">
        <v>15.5</v>
      </c>
      <c r="AB14" s="45">
        <v>15.5</v>
      </c>
      <c r="AC14" s="45">
        <v>15.5</v>
      </c>
      <c r="AD14" s="45">
        <v>15.5</v>
      </c>
      <c r="AE14" s="45">
        <v>15.5</v>
      </c>
      <c r="AF14" s="45">
        <v>15.5</v>
      </c>
      <c r="AG14" s="46">
        <v>52.4</v>
      </c>
      <c r="AH14" s="47">
        <f t="shared" si="2"/>
        <v>16</v>
      </c>
      <c r="AI14" s="48">
        <f t="shared" si="3"/>
        <v>15.5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32.6</v>
      </c>
      <c r="C15" s="45">
        <v>33.1</v>
      </c>
      <c r="D15" s="45">
        <v>33.200000000000003</v>
      </c>
      <c r="E15" s="45">
        <v>33.200000000000003</v>
      </c>
      <c r="F15" s="45">
        <v>33.200000000000003</v>
      </c>
      <c r="G15" s="45">
        <v>33.200000000000003</v>
      </c>
      <c r="H15" s="45">
        <v>33.200000000000003</v>
      </c>
      <c r="I15" s="45">
        <v>33.200000000000003</v>
      </c>
      <c r="J15" s="45">
        <v>33.200000000000003</v>
      </c>
      <c r="K15" s="45">
        <v>33.200000000000003</v>
      </c>
      <c r="L15" s="45">
        <v>33.200000000000003</v>
      </c>
      <c r="M15" s="45">
        <v>33.200000000000003</v>
      </c>
      <c r="N15" s="45">
        <v>33.200000000000003</v>
      </c>
      <c r="O15" s="45">
        <v>33.200000000000003</v>
      </c>
      <c r="P15" s="45">
        <v>33.200000000000003</v>
      </c>
      <c r="Q15" s="45">
        <v>33.200000000000003</v>
      </c>
      <c r="R15" s="45">
        <v>33.200000000000003</v>
      </c>
      <c r="S15" s="45">
        <v>33.200000000000003</v>
      </c>
      <c r="T15" s="45">
        <v>33.200000000000003</v>
      </c>
      <c r="U15" s="45">
        <v>33.200000000000003</v>
      </c>
      <c r="V15" s="45">
        <v>33.200000000000003</v>
      </c>
      <c r="W15" s="45">
        <v>33.200000000000003</v>
      </c>
      <c r="X15" s="45">
        <v>33.200000000000003</v>
      </c>
      <c r="Y15" s="45">
        <v>33.200000000000003</v>
      </c>
      <c r="Z15" s="45">
        <v>33.200000000000003</v>
      </c>
      <c r="AA15" s="45">
        <v>33.200000000000003</v>
      </c>
      <c r="AB15" s="45">
        <v>33.200000000000003</v>
      </c>
      <c r="AC15" s="45">
        <v>33.200000000000003</v>
      </c>
      <c r="AD15" s="45">
        <v>33.200000000000003</v>
      </c>
      <c r="AE15" s="45">
        <v>33.200000000000003</v>
      </c>
      <c r="AF15" s="45">
        <v>33.200000000000003</v>
      </c>
      <c r="AG15" s="49">
        <v>50</v>
      </c>
      <c r="AH15" s="47">
        <f t="shared" si="2"/>
        <v>33.200000000000003</v>
      </c>
      <c r="AI15" s="48">
        <f t="shared" si="3"/>
        <v>32.6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19</v>
      </c>
      <c r="C16" s="45">
        <v>17.5</v>
      </c>
      <c r="D16" s="45">
        <v>19</v>
      </c>
      <c r="E16" s="45">
        <v>19</v>
      </c>
      <c r="F16" s="45">
        <v>19</v>
      </c>
      <c r="G16" s="45">
        <v>19</v>
      </c>
      <c r="H16" s="45">
        <v>19</v>
      </c>
      <c r="I16" s="45">
        <v>19</v>
      </c>
      <c r="J16" s="45">
        <v>19</v>
      </c>
      <c r="K16" s="45">
        <v>19</v>
      </c>
      <c r="L16" s="45">
        <v>19</v>
      </c>
      <c r="M16" s="45">
        <v>19</v>
      </c>
      <c r="N16" s="45">
        <v>19</v>
      </c>
      <c r="O16" s="45">
        <v>19</v>
      </c>
      <c r="P16" s="45">
        <v>19</v>
      </c>
      <c r="Q16" s="45">
        <v>19</v>
      </c>
      <c r="R16" s="45">
        <v>19</v>
      </c>
      <c r="S16" s="45">
        <v>19</v>
      </c>
      <c r="T16" s="45">
        <v>19</v>
      </c>
      <c r="U16" s="45">
        <v>19</v>
      </c>
      <c r="V16" s="45">
        <v>19</v>
      </c>
      <c r="W16" s="45">
        <v>19</v>
      </c>
      <c r="X16" s="45">
        <v>19</v>
      </c>
      <c r="Y16" s="45">
        <v>19</v>
      </c>
      <c r="Z16" s="45">
        <v>19</v>
      </c>
      <c r="AA16" s="45">
        <v>19</v>
      </c>
      <c r="AB16" s="45">
        <v>19</v>
      </c>
      <c r="AC16" s="45">
        <v>19</v>
      </c>
      <c r="AD16" s="45">
        <v>19</v>
      </c>
      <c r="AE16" s="45">
        <v>19</v>
      </c>
      <c r="AF16" s="45">
        <v>19</v>
      </c>
      <c r="AG16" s="49">
        <v>45</v>
      </c>
      <c r="AH16" s="47">
        <f t="shared" si="2"/>
        <v>19</v>
      </c>
      <c r="AI16" s="48">
        <f t="shared" si="3"/>
        <v>17.5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16.5</v>
      </c>
      <c r="C17" s="45">
        <v>16.5</v>
      </c>
      <c r="D17" s="45">
        <v>16.5</v>
      </c>
      <c r="E17" s="45">
        <v>16.5</v>
      </c>
      <c r="F17" s="45">
        <v>16.5</v>
      </c>
      <c r="G17" s="45">
        <v>16.5</v>
      </c>
      <c r="H17" s="45">
        <v>16.5</v>
      </c>
      <c r="I17" s="45">
        <v>16.5</v>
      </c>
      <c r="J17" s="45">
        <v>16.5</v>
      </c>
      <c r="K17" s="45">
        <v>16.5</v>
      </c>
      <c r="L17" s="45">
        <v>16.5</v>
      </c>
      <c r="M17" s="45">
        <v>16.5</v>
      </c>
      <c r="N17" s="45">
        <v>16.5</v>
      </c>
      <c r="O17" s="45">
        <v>16.5</v>
      </c>
      <c r="P17" s="45">
        <v>16.5</v>
      </c>
      <c r="Q17" s="45">
        <v>16.5</v>
      </c>
      <c r="R17" s="45">
        <v>16.5</v>
      </c>
      <c r="S17" s="45">
        <v>16.5</v>
      </c>
      <c r="T17" s="45">
        <v>16.5</v>
      </c>
      <c r="U17" s="45">
        <v>16.5</v>
      </c>
      <c r="V17" s="45">
        <v>16.5</v>
      </c>
      <c r="W17" s="45">
        <v>16.5</v>
      </c>
      <c r="X17" s="45">
        <v>16.5</v>
      </c>
      <c r="Y17" s="45">
        <v>16.5</v>
      </c>
      <c r="Z17" s="45">
        <v>16.5</v>
      </c>
      <c r="AA17" s="45">
        <v>16.5</v>
      </c>
      <c r="AB17" s="45">
        <v>16.5</v>
      </c>
      <c r="AC17" s="45">
        <v>16.5</v>
      </c>
      <c r="AD17" s="45">
        <v>16.5</v>
      </c>
      <c r="AE17" s="45">
        <v>16.5</v>
      </c>
      <c r="AF17" s="45">
        <v>16.5</v>
      </c>
      <c r="AG17" s="49">
        <v>44</v>
      </c>
      <c r="AH17" s="47">
        <f>MAX(B17:AG17)</f>
        <v>44</v>
      </c>
      <c r="AI17" s="48">
        <f>MIN(B17:AG17)</f>
        <v>16.5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9.5</v>
      </c>
      <c r="C18" s="45">
        <v>8.5</v>
      </c>
      <c r="D18" s="45">
        <v>8.5</v>
      </c>
      <c r="E18" s="45">
        <v>8.5</v>
      </c>
      <c r="F18" s="45">
        <v>8.5</v>
      </c>
      <c r="G18" s="45">
        <v>8.5</v>
      </c>
      <c r="H18" s="45">
        <v>8.5</v>
      </c>
      <c r="I18" s="45">
        <v>8.5</v>
      </c>
      <c r="J18" s="45">
        <v>8.5</v>
      </c>
      <c r="K18" s="45">
        <v>8.5</v>
      </c>
      <c r="L18" s="45">
        <v>8.5</v>
      </c>
      <c r="M18" s="45">
        <v>8.5</v>
      </c>
      <c r="N18" s="45">
        <v>8.5</v>
      </c>
      <c r="O18" s="45">
        <v>8.5</v>
      </c>
      <c r="P18" s="45">
        <v>8.5</v>
      </c>
      <c r="Q18" s="45">
        <v>8.5</v>
      </c>
      <c r="R18" s="45">
        <v>8.5</v>
      </c>
      <c r="S18" s="45">
        <v>8.5</v>
      </c>
      <c r="T18" s="45">
        <v>8.5</v>
      </c>
      <c r="U18" s="45">
        <v>8.5</v>
      </c>
      <c r="V18" s="45">
        <v>8.5</v>
      </c>
      <c r="W18" s="45">
        <v>8.5</v>
      </c>
      <c r="X18" s="45">
        <v>8.5</v>
      </c>
      <c r="Y18" s="45">
        <v>8.5</v>
      </c>
      <c r="Z18" s="45">
        <v>8.5</v>
      </c>
      <c r="AA18" s="45">
        <v>8.5</v>
      </c>
      <c r="AB18" s="45">
        <v>8.5</v>
      </c>
      <c r="AC18" s="45">
        <v>8.5</v>
      </c>
      <c r="AD18" s="45">
        <v>8.5</v>
      </c>
      <c r="AE18" s="45">
        <v>8.5</v>
      </c>
      <c r="AF18" s="45">
        <v>8.5</v>
      </c>
      <c r="AG18" s="49">
        <v>42</v>
      </c>
      <c r="AH18" s="47">
        <f t="shared" si="2"/>
        <v>9.5</v>
      </c>
      <c r="AI18" s="48">
        <f t="shared" si="3"/>
        <v>8.5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263</v>
      </c>
      <c r="B19" s="45">
        <v>15.4</v>
      </c>
      <c r="C19" s="45">
        <v>15.4</v>
      </c>
      <c r="D19" s="45">
        <v>15.4</v>
      </c>
      <c r="E19" s="45">
        <v>15.4</v>
      </c>
      <c r="F19" s="45">
        <v>15.4</v>
      </c>
      <c r="G19" s="45">
        <v>15.4</v>
      </c>
      <c r="H19" s="45">
        <v>15.4</v>
      </c>
      <c r="I19" s="45">
        <v>15.4</v>
      </c>
      <c r="J19" s="45">
        <v>15.4</v>
      </c>
      <c r="K19" s="45">
        <v>15.4</v>
      </c>
      <c r="L19" s="45">
        <v>15.4</v>
      </c>
      <c r="M19" s="45">
        <v>15.4</v>
      </c>
      <c r="N19" s="45">
        <v>15.4</v>
      </c>
      <c r="O19" s="45">
        <v>15.4</v>
      </c>
      <c r="P19" s="45">
        <v>15.4</v>
      </c>
      <c r="Q19" s="45">
        <v>15.4</v>
      </c>
      <c r="R19" s="45">
        <v>15.4</v>
      </c>
      <c r="S19" s="45">
        <v>15.4</v>
      </c>
      <c r="T19" s="45">
        <v>15.4</v>
      </c>
      <c r="U19" s="45">
        <v>15.4</v>
      </c>
      <c r="V19" s="45">
        <v>15.4</v>
      </c>
      <c r="W19" s="45">
        <v>15.4</v>
      </c>
      <c r="X19" s="45">
        <v>15.4</v>
      </c>
      <c r="Y19" s="45">
        <v>15.4</v>
      </c>
      <c r="Z19" s="45">
        <v>15.4</v>
      </c>
      <c r="AA19" s="45">
        <v>15.4</v>
      </c>
      <c r="AB19" s="45">
        <v>15.4</v>
      </c>
      <c r="AC19" s="45">
        <v>15.4</v>
      </c>
      <c r="AD19" s="45">
        <v>15.4</v>
      </c>
      <c r="AE19" s="45">
        <v>15.4</v>
      </c>
      <c r="AF19" s="45">
        <v>15.4</v>
      </c>
      <c r="AG19" s="49">
        <v>38.46</v>
      </c>
      <c r="AH19" s="47">
        <f t="shared" si="2"/>
        <v>15.4</v>
      </c>
      <c r="AI19" s="48">
        <f t="shared" si="3"/>
        <v>15.4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10.199999999999999</v>
      </c>
      <c r="C20" s="45">
        <v>10.199999999999999</v>
      </c>
      <c r="D20" s="45">
        <v>10.199999999999999</v>
      </c>
      <c r="E20" s="45">
        <v>10.199999999999999</v>
      </c>
      <c r="F20" s="45">
        <v>10.199999999999999</v>
      </c>
      <c r="G20" s="45">
        <v>10.199999999999999</v>
      </c>
      <c r="H20" s="45">
        <v>10.199999999999999</v>
      </c>
      <c r="I20" s="45">
        <v>10.199999999999999</v>
      </c>
      <c r="J20" s="45">
        <v>10.199999999999999</v>
      </c>
      <c r="K20" s="45">
        <v>10.199999999999999</v>
      </c>
      <c r="L20" s="45">
        <v>10.199999999999999</v>
      </c>
      <c r="M20" s="45">
        <v>10.199999999999999</v>
      </c>
      <c r="N20" s="45">
        <v>10.199999999999999</v>
      </c>
      <c r="O20" s="45">
        <v>10.199999999999999</v>
      </c>
      <c r="P20" s="45">
        <v>10.199999999999999</v>
      </c>
      <c r="Q20" s="45">
        <v>10.199999999999999</v>
      </c>
      <c r="R20" s="45">
        <v>10.199999999999999</v>
      </c>
      <c r="S20" s="45">
        <v>10.199999999999999</v>
      </c>
      <c r="T20" s="45">
        <v>10.199999999999999</v>
      </c>
      <c r="U20" s="45">
        <v>10.199999999999999</v>
      </c>
      <c r="V20" s="45">
        <v>10.199999999999999</v>
      </c>
      <c r="W20" s="45">
        <v>10.199999999999999</v>
      </c>
      <c r="X20" s="45">
        <v>10.199999999999999</v>
      </c>
      <c r="Y20" s="45">
        <v>10.199999999999999</v>
      </c>
      <c r="Z20" s="45">
        <v>10.199999999999999</v>
      </c>
      <c r="AA20" s="45">
        <v>10.199999999999999</v>
      </c>
      <c r="AB20" s="45">
        <v>10.199999999999999</v>
      </c>
      <c r="AC20" s="45">
        <v>10.199999999999999</v>
      </c>
      <c r="AD20" s="45">
        <v>10.199999999999999</v>
      </c>
      <c r="AE20" s="45">
        <v>10.199999999999999</v>
      </c>
      <c r="AF20" s="45">
        <v>10.199999999999999</v>
      </c>
      <c r="AG20" s="49">
        <v>38.46</v>
      </c>
      <c r="AH20" s="47">
        <f t="shared" si="2"/>
        <v>10.199999999999999</v>
      </c>
      <c r="AI20" s="48">
        <f t="shared" si="3"/>
        <v>10.199999999999999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13.6</v>
      </c>
      <c r="C21" s="45">
        <v>13.6</v>
      </c>
      <c r="D21" s="45">
        <v>13.6</v>
      </c>
      <c r="E21" s="45">
        <v>13.6</v>
      </c>
      <c r="F21" s="45">
        <v>13.6</v>
      </c>
      <c r="G21" s="45">
        <v>13.6</v>
      </c>
      <c r="H21" s="45">
        <v>13.6</v>
      </c>
      <c r="I21" s="45">
        <v>13.6</v>
      </c>
      <c r="J21" s="45">
        <v>13.6</v>
      </c>
      <c r="K21" s="45">
        <v>13.6</v>
      </c>
      <c r="L21" s="45">
        <v>13.6</v>
      </c>
      <c r="M21" s="45">
        <v>13.6</v>
      </c>
      <c r="N21" s="45">
        <v>13.6</v>
      </c>
      <c r="O21" s="45">
        <v>13.6</v>
      </c>
      <c r="P21" s="45">
        <v>13.6</v>
      </c>
      <c r="Q21" s="45">
        <v>13.6</v>
      </c>
      <c r="R21" s="45">
        <v>13.6</v>
      </c>
      <c r="S21" s="45">
        <v>13.6</v>
      </c>
      <c r="T21" s="45">
        <v>13.6</v>
      </c>
      <c r="U21" s="45">
        <v>13.6</v>
      </c>
      <c r="V21" s="45">
        <v>13.6</v>
      </c>
      <c r="W21" s="45">
        <v>13.6</v>
      </c>
      <c r="X21" s="45">
        <v>13.6</v>
      </c>
      <c r="Y21" s="45">
        <v>13.6</v>
      </c>
      <c r="Z21" s="45">
        <v>13.6</v>
      </c>
      <c r="AA21" s="45">
        <v>13.6</v>
      </c>
      <c r="AB21" s="45">
        <v>13.6</v>
      </c>
      <c r="AC21" s="45">
        <v>13.6</v>
      </c>
      <c r="AD21" s="45">
        <v>13.6</v>
      </c>
      <c r="AE21" s="45">
        <v>13.6</v>
      </c>
      <c r="AF21" s="45">
        <v>13.6</v>
      </c>
      <c r="AG21" s="49">
        <v>36</v>
      </c>
      <c r="AH21" s="47">
        <f t="shared" si="2"/>
        <v>13.6</v>
      </c>
      <c r="AI21" s="48">
        <f t="shared" si="3"/>
        <v>13.6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9.1</v>
      </c>
      <c r="C22" s="45">
        <v>8.6999999999999993</v>
      </c>
      <c r="D22" s="45">
        <v>8.6999999999999993</v>
      </c>
      <c r="E22" s="45">
        <v>8.6999999999999993</v>
      </c>
      <c r="F22" s="45">
        <v>8.6999999999999993</v>
      </c>
      <c r="G22" s="45">
        <v>8.6999999999999993</v>
      </c>
      <c r="H22" s="45">
        <v>8.6999999999999993</v>
      </c>
      <c r="I22" s="45">
        <v>8.6999999999999993</v>
      </c>
      <c r="J22" s="45">
        <v>8.6999999999999993</v>
      </c>
      <c r="K22" s="45">
        <v>8.6999999999999993</v>
      </c>
      <c r="L22" s="45">
        <v>8.6999999999999993</v>
      </c>
      <c r="M22" s="45">
        <v>8.6999999999999993</v>
      </c>
      <c r="N22" s="45">
        <v>8.6999999999999993</v>
      </c>
      <c r="O22" s="45">
        <v>8.6999999999999993</v>
      </c>
      <c r="P22" s="45">
        <v>8.6999999999999993</v>
      </c>
      <c r="Q22" s="45">
        <v>8.6999999999999993</v>
      </c>
      <c r="R22" s="45">
        <v>8.6999999999999993</v>
      </c>
      <c r="S22" s="45">
        <v>8.6999999999999993</v>
      </c>
      <c r="T22" s="45">
        <v>8.6999999999999993</v>
      </c>
      <c r="U22" s="45">
        <v>8.6999999999999993</v>
      </c>
      <c r="V22" s="45">
        <v>8.6999999999999993</v>
      </c>
      <c r="W22" s="45">
        <v>8.6999999999999993</v>
      </c>
      <c r="X22" s="45">
        <v>8.6999999999999993</v>
      </c>
      <c r="Y22" s="45">
        <v>8.6999999999999993</v>
      </c>
      <c r="Z22" s="45">
        <v>8.6999999999999993</v>
      </c>
      <c r="AA22" s="45">
        <v>8.6999999999999993</v>
      </c>
      <c r="AB22" s="45">
        <v>8.6999999999999993</v>
      </c>
      <c r="AC22" s="45">
        <v>8.6999999999999993</v>
      </c>
      <c r="AD22" s="45">
        <v>8.6999999999999993</v>
      </c>
      <c r="AE22" s="45">
        <v>8.6999999999999993</v>
      </c>
      <c r="AF22" s="45">
        <v>8.6999999999999993</v>
      </c>
      <c r="AG22" s="52">
        <v>30</v>
      </c>
      <c r="AH22" s="47">
        <f t="shared" si="2"/>
        <v>9.1</v>
      </c>
      <c r="AI22" s="48">
        <f t="shared" si="3"/>
        <v>8.6999999999999993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9</v>
      </c>
      <c r="C23" s="45">
        <v>9</v>
      </c>
      <c r="D23" s="45">
        <v>9</v>
      </c>
      <c r="E23" s="45">
        <v>9</v>
      </c>
      <c r="F23" s="45">
        <v>9</v>
      </c>
      <c r="G23" s="45">
        <v>9</v>
      </c>
      <c r="H23" s="45">
        <v>9</v>
      </c>
      <c r="I23" s="45">
        <v>9</v>
      </c>
      <c r="J23" s="45">
        <v>9</v>
      </c>
      <c r="K23" s="45">
        <v>9</v>
      </c>
      <c r="L23" s="45">
        <v>9</v>
      </c>
      <c r="M23" s="45">
        <v>9</v>
      </c>
      <c r="N23" s="45">
        <v>9</v>
      </c>
      <c r="O23" s="45">
        <v>9</v>
      </c>
      <c r="P23" s="45">
        <v>9</v>
      </c>
      <c r="Q23" s="45">
        <v>9</v>
      </c>
      <c r="R23" s="45">
        <v>9</v>
      </c>
      <c r="S23" s="45">
        <v>9</v>
      </c>
      <c r="T23" s="45">
        <v>9</v>
      </c>
      <c r="U23" s="45">
        <v>9</v>
      </c>
      <c r="V23" s="45">
        <v>9</v>
      </c>
      <c r="W23" s="45">
        <v>9</v>
      </c>
      <c r="X23" s="45">
        <v>9</v>
      </c>
      <c r="Y23" s="45">
        <v>9</v>
      </c>
      <c r="Z23" s="45">
        <v>9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9</v>
      </c>
      <c r="AG23" s="49">
        <v>24.2</v>
      </c>
      <c r="AH23" s="47">
        <f t="shared" si="2"/>
        <v>9</v>
      </c>
      <c r="AI23" s="48">
        <f t="shared" si="3"/>
        <v>9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9.3000000000000007</v>
      </c>
      <c r="C24" s="45">
        <v>9.1999999999999993</v>
      </c>
      <c r="D24" s="45">
        <v>9.1999999999999993</v>
      </c>
      <c r="E24" s="45">
        <v>9.1999999999999993</v>
      </c>
      <c r="F24" s="45">
        <v>9.1999999999999993</v>
      </c>
      <c r="G24" s="45">
        <v>9.1999999999999993</v>
      </c>
      <c r="H24" s="45">
        <v>9.1999999999999993</v>
      </c>
      <c r="I24" s="45">
        <v>9.1999999999999993</v>
      </c>
      <c r="J24" s="45">
        <v>9.1999999999999993</v>
      </c>
      <c r="K24" s="45">
        <v>9.1999999999999993</v>
      </c>
      <c r="L24" s="45">
        <v>9.1999999999999993</v>
      </c>
      <c r="M24" s="45">
        <v>9.1999999999999993</v>
      </c>
      <c r="N24" s="45">
        <v>9.1999999999999993</v>
      </c>
      <c r="O24" s="45">
        <v>9.1999999999999993</v>
      </c>
      <c r="P24" s="45">
        <v>9.1999999999999993</v>
      </c>
      <c r="Q24" s="45">
        <v>9.1999999999999993</v>
      </c>
      <c r="R24" s="45">
        <v>9.1999999999999993</v>
      </c>
      <c r="S24" s="45">
        <v>9.1999999999999993</v>
      </c>
      <c r="T24" s="45">
        <v>9.1999999999999993</v>
      </c>
      <c r="U24" s="45">
        <v>9.1999999999999993</v>
      </c>
      <c r="V24" s="45">
        <v>9.1999999999999993</v>
      </c>
      <c r="W24" s="45">
        <v>9.1999999999999993</v>
      </c>
      <c r="X24" s="45">
        <v>9.1999999999999993</v>
      </c>
      <c r="Y24" s="45">
        <v>9.1999999999999993</v>
      </c>
      <c r="Z24" s="45">
        <v>9.1999999999999993</v>
      </c>
      <c r="AA24" s="45">
        <v>9.1999999999999993</v>
      </c>
      <c r="AB24" s="45">
        <v>9.1999999999999993</v>
      </c>
      <c r="AC24" s="45">
        <v>9.1999999999999993</v>
      </c>
      <c r="AD24" s="45">
        <v>9.1999999999999993</v>
      </c>
      <c r="AE24" s="45">
        <v>9.1999999999999993</v>
      </c>
      <c r="AF24" s="45">
        <v>9.1999999999999993</v>
      </c>
      <c r="AG24" s="49">
        <v>28</v>
      </c>
      <c r="AH24" s="47">
        <f t="shared" si="2"/>
        <v>9.3000000000000007</v>
      </c>
      <c r="AI24" s="48">
        <f t="shared" si="3"/>
        <v>9.1999999999999993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8</v>
      </c>
      <c r="C25" s="45">
        <v>8.3000000000000007</v>
      </c>
      <c r="D25" s="45">
        <v>8.3000000000000007</v>
      </c>
      <c r="E25" s="45">
        <v>8.3000000000000007</v>
      </c>
      <c r="F25" s="45">
        <v>8.3000000000000007</v>
      </c>
      <c r="G25" s="45">
        <v>8.3000000000000007</v>
      </c>
      <c r="H25" s="45">
        <v>8.3000000000000007</v>
      </c>
      <c r="I25" s="45">
        <v>8.3000000000000007</v>
      </c>
      <c r="J25" s="45">
        <v>8.3000000000000007</v>
      </c>
      <c r="K25" s="45">
        <v>8.3000000000000007</v>
      </c>
      <c r="L25" s="45">
        <v>8.3000000000000007</v>
      </c>
      <c r="M25" s="45">
        <v>8.3000000000000007</v>
      </c>
      <c r="N25" s="45">
        <v>8.3000000000000007</v>
      </c>
      <c r="O25" s="45">
        <v>8.3000000000000007</v>
      </c>
      <c r="P25" s="45">
        <v>8.3000000000000007</v>
      </c>
      <c r="Q25" s="45">
        <v>8.3000000000000007</v>
      </c>
      <c r="R25" s="45">
        <v>8.3000000000000007</v>
      </c>
      <c r="S25" s="45">
        <v>8.3000000000000007</v>
      </c>
      <c r="T25" s="45">
        <v>8.3000000000000007</v>
      </c>
      <c r="U25" s="45">
        <v>8.3000000000000007</v>
      </c>
      <c r="V25" s="45">
        <v>8.3000000000000007</v>
      </c>
      <c r="W25" s="45">
        <v>8.3000000000000007</v>
      </c>
      <c r="X25" s="45">
        <v>8.3000000000000007</v>
      </c>
      <c r="Y25" s="45">
        <v>8.3000000000000007</v>
      </c>
      <c r="Z25" s="45">
        <v>8.3000000000000007</v>
      </c>
      <c r="AA25" s="45">
        <v>8.3000000000000007</v>
      </c>
      <c r="AB25" s="45">
        <v>8.3000000000000007</v>
      </c>
      <c r="AC25" s="45">
        <v>8.3000000000000007</v>
      </c>
      <c r="AD25" s="45">
        <v>8.3000000000000007</v>
      </c>
      <c r="AE25" s="45">
        <v>8.3000000000000007</v>
      </c>
      <c r="AF25" s="45">
        <v>8.3000000000000007</v>
      </c>
      <c r="AG25" s="52">
        <v>30</v>
      </c>
      <c r="AH25" s="47">
        <f t="shared" si="2"/>
        <v>8.3000000000000007</v>
      </c>
      <c r="AI25" s="48">
        <f t="shared" si="3"/>
        <v>8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6.5</v>
      </c>
      <c r="C26" s="45">
        <v>6.5</v>
      </c>
      <c r="D26" s="45">
        <v>8.5</v>
      </c>
      <c r="E26" s="45">
        <v>8.5</v>
      </c>
      <c r="F26" s="45">
        <v>8.5</v>
      </c>
      <c r="G26" s="45">
        <v>8.5</v>
      </c>
      <c r="H26" s="45">
        <v>8.5</v>
      </c>
      <c r="I26" s="45">
        <v>8.5</v>
      </c>
      <c r="J26" s="45">
        <v>8.5</v>
      </c>
      <c r="K26" s="45">
        <v>8.5</v>
      </c>
      <c r="L26" s="45">
        <v>8.5</v>
      </c>
      <c r="M26" s="45">
        <v>8.5</v>
      </c>
      <c r="N26" s="45">
        <v>8.5</v>
      </c>
      <c r="O26" s="45">
        <v>8.5</v>
      </c>
      <c r="P26" s="45">
        <v>8.5</v>
      </c>
      <c r="Q26" s="45">
        <v>8.5</v>
      </c>
      <c r="R26" s="45">
        <v>8.5</v>
      </c>
      <c r="S26" s="45">
        <v>8.5</v>
      </c>
      <c r="T26" s="45">
        <v>8.5</v>
      </c>
      <c r="U26" s="45">
        <v>8.5</v>
      </c>
      <c r="V26" s="45">
        <v>8.5</v>
      </c>
      <c r="W26" s="45">
        <v>8.5</v>
      </c>
      <c r="X26" s="45">
        <v>8.5</v>
      </c>
      <c r="Y26" s="45">
        <v>8.5</v>
      </c>
      <c r="Z26" s="45">
        <v>8.5</v>
      </c>
      <c r="AA26" s="45">
        <v>8.5</v>
      </c>
      <c r="AB26" s="45">
        <v>8.5</v>
      </c>
      <c r="AC26" s="45">
        <v>8.5</v>
      </c>
      <c r="AD26" s="45">
        <v>8.5</v>
      </c>
      <c r="AE26" s="45">
        <v>8.5</v>
      </c>
      <c r="AF26" s="45">
        <v>8.5</v>
      </c>
      <c r="AG26" s="49">
        <v>25</v>
      </c>
      <c r="AH26" s="47">
        <f t="shared" si="2"/>
        <v>8.5</v>
      </c>
      <c r="AI26" s="48">
        <f t="shared" si="3"/>
        <v>6.5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5</v>
      </c>
      <c r="C27" s="45">
        <v>5</v>
      </c>
      <c r="D27" s="45">
        <v>5</v>
      </c>
      <c r="E27" s="45">
        <v>5</v>
      </c>
      <c r="F27" s="45">
        <v>5</v>
      </c>
      <c r="G27" s="45">
        <v>5</v>
      </c>
      <c r="H27" s="45">
        <v>5</v>
      </c>
      <c r="I27" s="45">
        <v>5</v>
      </c>
      <c r="J27" s="45">
        <v>5</v>
      </c>
      <c r="K27" s="45">
        <v>5</v>
      </c>
      <c r="L27" s="45">
        <v>5</v>
      </c>
      <c r="M27" s="45">
        <v>5</v>
      </c>
      <c r="N27" s="45">
        <v>5</v>
      </c>
      <c r="O27" s="45">
        <v>5</v>
      </c>
      <c r="P27" s="45">
        <v>5</v>
      </c>
      <c r="Q27" s="45">
        <v>5</v>
      </c>
      <c r="R27" s="45">
        <v>5</v>
      </c>
      <c r="S27" s="45">
        <v>5</v>
      </c>
      <c r="T27" s="45">
        <v>5</v>
      </c>
      <c r="U27" s="45">
        <v>5</v>
      </c>
      <c r="V27" s="45">
        <v>5</v>
      </c>
      <c r="W27" s="45">
        <v>5</v>
      </c>
      <c r="X27" s="45">
        <v>5</v>
      </c>
      <c r="Y27" s="45">
        <v>5</v>
      </c>
      <c r="Z27" s="45">
        <v>5</v>
      </c>
      <c r="AA27" s="45">
        <v>5</v>
      </c>
      <c r="AB27" s="45">
        <v>5</v>
      </c>
      <c r="AC27" s="45">
        <v>5</v>
      </c>
      <c r="AD27" s="45">
        <v>5</v>
      </c>
      <c r="AE27" s="45">
        <v>5</v>
      </c>
      <c r="AF27" s="45">
        <v>5</v>
      </c>
      <c r="AG27" s="49">
        <v>25</v>
      </c>
      <c r="AH27" s="47">
        <f t="shared" si="2"/>
        <v>5</v>
      </c>
      <c r="AI27" s="48">
        <f t="shared" si="3"/>
        <v>5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7.5</v>
      </c>
      <c r="C28" s="45">
        <v>7.5</v>
      </c>
      <c r="D28" s="45">
        <v>7.5</v>
      </c>
      <c r="E28" s="45">
        <v>7.5</v>
      </c>
      <c r="F28" s="45">
        <v>7.5</v>
      </c>
      <c r="G28" s="45">
        <v>7.5</v>
      </c>
      <c r="H28" s="45">
        <v>7.5</v>
      </c>
      <c r="I28" s="45">
        <v>7.5</v>
      </c>
      <c r="J28" s="45">
        <v>7.5</v>
      </c>
      <c r="K28" s="45">
        <v>7.5</v>
      </c>
      <c r="L28" s="45">
        <v>7.5</v>
      </c>
      <c r="M28" s="45">
        <v>7.5</v>
      </c>
      <c r="N28" s="45">
        <v>7.5</v>
      </c>
      <c r="O28" s="45">
        <v>7.5</v>
      </c>
      <c r="P28" s="45">
        <v>7.5</v>
      </c>
      <c r="Q28" s="45">
        <v>7.5</v>
      </c>
      <c r="R28" s="45">
        <v>7.5</v>
      </c>
      <c r="S28" s="45">
        <v>7.5</v>
      </c>
      <c r="T28" s="45">
        <v>7.5</v>
      </c>
      <c r="U28" s="45">
        <v>7.5</v>
      </c>
      <c r="V28" s="45">
        <v>7.5</v>
      </c>
      <c r="W28" s="45">
        <v>7.5</v>
      </c>
      <c r="X28" s="45">
        <v>7.5</v>
      </c>
      <c r="Y28" s="45">
        <v>7.5</v>
      </c>
      <c r="Z28" s="45">
        <v>7.5</v>
      </c>
      <c r="AA28" s="45">
        <v>7.5</v>
      </c>
      <c r="AB28" s="45">
        <v>7.5</v>
      </c>
      <c r="AC28" s="45">
        <v>7.5</v>
      </c>
      <c r="AD28" s="45">
        <v>7.5</v>
      </c>
      <c r="AE28" s="45">
        <v>7.5</v>
      </c>
      <c r="AF28" s="45">
        <v>7.5</v>
      </c>
      <c r="AG28" s="49">
        <v>25</v>
      </c>
      <c r="AH28" s="47">
        <f t="shared" si="2"/>
        <v>7.5</v>
      </c>
      <c r="AI28" s="48">
        <f t="shared" si="3"/>
        <v>7.5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8.3000000000000007</v>
      </c>
      <c r="C29" s="45">
        <v>8.6999999999999993</v>
      </c>
      <c r="D29" s="45">
        <v>8.6999999999999993</v>
      </c>
      <c r="E29" s="45">
        <v>8.6999999999999993</v>
      </c>
      <c r="F29" s="45">
        <v>8.6999999999999993</v>
      </c>
      <c r="G29" s="45">
        <v>8.6999999999999993</v>
      </c>
      <c r="H29" s="45">
        <v>8.6999999999999993</v>
      </c>
      <c r="I29" s="45">
        <v>8.6999999999999993</v>
      </c>
      <c r="J29" s="45">
        <v>8.6999999999999993</v>
      </c>
      <c r="K29" s="45">
        <v>8.6999999999999993</v>
      </c>
      <c r="L29" s="45">
        <v>8.6999999999999993</v>
      </c>
      <c r="M29" s="45">
        <v>8.6999999999999993</v>
      </c>
      <c r="N29" s="45">
        <v>8.6999999999999993</v>
      </c>
      <c r="O29" s="45">
        <v>8.6999999999999993</v>
      </c>
      <c r="P29" s="45">
        <v>8.6999999999999993</v>
      </c>
      <c r="Q29" s="45">
        <v>8.6999999999999993</v>
      </c>
      <c r="R29" s="45">
        <v>8.6999999999999993</v>
      </c>
      <c r="S29" s="45">
        <v>8.6999999999999993</v>
      </c>
      <c r="T29" s="45">
        <v>8.6999999999999993</v>
      </c>
      <c r="U29" s="45">
        <v>8.6999999999999993</v>
      </c>
      <c r="V29" s="45">
        <v>8.6999999999999993</v>
      </c>
      <c r="W29" s="45">
        <v>8.6999999999999993</v>
      </c>
      <c r="X29" s="45">
        <v>8.6999999999999993</v>
      </c>
      <c r="Y29" s="45">
        <v>8.6999999999999993</v>
      </c>
      <c r="Z29" s="45">
        <v>8.6999999999999993</v>
      </c>
      <c r="AA29" s="45">
        <v>8.6999999999999993</v>
      </c>
      <c r="AB29" s="45">
        <v>8.6999999999999993</v>
      </c>
      <c r="AC29" s="45">
        <v>8.6999999999999993</v>
      </c>
      <c r="AD29" s="45">
        <v>8.6999999999999993</v>
      </c>
      <c r="AE29" s="45">
        <v>8.6999999999999993</v>
      </c>
      <c r="AF29" s="45">
        <v>8.6999999999999993</v>
      </c>
      <c r="AG29" s="49">
        <v>25</v>
      </c>
      <c r="AH29" s="47">
        <f t="shared" si="2"/>
        <v>8.6999999999999993</v>
      </c>
      <c r="AI29" s="48">
        <f t="shared" si="3"/>
        <v>8.3000000000000007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8.4</v>
      </c>
      <c r="C30" s="45">
        <v>1</v>
      </c>
      <c r="D30" s="45">
        <v>0.5</v>
      </c>
      <c r="E30" s="45">
        <v>0.5</v>
      </c>
      <c r="F30" s="45">
        <v>0.5</v>
      </c>
      <c r="G30" s="45">
        <v>0.5</v>
      </c>
      <c r="H30" s="45">
        <v>0.5</v>
      </c>
      <c r="I30" s="45">
        <v>0.5</v>
      </c>
      <c r="J30" s="45">
        <v>0.5</v>
      </c>
      <c r="K30" s="45">
        <v>0.5</v>
      </c>
      <c r="L30" s="45">
        <v>0.5</v>
      </c>
      <c r="M30" s="45">
        <v>0.5</v>
      </c>
      <c r="N30" s="45">
        <v>0.5</v>
      </c>
      <c r="O30" s="45">
        <v>0.5</v>
      </c>
      <c r="P30" s="45">
        <v>0.5</v>
      </c>
      <c r="Q30" s="45">
        <v>0.5</v>
      </c>
      <c r="R30" s="45">
        <v>0.5</v>
      </c>
      <c r="S30" s="45">
        <v>0.5</v>
      </c>
      <c r="T30" s="45">
        <v>0.5</v>
      </c>
      <c r="U30" s="45">
        <v>0.5</v>
      </c>
      <c r="V30" s="45">
        <v>0.5</v>
      </c>
      <c r="W30" s="45">
        <v>0.5</v>
      </c>
      <c r="X30" s="45">
        <v>0.5</v>
      </c>
      <c r="Y30" s="45">
        <v>0.5</v>
      </c>
      <c r="Z30" s="45">
        <v>0.5</v>
      </c>
      <c r="AA30" s="45">
        <v>0.5</v>
      </c>
      <c r="AB30" s="45">
        <v>0.5</v>
      </c>
      <c r="AC30" s="45">
        <v>0.5</v>
      </c>
      <c r="AD30" s="45">
        <v>0.5</v>
      </c>
      <c r="AE30" s="45">
        <v>0.5</v>
      </c>
      <c r="AF30" s="45">
        <v>0.5</v>
      </c>
      <c r="AG30" s="49">
        <v>23.5</v>
      </c>
      <c r="AH30" s="47">
        <f t="shared" si="2"/>
        <v>8.4</v>
      </c>
      <c r="AI30" s="48">
        <f t="shared" si="3"/>
        <v>0.5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4.5</v>
      </c>
      <c r="C31" s="45">
        <v>4.5</v>
      </c>
      <c r="D31" s="45">
        <v>4.5</v>
      </c>
      <c r="E31" s="45">
        <v>4.5</v>
      </c>
      <c r="F31" s="45">
        <v>4.5</v>
      </c>
      <c r="G31" s="45">
        <v>4.5</v>
      </c>
      <c r="H31" s="45">
        <v>4.5</v>
      </c>
      <c r="I31" s="45">
        <v>4.5</v>
      </c>
      <c r="J31" s="45">
        <v>4.5</v>
      </c>
      <c r="K31" s="45">
        <v>4.5</v>
      </c>
      <c r="L31" s="45">
        <v>4.5</v>
      </c>
      <c r="M31" s="45">
        <v>4.5</v>
      </c>
      <c r="N31" s="45">
        <v>4.5</v>
      </c>
      <c r="O31" s="45">
        <v>4.5</v>
      </c>
      <c r="P31" s="45">
        <v>4.5</v>
      </c>
      <c r="Q31" s="45">
        <v>4.5</v>
      </c>
      <c r="R31" s="45">
        <v>4.5</v>
      </c>
      <c r="S31" s="45">
        <v>4.5</v>
      </c>
      <c r="T31" s="45">
        <v>4.5</v>
      </c>
      <c r="U31" s="45">
        <v>4.5</v>
      </c>
      <c r="V31" s="45">
        <v>4.5</v>
      </c>
      <c r="W31" s="45">
        <v>4.5</v>
      </c>
      <c r="X31" s="45">
        <v>4.5</v>
      </c>
      <c r="Y31" s="45">
        <v>4.5</v>
      </c>
      <c r="Z31" s="45">
        <v>4.5</v>
      </c>
      <c r="AA31" s="45">
        <v>4.5</v>
      </c>
      <c r="AB31" s="45">
        <v>4.5</v>
      </c>
      <c r="AC31" s="45">
        <v>4.5</v>
      </c>
      <c r="AD31" s="45">
        <v>4.5</v>
      </c>
      <c r="AE31" s="45">
        <v>4.5</v>
      </c>
      <c r="AF31" s="45">
        <v>4.5</v>
      </c>
      <c r="AG31" s="49">
        <v>22.2</v>
      </c>
      <c r="AH31" s="47">
        <f t="shared" si="2"/>
        <v>4.5</v>
      </c>
      <c r="AI31" s="48">
        <f t="shared" si="3"/>
        <v>4.5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>
        <v>5.5</v>
      </c>
      <c r="N32" s="45">
        <v>5.5</v>
      </c>
      <c r="O32" s="45">
        <v>5.5</v>
      </c>
      <c r="P32" s="45">
        <v>5.5</v>
      </c>
      <c r="Q32" s="45">
        <v>5.5</v>
      </c>
      <c r="R32" s="45">
        <v>5.5</v>
      </c>
      <c r="S32" s="45">
        <v>5.5</v>
      </c>
      <c r="T32" s="45">
        <v>5.5</v>
      </c>
      <c r="U32" s="45">
        <v>5.5</v>
      </c>
      <c r="V32" s="45">
        <v>5.5</v>
      </c>
      <c r="W32" s="45">
        <v>5.5</v>
      </c>
      <c r="X32" s="45">
        <v>5.5</v>
      </c>
      <c r="Y32" s="45">
        <v>5.5</v>
      </c>
      <c r="Z32" s="45">
        <v>5.5</v>
      </c>
      <c r="AA32" s="45">
        <v>5.5</v>
      </c>
      <c r="AB32" s="45">
        <v>5.5</v>
      </c>
      <c r="AC32" s="45">
        <v>5.5</v>
      </c>
      <c r="AD32" s="45">
        <v>5.5</v>
      </c>
      <c r="AE32" s="45">
        <v>5.5</v>
      </c>
      <c r="AF32" s="45">
        <v>5.5</v>
      </c>
      <c r="AG32" s="49">
        <v>22.1</v>
      </c>
      <c r="AH32" s="47">
        <f t="shared" si="2"/>
        <v>5.5</v>
      </c>
      <c r="AI32" s="48">
        <f t="shared" si="3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22</v>
      </c>
      <c r="AH33" s="47">
        <f t="shared" si="2"/>
        <v>6</v>
      </c>
      <c r="AI33" s="48">
        <f t="shared" si="3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11.7</v>
      </c>
      <c r="C34" s="45">
        <v>10.3</v>
      </c>
      <c r="D34" s="45">
        <v>10.1</v>
      </c>
      <c r="E34" s="45">
        <v>10.1</v>
      </c>
      <c r="F34" s="45">
        <v>10.1</v>
      </c>
      <c r="G34" s="45">
        <v>10.1</v>
      </c>
      <c r="H34" s="45">
        <v>10.1</v>
      </c>
      <c r="I34" s="45">
        <v>10.1</v>
      </c>
      <c r="J34" s="45">
        <v>10.1</v>
      </c>
      <c r="K34" s="45">
        <v>10.1</v>
      </c>
      <c r="L34" s="45">
        <v>10.1</v>
      </c>
      <c r="M34" s="45">
        <v>10.1</v>
      </c>
      <c r="N34" s="45">
        <v>10.1</v>
      </c>
      <c r="O34" s="45">
        <v>10.1</v>
      </c>
      <c r="P34" s="45">
        <v>10.1</v>
      </c>
      <c r="Q34" s="45">
        <v>10.1</v>
      </c>
      <c r="R34" s="45">
        <v>10.1</v>
      </c>
      <c r="S34" s="45">
        <v>10.1</v>
      </c>
      <c r="T34" s="45">
        <v>10.1</v>
      </c>
      <c r="U34" s="45">
        <v>10.1</v>
      </c>
      <c r="V34" s="45">
        <v>10.1</v>
      </c>
      <c r="W34" s="45">
        <v>10.1</v>
      </c>
      <c r="X34" s="45">
        <v>10.1</v>
      </c>
      <c r="Y34" s="45">
        <v>10.1</v>
      </c>
      <c r="Z34" s="45">
        <v>10.1</v>
      </c>
      <c r="AA34" s="45">
        <v>10.1</v>
      </c>
      <c r="AB34" s="45">
        <v>10.1</v>
      </c>
      <c r="AC34" s="45">
        <v>10.1</v>
      </c>
      <c r="AD34" s="45">
        <v>10.1</v>
      </c>
      <c r="AE34" s="45">
        <v>10.1</v>
      </c>
      <c r="AF34" s="45">
        <v>10.1</v>
      </c>
      <c r="AG34" s="49">
        <v>22</v>
      </c>
      <c r="AH34" s="47">
        <f t="shared" si="2"/>
        <v>11.7</v>
      </c>
      <c r="AI34" s="48">
        <f t="shared" si="3"/>
        <v>10.1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6.5</v>
      </c>
      <c r="C35" s="45">
        <v>6.5</v>
      </c>
      <c r="D35" s="45">
        <v>6.5</v>
      </c>
      <c r="E35" s="45">
        <v>6.5</v>
      </c>
      <c r="F35" s="45">
        <v>6.5</v>
      </c>
      <c r="G35" s="45">
        <v>6.5</v>
      </c>
      <c r="H35" s="45">
        <v>6.5</v>
      </c>
      <c r="I35" s="45">
        <v>6.5</v>
      </c>
      <c r="J35" s="45">
        <v>6.5</v>
      </c>
      <c r="K35" s="45">
        <v>6.5</v>
      </c>
      <c r="L35" s="45">
        <v>6.5</v>
      </c>
      <c r="M35" s="45">
        <v>6.5</v>
      </c>
      <c r="N35" s="45">
        <v>6.5</v>
      </c>
      <c r="O35" s="45">
        <v>6.5</v>
      </c>
      <c r="P35" s="45">
        <v>6.5</v>
      </c>
      <c r="Q35" s="45">
        <v>6.5</v>
      </c>
      <c r="R35" s="45">
        <v>6.5</v>
      </c>
      <c r="S35" s="45">
        <v>6.5</v>
      </c>
      <c r="T35" s="45">
        <v>6.5</v>
      </c>
      <c r="U35" s="45">
        <v>6.5</v>
      </c>
      <c r="V35" s="45">
        <v>6.5</v>
      </c>
      <c r="W35" s="45">
        <v>6.5</v>
      </c>
      <c r="X35" s="45">
        <v>6.5</v>
      </c>
      <c r="Y35" s="45">
        <v>6.5</v>
      </c>
      <c r="Z35" s="45">
        <v>6.5</v>
      </c>
      <c r="AA35" s="45">
        <v>6.5</v>
      </c>
      <c r="AB35" s="45">
        <v>6.5</v>
      </c>
      <c r="AC35" s="45">
        <v>6.5</v>
      </c>
      <c r="AD35" s="45">
        <v>6.5</v>
      </c>
      <c r="AE35" s="45">
        <v>6.5</v>
      </c>
      <c r="AF35" s="45">
        <v>6.5</v>
      </c>
      <c r="AG35" s="49">
        <v>20</v>
      </c>
      <c r="AH35" s="47">
        <f t="shared" si="2"/>
        <v>6.5</v>
      </c>
      <c r="AI35" s="48">
        <f t="shared" si="3"/>
        <v>6.5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264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2"/>
        <v>4</v>
      </c>
      <c r="AI36" s="48">
        <f t="shared" si="3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5.5</v>
      </c>
      <c r="C37" s="45">
        <v>5.5</v>
      </c>
      <c r="D37" s="45">
        <v>5.5</v>
      </c>
      <c r="E37" s="45">
        <v>5.5</v>
      </c>
      <c r="F37" s="45">
        <v>5.5</v>
      </c>
      <c r="G37" s="45">
        <v>5.5</v>
      </c>
      <c r="H37" s="45">
        <v>5.5</v>
      </c>
      <c r="I37" s="45">
        <v>5.5</v>
      </c>
      <c r="J37" s="45">
        <v>5.5</v>
      </c>
      <c r="K37" s="45">
        <v>5.5</v>
      </c>
      <c r="L37" s="45">
        <v>5.5</v>
      </c>
      <c r="M37" s="45">
        <v>5.5</v>
      </c>
      <c r="N37" s="45">
        <v>5.5</v>
      </c>
      <c r="O37" s="45">
        <v>5.5</v>
      </c>
      <c r="P37" s="45">
        <v>5.5</v>
      </c>
      <c r="Q37" s="45">
        <v>5.5</v>
      </c>
      <c r="R37" s="45">
        <v>5.5</v>
      </c>
      <c r="S37" s="45">
        <v>5.5</v>
      </c>
      <c r="T37" s="45">
        <v>5.5</v>
      </c>
      <c r="U37" s="45">
        <v>5.5</v>
      </c>
      <c r="V37" s="45">
        <v>5.5</v>
      </c>
      <c r="W37" s="45">
        <v>5.5</v>
      </c>
      <c r="X37" s="45">
        <v>5.5</v>
      </c>
      <c r="Y37" s="45">
        <v>5.5</v>
      </c>
      <c r="Z37" s="45">
        <v>5.5</v>
      </c>
      <c r="AA37" s="45">
        <v>5.5</v>
      </c>
      <c r="AB37" s="45">
        <v>5.5</v>
      </c>
      <c r="AC37" s="45">
        <v>5.5</v>
      </c>
      <c r="AD37" s="45">
        <v>5.5</v>
      </c>
      <c r="AE37" s="45">
        <v>5.5</v>
      </c>
      <c r="AF37" s="45">
        <v>5.5</v>
      </c>
      <c r="AG37" s="49">
        <v>18</v>
      </c>
      <c r="AH37" s="47">
        <f t="shared" si="2"/>
        <v>5.5</v>
      </c>
      <c r="AI37" s="48">
        <f t="shared" si="3"/>
        <v>5.5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>
        <v>7.2</v>
      </c>
      <c r="N38" s="45">
        <v>7.2</v>
      </c>
      <c r="O38" s="45">
        <v>7.2</v>
      </c>
      <c r="P38" s="45">
        <v>7.2</v>
      </c>
      <c r="Q38" s="45">
        <v>7.2</v>
      </c>
      <c r="R38" s="45">
        <v>7.2</v>
      </c>
      <c r="S38" s="45">
        <v>7.2</v>
      </c>
      <c r="T38" s="45">
        <v>7.2</v>
      </c>
      <c r="U38" s="45">
        <v>7.2</v>
      </c>
      <c r="V38" s="45">
        <v>7.2</v>
      </c>
      <c r="W38" s="45">
        <v>7.2</v>
      </c>
      <c r="X38" s="45">
        <v>7.2</v>
      </c>
      <c r="Y38" s="45">
        <v>7.2</v>
      </c>
      <c r="Z38" s="45">
        <v>7.2</v>
      </c>
      <c r="AA38" s="45">
        <v>7.2</v>
      </c>
      <c r="AB38" s="45">
        <v>7.2</v>
      </c>
      <c r="AC38" s="45">
        <v>7.2</v>
      </c>
      <c r="AD38" s="45">
        <v>7.2</v>
      </c>
      <c r="AE38" s="45">
        <v>7.2</v>
      </c>
      <c r="AF38" s="45">
        <v>7.2</v>
      </c>
      <c r="AG38" s="49">
        <v>14.9</v>
      </c>
      <c r="AH38" s="47">
        <f t="shared" si="2"/>
        <v>7.2</v>
      </c>
      <c r="AI38" s="48">
        <f t="shared" si="3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265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2"/>
        <v>5</v>
      </c>
      <c r="AI40" s="48">
        <f t="shared" si="3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266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>
        <v>4</v>
      </c>
      <c r="N41" s="45">
        <v>4</v>
      </c>
      <c r="O41" s="45">
        <v>4</v>
      </c>
      <c r="P41" s="45">
        <v>4</v>
      </c>
      <c r="Q41" s="45">
        <v>4</v>
      </c>
      <c r="R41" s="45">
        <v>4</v>
      </c>
      <c r="S41" s="45">
        <v>4</v>
      </c>
      <c r="T41" s="45">
        <v>4</v>
      </c>
      <c r="U41" s="45">
        <v>4</v>
      </c>
      <c r="V41" s="45">
        <v>4</v>
      </c>
      <c r="W41" s="45">
        <v>4</v>
      </c>
      <c r="X41" s="45">
        <v>4</v>
      </c>
      <c r="Y41" s="45">
        <v>4</v>
      </c>
      <c r="Z41" s="45">
        <v>4</v>
      </c>
      <c r="AA41" s="45">
        <v>4</v>
      </c>
      <c r="AB41" s="45">
        <v>4</v>
      </c>
      <c r="AC41" s="45">
        <v>4</v>
      </c>
      <c r="AD41" s="45">
        <v>4</v>
      </c>
      <c r="AE41" s="45">
        <v>4</v>
      </c>
      <c r="AF41" s="45">
        <v>4</v>
      </c>
      <c r="AG41" s="49">
        <v>14.9</v>
      </c>
      <c r="AH41" s="47">
        <f t="shared" si="2"/>
        <v>4</v>
      </c>
      <c r="AI41" s="48">
        <f t="shared" si="3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2"/>
        <v>1.8</v>
      </c>
      <c r="AI42" s="48">
        <f t="shared" si="3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2"/>
        <v>3.8</v>
      </c>
      <c r="AI43" s="48">
        <f t="shared" si="3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4</v>
      </c>
      <c r="C44" s="45">
        <v>4</v>
      </c>
      <c r="D44" s="45">
        <v>4</v>
      </c>
      <c r="E44" s="45">
        <v>4</v>
      </c>
      <c r="F44" s="45">
        <v>4</v>
      </c>
      <c r="G44" s="45">
        <v>4</v>
      </c>
      <c r="H44" s="45">
        <v>4</v>
      </c>
      <c r="I44" s="45">
        <v>4</v>
      </c>
      <c r="J44" s="45">
        <v>4</v>
      </c>
      <c r="K44" s="45">
        <v>4</v>
      </c>
      <c r="L44" s="45">
        <v>4</v>
      </c>
      <c r="M44" s="45">
        <v>4</v>
      </c>
      <c r="N44" s="45">
        <v>4</v>
      </c>
      <c r="O44" s="45">
        <v>4</v>
      </c>
      <c r="P44" s="45">
        <v>4</v>
      </c>
      <c r="Q44" s="45">
        <v>4</v>
      </c>
      <c r="R44" s="45">
        <v>4</v>
      </c>
      <c r="S44" s="45">
        <v>4</v>
      </c>
      <c r="T44" s="45">
        <v>4</v>
      </c>
      <c r="U44" s="45">
        <v>4</v>
      </c>
      <c r="V44" s="45">
        <v>4</v>
      </c>
      <c r="W44" s="45">
        <v>4</v>
      </c>
      <c r="X44" s="45">
        <v>4</v>
      </c>
      <c r="Y44" s="45">
        <v>4</v>
      </c>
      <c r="Z44" s="45">
        <v>4</v>
      </c>
      <c r="AA44" s="45">
        <v>4</v>
      </c>
      <c r="AB44" s="45">
        <v>4</v>
      </c>
      <c r="AC44" s="45">
        <v>4</v>
      </c>
      <c r="AD44" s="45">
        <v>4</v>
      </c>
      <c r="AE44" s="45">
        <v>4</v>
      </c>
      <c r="AF44" s="45">
        <v>4</v>
      </c>
      <c r="AG44" s="49">
        <v>12</v>
      </c>
      <c r="AH44" s="47">
        <f t="shared" si="2"/>
        <v>4</v>
      </c>
      <c r="AI44" s="48">
        <f t="shared" si="3"/>
        <v>4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49">
        <v>12</v>
      </c>
      <c r="AH45" s="47">
        <f t="shared" si="2"/>
        <v>9</v>
      </c>
      <c r="AI45" s="48">
        <f t="shared" si="3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2"/>
        <v>3</v>
      </c>
      <c r="AI46" s="48">
        <f t="shared" si="3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2"/>
        <v>3.5</v>
      </c>
      <c r="AI47" s="48">
        <f t="shared" si="3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>
        <v>5</v>
      </c>
      <c r="N48" s="45">
        <v>5</v>
      </c>
      <c r="O48" s="45">
        <v>5</v>
      </c>
      <c r="P48" s="45">
        <v>5</v>
      </c>
      <c r="Q48" s="45">
        <v>5</v>
      </c>
      <c r="R48" s="45">
        <v>5</v>
      </c>
      <c r="S48" s="45">
        <v>5</v>
      </c>
      <c r="T48" s="45">
        <v>5</v>
      </c>
      <c r="U48" s="45">
        <v>5</v>
      </c>
      <c r="V48" s="45">
        <v>5</v>
      </c>
      <c r="W48" s="45">
        <v>5</v>
      </c>
      <c r="X48" s="45">
        <v>5</v>
      </c>
      <c r="Y48" s="45">
        <v>5</v>
      </c>
      <c r="Z48" s="45">
        <v>5</v>
      </c>
      <c r="AA48" s="45">
        <v>5</v>
      </c>
      <c r="AB48" s="45">
        <v>5</v>
      </c>
      <c r="AC48" s="45">
        <v>5</v>
      </c>
      <c r="AD48" s="45">
        <v>5</v>
      </c>
      <c r="AE48" s="45">
        <v>5</v>
      </c>
      <c r="AF48" s="45">
        <v>5</v>
      </c>
      <c r="AG48" s="52">
        <v>11.88</v>
      </c>
      <c r="AH48" s="47">
        <f t="shared" si="2"/>
        <v>5</v>
      </c>
      <c r="AI48" s="48">
        <f t="shared" si="3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>
        <v>3</v>
      </c>
      <c r="N49" s="45">
        <v>3</v>
      </c>
      <c r="O49" s="45">
        <v>3</v>
      </c>
      <c r="P49" s="45">
        <v>3</v>
      </c>
      <c r="Q49" s="45">
        <v>3</v>
      </c>
      <c r="R49" s="45">
        <v>3</v>
      </c>
      <c r="S49" s="45">
        <v>3</v>
      </c>
      <c r="T49" s="45">
        <v>3</v>
      </c>
      <c r="U49" s="45">
        <v>3</v>
      </c>
      <c r="V49" s="45">
        <v>3</v>
      </c>
      <c r="W49" s="45">
        <v>3</v>
      </c>
      <c r="X49" s="45">
        <v>3</v>
      </c>
      <c r="Y49" s="45">
        <v>3</v>
      </c>
      <c r="Z49" s="45">
        <v>3</v>
      </c>
      <c r="AA49" s="45">
        <v>3</v>
      </c>
      <c r="AB49" s="45">
        <v>3</v>
      </c>
      <c r="AC49" s="45">
        <v>3</v>
      </c>
      <c r="AD49" s="45">
        <v>3</v>
      </c>
      <c r="AE49" s="45">
        <v>3</v>
      </c>
      <c r="AF49" s="45">
        <v>3</v>
      </c>
      <c r="AG49" s="55">
        <v>11</v>
      </c>
      <c r="AH49" s="47">
        <f t="shared" si="2"/>
        <v>3</v>
      </c>
      <c r="AI49" s="48">
        <f t="shared" si="3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267</v>
      </c>
      <c r="B50" s="45">
        <v>3.3</v>
      </c>
      <c r="C50" s="45">
        <v>3.3</v>
      </c>
      <c r="D50" s="45">
        <v>3.3</v>
      </c>
      <c r="E50" s="45">
        <v>3.3</v>
      </c>
      <c r="F50" s="45">
        <v>3.3</v>
      </c>
      <c r="G50" s="45">
        <v>3.3</v>
      </c>
      <c r="H50" s="45">
        <v>3.3</v>
      </c>
      <c r="I50" s="45">
        <v>3.3</v>
      </c>
      <c r="J50" s="45">
        <v>3.3</v>
      </c>
      <c r="K50" s="45">
        <v>3.3</v>
      </c>
      <c r="L50" s="45">
        <v>3.3</v>
      </c>
      <c r="M50" s="45">
        <v>3.3</v>
      </c>
      <c r="N50" s="45">
        <v>3.3</v>
      </c>
      <c r="O50" s="45">
        <v>3.3</v>
      </c>
      <c r="P50" s="45">
        <v>3.3</v>
      </c>
      <c r="Q50" s="45">
        <v>3.3</v>
      </c>
      <c r="R50" s="45">
        <v>3.3</v>
      </c>
      <c r="S50" s="45">
        <v>3.3</v>
      </c>
      <c r="T50" s="45">
        <v>3.3</v>
      </c>
      <c r="U50" s="45">
        <v>3.3</v>
      </c>
      <c r="V50" s="45">
        <v>3.3</v>
      </c>
      <c r="W50" s="45">
        <v>3.3</v>
      </c>
      <c r="X50" s="45">
        <v>3.3</v>
      </c>
      <c r="Y50" s="45">
        <v>3.3</v>
      </c>
      <c r="Z50" s="45">
        <v>3.3</v>
      </c>
      <c r="AA50" s="45">
        <v>3.3</v>
      </c>
      <c r="AB50" s="45">
        <v>3.3</v>
      </c>
      <c r="AC50" s="45">
        <v>3.3</v>
      </c>
      <c r="AD50" s="45">
        <v>3.3</v>
      </c>
      <c r="AE50" s="45">
        <v>3.3</v>
      </c>
      <c r="AF50" s="45">
        <v>3.3</v>
      </c>
      <c r="AG50" s="55">
        <v>11</v>
      </c>
      <c r="AH50" s="47">
        <f t="shared" si="2"/>
        <v>3.3</v>
      </c>
      <c r="AI50" s="48">
        <f t="shared" si="3"/>
        <v>3.3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268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"/>
        <v>3</v>
      </c>
      <c r="AI51" s="48">
        <f t="shared" si="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2"/>
        <v>4</v>
      </c>
      <c r="AI52" s="48">
        <f t="shared" si="3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"/>
        <v>4.5</v>
      </c>
      <c r="AI53" s="48">
        <f t="shared" si="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269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"/>
        <v>0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175</v>
      </c>
      <c r="C56" s="57">
        <v>175</v>
      </c>
      <c r="D56" s="57">
        <v>175</v>
      </c>
      <c r="E56" s="57">
        <v>175</v>
      </c>
      <c r="F56" s="57">
        <v>175</v>
      </c>
      <c r="G56" s="57">
        <v>175</v>
      </c>
      <c r="H56" s="57">
        <v>175</v>
      </c>
      <c r="I56" s="57">
        <v>175</v>
      </c>
      <c r="J56" s="57">
        <v>175</v>
      </c>
      <c r="K56" s="57">
        <v>175</v>
      </c>
      <c r="L56" s="57">
        <v>175</v>
      </c>
      <c r="M56" s="57">
        <v>175</v>
      </c>
      <c r="N56" s="57">
        <v>175</v>
      </c>
      <c r="O56" s="57">
        <v>175</v>
      </c>
      <c r="P56" s="57">
        <v>175</v>
      </c>
      <c r="Q56" s="57">
        <v>175</v>
      </c>
      <c r="R56" s="57">
        <v>175</v>
      </c>
      <c r="S56" s="57">
        <v>175</v>
      </c>
      <c r="T56" s="57">
        <v>175</v>
      </c>
      <c r="U56" s="57">
        <v>175</v>
      </c>
      <c r="V56" s="57">
        <v>175</v>
      </c>
      <c r="W56" s="57">
        <v>175</v>
      </c>
      <c r="X56" s="57">
        <v>175</v>
      </c>
      <c r="Y56" s="57">
        <v>175</v>
      </c>
      <c r="Z56" s="57">
        <v>175</v>
      </c>
      <c r="AA56" s="57">
        <v>175</v>
      </c>
      <c r="AB56" s="57">
        <v>175</v>
      </c>
      <c r="AC56" s="57">
        <v>175</v>
      </c>
      <c r="AD56" s="57">
        <v>175</v>
      </c>
      <c r="AE56" s="57">
        <v>175</v>
      </c>
      <c r="AF56" s="57">
        <v>175</v>
      </c>
      <c r="AG56" s="55">
        <v>85</v>
      </c>
      <c r="AH56" s="47">
        <f t="shared" si="2"/>
        <v>175</v>
      </c>
      <c r="AI56" s="48">
        <f t="shared" si="3"/>
        <v>175</v>
      </c>
      <c r="AK56" s="50"/>
    </row>
    <row r="57" spans="1:88" ht="15.75" thickBot="1" x14ac:dyDescent="0.3">
      <c r="A57" s="58" t="s">
        <v>57</v>
      </c>
      <c r="B57" s="57">
        <f>10.3+24.1</f>
        <v>34.400000000000006</v>
      </c>
      <c r="C57" s="57">
        <f>10.2+23.6</f>
        <v>33.799999999999997</v>
      </c>
      <c r="D57" s="57">
        <f>10.3+24</f>
        <v>34.299999999999997</v>
      </c>
      <c r="E57" s="57">
        <f>10.3+24</f>
        <v>34.299999999999997</v>
      </c>
      <c r="F57" s="57">
        <f>21.6+9.7</f>
        <v>31.3</v>
      </c>
      <c r="G57" s="57">
        <f>21.5+9.6</f>
        <v>31.1</v>
      </c>
      <c r="H57" s="57">
        <f>21.5+9.6</f>
        <v>31.1</v>
      </c>
      <c r="I57" s="57">
        <f>20.3+8.8</f>
        <v>29.1</v>
      </c>
      <c r="J57" s="57">
        <f t="shared" ref="J57:R57" si="4">19.5+8</f>
        <v>27.5</v>
      </c>
      <c r="K57" s="57">
        <f t="shared" si="4"/>
        <v>27.5</v>
      </c>
      <c r="L57" s="57">
        <f t="shared" si="4"/>
        <v>27.5</v>
      </c>
      <c r="M57" s="57">
        <f t="shared" si="4"/>
        <v>27.5</v>
      </c>
      <c r="N57" s="57">
        <f t="shared" si="4"/>
        <v>27.5</v>
      </c>
      <c r="O57" s="57">
        <f t="shared" si="4"/>
        <v>27.5</v>
      </c>
      <c r="P57" s="57">
        <f t="shared" si="4"/>
        <v>27.5</v>
      </c>
      <c r="Q57" s="57">
        <f t="shared" si="4"/>
        <v>27.5</v>
      </c>
      <c r="R57" s="57">
        <f t="shared" si="4"/>
        <v>27.5</v>
      </c>
      <c r="S57" s="57">
        <v>26.6</v>
      </c>
      <c r="T57" s="57">
        <v>26.6</v>
      </c>
      <c r="U57" s="57">
        <v>26.6</v>
      </c>
      <c r="V57" s="57">
        <v>27.4</v>
      </c>
      <c r="W57" s="57">
        <v>26.6</v>
      </c>
      <c r="X57" s="57">
        <v>27.4</v>
      </c>
      <c r="Y57" s="57">
        <v>27.4</v>
      </c>
      <c r="Z57" s="57">
        <v>27.4</v>
      </c>
      <c r="AA57" s="57">
        <v>27.4</v>
      </c>
      <c r="AB57" s="57">
        <v>27.4</v>
      </c>
      <c r="AC57" s="57">
        <v>25.1</v>
      </c>
      <c r="AD57" s="57">
        <v>25.1</v>
      </c>
      <c r="AE57" s="57">
        <v>29.3</v>
      </c>
      <c r="AF57" s="57">
        <v>29.3</v>
      </c>
      <c r="AG57" s="55">
        <v>240</v>
      </c>
      <c r="AH57" s="47">
        <f t="shared" si="2"/>
        <v>34.400000000000006</v>
      </c>
      <c r="AI57" s="48">
        <f t="shared" si="3"/>
        <v>25.1</v>
      </c>
      <c r="AK57" s="50"/>
    </row>
    <row r="58" spans="1:88" ht="15.75" thickBot="1" x14ac:dyDescent="0.3">
      <c r="A58" s="59" t="s">
        <v>58</v>
      </c>
      <c r="B58" s="60">
        <f t="shared" ref="B58:C58" si="5">SUM(B11:B56)</f>
        <v>544</v>
      </c>
      <c r="C58" s="60">
        <f t="shared" si="5"/>
        <v>533.29999999999995</v>
      </c>
      <c r="D58" s="60">
        <f t="shared" ref="D58:E58" si="6">SUM(D11:D56)</f>
        <v>536.1</v>
      </c>
      <c r="E58" s="60">
        <f t="shared" si="6"/>
        <v>536.40000000000009</v>
      </c>
      <c r="F58" s="60">
        <f t="shared" ref="F58:AF58" si="7">SUM(F11:F56)</f>
        <v>524.70000000000005</v>
      </c>
      <c r="G58" s="60">
        <f t="shared" si="7"/>
        <v>528.90000000000009</v>
      </c>
      <c r="H58" s="60">
        <f t="shared" si="7"/>
        <v>535.20000000000005</v>
      </c>
      <c r="I58" s="60">
        <f t="shared" si="7"/>
        <v>535.79999999999995</v>
      </c>
      <c r="J58" s="60">
        <f t="shared" si="7"/>
        <v>543.6</v>
      </c>
      <c r="K58" s="60">
        <f t="shared" ref="K58" si="8">SUM(K11:K56)</f>
        <v>540.90000000000009</v>
      </c>
      <c r="L58" s="60">
        <f t="shared" si="7"/>
        <v>540.90000000000009</v>
      </c>
      <c r="M58" s="60">
        <f t="shared" ref="M58" si="9">SUM(M11:M56)</f>
        <v>538.29999999999995</v>
      </c>
      <c r="N58" s="60">
        <f t="shared" si="7"/>
        <v>538.29999999999995</v>
      </c>
      <c r="O58" s="60">
        <f t="shared" si="7"/>
        <v>538.29999999999995</v>
      </c>
      <c r="P58" s="60">
        <f t="shared" si="7"/>
        <v>538.29999999999995</v>
      </c>
      <c r="Q58" s="60">
        <f t="shared" si="7"/>
        <v>538.29999999999995</v>
      </c>
      <c r="R58" s="60">
        <f t="shared" si="7"/>
        <v>538.29999999999995</v>
      </c>
      <c r="S58" s="60">
        <f t="shared" si="7"/>
        <v>538.29999999999995</v>
      </c>
      <c r="T58" s="60">
        <f t="shared" ref="T58:U58" si="10">SUM(T11:T56)</f>
        <v>538.29999999999995</v>
      </c>
      <c r="U58" s="60">
        <f t="shared" si="10"/>
        <v>538.29999999999995</v>
      </c>
      <c r="V58" s="60">
        <f t="shared" si="7"/>
        <v>538.29999999999995</v>
      </c>
      <c r="W58" s="60">
        <f t="shared" si="7"/>
        <v>538.29999999999995</v>
      </c>
      <c r="X58" s="60">
        <f t="shared" si="7"/>
        <v>538.29999999999995</v>
      </c>
      <c r="Y58" s="60">
        <f t="shared" si="7"/>
        <v>538.29999999999995</v>
      </c>
      <c r="Z58" s="60">
        <f t="shared" ref="Z58:AA58" si="11">SUM(Z11:Z56)</f>
        <v>538.29999999999995</v>
      </c>
      <c r="AA58" s="60">
        <f t="shared" si="11"/>
        <v>538.29999999999995</v>
      </c>
      <c r="AB58" s="60">
        <f t="shared" si="7"/>
        <v>538.29999999999995</v>
      </c>
      <c r="AC58" s="60">
        <f t="shared" si="7"/>
        <v>538.29999999999995</v>
      </c>
      <c r="AD58" s="60">
        <f t="shared" si="7"/>
        <v>538.29999999999995</v>
      </c>
      <c r="AE58" s="60">
        <f t="shared" si="7"/>
        <v>538.29999999999995</v>
      </c>
      <c r="AF58" s="60">
        <f t="shared" si="7"/>
        <v>538.29999999999995</v>
      </c>
      <c r="AG58" s="61">
        <f>SUM(AG14:AG56)</f>
        <v>1042.4000000000001</v>
      </c>
      <c r="AH58" s="47">
        <f t="shared" si="2"/>
        <v>544</v>
      </c>
      <c r="AI58" s="48">
        <f t="shared" si="3"/>
        <v>524.70000000000005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60</v>
      </c>
      <c r="K59" s="45">
        <v>160</v>
      </c>
      <c r="L59" s="45">
        <v>300</v>
      </c>
      <c r="M59" s="45">
        <v>335</v>
      </c>
      <c r="N59" s="63">
        <v>250</v>
      </c>
      <c r="O59" s="63">
        <v>220</v>
      </c>
      <c r="P59" s="63">
        <v>50</v>
      </c>
      <c r="Q59" s="63">
        <v>50</v>
      </c>
      <c r="R59" s="63">
        <v>15</v>
      </c>
      <c r="S59" s="45">
        <v>15</v>
      </c>
      <c r="T59" s="45">
        <v>15</v>
      </c>
      <c r="U59" s="45">
        <v>15</v>
      </c>
      <c r="V59" s="45">
        <v>15</v>
      </c>
      <c r="W59" s="45">
        <v>60</v>
      </c>
      <c r="X59" s="45">
        <v>225</v>
      </c>
      <c r="Y59" s="45">
        <v>225</v>
      </c>
      <c r="Z59" s="45">
        <v>240</v>
      </c>
      <c r="AA59" s="45">
        <v>240</v>
      </c>
      <c r="AB59" s="45">
        <v>250</v>
      </c>
      <c r="AC59" s="45">
        <v>80</v>
      </c>
      <c r="AD59" s="45">
        <v>50</v>
      </c>
      <c r="AE59" s="45">
        <v>0</v>
      </c>
      <c r="AF59" s="45">
        <v>0</v>
      </c>
      <c r="AG59" s="52">
        <v>456</v>
      </c>
      <c r="AH59" s="47">
        <f t="shared" si="2"/>
        <v>335</v>
      </c>
      <c r="AI59" s="48">
        <f t="shared" si="3"/>
        <v>0</v>
      </c>
      <c r="AK59" s="50"/>
    </row>
    <row r="60" spans="1:88" x14ac:dyDescent="0.25">
      <c r="A60" s="64" t="s">
        <v>60</v>
      </c>
      <c r="B60" s="65">
        <v>36</v>
      </c>
      <c r="C60" s="65">
        <v>36</v>
      </c>
      <c r="D60" s="65">
        <v>36</v>
      </c>
      <c r="E60" s="65">
        <v>36</v>
      </c>
      <c r="F60" s="65">
        <v>36</v>
      </c>
      <c r="G60" s="65">
        <v>36</v>
      </c>
      <c r="H60" s="65">
        <v>36</v>
      </c>
      <c r="I60" s="65">
        <v>36</v>
      </c>
      <c r="J60" s="65">
        <v>36</v>
      </c>
      <c r="K60" s="65">
        <v>36</v>
      </c>
      <c r="L60" s="65">
        <v>36</v>
      </c>
      <c r="M60" s="65">
        <v>36</v>
      </c>
      <c r="N60" s="65">
        <v>36</v>
      </c>
      <c r="O60" s="65">
        <v>36</v>
      </c>
      <c r="P60" s="65">
        <v>36</v>
      </c>
      <c r="Q60" s="65">
        <v>36</v>
      </c>
      <c r="R60" s="65">
        <v>36</v>
      </c>
      <c r="S60" s="65">
        <v>36</v>
      </c>
      <c r="T60" s="65">
        <v>36</v>
      </c>
      <c r="U60" s="65">
        <v>36</v>
      </c>
      <c r="V60" s="65">
        <v>36</v>
      </c>
      <c r="W60" s="65">
        <v>36</v>
      </c>
      <c r="X60" s="65">
        <v>36</v>
      </c>
      <c r="Y60" s="65">
        <v>36</v>
      </c>
      <c r="Z60" s="65">
        <v>36</v>
      </c>
      <c r="AA60" s="65">
        <v>36</v>
      </c>
      <c r="AB60" s="65">
        <v>36</v>
      </c>
      <c r="AC60" s="65">
        <v>36</v>
      </c>
      <c r="AD60" s="65">
        <v>36</v>
      </c>
      <c r="AE60" s="65">
        <v>36</v>
      </c>
      <c r="AF60" s="65">
        <v>36</v>
      </c>
      <c r="AG60" s="55">
        <v>60</v>
      </c>
      <c r="AH60" s="47">
        <f t="shared" si="2"/>
        <v>36</v>
      </c>
      <c r="AI60" s="48">
        <f t="shared" si="3"/>
        <v>36</v>
      </c>
      <c r="AK60" s="50"/>
    </row>
    <row r="61" spans="1:88" ht="15.75" thickBot="1" x14ac:dyDescent="0.3">
      <c r="A61" s="66" t="s">
        <v>61</v>
      </c>
      <c r="B61" s="67">
        <v>10.4</v>
      </c>
      <c r="C61" s="67">
        <v>10.3</v>
      </c>
      <c r="D61" s="67">
        <v>10.4</v>
      </c>
      <c r="E61" s="67">
        <v>10.4</v>
      </c>
      <c r="F61" s="67">
        <v>9.9</v>
      </c>
      <c r="G61" s="67">
        <v>9.8000000000000007</v>
      </c>
      <c r="H61" s="67">
        <v>9.8000000000000007</v>
      </c>
      <c r="I61" s="67">
        <v>9.8000000000000007</v>
      </c>
      <c r="J61" s="67">
        <v>9.8000000000000007</v>
      </c>
      <c r="K61" s="67">
        <v>9.8000000000000007</v>
      </c>
      <c r="L61" s="67">
        <v>15</v>
      </c>
      <c r="M61" s="67">
        <v>10.199999999999999</v>
      </c>
      <c r="N61" s="67">
        <v>10.199999999999999</v>
      </c>
      <c r="O61" s="67">
        <v>10.199999999999999</v>
      </c>
      <c r="P61" s="67">
        <v>10.199999999999999</v>
      </c>
      <c r="Q61" s="67">
        <v>10.3</v>
      </c>
      <c r="R61" s="67">
        <v>10.199999999999999</v>
      </c>
      <c r="S61" s="67">
        <v>10.3</v>
      </c>
      <c r="T61" s="67">
        <v>10.3</v>
      </c>
      <c r="U61" s="67">
        <v>10.3</v>
      </c>
      <c r="V61" s="67">
        <v>10.3</v>
      </c>
      <c r="W61" s="67">
        <v>10.199999999999999</v>
      </c>
      <c r="X61" s="67">
        <v>16.100000000000001</v>
      </c>
      <c r="Y61" s="67">
        <v>16.100000000000001</v>
      </c>
      <c r="Z61" s="67">
        <v>16.100000000000001</v>
      </c>
      <c r="AA61" s="67">
        <v>16.100000000000001</v>
      </c>
      <c r="AB61" s="67">
        <v>16.100000000000001</v>
      </c>
      <c r="AC61" s="67">
        <v>16.100000000000001</v>
      </c>
      <c r="AD61" s="67">
        <v>16.100000000000001</v>
      </c>
      <c r="AE61" s="67">
        <v>16.100000000000001</v>
      </c>
      <c r="AF61" s="67">
        <v>16.100000000000001</v>
      </c>
      <c r="AG61" s="68">
        <v>22.1</v>
      </c>
      <c r="AH61" s="47">
        <f t="shared" si="2"/>
        <v>16.100000000000001</v>
      </c>
      <c r="AI61" s="48">
        <f t="shared" si="3"/>
        <v>9.8000000000000007</v>
      </c>
      <c r="AK61" s="50"/>
    </row>
    <row r="62" spans="1:88" ht="15.75" thickBot="1" x14ac:dyDescent="0.3">
      <c r="A62" s="69" t="s">
        <v>62</v>
      </c>
      <c r="B62" s="60">
        <f t="shared" ref="B62:C62" si="12">SUM(B59:B61)</f>
        <v>46.4</v>
      </c>
      <c r="C62" s="60">
        <f t="shared" si="12"/>
        <v>46.3</v>
      </c>
      <c r="D62" s="60">
        <f t="shared" ref="D62:E62" si="13">SUM(D59:D61)</f>
        <v>46.4</v>
      </c>
      <c r="E62" s="60">
        <f t="shared" si="13"/>
        <v>46.4</v>
      </c>
      <c r="F62" s="60">
        <f t="shared" ref="F62:AG62" si="14">SUM(F59:F61)</f>
        <v>45.9</v>
      </c>
      <c r="G62" s="60">
        <f t="shared" si="14"/>
        <v>45.8</v>
      </c>
      <c r="H62" s="60">
        <f t="shared" si="14"/>
        <v>45.8</v>
      </c>
      <c r="I62" s="60">
        <f t="shared" si="14"/>
        <v>45.8</v>
      </c>
      <c r="J62" s="60">
        <f t="shared" si="14"/>
        <v>105.8</v>
      </c>
      <c r="K62" s="60">
        <f t="shared" ref="K62" si="15">SUM(K59:K61)</f>
        <v>205.8</v>
      </c>
      <c r="L62" s="60">
        <f t="shared" si="14"/>
        <v>351</v>
      </c>
      <c r="M62" s="60">
        <f t="shared" ref="M62" si="16">SUM(M59:M61)</f>
        <v>381.2</v>
      </c>
      <c r="N62" s="60">
        <f t="shared" si="14"/>
        <v>296.2</v>
      </c>
      <c r="O62" s="60">
        <f t="shared" si="14"/>
        <v>266.2</v>
      </c>
      <c r="P62" s="60">
        <f t="shared" si="14"/>
        <v>96.2</v>
      </c>
      <c r="Q62" s="60">
        <f t="shared" si="14"/>
        <v>96.3</v>
      </c>
      <c r="R62" s="60">
        <f t="shared" si="14"/>
        <v>61.2</v>
      </c>
      <c r="S62" s="60">
        <f t="shared" si="14"/>
        <v>61.3</v>
      </c>
      <c r="T62" s="60">
        <f t="shared" ref="T62:U62" si="17">SUM(T59:T61)</f>
        <v>61.3</v>
      </c>
      <c r="U62" s="60">
        <f t="shared" si="17"/>
        <v>61.3</v>
      </c>
      <c r="V62" s="60">
        <f t="shared" si="14"/>
        <v>61.3</v>
      </c>
      <c r="W62" s="60">
        <f t="shared" si="14"/>
        <v>106.2</v>
      </c>
      <c r="X62" s="60">
        <f t="shared" si="14"/>
        <v>277.10000000000002</v>
      </c>
      <c r="Y62" s="60">
        <f t="shared" si="14"/>
        <v>277.10000000000002</v>
      </c>
      <c r="Z62" s="60">
        <f t="shared" ref="Z62:AA62" si="18">SUM(Z59:Z61)</f>
        <v>292.10000000000002</v>
      </c>
      <c r="AA62" s="60">
        <f t="shared" si="18"/>
        <v>292.10000000000002</v>
      </c>
      <c r="AB62" s="60">
        <f t="shared" si="14"/>
        <v>302.10000000000002</v>
      </c>
      <c r="AC62" s="60">
        <f t="shared" si="14"/>
        <v>132.1</v>
      </c>
      <c r="AD62" s="60">
        <f t="shared" si="14"/>
        <v>102.1</v>
      </c>
      <c r="AE62" s="60">
        <f t="shared" si="14"/>
        <v>52.1</v>
      </c>
      <c r="AF62" s="60">
        <f t="shared" si="14"/>
        <v>52.1</v>
      </c>
      <c r="AG62" s="61">
        <f t="shared" si="14"/>
        <v>538.1</v>
      </c>
      <c r="AH62" s="47">
        <f t="shared" si="2"/>
        <v>381.2</v>
      </c>
      <c r="AI62" s="48">
        <f t="shared" si="3"/>
        <v>45.8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25.6</v>
      </c>
      <c r="H63" s="45">
        <v>70</v>
      </c>
      <c r="I63" s="45">
        <v>137</v>
      </c>
      <c r="J63" s="45">
        <v>144</v>
      </c>
      <c r="K63" s="45">
        <v>144</v>
      </c>
      <c r="L63" s="45">
        <v>144</v>
      </c>
      <c r="M63" s="45">
        <v>122</v>
      </c>
      <c r="N63" s="45">
        <v>93</v>
      </c>
      <c r="O63" s="45">
        <v>76.7</v>
      </c>
      <c r="P63" s="45">
        <v>61.8</v>
      </c>
      <c r="Q63" s="45">
        <v>97.2</v>
      </c>
      <c r="R63" s="45">
        <v>48.2</v>
      </c>
      <c r="S63" s="45">
        <v>28.9</v>
      </c>
      <c r="T63" s="45">
        <v>28.9</v>
      </c>
      <c r="U63" s="45">
        <v>35</v>
      </c>
      <c r="V63" s="45">
        <v>60</v>
      </c>
      <c r="W63" s="45">
        <v>88</v>
      </c>
      <c r="X63" s="45">
        <v>142</v>
      </c>
      <c r="Y63" s="45">
        <v>141</v>
      </c>
      <c r="Z63" s="45">
        <v>107.6</v>
      </c>
      <c r="AA63" s="45">
        <v>80.900000000000006</v>
      </c>
      <c r="AB63" s="45">
        <v>61</v>
      </c>
      <c r="AC63" s="45">
        <v>61</v>
      </c>
      <c r="AD63" s="45">
        <v>61</v>
      </c>
      <c r="AE63" s="45">
        <v>48</v>
      </c>
      <c r="AF63" s="45">
        <v>0</v>
      </c>
      <c r="AG63" s="52">
        <v>144</v>
      </c>
      <c r="AH63" s="47">
        <f t="shared" si="2"/>
        <v>144</v>
      </c>
      <c r="AI63" s="48">
        <f t="shared" si="3"/>
        <v>0</v>
      </c>
      <c r="AK63" s="50"/>
    </row>
    <row r="64" spans="1:88" x14ac:dyDescent="0.25">
      <c r="A64" s="54" t="s">
        <v>64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34.799999999999997</v>
      </c>
      <c r="H64" s="65">
        <v>50</v>
      </c>
      <c r="I64" s="65">
        <v>68.8</v>
      </c>
      <c r="J64" s="65">
        <v>69.900000000000006</v>
      </c>
      <c r="K64" s="65">
        <v>69.900000000000006</v>
      </c>
      <c r="L64" s="65">
        <v>69.900000000000006</v>
      </c>
      <c r="M64" s="65">
        <v>55</v>
      </c>
      <c r="N64" s="65">
        <v>57</v>
      </c>
      <c r="O64" s="65">
        <v>49</v>
      </c>
      <c r="P64" s="65">
        <v>35</v>
      </c>
      <c r="Q64" s="65">
        <v>33.6</v>
      </c>
      <c r="R64" s="65">
        <v>0</v>
      </c>
      <c r="S64" s="45">
        <v>0</v>
      </c>
      <c r="T64" s="45">
        <v>0</v>
      </c>
      <c r="U64" s="45">
        <v>0</v>
      </c>
      <c r="V64" s="45">
        <v>30</v>
      </c>
      <c r="W64" s="45">
        <v>30</v>
      </c>
      <c r="X64" s="45">
        <v>69.400000000000006</v>
      </c>
      <c r="Y64" s="45">
        <v>70</v>
      </c>
      <c r="Z64" s="45">
        <v>70.3</v>
      </c>
      <c r="AA64" s="45">
        <v>61.9</v>
      </c>
      <c r="AB64" s="45">
        <v>57</v>
      </c>
      <c r="AC64" s="45">
        <v>57</v>
      </c>
      <c r="AD64" s="45">
        <v>48</v>
      </c>
      <c r="AE64" s="45">
        <v>35</v>
      </c>
      <c r="AF64" s="45">
        <v>0</v>
      </c>
      <c r="AG64" s="55">
        <v>70</v>
      </c>
      <c r="AH64" s="47">
        <f t="shared" si="2"/>
        <v>70.3</v>
      </c>
      <c r="AI64" s="48">
        <f t="shared" si="3"/>
        <v>0</v>
      </c>
      <c r="AK64" s="50"/>
    </row>
    <row r="65" spans="1:41" x14ac:dyDescent="0.25">
      <c r="A65" s="54" t="s">
        <v>65</v>
      </c>
      <c r="B65" s="65">
        <v>16</v>
      </c>
      <c r="C65" s="65">
        <v>23</v>
      </c>
      <c r="D65" s="65">
        <v>22.6</v>
      </c>
      <c r="E65" s="65">
        <v>22.6</v>
      </c>
      <c r="F65" s="65">
        <v>22.6</v>
      </c>
      <c r="G65" s="65">
        <v>34.799999999999997</v>
      </c>
      <c r="H65" s="65">
        <v>34</v>
      </c>
      <c r="I65" s="65">
        <v>58.6</v>
      </c>
      <c r="J65" s="65">
        <v>67.7</v>
      </c>
      <c r="K65" s="65">
        <v>67.7</v>
      </c>
      <c r="L65" s="65">
        <v>67.7</v>
      </c>
      <c r="M65" s="65">
        <v>67.3</v>
      </c>
      <c r="N65" s="65">
        <v>16.100000000000001</v>
      </c>
      <c r="O65" s="65">
        <v>22.3</v>
      </c>
      <c r="P65" s="65">
        <v>15.4</v>
      </c>
      <c r="Q65" s="65">
        <v>46.3</v>
      </c>
      <c r="R65" s="65">
        <v>32.700000000000003</v>
      </c>
      <c r="S65" s="45">
        <v>32</v>
      </c>
      <c r="T65" s="45">
        <v>23.1</v>
      </c>
      <c r="U65" s="45">
        <v>23.2</v>
      </c>
      <c r="V65" s="45">
        <v>23.2</v>
      </c>
      <c r="W65" s="45">
        <v>35.4</v>
      </c>
      <c r="X65" s="45">
        <v>44.2</v>
      </c>
      <c r="Y65" s="45">
        <v>63.7</v>
      </c>
      <c r="Z65" s="45">
        <v>67.7</v>
      </c>
      <c r="AA65" s="45">
        <v>67.599999999999994</v>
      </c>
      <c r="AB65" s="45">
        <v>67.599999999999994</v>
      </c>
      <c r="AC65" s="45">
        <v>67.599999999999994</v>
      </c>
      <c r="AD65" s="45">
        <v>67.599999999999994</v>
      </c>
      <c r="AE65" s="45">
        <v>52</v>
      </c>
      <c r="AF65" s="45">
        <v>15</v>
      </c>
      <c r="AG65" s="55">
        <v>69</v>
      </c>
      <c r="AH65" s="47">
        <f t="shared" si="2"/>
        <v>67.7</v>
      </c>
      <c r="AI65" s="48">
        <f t="shared" si="3"/>
        <v>15</v>
      </c>
      <c r="AK65" s="50"/>
    </row>
    <row r="66" spans="1:41" x14ac:dyDescent="0.25">
      <c r="A66" s="54" t="s">
        <v>66</v>
      </c>
      <c r="B66" s="65">
        <v>47.4</v>
      </c>
      <c r="C66" s="65">
        <v>45.1</v>
      </c>
      <c r="D66" s="65">
        <v>45.1</v>
      </c>
      <c r="E66" s="65">
        <v>45.1</v>
      </c>
      <c r="F66" s="65">
        <v>45.1</v>
      </c>
      <c r="G66" s="65">
        <v>43.1</v>
      </c>
      <c r="H66" s="65">
        <v>43.3</v>
      </c>
      <c r="I66" s="65">
        <v>43.1</v>
      </c>
      <c r="J66" s="65">
        <v>43.3</v>
      </c>
      <c r="K66" s="65">
        <v>43.3</v>
      </c>
      <c r="L66" s="65">
        <v>43.3</v>
      </c>
      <c r="M66" s="65">
        <v>45.3</v>
      </c>
      <c r="N66" s="65">
        <v>45.3</v>
      </c>
      <c r="O66" s="65">
        <v>45.3</v>
      </c>
      <c r="P66" s="65">
        <v>46.4</v>
      </c>
      <c r="Q66" s="65">
        <v>46.4</v>
      </c>
      <c r="R66" s="65">
        <v>43.3</v>
      </c>
      <c r="S66" s="45">
        <v>43</v>
      </c>
      <c r="T66" s="45">
        <v>43</v>
      </c>
      <c r="U66" s="45">
        <v>43</v>
      </c>
      <c r="V66" s="45">
        <v>43</v>
      </c>
      <c r="W66" s="45">
        <v>44.3</v>
      </c>
      <c r="X66" s="45">
        <v>44.3</v>
      </c>
      <c r="Y66" s="45">
        <v>44.999000000000002</v>
      </c>
      <c r="Z66" s="45">
        <v>44.999000000000002</v>
      </c>
      <c r="AA66" s="45">
        <v>45.1</v>
      </c>
      <c r="AB66" s="45">
        <v>44</v>
      </c>
      <c r="AC66" s="45">
        <v>44</v>
      </c>
      <c r="AD66" s="45">
        <v>44</v>
      </c>
      <c r="AE66" s="45">
        <v>44</v>
      </c>
      <c r="AF66" s="45">
        <v>44</v>
      </c>
      <c r="AG66" s="55">
        <v>60</v>
      </c>
      <c r="AH66" s="47">
        <f t="shared" si="2"/>
        <v>47.4</v>
      </c>
      <c r="AI66" s="48">
        <f t="shared" si="3"/>
        <v>43</v>
      </c>
      <c r="AK66" s="50"/>
    </row>
    <row r="67" spans="1:41" x14ac:dyDescent="0.25">
      <c r="A67" s="54" t="s">
        <v>67</v>
      </c>
      <c r="B67" s="65">
        <v>0</v>
      </c>
      <c r="C67" s="65">
        <v>0</v>
      </c>
      <c r="D67" s="65">
        <v>0</v>
      </c>
      <c r="E67" s="65">
        <v>0</v>
      </c>
      <c r="F67" s="65">
        <v>0</v>
      </c>
      <c r="G67" s="65">
        <v>15</v>
      </c>
      <c r="H67" s="65">
        <v>23</v>
      </c>
      <c r="I67" s="65">
        <v>28</v>
      </c>
      <c r="J67" s="65">
        <v>30</v>
      </c>
      <c r="K67" s="65">
        <v>30</v>
      </c>
      <c r="L67" s="65">
        <v>28</v>
      </c>
      <c r="M67" s="65">
        <v>27.5</v>
      </c>
      <c r="N67" s="65">
        <v>10</v>
      </c>
      <c r="O67" s="65">
        <v>0</v>
      </c>
      <c r="P67" s="65">
        <v>0</v>
      </c>
      <c r="Q67" s="65">
        <v>0</v>
      </c>
      <c r="R67" s="65">
        <v>0</v>
      </c>
      <c r="S67" s="45">
        <v>0</v>
      </c>
      <c r="T67" s="45">
        <v>0</v>
      </c>
      <c r="U67" s="45">
        <v>0</v>
      </c>
      <c r="V67" s="45">
        <v>10</v>
      </c>
      <c r="W67" s="45">
        <v>10</v>
      </c>
      <c r="X67" s="45">
        <v>15</v>
      </c>
      <c r="Y67" s="45">
        <v>27</v>
      </c>
      <c r="Z67" s="45">
        <v>28.5</v>
      </c>
      <c r="AA67" s="45">
        <v>23</v>
      </c>
      <c r="AB67" s="45">
        <v>28</v>
      </c>
      <c r="AC67" s="45">
        <v>28</v>
      </c>
      <c r="AD67" s="45">
        <v>23</v>
      </c>
      <c r="AE67" s="45">
        <v>15</v>
      </c>
      <c r="AF67" s="45">
        <v>10</v>
      </c>
      <c r="AG67" s="55">
        <v>30</v>
      </c>
      <c r="AH67" s="47">
        <f t="shared" si="2"/>
        <v>30</v>
      </c>
      <c r="AI67" s="48">
        <f t="shared" si="3"/>
        <v>0</v>
      </c>
      <c r="AK67" s="50"/>
    </row>
    <row r="68" spans="1:41" x14ac:dyDescent="0.25">
      <c r="A68" s="54" t="s">
        <v>68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3</v>
      </c>
      <c r="N68" s="65">
        <v>5.7</v>
      </c>
      <c r="O68" s="65">
        <v>12.6</v>
      </c>
      <c r="P68" s="65">
        <v>14.9</v>
      </c>
      <c r="Q68" s="65">
        <v>16.2</v>
      </c>
      <c r="R68" s="65">
        <v>15.6</v>
      </c>
      <c r="S68" s="45">
        <v>12.9</v>
      </c>
      <c r="T68" s="45">
        <v>8.6</v>
      </c>
      <c r="U68" s="45">
        <v>5.2</v>
      </c>
      <c r="V68" s="45">
        <v>0.8</v>
      </c>
      <c r="W68" s="45">
        <v>0</v>
      </c>
      <c r="X68" s="45">
        <v>0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55">
        <v>25</v>
      </c>
      <c r="AH68" s="47">
        <f t="shared" si="2"/>
        <v>16.2</v>
      </c>
      <c r="AI68" s="48">
        <f t="shared" si="3"/>
        <v>0</v>
      </c>
      <c r="AK68" s="50"/>
    </row>
    <row r="69" spans="1:41" x14ac:dyDescent="0.25">
      <c r="A69" s="54" t="s">
        <v>69</v>
      </c>
      <c r="B69" s="65">
        <v>16</v>
      </c>
      <c r="C69" s="65">
        <v>16</v>
      </c>
      <c r="D69" s="65">
        <v>16</v>
      </c>
      <c r="E69" s="65">
        <v>16</v>
      </c>
      <c r="F69" s="65">
        <v>16</v>
      </c>
      <c r="G69" s="65">
        <v>16</v>
      </c>
      <c r="H69" s="65">
        <v>16</v>
      </c>
      <c r="I69" s="65">
        <v>16</v>
      </c>
      <c r="J69" s="65">
        <v>16</v>
      </c>
      <c r="K69" s="65">
        <v>16</v>
      </c>
      <c r="L69" s="65">
        <v>16</v>
      </c>
      <c r="M69" s="65">
        <v>16</v>
      </c>
      <c r="N69" s="65">
        <v>16</v>
      </c>
      <c r="O69" s="65">
        <v>15</v>
      </c>
      <c r="P69" s="65">
        <v>15</v>
      </c>
      <c r="Q69" s="65">
        <v>15</v>
      </c>
      <c r="R69" s="65">
        <v>15</v>
      </c>
      <c r="S69" s="65">
        <v>15</v>
      </c>
      <c r="T69" s="65">
        <v>15</v>
      </c>
      <c r="U69" s="65">
        <v>15</v>
      </c>
      <c r="V69" s="65">
        <v>15</v>
      </c>
      <c r="W69" s="65">
        <v>15</v>
      </c>
      <c r="X69" s="65">
        <v>15</v>
      </c>
      <c r="Y69" s="65">
        <v>15</v>
      </c>
      <c r="Z69" s="65">
        <v>15</v>
      </c>
      <c r="AA69" s="65">
        <v>15</v>
      </c>
      <c r="AB69" s="65">
        <v>15</v>
      </c>
      <c r="AC69" s="65">
        <v>15</v>
      </c>
      <c r="AD69" s="65">
        <v>15</v>
      </c>
      <c r="AE69" s="65">
        <v>15</v>
      </c>
      <c r="AF69" s="65">
        <v>15</v>
      </c>
      <c r="AG69" s="55">
        <v>24</v>
      </c>
      <c r="AH69" s="47">
        <f t="shared" si="2"/>
        <v>16</v>
      </c>
      <c r="AI69" s="48">
        <f t="shared" si="3"/>
        <v>15</v>
      </c>
      <c r="AK69" s="50"/>
    </row>
    <row r="70" spans="1:41" x14ac:dyDescent="0.25">
      <c r="A70" s="54" t="s">
        <v>70</v>
      </c>
      <c r="B70" s="65">
        <v>4.4000000000000004</v>
      </c>
      <c r="C70" s="65">
        <v>4.4000000000000004</v>
      </c>
      <c r="D70" s="65">
        <v>4.4000000000000004</v>
      </c>
      <c r="E70" s="65">
        <v>4.4000000000000004</v>
      </c>
      <c r="F70" s="65">
        <v>4.4000000000000004</v>
      </c>
      <c r="G70" s="65">
        <v>4.4000000000000004</v>
      </c>
      <c r="H70" s="65">
        <v>4.4000000000000004</v>
      </c>
      <c r="I70" s="65">
        <v>4.4000000000000004</v>
      </c>
      <c r="J70" s="65">
        <v>4.4000000000000004</v>
      </c>
      <c r="K70" s="65">
        <v>4.4000000000000004</v>
      </c>
      <c r="L70" s="65">
        <v>4.4000000000000004</v>
      </c>
      <c r="M70" s="65">
        <v>4.4000000000000004</v>
      </c>
      <c r="N70" s="65">
        <v>4.4000000000000004</v>
      </c>
      <c r="O70" s="65">
        <v>4.4000000000000004</v>
      </c>
      <c r="P70" s="65">
        <v>4.4000000000000004</v>
      </c>
      <c r="Q70" s="65">
        <v>4.4000000000000004</v>
      </c>
      <c r="R70" s="65">
        <v>4.4000000000000004</v>
      </c>
      <c r="S70" s="65">
        <v>4.4000000000000004</v>
      </c>
      <c r="T70" s="65">
        <v>4.4000000000000004</v>
      </c>
      <c r="U70" s="65">
        <v>4.4000000000000004</v>
      </c>
      <c r="V70" s="65">
        <v>4.4000000000000004</v>
      </c>
      <c r="W70" s="65">
        <v>4.4000000000000004</v>
      </c>
      <c r="X70" s="65">
        <v>4.4000000000000004</v>
      </c>
      <c r="Y70" s="65">
        <v>4.4000000000000004</v>
      </c>
      <c r="Z70" s="65">
        <v>4.4000000000000004</v>
      </c>
      <c r="AA70" s="65">
        <v>4.4000000000000004</v>
      </c>
      <c r="AB70" s="65">
        <v>4.4000000000000004</v>
      </c>
      <c r="AC70" s="65">
        <v>4.4000000000000004</v>
      </c>
      <c r="AD70" s="65">
        <v>4.4000000000000004</v>
      </c>
      <c r="AE70" s="65">
        <v>4.4000000000000004</v>
      </c>
      <c r="AF70" s="65">
        <v>4.4000000000000004</v>
      </c>
      <c r="AG70" s="55">
        <v>15</v>
      </c>
      <c r="AH70" s="47">
        <f t="shared" si="2"/>
        <v>4.4000000000000004</v>
      </c>
      <c r="AI70" s="48">
        <f t="shared" si="3"/>
        <v>4.4000000000000004</v>
      </c>
      <c r="AK70" s="50"/>
      <c r="AL70" s="70"/>
      <c r="AO70" s="70"/>
    </row>
    <row r="71" spans="1:41" s="70" customFormat="1" x14ac:dyDescent="0.25">
      <c r="A71" s="54" t="s">
        <v>71</v>
      </c>
      <c r="B71" s="65">
        <v>11.2</v>
      </c>
      <c r="C71" s="65">
        <v>10.9</v>
      </c>
      <c r="D71" s="65">
        <v>11.3</v>
      </c>
      <c r="E71" s="65">
        <v>11.3</v>
      </c>
      <c r="F71" s="65">
        <v>11.3</v>
      </c>
      <c r="G71" s="65">
        <v>11.3</v>
      </c>
      <c r="H71" s="65">
        <v>11.3</v>
      </c>
      <c r="I71" s="65">
        <v>11.3</v>
      </c>
      <c r="J71" s="65">
        <v>11.3</v>
      </c>
      <c r="K71" s="65">
        <v>11.3</v>
      </c>
      <c r="L71" s="65">
        <v>11.3</v>
      </c>
      <c r="M71" s="65">
        <v>11.3</v>
      </c>
      <c r="N71" s="65">
        <v>11</v>
      </c>
      <c r="O71" s="65">
        <v>10.199999999999999</v>
      </c>
      <c r="P71" s="65">
        <v>10.199999999999999</v>
      </c>
      <c r="Q71" s="65">
        <v>10.5</v>
      </c>
      <c r="R71" s="65">
        <v>10.5</v>
      </c>
      <c r="S71" s="65">
        <v>10.5</v>
      </c>
      <c r="T71" s="65">
        <v>10.5</v>
      </c>
      <c r="U71" s="65">
        <v>10.5</v>
      </c>
      <c r="V71" s="65">
        <v>10.5</v>
      </c>
      <c r="W71" s="65">
        <v>10.5</v>
      </c>
      <c r="X71" s="65">
        <v>10.5</v>
      </c>
      <c r="Y71" s="65">
        <v>10.5</v>
      </c>
      <c r="Z71" s="65">
        <v>10.5</v>
      </c>
      <c r="AA71" s="65">
        <v>10.5</v>
      </c>
      <c r="AB71" s="65">
        <v>10.5</v>
      </c>
      <c r="AC71" s="65">
        <v>10.5</v>
      </c>
      <c r="AD71" s="65">
        <v>10.5</v>
      </c>
      <c r="AE71" s="65">
        <v>10.5</v>
      </c>
      <c r="AF71" s="65">
        <v>10.5</v>
      </c>
      <c r="AG71" s="55">
        <v>14.1</v>
      </c>
      <c r="AH71" s="47">
        <f t="shared" si="2"/>
        <v>11.3</v>
      </c>
      <c r="AI71" s="48">
        <f t="shared" si="3"/>
        <v>10.199999999999999</v>
      </c>
      <c r="AJ71" s="1"/>
      <c r="AK71" s="50"/>
      <c r="AL71" s="1"/>
      <c r="AM71" s="1"/>
      <c r="AN71" s="1"/>
      <c r="AO71" s="1"/>
    </row>
    <row r="72" spans="1:41" x14ac:dyDescent="0.25">
      <c r="A72" s="71" t="s">
        <v>72</v>
      </c>
      <c r="B72" s="65">
        <v>4.7</v>
      </c>
      <c r="C72" s="65">
        <v>3.4</v>
      </c>
      <c r="D72" s="65">
        <v>3.3</v>
      </c>
      <c r="E72" s="65">
        <v>3.3</v>
      </c>
      <c r="F72" s="65">
        <v>3.3</v>
      </c>
      <c r="G72" s="65">
        <v>3.3</v>
      </c>
      <c r="H72" s="65">
        <v>3.3</v>
      </c>
      <c r="I72" s="65">
        <v>3.3</v>
      </c>
      <c r="J72" s="65">
        <v>3.3</v>
      </c>
      <c r="K72" s="65">
        <v>3.3</v>
      </c>
      <c r="L72" s="65">
        <v>3.3</v>
      </c>
      <c r="M72" s="65">
        <v>3.3</v>
      </c>
      <c r="N72" s="65">
        <v>3.3</v>
      </c>
      <c r="O72" s="65">
        <v>3.3</v>
      </c>
      <c r="P72" s="65">
        <v>3.3</v>
      </c>
      <c r="Q72" s="65">
        <v>3.3</v>
      </c>
      <c r="R72" s="65">
        <v>3.3</v>
      </c>
      <c r="S72" s="65">
        <v>3.3</v>
      </c>
      <c r="T72" s="65">
        <v>3.3</v>
      </c>
      <c r="U72" s="65">
        <v>3.3</v>
      </c>
      <c r="V72" s="65">
        <v>3.3</v>
      </c>
      <c r="W72" s="65">
        <v>3.3</v>
      </c>
      <c r="X72" s="65">
        <v>3.3</v>
      </c>
      <c r="Y72" s="65">
        <v>3.3</v>
      </c>
      <c r="Z72" s="65">
        <v>3.3</v>
      </c>
      <c r="AA72" s="65">
        <v>3.3</v>
      </c>
      <c r="AB72" s="65">
        <v>3.3</v>
      </c>
      <c r="AC72" s="65">
        <v>3.3</v>
      </c>
      <c r="AD72" s="65">
        <v>3.3</v>
      </c>
      <c r="AE72" s="65">
        <v>3.3</v>
      </c>
      <c r="AF72" s="65">
        <v>3.3</v>
      </c>
      <c r="AG72" s="55">
        <v>14</v>
      </c>
      <c r="AH72" s="47">
        <f t="shared" si="2"/>
        <v>4.7</v>
      </c>
      <c r="AI72" s="48">
        <f t="shared" si="3"/>
        <v>3.3</v>
      </c>
      <c r="AK72" s="50"/>
    </row>
    <row r="73" spans="1:41" x14ac:dyDescent="0.25">
      <c r="A73" s="54" t="s">
        <v>73</v>
      </c>
      <c r="B73" s="65">
        <v>4.5</v>
      </c>
      <c r="C73" s="65">
        <v>4.5</v>
      </c>
      <c r="D73" s="65">
        <v>4.5</v>
      </c>
      <c r="E73" s="65">
        <v>4.5</v>
      </c>
      <c r="F73" s="65">
        <v>4.5</v>
      </c>
      <c r="G73" s="65">
        <v>4.5</v>
      </c>
      <c r="H73" s="65">
        <v>4.5</v>
      </c>
      <c r="I73" s="65">
        <v>4.5</v>
      </c>
      <c r="J73" s="65">
        <v>4.5</v>
      </c>
      <c r="K73" s="65">
        <v>4.5</v>
      </c>
      <c r="L73" s="65">
        <v>4.5</v>
      </c>
      <c r="M73" s="65">
        <v>4.5</v>
      </c>
      <c r="N73" s="65">
        <v>4.5</v>
      </c>
      <c r="O73" s="65">
        <v>4.5</v>
      </c>
      <c r="P73" s="65">
        <v>4.5</v>
      </c>
      <c r="Q73" s="65">
        <v>4.5</v>
      </c>
      <c r="R73" s="65">
        <v>4.5</v>
      </c>
      <c r="S73" s="65">
        <v>4.5</v>
      </c>
      <c r="T73" s="65">
        <v>4.5</v>
      </c>
      <c r="U73" s="65">
        <v>4.5</v>
      </c>
      <c r="V73" s="65">
        <v>4.5</v>
      </c>
      <c r="W73" s="65">
        <v>4.5</v>
      </c>
      <c r="X73" s="65">
        <v>4.5</v>
      </c>
      <c r="Y73" s="65">
        <v>4.5</v>
      </c>
      <c r="Z73" s="65">
        <v>4.5</v>
      </c>
      <c r="AA73" s="65">
        <v>4.5</v>
      </c>
      <c r="AB73" s="65">
        <v>4.5</v>
      </c>
      <c r="AC73" s="65">
        <v>4.5</v>
      </c>
      <c r="AD73" s="65">
        <v>4.5</v>
      </c>
      <c r="AE73" s="65">
        <v>4.5</v>
      </c>
      <c r="AF73" s="65">
        <v>4.5</v>
      </c>
      <c r="AG73" s="55">
        <v>10.050000000000001</v>
      </c>
      <c r="AH73" s="47">
        <f t="shared" si="2"/>
        <v>4.5</v>
      </c>
      <c r="AI73" s="48">
        <f t="shared" si="3"/>
        <v>4.5</v>
      </c>
      <c r="AK73" s="50"/>
    </row>
    <row r="74" spans="1:41" x14ac:dyDescent="0.25">
      <c r="A74" s="54" t="s">
        <v>74</v>
      </c>
      <c r="B74" s="65">
        <v>3</v>
      </c>
      <c r="C74" s="65">
        <v>3</v>
      </c>
      <c r="D74" s="65">
        <v>3</v>
      </c>
      <c r="E74" s="65">
        <v>3</v>
      </c>
      <c r="F74" s="65">
        <v>3</v>
      </c>
      <c r="G74" s="65">
        <v>3</v>
      </c>
      <c r="H74" s="65">
        <v>3</v>
      </c>
      <c r="I74" s="65">
        <v>3</v>
      </c>
      <c r="J74" s="65">
        <v>3</v>
      </c>
      <c r="K74" s="65">
        <v>3</v>
      </c>
      <c r="L74" s="65">
        <v>3</v>
      </c>
      <c r="M74" s="65">
        <v>2</v>
      </c>
      <c r="N74" s="65">
        <v>2</v>
      </c>
      <c r="O74" s="65">
        <v>2</v>
      </c>
      <c r="P74" s="65">
        <v>2</v>
      </c>
      <c r="Q74" s="65">
        <v>2</v>
      </c>
      <c r="R74" s="65">
        <v>2</v>
      </c>
      <c r="S74" s="65">
        <v>2</v>
      </c>
      <c r="T74" s="65">
        <v>2</v>
      </c>
      <c r="U74" s="65">
        <v>2</v>
      </c>
      <c r="V74" s="65">
        <v>2</v>
      </c>
      <c r="W74" s="65">
        <v>2</v>
      </c>
      <c r="X74" s="65">
        <v>2</v>
      </c>
      <c r="Y74" s="65">
        <v>2</v>
      </c>
      <c r="Z74" s="65">
        <v>2</v>
      </c>
      <c r="AA74" s="65">
        <v>2</v>
      </c>
      <c r="AB74" s="65">
        <v>2</v>
      </c>
      <c r="AC74" s="65">
        <v>2</v>
      </c>
      <c r="AD74" s="65">
        <v>2</v>
      </c>
      <c r="AE74" s="65">
        <v>2</v>
      </c>
      <c r="AF74" s="65">
        <v>2</v>
      </c>
      <c r="AG74" s="55">
        <v>6.2</v>
      </c>
      <c r="AH74" s="47">
        <f t="shared" si="2"/>
        <v>3</v>
      </c>
      <c r="AI74" s="48">
        <f t="shared" si="3"/>
        <v>2</v>
      </c>
      <c r="AK74" s="50"/>
    </row>
    <row r="75" spans="1:41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3.54</v>
      </c>
      <c r="Z75" s="72">
        <v>3.54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2"/>
        <v>3.54</v>
      </c>
      <c r="AI75" s="48">
        <f t="shared" si="3"/>
        <v>3.54</v>
      </c>
      <c r="AK75" s="50"/>
    </row>
    <row r="76" spans="1:41" ht="15.75" thickBot="1" x14ac:dyDescent="0.3">
      <c r="A76" s="74" t="s">
        <v>76</v>
      </c>
      <c r="B76" s="60">
        <f t="shared" ref="B76:C76" si="19">SUM(B63:B75)</f>
        <v>110.74000000000002</v>
      </c>
      <c r="C76" s="60">
        <f t="shared" si="19"/>
        <v>113.84000000000002</v>
      </c>
      <c r="D76" s="60">
        <f t="shared" ref="D76:E76" si="20">SUM(D63:D75)</f>
        <v>113.74000000000001</v>
      </c>
      <c r="E76" s="60">
        <f t="shared" si="20"/>
        <v>113.74000000000001</v>
      </c>
      <c r="F76" s="60">
        <f t="shared" ref="F76:AG76" si="21">SUM(F63:F75)</f>
        <v>113.74000000000001</v>
      </c>
      <c r="G76" s="60">
        <f t="shared" si="21"/>
        <v>199.34</v>
      </c>
      <c r="H76" s="60">
        <f t="shared" si="21"/>
        <v>266.34000000000009</v>
      </c>
      <c r="I76" s="60">
        <f t="shared" si="21"/>
        <v>381.54000000000008</v>
      </c>
      <c r="J76" s="60">
        <f t="shared" si="21"/>
        <v>400.94000000000005</v>
      </c>
      <c r="K76" s="60">
        <f t="shared" si="21"/>
        <v>400.94000000000005</v>
      </c>
      <c r="L76" s="60">
        <f t="shared" si="21"/>
        <v>398.94000000000005</v>
      </c>
      <c r="M76" s="60">
        <f t="shared" ref="M76" si="22">SUM(M63:M75)</f>
        <v>365.14000000000004</v>
      </c>
      <c r="N76" s="60">
        <f t="shared" si="21"/>
        <v>271.84000000000003</v>
      </c>
      <c r="O76" s="60">
        <f t="shared" si="21"/>
        <v>248.84</v>
      </c>
      <c r="P76" s="60">
        <f t="shared" si="21"/>
        <v>216.44</v>
      </c>
      <c r="Q76" s="60">
        <f t="shared" si="21"/>
        <v>282.94000000000005</v>
      </c>
      <c r="R76" s="60">
        <f t="shared" si="21"/>
        <v>183.04000000000002</v>
      </c>
      <c r="S76" s="60">
        <f t="shared" si="21"/>
        <v>160.04000000000002</v>
      </c>
      <c r="T76" s="60">
        <f t="shared" ref="T76" si="23">SUM(T63:T75)</f>
        <v>146.84</v>
      </c>
      <c r="U76" s="60">
        <f t="shared" si="21"/>
        <v>149.64000000000001</v>
      </c>
      <c r="V76" s="60">
        <f t="shared" si="21"/>
        <v>210.24</v>
      </c>
      <c r="W76" s="60">
        <f t="shared" si="21"/>
        <v>250.94</v>
      </c>
      <c r="X76" s="60">
        <f t="shared" si="21"/>
        <v>358.14000000000004</v>
      </c>
      <c r="Y76" s="60">
        <f t="shared" si="21"/>
        <v>389.93900000000002</v>
      </c>
      <c r="Z76" s="60">
        <f t="shared" si="21"/>
        <v>362.339</v>
      </c>
      <c r="AA76" s="60">
        <f t="shared" si="21"/>
        <v>321.74</v>
      </c>
      <c r="AB76" s="60">
        <f t="shared" si="21"/>
        <v>300.84000000000003</v>
      </c>
      <c r="AC76" s="60">
        <f t="shared" si="21"/>
        <v>300.84000000000003</v>
      </c>
      <c r="AD76" s="60">
        <f t="shared" si="21"/>
        <v>286.84000000000003</v>
      </c>
      <c r="AE76" s="60">
        <f t="shared" si="21"/>
        <v>237.24</v>
      </c>
      <c r="AF76" s="60">
        <f t="shared" si="21"/>
        <v>112.24000000000001</v>
      </c>
      <c r="AG76" s="61">
        <f t="shared" si="21"/>
        <v>489.91</v>
      </c>
      <c r="AH76" s="47">
        <f t="shared" si="2"/>
        <v>400.94000000000005</v>
      </c>
      <c r="AI76" s="48">
        <f t="shared" si="3"/>
        <v>110.74000000000002</v>
      </c>
      <c r="AK76" s="50"/>
    </row>
    <row r="77" spans="1:41" x14ac:dyDescent="0.25">
      <c r="A77" s="44" t="s">
        <v>77</v>
      </c>
      <c r="B77" s="45">
        <v>0</v>
      </c>
      <c r="C77" s="45">
        <v>0</v>
      </c>
      <c r="D77" s="45">
        <v>0</v>
      </c>
      <c r="E77" s="45">
        <v>0</v>
      </c>
      <c r="F77" s="45"/>
      <c r="G77" s="45"/>
      <c r="H77" s="45"/>
      <c r="I77" s="45"/>
      <c r="J77" s="45"/>
      <c r="K77" s="45"/>
      <c r="L77" s="45">
        <v>34.5</v>
      </c>
      <c r="M77" s="45">
        <v>54.7</v>
      </c>
      <c r="N77" s="45">
        <v>59.5</v>
      </c>
      <c r="O77" s="45">
        <v>59.5</v>
      </c>
      <c r="P77" s="45">
        <v>58.8</v>
      </c>
      <c r="Q77" s="45">
        <v>59.8</v>
      </c>
      <c r="R77" s="45">
        <v>40.200000000000003</v>
      </c>
      <c r="S77" s="45">
        <v>49</v>
      </c>
      <c r="T77" s="45">
        <v>59.9</v>
      </c>
      <c r="U77" s="45">
        <v>59.9</v>
      </c>
      <c r="V77" s="45">
        <v>39.299999999999997</v>
      </c>
      <c r="W77" s="45">
        <v>39.299999999999997</v>
      </c>
      <c r="X77" s="45">
        <v>58.9</v>
      </c>
      <c r="Y77" s="45">
        <v>59.6</v>
      </c>
      <c r="Z77" s="45">
        <v>59.6</v>
      </c>
      <c r="AA77" s="45">
        <v>59.8</v>
      </c>
      <c r="AB77" s="45">
        <v>59.8</v>
      </c>
      <c r="AC77" s="45">
        <v>40</v>
      </c>
      <c r="AD77" s="45">
        <v>39</v>
      </c>
      <c r="AE77" s="45">
        <v>0</v>
      </c>
      <c r="AF77" s="45">
        <v>0</v>
      </c>
      <c r="AG77" s="52">
        <v>60</v>
      </c>
      <c r="AH77" s="47">
        <f t="shared" si="2"/>
        <v>59.9</v>
      </c>
      <c r="AI77" s="48">
        <f t="shared" si="3"/>
        <v>0</v>
      </c>
      <c r="AK77" s="50"/>
    </row>
    <row r="78" spans="1:41" x14ac:dyDescent="0.25">
      <c r="A78" s="54" t="s">
        <v>78</v>
      </c>
      <c r="B78" s="65">
        <v>0</v>
      </c>
      <c r="C78" s="65">
        <v>0</v>
      </c>
      <c r="D78" s="65">
        <v>0</v>
      </c>
      <c r="E78" s="65">
        <v>0</v>
      </c>
      <c r="F78" s="65"/>
      <c r="G78" s="65"/>
      <c r="H78" s="65"/>
      <c r="I78" s="65"/>
      <c r="J78" s="65"/>
      <c r="K78" s="65"/>
      <c r="L78" s="65">
        <v>15.5</v>
      </c>
      <c r="M78" s="65">
        <v>55.9</v>
      </c>
      <c r="N78" s="65">
        <v>23.2</v>
      </c>
      <c r="O78" s="65">
        <v>27.8</v>
      </c>
      <c r="P78" s="65">
        <v>16.100000000000001</v>
      </c>
      <c r="Q78" s="65">
        <v>28.1</v>
      </c>
      <c r="R78" s="65">
        <v>17</v>
      </c>
      <c r="S78" s="65">
        <v>23</v>
      </c>
      <c r="T78" s="65">
        <v>28.6</v>
      </c>
      <c r="U78" s="65">
        <v>28.6</v>
      </c>
      <c r="V78" s="65">
        <v>27.6</v>
      </c>
      <c r="W78" s="65">
        <v>27.6</v>
      </c>
      <c r="X78" s="65">
        <v>15.5</v>
      </c>
      <c r="Y78" s="65">
        <v>28</v>
      </c>
      <c r="Z78" s="65">
        <v>28</v>
      </c>
      <c r="AA78" s="65">
        <v>27.9</v>
      </c>
      <c r="AB78" s="65">
        <v>27.9</v>
      </c>
      <c r="AC78" s="65">
        <v>17.3</v>
      </c>
      <c r="AD78" s="65">
        <v>15</v>
      </c>
      <c r="AE78" s="65">
        <v>6.7</v>
      </c>
      <c r="AF78" s="65">
        <v>0</v>
      </c>
      <c r="AG78" s="55">
        <v>32</v>
      </c>
      <c r="AH78" s="47">
        <f t="shared" si="2"/>
        <v>55.9</v>
      </c>
      <c r="AI78" s="48">
        <f t="shared" si="3"/>
        <v>0</v>
      </c>
      <c r="AK78" s="50"/>
    </row>
    <row r="79" spans="1:41" ht="15.75" thickBot="1" x14ac:dyDescent="0.3">
      <c r="A79" s="71" t="s">
        <v>79</v>
      </c>
      <c r="B79" s="67">
        <v>0</v>
      </c>
      <c r="C79" s="67">
        <v>0</v>
      </c>
      <c r="D79" s="67">
        <v>0</v>
      </c>
      <c r="E79" s="67">
        <v>0</v>
      </c>
      <c r="F79" s="67"/>
      <c r="G79" s="67"/>
      <c r="H79" s="67"/>
      <c r="I79" s="67"/>
      <c r="J79" s="67"/>
      <c r="K79" s="67"/>
      <c r="L79" s="67">
        <v>5.6</v>
      </c>
      <c r="M79" s="67">
        <v>8.4</v>
      </c>
      <c r="N79" s="67">
        <v>8.5</v>
      </c>
      <c r="O79" s="67">
        <v>10.1</v>
      </c>
      <c r="P79" s="67">
        <v>5.9</v>
      </c>
      <c r="Q79" s="67">
        <v>10.3</v>
      </c>
      <c r="R79" s="67">
        <v>6.2</v>
      </c>
      <c r="S79" s="67">
        <v>8</v>
      </c>
      <c r="T79" s="67">
        <v>10.4</v>
      </c>
      <c r="U79" s="67">
        <v>10.4</v>
      </c>
      <c r="V79" s="67">
        <v>10</v>
      </c>
      <c r="W79" s="67">
        <v>10</v>
      </c>
      <c r="X79" s="67">
        <v>5.74</v>
      </c>
      <c r="Y79" s="67">
        <v>10.199999999999999</v>
      </c>
      <c r="Z79" s="67">
        <v>10.199999999999999</v>
      </c>
      <c r="AA79" s="67">
        <v>10.199999999999999</v>
      </c>
      <c r="AB79" s="67">
        <v>10.199999999999999</v>
      </c>
      <c r="AC79" s="67">
        <v>6.4</v>
      </c>
      <c r="AD79" s="67">
        <v>5.4</v>
      </c>
      <c r="AE79" s="67">
        <v>2.5</v>
      </c>
      <c r="AF79" s="67">
        <v>0</v>
      </c>
      <c r="AG79" s="68">
        <v>14</v>
      </c>
      <c r="AH79" s="47">
        <f t="shared" si="2"/>
        <v>10.4</v>
      </c>
      <c r="AI79" s="48">
        <f t="shared" si="3"/>
        <v>0</v>
      </c>
      <c r="AK79" s="50"/>
    </row>
    <row r="80" spans="1:41" ht="15.75" thickBot="1" x14ac:dyDescent="0.3">
      <c r="A80" s="74" t="s">
        <v>80</v>
      </c>
      <c r="B80" s="60">
        <f t="shared" ref="B80:C80" si="24">B77+B78+B79</f>
        <v>0</v>
      </c>
      <c r="C80" s="60">
        <f t="shared" si="24"/>
        <v>0</v>
      </c>
      <c r="D80" s="60">
        <f t="shared" ref="D80:E80" si="25">D77+D78+D79</f>
        <v>0</v>
      </c>
      <c r="E80" s="60">
        <f t="shared" si="25"/>
        <v>0</v>
      </c>
      <c r="F80" s="60">
        <f t="shared" ref="F80:AF80" si="26">F77+F78+F79</f>
        <v>0</v>
      </c>
      <c r="G80" s="60">
        <f t="shared" si="26"/>
        <v>0</v>
      </c>
      <c r="H80" s="60">
        <f t="shared" si="26"/>
        <v>0</v>
      </c>
      <c r="I80" s="60">
        <f t="shared" si="26"/>
        <v>0</v>
      </c>
      <c r="J80" s="60">
        <f t="shared" si="26"/>
        <v>0</v>
      </c>
      <c r="K80" s="60">
        <f t="shared" si="26"/>
        <v>0</v>
      </c>
      <c r="L80" s="60">
        <f t="shared" si="26"/>
        <v>55.6</v>
      </c>
      <c r="M80" s="60">
        <f>M77+M78+M79</f>
        <v>119</v>
      </c>
      <c r="N80" s="60">
        <f t="shared" si="26"/>
        <v>91.2</v>
      </c>
      <c r="O80" s="60">
        <f t="shared" si="26"/>
        <v>97.399999999999991</v>
      </c>
      <c r="P80" s="60">
        <f t="shared" si="26"/>
        <v>80.800000000000011</v>
      </c>
      <c r="Q80" s="60">
        <f t="shared" si="26"/>
        <v>98.2</v>
      </c>
      <c r="R80" s="60">
        <f t="shared" si="26"/>
        <v>63.400000000000006</v>
      </c>
      <c r="S80" s="60">
        <f t="shared" si="26"/>
        <v>80</v>
      </c>
      <c r="T80" s="60">
        <f t="shared" si="26"/>
        <v>98.9</v>
      </c>
      <c r="U80" s="60">
        <f t="shared" si="26"/>
        <v>98.9</v>
      </c>
      <c r="V80" s="60">
        <f t="shared" si="26"/>
        <v>76.900000000000006</v>
      </c>
      <c r="W80" s="60">
        <f t="shared" si="26"/>
        <v>76.900000000000006</v>
      </c>
      <c r="X80" s="60">
        <f t="shared" si="26"/>
        <v>80.14</v>
      </c>
      <c r="Y80" s="60">
        <f t="shared" si="26"/>
        <v>97.8</v>
      </c>
      <c r="Z80" s="60">
        <f t="shared" si="26"/>
        <v>97.8</v>
      </c>
      <c r="AA80" s="60">
        <f t="shared" si="26"/>
        <v>97.899999999999991</v>
      </c>
      <c r="AB80" s="60">
        <f t="shared" si="26"/>
        <v>97.899999999999991</v>
      </c>
      <c r="AC80" s="60">
        <f t="shared" si="26"/>
        <v>63.699999999999996</v>
      </c>
      <c r="AD80" s="60">
        <f t="shared" si="26"/>
        <v>59.4</v>
      </c>
      <c r="AE80" s="60">
        <f t="shared" si="26"/>
        <v>9.1999999999999993</v>
      </c>
      <c r="AF80" s="60">
        <f t="shared" si="26"/>
        <v>0</v>
      </c>
      <c r="AG80" s="61">
        <f>SUM(AG77:AG79)</f>
        <v>106</v>
      </c>
      <c r="AH80" s="47">
        <f t="shared" si="2"/>
        <v>119</v>
      </c>
      <c r="AI80" s="48">
        <f t="shared" si="3"/>
        <v>0</v>
      </c>
      <c r="AK80" s="50"/>
    </row>
    <row r="81" spans="1:40" x14ac:dyDescent="0.25">
      <c r="A81" s="44" t="s">
        <v>81</v>
      </c>
      <c r="B81" s="45">
        <v>64.099999999999994</v>
      </c>
      <c r="C81" s="45">
        <v>71.599999999999994</v>
      </c>
      <c r="D81" s="45">
        <v>69.8</v>
      </c>
      <c r="E81" s="45">
        <v>69.8</v>
      </c>
      <c r="F81" s="45">
        <v>71.2</v>
      </c>
      <c r="G81" s="45">
        <v>71.5</v>
      </c>
      <c r="H81" s="45">
        <v>65</v>
      </c>
      <c r="I81" s="45">
        <v>72.599999999999994</v>
      </c>
      <c r="J81" s="45">
        <v>71</v>
      </c>
      <c r="K81" s="45">
        <v>71</v>
      </c>
      <c r="L81" s="45">
        <v>72.900000000000006</v>
      </c>
      <c r="M81" s="45">
        <v>73</v>
      </c>
      <c r="N81" s="45">
        <v>74.5</v>
      </c>
      <c r="O81" s="45">
        <v>65.8</v>
      </c>
      <c r="P81" s="45">
        <v>66.400000000000006</v>
      </c>
      <c r="Q81" s="45">
        <v>68.5</v>
      </c>
      <c r="R81" s="45">
        <v>66.7</v>
      </c>
      <c r="S81" s="45">
        <v>74</v>
      </c>
      <c r="T81" s="45">
        <v>74.3</v>
      </c>
      <c r="U81" s="45">
        <v>76</v>
      </c>
      <c r="V81" s="45">
        <v>62</v>
      </c>
      <c r="W81" s="45">
        <v>64</v>
      </c>
      <c r="X81" s="45">
        <v>71</v>
      </c>
      <c r="Y81" s="45">
        <v>66.2</v>
      </c>
      <c r="Z81" s="45">
        <v>60.3</v>
      </c>
      <c r="AA81" s="45">
        <v>65</v>
      </c>
      <c r="AB81" s="45">
        <v>62</v>
      </c>
      <c r="AC81" s="45">
        <v>58</v>
      </c>
      <c r="AD81" s="45">
        <v>58.9</v>
      </c>
      <c r="AE81" s="45">
        <v>66.5</v>
      </c>
      <c r="AF81" s="45">
        <v>58.1</v>
      </c>
      <c r="AG81" s="52"/>
      <c r="AH81" s="47">
        <f t="shared" si="2"/>
        <v>76</v>
      </c>
      <c r="AI81" s="48">
        <f t="shared" si="3"/>
        <v>58</v>
      </c>
      <c r="AK81" s="50"/>
    </row>
    <row r="82" spans="1:40" x14ac:dyDescent="0.25">
      <c r="A82" s="54" t="s">
        <v>82</v>
      </c>
      <c r="B82" s="65">
        <v>0</v>
      </c>
      <c r="C82" s="65">
        <v>0</v>
      </c>
      <c r="D82" s="65">
        <v>0</v>
      </c>
      <c r="E82" s="65">
        <v>0</v>
      </c>
      <c r="F82" s="65">
        <v>0</v>
      </c>
      <c r="G82" s="65">
        <v>0</v>
      </c>
      <c r="H82" s="65">
        <v>0</v>
      </c>
      <c r="I82" s="65">
        <v>0</v>
      </c>
      <c r="J82" s="65"/>
      <c r="K82" s="65"/>
      <c r="L82" s="65"/>
      <c r="M82" s="65">
        <v>0</v>
      </c>
      <c r="N82" s="65">
        <v>0</v>
      </c>
      <c r="O82" s="65">
        <v>0</v>
      </c>
      <c r="P82" s="65">
        <v>0</v>
      </c>
      <c r="Q82" s="65">
        <v>0</v>
      </c>
      <c r="R82" s="65">
        <v>0</v>
      </c>
      <c r="S82" s="65">
        <v>0</v>
      </c>
      <c r="T82" s="65">
        <v>0</v>
      </c>
      <c r="U82" s="65">
        <v>0</v>
      </c>
      <c r="V82" s="65">
        <v>0</v>
      </c>
      <c r="W82" s="65">
        <v>0</v>
      </c>
      <c r="X82" s="65">
        <v>0</v>
      </c>
      <c r="Y82" s="65">
        <v>0</v>
      </c>
      <c r="Z82" s="65">
        <v>0</v>
      </c>
      <c r="AA82" s="65"/>
      <c r="AB82" s="65"/>
      <c r="AC82" s="65"/>
      <c r="AD82" s="65"/>
      <c r="AE82" s="65"/>
      <c r="AF82" s="65"/>
      <c r="AG82" s="55"/>
      <c r="AH82" s="47">
        <f t="shared" si="2"/>
        <v>0</v>
      </c>
      <c r="AI82" s="48">
        <f t="shared" si="3"/>
        <v>0</v>
      </c>
      <c r="AK82" s="50"/>
    </row>
    <row r="83" spans="1:40" x14ac:dyDescent="0.25">
      <c r="A83" s="54" t="s">
        <v>83</v>
      </c>
      <c r="B83" s="65">
        <v>405.1</v>
      </c>
      <c r="C83" s="65">
        <v>435.2</v>
      </c>
      <c r="D83" s="65">
        <v>410.2</v>
      </c>
      <c r="E83" s="65">
        <v>430</v>
      </c>
      <c r="F83" s="65">
        <v>425.4</v>
      </c>
      <c r="G83" s="65">
        <v>409.7</v>
      </c>
      <c r="H83" s="65">
        <v>427.7</v>
      </c>
      <c r="I83" s="65">
        <v>460</v>
      </c>
      <c r="J83" s="65">
        <v>425</v>
      </c>
      <c r="K83" s="65">
        <v>250</v>
      </c>
      <c r="L83" s="65">
        <v>135</v>
      </c>
      <c r="M83" s="65">
        <v>155</v>
      </c>
      <c r="N83" s="65">
        <v>210</v>
      </c>
      <c r="O83" s="65">
        <v>229.1</v>
      </c>
      <c r="P83" s="65">
        <v>405</v>
      </c>
      <c r="Q83" s="65">
        <v>430</v>
      </c>
      <c r="R83" s="65">
        <v>495</v>
      </c>
      <c r="S83" s="65">
        <v>514</v>
      </c>
      <c r="T83" s="65">
        <v>506</v>
      </c>
      <c r="U83" s="65">
        <v>496.6</v>
      </c>
      <c r="V83" s="65">
        <v>401</v>
      </c>
      <c r="W83" s="65">
        <v>384</v>
      </c>
      <c r="X83" s="65">
        <v>290</v>
      </c>
      <c r="Y83" s="65">
        <v>276</v>
      </c>
      <c r="Z83" s="65">
        <v>270</v>
      </c>
      <c r="AA83" s="65">
        <v>284</v>
      </c>
      <c r="AB83" s="65">
        <v>243</v>
      </c>
      <c r="AC83" s="65">
        <v>373</v>
      </c>
      <c r="AD83" s="65">
        <v>382</v>
      </c>
      <c r="AE83" s="65">
        <v>394</v>
      </c>
      <c r="AF83" s="65">
        <v>390</v>
      </c>
      <c r="AG83" s="75"/>
      <c r="AH83" s="47">
        <f t="shared" si="2"/>
        <v>514</v>
      </c>
      <c r="AI83" s="48">
        <f t="shared" si="3"/>
        <v>135</v>
      </c>
      <c r="AK83" s="50"/>
    </row>
    <row r="84" spans="1:40" x14ac:dyDescent="0.25">
      <c r="A84" s="54" t="s">
        <v>84</v>
      </c>
      <c r="B84" s="65">
        <v>8</v>
      </c>
      <c r="C84" s="65">
        <v>8</v>
      </c>
      <c r="D84" s="65">
        <v>8</v>
      </c>
      <c r="E84" s="65">
        <v>6</v>
      </c>
      <c r="F84" s="76">
        <v>5</v>
      </c>
      <c r="G84" s="76">
        <v>0</v>
      </c>
      <c r="H84" s="76"/>
      <c r="I84" s="76"/>
      <c r="J84" s="76"/>
      <c r="K84" s="76"/>
      <c r="L84" s="76"/>
      <c r="M84" s="76">
        <v>0</v>
      </c>
      <c r="N84" s="76">
        <v>0</v>
      </c>
      <c r="O84" s="76">
        <v>0</v>
      </c>
      <c r="P84" s="76">
        <v>0</v>
      </c>
      <c r="Q84" s="76">
        <v>50</v>
      </c>
      <c r="R84" s="76">
        <v>40</v>
      </c>
      <c r="S84" s="76">
        <v>60</v>
      </c>
      <c r="T84" s="76">
        <v>56.2</v>
      </c>
      <c r="U84" s="76">
        <v>54.2</v>
      </c>
      <c r="V84" s="76">
        <v>45</v>
      </c>
      <c r="W84" s="76">
        <v>45</v>
      </c>
      <c r="X84" s="76">
        <v>45</v>
      </c>
      <c r="Y84" s="76">
        <v>44.6</v>
      </c>
      <c r="Z84" s="76">
        <v>39.6</v>
      </c>
      <c r="AA84" s="76">
        <v>41.2</v>
      </c>
      <c r="AB84" s="76">
        <v>35</v>
      </c>
      <c r="AC84" s="76">
        <v>37</v>
      </c>
      <c r="AD84" s="65">
        <v>37.799999999999997</v>
      </c>
      <c r="AE84" s="76">
        <v>43</v>
      </c>
      <c r="AF84" s="76">
        <v>48</v>
      </c>
      <c r="AG84" s="75"/>
      <c r="AH84" s="47">
        <f t="shared" si="2"/>
        <v>60</v>
      </c>
      <c r="AI84" s="48">
        <f t="shared" si="3"/>
        <v>0</v>
      </c>
      <c r="AK84" s="50"/>
    </row>
    <row r="85" spans="1:40" x14ac:dyDescent="0.25">
      <c r="A85" s="54" t="s">
        <v>85</v>
      </c>
      <c r="B85" s="45">
        <v>0</v>
      </c>
      <c r="C85" s="45">
        <v>0</v>
      </c>
      <c r="D85" s="45">
        <v>0</v>
      </c>
      <c r="E85" s="45">
        <v>0</v>
      </c>
      <c r="F85" s="45"/>
      <c r="G85" s="45"/>
      <c r="H85" s="45"/>
      <c r="I85" s="45"/>
      <c r="J85" s="45"/>
      <c r="K85" s="45"/>
      <c r="L85" s="45"/>
      <c r="M85" s="45">
        <v>0</v>
      </c>
      <c r="N85" s="45">
        <v>0</v>
      </c>
      <c r="O85" s="45">
        <v>0</v>
      </c>
      <c r="P85" s="45">
        <v>20</v>
      </c>
      <c r="Q85" s="45">
        <v>36</v>
      </c>
      <c r="R85" s="45">
        <v>111</v>
      </c>
      <c r="S85" s="45">
        <v>100</v>
      </c>
      <c r="T85" s="45">
        <v>98</v>
      </c>
      <c r="U85" s="45">
        <v>96</v>
      </c>
      <c r="V85" s="45">
        <v>62</v>
      </c>
      <c r="W85" s="45">
        <v>61</v>
      </c>
      <c r="X85" s="45">
        <v>61</v>
      </c>
      <c r="Y85" s="45">
        <v>60.3</v>
      </c>
      <c r="Z85" s="45">
        <v>61.3</v>
      </c>
      <c r="AA85" s="45">
        <v>62.3</v>
      </c>
      <c r="AB85" s="45">
        <v>56</v>
      </c>
      <c r="AC85" s="45">
        <v>72</v>
      </c>
      <c r="AD85" s="45">
        <v>88</v>
      </c>
      <c r="AE85" s="45">
        <v>116</v>
      </c>
      <c r="AF85" s="45">
        <v>130</v>
      </c>
      <c r="AG85" s="75"/>
      <c r="AH85" s="47">
        <f t="shared" ref="AH85:AH130" si="27">MAX(B85:AF85)</f>
        <v>130</v>
      </c>
      <c r="AI85" s="48">
        <f t="shared" ref="AI85:AI130" si="28">MIN(B85:AF85)</f>
        <v>0</v>
      </c>
      <c r="AK85" s="50"/>
    </row>
    <row r="86" spans="1:40" x14ac:dyDescent="0.25">
      <c r="A86" s="54" t="s">
        <v>86</v>
      </c>
      <c r="B86" s="77">
        <v>0</v>
      </c>
      <c r="C86" s="77">
        <v>0</v>
      </c>
      <c r="D86" s="77">
        <v>0</v>
      </c>
      <c r="E86" s="77">
        <v>0</v>
      </c>
      <c r="F86" s="77"/>
      <c r="G86" s="77"/>
      <c r="H86" s="77"/>
      <c r="I86" s="77"/>
      <c r="J86" s="77"/>
      <c r="K86" s="77"/>
      <c r="L86" s="77"/>
      <c r="M86" s="77">
        <v>7</v>
      </c>
      <c r="N86" s="77">
        <v>8</v>
      </c>
      <c r="O86" s="77">
        <v>8</v>
      </c>
      <c r="P86" s="77">
        <v>8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/>
      <c r="AB86" s="77"/>
      <c r="AC86" s="77"/>
      <c r="AD86" s="77"/>
      <c r="AE86" s="77"/>
      <c r="AF86" s="77"/>
      <c r="AG86" s="75"/>
      <c r="AH86" s="47">
        <f t="shared" si="27"/>
        <v>8</v>
      </c>
      <c r="AI86" s="48">
        <f t="shared" si="28"/>
        <v>0</v>
      </c>
      <c r="AK86" s="50"/>
    </row>
    <row r="87" spans="1:40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>
        <v>0</v>
      </c>
      <c r="N87" s="77">
        <v>0</v>
      </c>
      <c r="O87" s="77">
        <v>0</v>
      </c>
      <c r="P87" s="77">
        <v>0</v>
      </c>
      <c r="Q87" s="77">
        <v>0</v>
      </c>
      <c r="R87" s="77">
        <v>0</v>
      </c>
      <c r="S87" s="77">
        <v>0</v>
      </c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5"/>
      <c r="AH87" s="47">
        <f t="shared" si="27"/>
        <v>0</v>
      </c>
      <c r="AI87" s="48">
        <f t="shared" si="28"/>
        <v>0</v>
      </c>
      <c r="AK87" s="50"/>
      <c r="AL87" s="78" t="s">
        <v>88</v>
      </c>
      <c r="AM87" s="78"/>
    </row>
    <row r="88" spans="1:40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>
        <v>0</v>
      </c>
      <c r="N88" s="77">
        <v>0</v>
      </c>
      <c r="O88" s="77">
        <v>0</v>
      </c>
      <c r="P88" s="77">
        <v>0</v>
      </c>
      <c r="Q88" s="77">
        <v>0</v>
      </c>
      <c r="R88" s="77">
        <v>0</v>
      </c>
      <c r="S88" s="77">
        <v>0</v>
      </c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5"/>
      <c r="AH88" s="47">
        <f t="shared" si="27"/>
        <v>0</v>
      </c>
      <c r="AI88" s="48">
        <f t="shared" si="28"/>
        <v>0</v>
      </c>
      <c r="AK88" s="79"/>
      <c r="AL88" s="80"/>
      <c r="AM88" s="80"/>
      <c r="AN88" s="81"/>
    </row>
    <row r="89" spans="1:40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>
        <v>0</v>
      </c>
      <c r="N89" s="77">
        <v>0</v>
      </c>
      <c r="O89" s="77">
        <v>0</v>
      </c>
      <c r="P89" s="77">
        <v>0</v>
      </c>
      <c r="Q89" s="77">
        <v>0</v>
      </c>
      <c r="R89" s="77">
        <v>0</v>
      </c>
      <c r="S89" s="77">
        <v>0</v>
      </c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5"/>
      <c r="AH89" s="47">
        <f t="shared" si="27"/>
        <v>0</v>
      </c>
      <c r="AI89" s="48">
        <f t="shared" si="28"/>
        <v>0</v>
      </c>
      <c r="AK89" s="82" t="s">
        <v>91</v>
      </c>
      <c r="AL89" s="65"/>
      <c r="AM89" s="76"/>
      <c r="AN89" s="83"/>
    </row>
    <row r="90" spans="1:40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>
        <v>0</v>
      </c>
      <c r="N90" s="77">
        <v>0</v>
      </c>
      <c r="O90" s="77">
        <v>0</v>
      </c>
      <c r="P90" s="77">
        <v>0</v>
      </c>
      <c r="Q90" s="77">
        <v>0</v>
      </c>
      <c r="R90" s="77">
        <v>0</v>
      </c>
      <c r="S90" s="77">
        <v>0</v>
      </c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85"/>
      <c r="AH90" s="47">
        <f t="shared" si="27"/>
        <v>0</v>
      </c>
      <c r="AI90" s="48">
        <f t="shared" si="28"/>
        <v>0</v>
      </c>
      <c r="AK90" s="82" t="s">
        <v>93</v>
      </c>
      <c r="AL90" s="76"/>
      <c r="AM90" s="76"/>
      <c r="AN90" s="83"/>
    </row>
    <row r="91" spans="1:40" ht="15.75" thickBot="1" x14ac:dyDescent="0.3">
      <c r="A91" s="84" t="s">
        <v>421</v>
      </c>
      <c r="B91" s="77">
        <v>60</v>
      </c>
      <c r="C91" s="77">
        <v>0</v>
      </c>
      <c r="D91" s="77">
        <v>0</v>
      </c>
      <c r="E91" s="77"/>
      <c r="F91" s="77"/>
      <c r="G91" s="77"/>
      <c r="H91" s="77"/>
      <c r="I91" s="77"/>
      <c r="J91" s="77"/>
      <c r="K91" s="77">
        <v>40</v>
      </c>
      <c r="L91" s="77">
        <v>0</v>
      </c>
      <c r="M91" s="77">
        <v>0</v>
      </c>
      <c r="N91" s="77">
        <v>0</v>
      </c>
      <c r="O91" s="77">
        <v>0</v>
      </c>
      <c r="P91" s="77">
        <v>0</v>
      </c>
      <c r="Q91" s="77">
        <v>0</v>
      </c>
      <c r="R91" s="77">
        <v>0</v>
      </c>
      <c r="S91" s="77">
        <v>0</v>
      </c>
      <c r="T91" s="77">
        <v>0</v>
      </c>
      <c r="U91" s="77">
        <v>0</v>
      </c>
      <c r="V91" s="77">
        <v>0</v>
      </c>
      <c r="W91" s="77">
        <v>0</v>
      </c>
      <c r="X91" s="77">
        <v>0</v>
      </c>
      <c r="Y91" s="77"/>
      <c r="Z91" s="77"/>
      <c r="AA91" s="77"/>
      <c r="AB91" s="77"/>
      <c r="AC91" s="77"/>
      <c r="AD91" s="77"/>
      <c r="AE91" s="77"/>
      <c r="AF91" s="77"/>
      <c r="AG91" s="85"/>
      <c r="AH91" s="47">
        <f t="shared" si="27"/>
        <v>60</v>
      </c>
      <c r="AI91" s="48">
        <f t="shared" si="28"/>
        <v>0</v>
      </c>
      <c r="AK91" s="86"/>
      <c r="AL91" s="45"/>
      <c r="AM91" s="45"/>
      <c r="AN91" s="87"/>
    </row>
    <row r="92" spans="1:40" ht="15.75" thickBot="1" x14ac:dyDescent="0.3">
      <c r="A92" s="74" t="s">
        <v>95</v>
      </c>
      <c r="B92" s="60">
        <f t="shared" ref="B92:C92" si="29">SUMIF(B81:B91,"&gt;0")</f>
        <v>537.20000000000005</v>
      </c>
      <c r="C92" s="60">
        <f t="shared" si="29"/>
        <v>514.79999999999995</v>
      </c>
      <c r="D92" s="60">
        <f t="shared" ref="D92" si="30">SUMIF(D81:D91,"&gt;0")</f>
        <v>488</v>
      </c>
      <c r="E92" s="60">
        <f t="shared" ref="E92:AF92" si="31">SUMIF(E81:E91,"&gt;0")</f>
        <v>505.8</v>
      </c>
      <c r="F92" s="60">
        <f t="shared" si="31"/>
        <v>501.59999999999997</v>
      </c>
      <c r="G92" s="60">
        <f t="shared" si="31"/>
        <v>481.2</v>
      </c>
      <c r="H92" s="60">
        <f t="shared" si="31"/>
        <v>492.7</v>
      </c>
      <c r="I92" s="60">
        <f t="shared" si="31"/>
        <v>532.6</v>
      </c>
      <c r="J92" s="60">
        <f t="shared" si="31"/>
        <v>496</v>
      </c>
      <c r="K92" s="60">
        <f t="shared" si="31"/>
        <v>361</v>
      </c>
      <c r="L92" s="60">
        <f t="shared" si="31"/>
        <v>207.9</v>
      </c>
      <c r="M92" s="60">
        <f t="shared" si="31"/>
        <v>235</v>
      </c>
      <c r="N92" s="60">
        <f t="shared" si="31"/>
        <v>292.5</v>
      </c>
      <c r="O92" s="60">
        <f t="shared" si="31"/>
        <v>302.89999999999998</v>
      </c>
      <c r="P92" s="60">
        <f t="shared" si="31"/>
        <v>499.4</v>
      </c>
      <c r="Q92" s="60">
        <f t="shared" si="31"/>
        <v>584.5</v>
      </c>
      <c r="R92" s="60">
        <f t="shared" si="31"/>
        <v>712.7</v>
      </c>
      <c r="S92" s="60">
        <f t="shared" si="31"/>
        <v>748</v>
      </c>
      <c r="T92" s="60">
        <f t="shared" si="31"/>
        <v>734.5</v>
      </c>
      <c r="U92" s="60">
        <f t="shared" si="31"/>
        <v>722.80000000000007</v>
      </c>
      <c r="V92" s="60">
        <f t="shared" si="31"/>
        <v>570</v>
      </c>
      <c r="W92" s="60">
        <f t="shared" si="31"/>
        <v>554</v>
      </c>
      <c r="X92" s="60">
        <f t="shared" si="31"/>
        <v>467</v>
      </c>
      <c r="Y92" s="60">
        <f t="shared" si="31"/>
        <v>447.1</v>
      </c>
      <c r="Z92" s="60">
        <f t="shared" si="31"/>
        <v>431.20000000000005</v>
      </c>
      <c r="AA92" s="60">
        <f t="shared" si="31"/>
        <v>452.5</v>
      </c>
      <c r="AB92" s="60">
        <f t="shared" si="31"/>
        <v>396</v>
      </c>
      <c r="AC92" s="60">
        <f t="shared" si="31"/>
        <v>540</v>
      </c>
      <c r="AD92" s="60">
        <f t="shared" si="31"/>
        <v>566.70000000000005</v>
      </c>
      <c r="AE92" s="60">
        <f t="shared" si="31"/>
        <v>619.5</v>
      </c>
      <c r="AF92" s="60">
        <f t="shared" si="31"/>
        <v>626.1</v>
      </c>
      <c r="AG92" s="88">
        <f>SUM(AG81:AG91)</f>
        <v>0</v>
      </c>
      <c r="AH92" s="47">
        <f t="shared" si="27"/>
        <v>748</v>
      </c>
      <c r="AI92" s="48">
        <f t="shared" si="28"/>
        <v>207.9</v>
      </c>
      <c r="AK92" s="86"/>
      <c r="AL92" s="77"/>
      <c r="AM92" s="89"/>
      <c r="AN92" s="255"/>
    </row>
    <row r="93" spans="1:40" x14ac:dyDescent="0.25">
      <c r="A93" s="44" t="s">
        <v>96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27"/>
        <v>0</v>
      </c>
      <c r="AI93" s="48">
        <f t="shared" si="28"/>
        <v>0</v>
      </c>
      <c r="AK93" s="86"/>
      <c r="AL93" s="77"/>
      <c r="AM93" s="77"/>
      <c r="AN93" s="256"/>
    </row>
    <row r="94" spans="1:40" ht="15.75" thickBot="1" x14ac:dyDescent="0.3">
      <c r="A94" s="54" t="s">
        <v>97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27"/>
        <v>0</v>
      </c>
      <c r="AI94" s="48">
        <f t="shared" si="28"/>
        <v>0</v>
      </c>
      <c r="AK94" s="91"/>
      <c r="AL94" s="92"/>
      <c r="AM94" s="92"/>
      <c r="AN94" s="93"/>
    </row>
    <row r="95" spans="1:40" ht="15.75" thickBot="1" x14ac:dyDescent="0.3">
      <c r="A95" s="84" t="s">
        <v>98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27"/>
        <v>0</v>
      </c>
      <c r="AI95" s="48">
        <f t="shared" si="28"/>
        <v>0</v>
      </c>
    </row>
    <row r="96" spans="1:40" ht="15.75" thickBot="1" x14ac:dyDescent="0.3">
      <c r="A96" s="74" t="s">
        <v>99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>
        <v>0</v>
      </c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27"/>
        <v>0</v>
      </c>
      <c r="AI96" s="48">
        <f t="shared" si="28"/>
        <v>0</v>
      </c>
    </row>
    <row r="97" spans="1:37" ht="15.75" thickBot="1" x14ac:dyDescent="0.3">
      <c r="A97" s="74" t="s">
        <v>100</v>
      </c>
      <c r="B97" s="95">
        <f t="shared" ref="B97:C97" si="32">B58+B62+B80+B76+B92+B96</f>
        <v>1238.3400000000001</v>
      </c>
      <c r="C97" s="95">
        <f t="shared" si="32"/>
        <v>1208.2399999999998</v>
      </c>
      <c r="D97" s="95">
        <f t="shared" ref="D97" si="33">D58+D62+D80+D76+D92+D96</f>
        <v>1184.24</v>
      </c>
      <c r="E97" s="95">
        <f t="shared" ref="E97:AG97" si="34">E58+E62+E80+E76+E92+E96</f>
        <v>1202.3400000000001</v>
      </c>
      <c r="F97" s="95">
        <f t="shared" si="34"/>
        <v>1185.94</v>
      </c>
      <c r="G97" s="95">
        <f t="shared" si="34"/>
        <v>1255.24</v>
      </c>
      <c r="H97" s="95">
        <f t="shared" si="34"/>
        <v>1340.0400000000002</v>
      </c>
      <c r="I97" s="95">
        <f t="shared" si="34"/>
        <v>1495.74</v>
      </c>
      <c r="J97" s="95">
        <f t="shared" si="34"/>
        <v>1546.3400000000001</v>
      </c>
      <c r="K97" s="95">
        <f t="shared" si="34"/>
        <v>1508.64</v>
      </c>
      <c r="L97" s="95">
        <f t="shared" si="34"/>
        <v>1554.3400000000001</v>
      </c>
      <c r="M97" s="95">
        <f t="shared" si="34"/>
        <v>1638.64</v>
      </c>
      <c r="N97" s="95">
        <f t="shared" si="34"/>
        <v>1490.04</v>
      </c>
      <c r="O97" s="95">
        <f t="shared" si="34"/>
        <v>1453.6399999999999</v>
      </c>
      <c r="P97" s="95">
        <f t="shared" si="34"/>
        <v>1431.1399999999999</v>
      </c>
      <c r="Q97" s="95">
        <f t="shared" si="34"/>
        <v>1600.24</v>
      </c>
      <c r="R97" s="95">
        <f t="shared" si="34"/>
        <v>1558.64</v>
      </c>
      <c r="S97" s="95">
        <f t="shared" si="34"/>
        <v>1587.6399999999999</v>
      </c>
      <c r="T97" s="95">
        <f t="shared" si="34"/>
        <v>1579.84</v>
      </c>
      <c r="U97" s="95">
        <f t="shared" si="34"/>
        <v>1570.94</v>
      </c>
      <c r="V97" s="95">
        <f t="shared" si="34"/>
        <v>1456.7399999999998</v>
      </c>
      <c r="W97" s="95">
        <f t="shared" si="34"/>
        <v>1526.34</v>
      </c>
      <c r="X97" s="95">
        <f t="shared" si="34"/>
        <v>1720.68</v>
      </c>
      <c r="Y97" s="95">
        <f t="shared" si="34"/>
        <v>1750.239</v>
      </c>
      <c r="Z97" s="95">
        <f t="shared" si="34"/>
        <v>1721.739</v>
      </c>
      <c r="AA97" s="95">
        <f t="shared" si="34"/>
        <v>1702.54</v>
      </c>
      <c r="AB97" s="95">
        <f t="shared" si="34"/>
        <v>1635.1399999999999</v>
      </c>
      <c r="AC97" s="95">
        <f t="shared" si="34"/>
        <v>1574.94</v>
      </c>
      <c r="AD97" s="95">
        <f t="shared" si="34"/>
        <v>1553.3400000000001</v>
      </c>
      <c r="AE97" s="95">
        <f t="shared" si="34"/>
        <v>1456.3400000000001</v>
      </c>
      <c r="AF97" s="95">
        <f t="shared" si="34"/>
        <v>1328.74</v>
      </c>
      <c r="AG97" s="61">
        <f t="shared" si="34"/>
        <v>2231.81</v>
      </c>
      <c r="AH97" s="47">
        <f t="shared" si="27"/>
        <v>1750.239</v>
      </c>
      <c r="AI97" s="48">
        <f t="shared" si="28"/>
        <v>1184.24</v>
      </c>
    </row>
    <row r="98" spans="1:37" ht="15.75" thickBot="1" x14ac:dyDescent="0.3">
      <c r="A98" s="96" t="s">
        <v>101</v>
      </c>
      <c r="B98" s="97">
        <v>0</v>
      </c>
      <c r="C98" s="97">
        <v>0</v>
      </c>
      <c r="D98" s="97">
        <v>0</v>
      </c>
      <c r="E98" s="97"/>
      <c r="F98" s="97"/>
      <c r="G98" s="97"/>
      <c r="H98" s="97"/>
      <c r="I98" s="97"/>
      <c r="J98" s="97"/>
      <c r="K98" s="97">
        <v>250</v>
      </c>
      <c r="L98" s="97">
        <v>250</v>
      </c>
      <c r="M98" s="97">
        <v>250</v>
      </c>
      <c r="N98" s="97">
        <v>250</v>
      </c>
      <c r="O98" s="97">
        <v>250</v>
      </c>
      <c r="P98" s="97">
        <v>250</v>
      </c>
      <c r="Q98" s="97"/>
      <c r="R98" s="97"/>
      <c r="S98" s="97"/>
      <c r="T98" s="97"/>
      <c r="U98" s="97"/>
      <c r="V98" s="97">
        <v>120</v>
      </c>
      <c r="W98" s="97">
        <v>150</v>
      </c>
      <c r="X98" s="97">
        <v>280</v>
      </c>
      <c r="Y98" s="97">
        <v>280</v>
      </c>
      <c r="Z98" s="97">
        <v>280</v>
      </c>
      <c r="AA98" s="97">
        <v>280</v>
      </c>
      <c r="AB98" s="97">
        <v>280</v>
      </c>
      <c r="AC98" s="97">
        <v>250</v>
      </c>
      <c r="AD98" s="97">
        <v>150</v>
      </c>
      <c r="AE98" s="97"/>
      <c r="AF98" s="97"/>
      <c r="AG98" s="88"/>
      <c r="AH98" s="47">
        <f t="shared" si="27"/>
        <v>280</v>
      </c>
      <c r="AI98" s="48">
        <f t="shared" si="28"/>
        <v>0</v>
      </c>
    </row>
    <row r="99" spans="1:37" ht="15.75" thickBot="1" x14ac:dyDescent="0.3">
      <c r="A99" s="74" t="s">
        <v>102</v>
      </c>
      <c r="B99" s="95">
        <f t="shared" ref="B99:C99" si="35">B97+B98</f>
        <v>1238.3400000000001</v>
      </c>
      <c r="C99" s="95">
        <f t="shared" si="35"/>
        <v>1208.2399999999998</v>
      </c>
      <c r="D99" s="95">
        <f t="shared" ref="D99" si="36">D97+D98</f>
        <v>1184.24</v>
      </c>
      <c r="E99" s="95">
        <f t="shared" ref="E99:AF99" si="37">E97+E98</f>
        <v>1202.3400000000001</v>
      </c>
      <c r="F99" s="95">
        <f t="shared" si="37"/>
        <v>1185.94</v>
      </c>
      <c r="G99" s="95">
        <f t="shared" si="37"/>
        <v>1255.24</v>
      </c>
      <c r="H99" s="95">
        <f t="shared" si="37"/>
        <v>1340.0400000000002</v>
      </c>
      <c r="I99" s="95">
        <f t="shared" si="37"/>
        <v>1495.74</v>
      </c>
      <c r="J99" s="95">
        <f t="shared" si="37"/>
        <v>1546.3400000000001</v>
      </c>
      <c r="K99" s="95">
        <f t="shared" si="37"/>
        <v>1758.64</v>
      </c>
      <c r="L99" s="95">
        <f t="shared" si="37"/>
        <v>1804.3400000000001</v>
      </c>
      <c r="M99" s="95">
        <f t="shared" si="37"/>
        <v>1888.64</v>
      </c>
      <c r="N99" s="95">
        <f t="shared" si="37"/>
        <v>1740.04</v>
      </c>
      <c r="O99" s="95">
        <f t="shared" si="37"/>
        <v>1703.6399999999999</v>
      </c>
      <c r="P99" s="95">
        <f t="shared" si="37"/>
        <v>1681.1399999999999</v>
      </c>
      <c r="Q99" s="95">
        <f t="shared" si="37"/>
        <v>1600.24</v>
      </c>
      <c r="R99" s="95">
        <f t="shared" si="37"/>
        <v>1558.64</v>
      </c>
      <c r="S99" s="95">
        <f t="shared" si="37"/>
        <v>1587.6399999999999</v>
      </c>
      <c r="T99" s="95">
        <f t="shared" si="37"/>
        <v>1579.84</v>
      </c>
      <c r="U99" s="95">
        <f t="shared" si="37"/>
        <v>1570.94</v>
      </c>
      <c r="V99" s="95">
        <f t="shared" si="37"/>
        <v>1576.7399999999998</v>
      </c>
      <c r="W99" s="95">
        <f t="shared" si="37"/>
        <v>1676.34</v>
      </c>
      <c r="X99" s="95">
        <f t="shared" si="37"/>
        <v>2000.68</v>
      </c>
      <c r="Y99" s="95">
        <f t="shared" si="37"/>
        <v>2030.239</v>
      </c>
      <c r="Z99" s="95">
        <f t="shared" si="37"/>
        <v>2001.739</v>
      </c>
      <c r="AA99" s="95">
        <f t="shared" si="37"/>
        <v>1982.54</v>
      </c>
      <c r="AB99" s="95">
        <f t="shared" si="37"/>
        <v>1915.1399999999999</v>
      </c>
      <c r="AC99" s="95">
        <f t="shared" si="37"/>
        <v>1824.94</v>
      </c>
      <c r="AD99" s="95">
        <f t="shared" si="37"/>
        <v>1703.3400000000001</v>
      </c>
      <c r="AE99" s="95">
        <f t="shared" si="37"/>
        <v>1456.3400000000001</v>
      </c>
      <c r="AF99" s="95">
        <f t="shared" si="37"/>
        <v>1328.74</v>
      </c>
      <c r="AG99" s="88">
        <f>AG96+AG92+AG80+AG76+AG58+AG98</f>
        <v>1693.71</v>
      </c>
      <c r="AH99" s="47">
        <f t="shared" si="27"/>
        <v>2030.239</v>
      </c>
      <c r="AI99" s="48">
        <f t="shared" si="28"/>
        <v>1184.24</v>
      </c>
    </row>
    <row r="100" spans="1:37" ht="15.75" thickBot="1" x14ac:dyDescent="0.3">
      <c r="A100" s="74" t="s">
        <v>103</v>
      </c>
      <c r="B100" s="95">
        <f t="shared" ref="B100:C100" si="38">B99-(B107)</f>
        <v>1238.3400000000001</v>
      </c>
      <c r="C100" s="95">
        <f t="shared" si="38"/>
        <v>1208.2399999999998</v>
      </c>
      <c r="D100" s="95">
        <f t="shared" ref="D100" si="39">D99-(D107)</f>
        <v>1184.24</v>
      </c>
      <c r="E100" s="95">
        <f t="shared" ref="E100:M100" si="40">E99-(E107)</f>
        <v>1202.3400000000001</v>
      </c>
      <c r="F100" s="95">
        <f t="shared" si="40"/>
        <v>1185.94</v>
      </c>
      <c r="G100" s="95">
        <f t="shared" si="40"/>
        <v>1255.24</v>
      </c>
      <c r="H100" s="95">
        <f t="shared" si="40"/>
        <v>1340.0400000000002</v>
      </c>
      <c r="I100" s="95">
        <f t="shared" si="40"/>
        <v>1495.74</v>
      </c>
      <c r="J100" s="95">
        <f t="shared" si="40"/>
        <v>1546.3400000000001</v>
      </c>
      <c r="K100" s="95">
        <f t="shared" si="40"/>
        <v>1758.64</v>
      </c>
      <c r="L100" s="95">
        <f t="shared" si="40"/>
        <v>1804.3400000000001</v>
      </c>
      <c r="M100" s="95">
        <f t="shared" si="40"/>
        <v>1888.64</v>
      </c>
      <c r="N100" s="95">
        <f>N99-(N107)</f>
        <v>1740.04</v>
      </c>
      <c r="O100" s="95">
        <f t="shared" ref="O100:AF100" si="41">O99-(O107)</f>
        <v>1703.6399999999999</v>
      </c>
      <c r="P100" s="95">
        <f t="shared" si="41"/>
        <v>1681.1399999999999</v>
      </c>
      <c r="Q100" s="95">
        <f t="shared" si="41"/>
        <v>1600.24</v>
      </c>
      <c r="R100" s="95">
        <f t="shared" si="41"/>
        <v>1558.64</v>
      </c>
      <c r="S100" s="95">
        <f t="shared" si="41"/>
        <v>1587.6399999999999</v>
      </c>
      <c r="T100" s="95">
        <f t="shared" si="41"/>
        <v>1579.84</v>
      </c>
      <c r="U100" s="95">
        <f t="shared" si="41"/>
        <v>1570.94</v>
      </c>
      <c r="V100" s="95">
        <f t="shared" si="41"/>
        <v>1576.7399999999998</v>
      </c>
      <c r="W100" s="95">
        <f t="shared" si="41"/>
        <v>1676.34</v>
      </c>
      <c r="X100" s="95">
        <f t="shared" si="41"/>
        <v>2000.68</v>
      </c>
      <c r="Y100" s="95">
        <f t="shared" si="41"/>
        <v>2030.239</v>
      </c>
      <c r="Z100" s="95">
        <f t="shared" si="41"/>
        <v>2001.739</v>
      </c>
      <c r="AA100" s="95">
        <f t="shared" si="41"/>
        <v>1982.54</v>
      </c>
      <c r="AB100" s="95">
        <f t="shared" si="41"/>
        <v>1915.1399999999999</v>
      </c>
      <c r="AC100" s="95">
        <f t="shared" si="41"/>
        <v>1824.94</v>
      </c>
      <c r="AD100" s="95">
        <f t="shared" si="41"/>
        <v>1703.3400000000001</v>
      </c>
      <c r="AE100" s="95">
        <f t="shared" si="41"/>
        <v>1456.3400000000001</v>
      </c>
      <c r="AF100" s="95">
        <f t="shared" si="41"/>
        <v>1328.74</v>
      </c>
      <c r="AG100" s="88"/>
      <c r="AH100" s="47">
        <f t="shared" si="27"/>
        <v>2030.239</v>
      </c>
      <c r="AI100" s="48">
        <f t="shared" si="28"/>
        <v>1184.24</v>
      </c>
    </row>
    <row r="101" spans="1:37" x14ac:dyDescent="0.25">
      <c r="A101" s="44" t="s">
        <v>84</v>
      </c>
      <c r="B101" s="76">
        <f t="shared" ref="B101:C101" si="42">IF(B84&lt;0,B84*-1,0)</f>
        <v>0</v>
      </c>
      <c r="C101" s="76">
        <f t="shared" si="42"/>
        <v>0</v>
      </c>
      <c r="D101" s="76">
        <f t="shared" ref="D101" si="43">IF(D84&lt;0,D84*-1,0)</f>
        <v>0</v>
      </c>
      <c r="E101" s="76">
        <f t="shared" ref="E101:AF101" si="44">IF(E84&lt;0,E84*-1,0)</f>
        <v>0</v>
      </c>
      <c r="F101" s="76">
        <f t="shared" si="44"/>
        <v>0</v>
      </c>
      <c r="G101" s="76">
        <f t="shared" si="44"/>
        <v>0</v>
      </c>
      <c r="H101" s="76">
        <f t="shared" si="44"/>
        <v>0</v>
      </c>
      <c r="I101" s="76">
        <f t="shared" si="44"/>
        <v>0</v>
      </c>
      <c r="J101" s="76">
        <f t="shared" si="44"/>
        <v>0</v>
      </c>
      <c r="K101" s="76">
        <f t="shared" si="44"/>
        <v>0</v>
      </c>
      <c r="L101" s="76">
        <f t="shared" si="44"/>
        <v>0</v>
      </c>
      <c r="M101" s="76">
        <f t="shared" si="44"/>
        <v>0</v>
      </c>
      <c r="N101" s="76">
        <f t="shared" si="44"/>
        <v>0</v>
      </c>
      <c r="O101" s="76">
        <f t="shared" si="44"/>
        <v>0</v>
      </c>
      <c r="P101" s="76">
        <f t="shared" si="44"/>
        <v>0</v>
      </c>
      <c r="Q101" s="76">
        <f t="shared" si="44"/>
        <v>0</v>
      </c>
      <c r="R101" s="76">
        <f t="shared" si="44"/>
        <v>0</v>
      </c>
      <c r="S101" s="76">
        <f t="shared" si="44"/>
        <v>0</v>
      </c>
      <c r="T101" s="76">
        <f t="shared" si="44"/>
        <v>0</v>
      </c>
      <c r="U101" s="76">
        <f t="shared" si="44"/>
        <v>0</v>
      </c>
      <c r="V101" s="76">
        <f t="shared" si="44"/>
        <v>0</v>
      </c>
      <c r="W101" s="76">
        <f t="shared" si="44"/>
        <v>0</v>
      </c>
      <c r="X101" s="76">
        <f t="shared" si="44"/>
        <v>0</v>
      </c>
      <c r="Y101" s="76">
        <f t="shared" si="44"/>
        <v>0</v>
      </c>
      <c r="Z101" s="76">
        <f t="shared" si="44"/>
        <v>0</v>
      </c>
      <c r="AA101" s="76">
        <f t="shared" si="44"/>
        <v>0</v>
      </c>
      <c r="AB101" s="76">
        <f t="shared" si="44"/>
        <v>0</v>
      </c>
      <c r="AC101" s="76">
        <f t="shared" si="44"/>
        <v>0</v>
      </c>
      <c r="AD101" s="76">
        <f t="shared" si="44"/>
        <v>0</v>
      </c>
      <c r="AE101" s="76">
        <f t="shared" si="44"/>
        <v>0</v>
      </c>
      <c r="AF101" s="76">
        <f t="shared" si="44"/>
        <v>0</v>
      </c>
      <c r="AG101" s="52"/>
      <c r="AH101" s="47">
        <f t="shared" si="27"/>
        <v>0</v>
      </c>
      <c r="AI101" s="48">
        <f t="shared" si="28"/>
        <v>0</v>
      </c>
    </row>
    <row r="102" spans="1:37" x14ac:dyDescent="0.25">
      <c r="A102" s="54" t="s">
        <v>82</v>
      </c>
      <c r="B102" s="76">
        <f t="shared" ref="B102:C102" si="45">IF(B82&lt;0,B82*-1,0)</f>
        <v>0</v>
      </c>
      <c r="C102" s="76">
        <f t="shared" si="45"/>
        <v>0</v>
      </c>
      <c r="D102" s="76">
        <f t="shared" ref="D102" si="46">IF(D82&lt;0,D82*-1,0)</f>
        <v>0</v>
      </c>
      <c r="E102" s="76">
        <f t="shared" ref="E102:AF102" si="47">IF(E82&lt;0,E82*-1,0)</f>
        <v>0</v>
      </c>
      <c r="F102" s="76">
        <f t="shared" si="47"/>
        <v>0</v>
      </c>
      <c r="G102" s="76">
        <f t="shared" si="47"/>
        <v>0</v>
      </c>
      <c r="H102" s="76">
        <f t="shared" si="47"/>
        <v>0</v>
      </c>
      <c r="I102" s="76">
        <f t="shared" si="47"/>
        <v>0</v>
      </c>
      <c r="J102" s="76">
        <f t="shared" si="47"/>
        <v>0</v>
      </c>
      <c r="K102" s="76">
        <f t="shared" si="47"/>
        <v>0</v>
      </c>
      <c r="L102" s="76">
        <f t="shared" si="47"/>
        <v>0</v>
      </c>
      <c r="M102" s="76">
        <f t="shared" si="47"/>
        <v>0</v>
      </c>
      <c r="N102" s="76">
        <f t="shared" si="47"/>
        <v>0</v>
      </c>
      <c r="O102" s="76">
        <f t="shared" si="47"/>
        <v>0</v>
      </c>
      <c r="P102" s="76">
        <f t="shared" si="47"/>
        <v>0</v>
      </c>
      <c r="Q102" s="76">
        <f t="shared" si="47"/>
        <v>0</v>
      </c>
      <c r="R102" s="76">
        <f t="shared" si="47"/>
        <v>0</v>
      </c>
      <c r="S102" s="76">
        <f t="shared" si="47"/>
        <v>0</v>
      </c>
      <c r="T102" s="76">
        <f t="shared" si="47"/>
        <v>0</v>
      </c>
      <c r="U102" s="76">
        <f t="shared" si="47"/>
        <v>0</v>
      </c>
      <c r="V102" s="76">
        <f t="shared" si="47"/>
        <v>0</v>
      </c>
      <c r="W102" s="76">
        <f t="shared" si="47"/>
        <v>0</v>
      </c>
      <c r="X102" s="76">
        <f t="shared" si="47"/>
        <v>0</v>
      </c>
      <c r="Y102" s="76">
        <f t="shared" si="47"/>
        <v>0</v>
      </c>
      <c r="Z102" s="76">
        <f t="shared" si="47"/>
        <v>0</v>
      </c>
      <c r="AA102" s="76">
        <f t="shared" si="47"/>
        <v>0</v>
      </c>
      <c r="AB102" s="76">
        <f t="shared" si="47"/>
        <v>0</v>
      </c>
      <c r="AC102" s="76">
        <f t="shared" si="47"/>
        <v>0</v>
      </c>
      <c r="AD102" s="76">
        <f t="shared" si="47"/>
        <v>0</v>
      </c>
      <c r="AE102" s="76">
        <f t="shared" si="47"/>
        <v>0</v>
      </c>
      <c r="AF102" s="76">
        <f t="shared" si="47"/>
        <v>0</v>
      </c>
      <c r="AG102" s="55"/>
      <c r="AH102" s="47">
        <f t="shared" si="27"/>
        <v>0</v>
      </c>
      <c r="AI102" s="48">
        <f t="shared" si="28"/>
        <v>0</v>
      </c>
    </row>
    <row r="103" spans="1:37" x14ac:dyDescent="0.25">
      <c r="A103" s="84" t="s">
        <v>104</v>
      </c>
      <c r="B103" s="76">
        <f t="shared" ref="B103:C103" si="48">IF(B85&lt;0,B85*-1,0)</f>
        <v>0</v>
      </c>
      <c r="C103" s="76">
        <f t="shared" si="48"/>
        <v>0</v>
      </c>
      <c r="D103" s="76">
        <f t="shared" ref="D103" si="49">IF(D85&lt;0,D85*-1,0)</f>
        <v>0</v>
      </c>
      <c r="E103" s="76">
        <f t="shared" ref="E103:AF103" si="50">IF(E85&lt;0,E85*-1,0)</f>
        <v>0</v>
      </c>
      <c r="F103" s="76">
        <f t="shared" si="50"/>
        <v>0</v>
      </c>
      <c r="G103" s="76">
        <f t="shared" si="50"/>
        <v>0</v>
      </c>
      <c r="H103" s="76">
        <f t="shared" si="50"/>
        <v>0</v>
      </c>
      <c r="I103" s="76">
        <f t="shared" si="50"/>
        <v>0</v>
      </c>
      <c r="J103" s="76">
        <f t="shared" si="50"/>
        <v>0</v>
      </c>
      <c r="K103" s="76">
        <f t="shared" si="50"/>
        <v>0</v>
      </c>
      <c r="L103" s="76">
        <f t="shared" si="50"/>
        <v>0</v>
      </c>
      <c r="M103" s="76">
        <f t="shared" si="50"/>
        <v>0</v>
      </c>
      <c r="N103" s="76">
        <f t="shared" si="50"/>
        <v>0</v>
      </c>
      <c r="O103" s="76">
        <f t="shared" si="50"/>
        <v>0</v>
      </c>
      <c r="P103" s="76">
        <f t="shared" si="50"/>
        <v>0</v>
      </c>
      <c r="Q103" s="76">
        <f t="shared" si="50"/>
        <v>0</v>
      </c>
      <c r="R103" s="76">
        <f t="shared" si="50"/>
        <v>0</v>
      </c>
      <c r="S103" s="76">
        <f t="shared" si="50"/>
        <v>0</v>
      </c>
      <c r="T103" s="76">
        <f t="shared" si="50"/>
        <v>0</v>
      </c>
      <c r="U103" s="76">
        <f t="shared" si="50"/>
        <v>0</v>
      </c>
      <c r="V103" s="76">
        <f t="shared" si="50"/>
        <v>0</v>
      </c>
      <c r="W103" s="76">
        <f t="shared" si="50"/>
        <v>0</v>
      </c>
      <c r="X103" s="76">
        <f t="shared" si="50"/>
        <v>0</v>
      </c>
      <c r="Y103" s="76">
        <f t="shared" si="50"/>
        <v>0</v>
      </c>
      <c r="Z103" s="76">
        <f t="shared" si="50"/>
        <v>0</v>
      </c>
      <c r="AA103" s="76">
        <f t="shared" si="50"/>
        <v>0</v>
      </c>
      <c r="AB103" s="76">
        <f t="shared" si="50"/>
        <v>0</v>
      </c>
      <c r="AC103" s="76">
        <f t="shared" si="50"/>
        <v>0</v>
      </c>
      <c r="AD103" s="76">
        <f t="shared" si="50"/>
        <v>0</v>
      </c>
      <c r="AE103" s="76">
        <f t="shared" si="50"/>
        <v>0</v>
      </c>
      <c r="AF103" s="76">
        <f t="shared" si="50"/>
        <v>0</v>
      </c>
      <c r="AG103" s="98"/>
      <c r="AH103" s="47">
        <f t="shared" si="27"/>
        <v>0</v>
      </c>
      <c r="AI103" s="48">
        <f t="shared" si="28"/>
        <v>0</v>
      </c>
    </row>
    <row r="104" spans="1:37" x14ac:dyDescent="0.25">
      <c r="A104" s="84" t="s">
        <v>105</v>
      </c>
      <c r="B104" s="76">
        <f t="shared" ref="B104:C104" si="51">IF(B83&lt;0,B83*-1,0)</f>
        <v>0</v>
      </c>
      <c r="C104" s="76">
        <f t="shared" si="51"/>
        <v>0</v>
      </c>
      <c r="D104" s="76">
        <f t="shared" ref="D104" si="52">IF(D83&lt;0,D83*-1,0)</f>
        <v>0</v>
      </c>
      <c r="E104" s="76">
        <f t="shared" ref="E104:AF104" si="53">IF(E83&lt;0,E83*-1,0)</f>
        <v>0</v>
      </c>
      <c r="F104" s="76">
        <f t="shared" si="53"/>
        <v>0</v>
      </c>
      <c r="G104" s="76">
        <f t="shared" si="53"/>
        <v>0</v>
      </c>
      <c r="H104" s="76">
        <f t="shared" si="53"/>
        <v>0</v>
      </c>
      <c r="I104" s="76">
        <f t="shared" si="53"/>
        <v>0</v>
      </c>
      <c r="J104" s="76">
        <f t="shared" si="53"/>
        <v>0</v>
      </c>
      <c r="K104" s="76">
        <f t="shared" si="53"/>
        <v>0</v>
      </c>
      <c r="L104" s="76">
        <f t="shared" si="53"/>
        <v>0</v>
      </c>
      <c r="M104" s="76">
        <f t="shared" si="53"/>
        <v>0</v>
      </c>
      <c r="N104" s="76">
        <f t="shared" si="53"/>
        <v>0</v>
      </c>
      <c r="O104" s="76">
        <f t="shared" si="53"/>
        <v>0</v>
      </c>
      <c r="P104" s="76">
        <f t="shared" si="53"/>
        <v>0</v>
      </c>
      <c r="Q104" s="76">
        <f t="shared" si="53"/>
        <v>0</v>
      </c>
      <c r="R104" s="76">
        <f t="shared" si="53"/>
        <v>0</v>
      </c>
      <c r="S104" s="76">
        <f t="shared" si="53"/>
        <v>0</v>
      </c>
      <c r="T104" s="76">
        <f t="shared" si="53"/>
        <v>0</v>
      </c>
      <c r="U104" s="76">
        <f t="shared" si="53"/>
        <v>0</v>
      </c>
      <c r="V104" s="76">
        <f t="shared" si="53"/>
        <v>0</v>
      </c>
      <c r="W104" s="76">
        <f t="shared" si="53"/>
        <v>0</v>
      </c>
      <c r="X104" s="76">
        <f t="shared" si="53"/>
        <v>0</v>
      </c>
      <c r="Y104" s="76">
        <f t="shared" si="53"/>
        <v>0</v>
      </c>
      <c r="Z104" s="76">
        <f t="shared" si="53"/>
        <v>0</v>
      </c>
      <c r="AA104" s="76">
        <f t="shared" si="53"/>
        <v>0</v>
      </c>
      <c r="AB104" s="76">
        <f t="shared" si="53"/>
        <v>0</v>
      </c>
      <c r="AC104" s="76">
        <f t="shared" si="53"/>
        <v>0</v>
      </c>
      <c r="AD104" s="76">
        <f t="shared" si="53"/>
        <v>0</v>
      </c>
      <c r="AE104" s="76">
        <f t="shared" si="53"/>
        <v>0</v>
      </c>
      <c r="AF104" s="76">
        <f t="shared" si="53"/>
        <v>0</v>
      </c>
      <c r="AG104" s="98"/>
      <c r="AH104" s="47">
        <f t="shared" si="27"/>
        <v>0</v>
      </c>
      <c r="AI104" s="48">
        <f t="shared" si="28"/>
        <v>0</v>
      </c>
    </row>
    <row r="105" spans="1:37" x14ac:dyDescent="0.25">
      <c r="A105" s="84" t="s">
        <v>81</v>
      </c>
      <c r="B105" s="76">
        <f t="shared" ref="B105:C105" si="54">IF(B81&lt;0,B81*-1,0)</f>
        <v>0</v>
      </c>
      <c r="C105" s="76">
        <f t="shared" si="54"/>
        <v>0</v>
      </c>
      <c r="D105" s="76">
        <f t="shared" ref="D105" si="55">IF(D81&lt;0,D81*-1,0)</f>
        <v>0</v>
      </c>
      <c r="E105" s="76">
        <f t="shared" ref="E105:AF105" si="56">IF(E81&lt;0,E81*-1,0)</f>
        <v>0</v>
      </c>
      <c r="F105" s="76">
        <f t="shared" si="56"/>
        <v>0</v>
      </c>
      <c r="G105" s="76">
        <f t="shared" si="56"/>
        <v>0</v>
      </c>
      <c r="H105" s="76">
        <f t="shared" si="56"/>
        <v>0</v>
      </c>
      <c r="I105" s="76">
        <f t="shared" si="56"/>
        <v>0</v>
      </c>
      <c r="J105" s="76">
        <f t="shared" si="56"/>
        <v>0</v>
      </c>
      <c r="K105" s="76">
        <f t="shared" si="56"/>
        <v>0</v>
      </c>
      <c r="L105" s="76">
        <f t="shared" si="56"/>
        <v>0</v>
      </c>
      <c r="M105" s="76">
        <f t="shared" si="56"/>
        <v>0</v>
      </c>
      <c r="N105" s="76">
        <f t="shared" si="56"/>
        <v>0</v>
      </c>
      <c r="O105" s="76">
        <f t="shared" si="56"/>
        <v>0</v>
      </c>
      <c r="P105" s="76">
        <f t="shared" si="56"/>
        <v>0</v>
      </c>
      <c r="Q105" s="76">
        <f t="shared" si="56"/>
        <v>0</v>
      </c>
      <c r="R105" s="76">
        <f t="shared" si="56"/>
        <v>0</v>
      </c>
      <c r="S105" s="76">
        <f t="shared" si="56"/>
        <v>0</v>
      </c>
      <c r="T105" s="76">
        <f t="shared" si="56"/>
        <v>0</v>
      </c>
      <c r="U105" s="76">
        <f t="shared" si="56"/>
        <v>0</v>
      </c>
      <c r="V105" s="76">
        <f t="shared" si="56"/>
        <v>0</v>
      </c>
      <c r="W105" s="76">
        <f t="shared" si="56"/>
        <v>0</v>
      </c>
      <c r="X105" s="76">
        <f t="shared" si="56"/>
        <v>0</v>
      </c>
      <c r="Y105" s="76">
        <f t="shared" si="56"/>
        <v>0</v>
      </c>
      <c r="Z105" s="76">
        <f t="shared" si="56"/>
        <v>0</v>
      </c>
      <c r="AA105" s="76">
        <f t="shared" si="56"/>
        <v>0</v>
      </c>
      <c r="AB105" s="76">
        <f t="shared" si="56"/>
        <v>0</v>
      </c>
      <c r="AC105" s="76">
        <f t="shared" si="56"/>
        <v>0</v>
      </c>
      <c r="AD105" s="76">
        <f t="shared" si="56"/>
        <v>0</v>
      </c>
      <c r="AE105" s="76">
        <f t="shared" si="56"/>
        <v>0</v>
      </c>
      <c r="AF105" s="76">
        <f t="shared" si="56"/>
        <v>0</v>
      </c>
      <c r="AG105" s="98"/>
      <c r="AH105" s="47">
        <f t="shared" si="27"/>
        <v>0</v>
      </c>
      <c r="AI105" s="48">
        <f t="shared" si="28"/>
        <v>0</v>
      </c>
    </row>
    <row r="106" spans="1:37" ht="15.75" thickBot="1" x14ac:dyDescent="0.3">
      <c r="A106" s="84" t="s">
        <v>106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0</v>
      </c>
      <c r="AB106" s="94">
        <v>0</v>
      </c>
      <c r="AC106" s="94">
        <v>0</v>
      </c>
      <c r="AD106" s="94">
        <v>0</v>
      </c>
      <c r="AE106" s="94">
        <v>0</v>
      </c>
      <c r="AF106" s="94">
        <v>0</v>
      </c>
      <c r="AG106" s="85"/>
      <c r="AH106" s="47">
        <f t="shared" si="27"/>
        <v>0</v>
      </c>
      <c r="AI106" s="48">
        <f t="shared" si="28"/>
        <v>0</v>
      </c>
    </row>
    <row r="107" spans="1:37" ht="15.75" thickBot="1" x14ac:dyDescent="0.3">
      <c r="A107" s="99" t="s">
        <v>107</v>
      </c>
      <c r="B107" s="60">
        <f t="shared" ref="B107:C107" si="57">SUM(B101:B106)</f>
        <v>0</v>
      </c>
      <c r="C107" s="60">
        <f t="shared" si="57"/>
        <v>0</v>
      </c>
      <c r="D107" s="60">
        <f t="shared" ref="D107" si="58">SUM(D101:D106)</f>
        <v>0</v>
      </c>
      <c r="E107" s="60">
        <f t="shared" ref="E107:AF107" si="59">SUM(E101:E106)</f>
        <v>0</v>
      </c>
      <c r="F107" s="60">
        <f t="shared" si="59"/>
        <v>0</v>
      </c>
      <c r="G107" s="60">
        <f t="shared" si="59"/>
        <v>0</v>
      </c>
      <c r="H107" s="60">
        <f t="shared" si="59"/>
        <v>0</v>
      </c>
      <c r="I107" s="60">
        <f t="shared" si="59"/>
        <v>0</v>
      </c>
      <c r="J107" s="60">
        <f t="shared" si="59"/>
        <v>0</v>
      </c>
      <c r="K107" s="60">
        <f t="shared" si="59"/>
        <v>0</v>
      </c>
      <c r="L107" s="60">
        <f t="shared" si="59"/>
        <v>0</v>
      </c>
      <c r="M107" s="60">
        <f t="shared" si="59"/>
        <v>0</v>
      </c>
      <c r="N107" s="60">
        <f t="shared" si="59"/>
        <v>0</v>
      </c>
      <c r="O107" s="60">
        <f t="shared" si="59"/>
        <v>0</v>
      </c>
      <c r="P107" s="60">
        <f t="shared" si="59"/>
        <v>0</v>
      </c>
      <c r="Q107" s="60">
        <f t="shared" si="59"/>
        <v>0</v>
      </c>
      <c r="R107" s="60">
        <f t="shared" si="59"/>
        <v>0</v>
      </c>
      <c r="S107" s="60">
        <f t="shared" si="59"/>
        <v>0</v>
      </c>
      <c r="T107" s="60">
        <f t="shared" si="59"/>
        <v>0</v>
      </c>
      <c r="U107" s="60">
        <f t="shared" si="59"/>
        <v>0</v>
      </c>
      <c r="V107" s="60">
        <f t="shared" si="59"/>
        <v>0</v>
      </c>
      <c r="W107" s="60">
        <f t="shared" si="59"/>
        <v>0</v>
      </c>
      <c r="X107" s="60">
        <f t="shared" si="59"/>
        <v>0</v>
      </c>
      <c r="Y107" s="60">
        <f t="shared" si="59"/>
        <v>0</v>
      </c>
      <c r="Z107" s="60">
        <f t="shared" si="59"/>
        <v>0</v>
      </c>
      <c r="AA107" s="60">
        <f t="shared" si="59"/>
        <v>0</v>
      </c>
      <c r="AB107" s="60">
        <f t="shared" si="59"/>
        <v>0</v>
      </c>
      <c r="AC107" s="60">
        <f t="shared" si="59"/>
        <v>0</v>
      </c>
      <c r="AD107" s="60">
        <f t="shared" si="59"/>
        <v>0</v>
      </c>
      <c r="AE107" s="60">
        <f t="shared" si="59"/>
        <v>0</v>
      </c>
      <c r="AF107" s="60">
        <f t="shared" si="59"/>
        <v>0</v>
      </c>
      <c r="AG107" s="88"/>
      <c r="AH107" s="47">
        <f t="shared" si="27"/>
        <v>0</v>
      </c>
      <c r="AI107" s="48">
        <f t="shared" si="28"/>
        <v>0</v>
      </c>
      <c r="AK107" s="50"/>
    </row>
    <row r="108" spans="1:37" ht="15.75" thickBot="1" x14ac:dyDescent="0.3">
      <c r="A108" s="74" t="s">
        <v>108</v>
      </c>
      <c r="B108" s="60">
        <f t="shared" ref="B108:C108" si="60">B92-B107</f>
        <v>537.20000000000005</v>
      </c>
      <c r="C108" s="60">
        <f t="shared" si="60"/>
        <v>514.79999999999995</v>
      </c>
      <c r="D108" s="60">
        <f t="shared" ref="D108" si="61">D92-D107</f>
        <v>488</v>
      </c>
      <c r="E108" s="60">
        <f t="shared" ref="E108:AF108" si="62">E92-E107</f>
        <v>505.8</v>
      </c>
      <c r="F108" s="60">
        <f t="shared" si="62"/>
        <v>501.59999999999997</v>
      </c>
      <c r="G108" s="60">
        <f t="shared" si="62"/>
        <v>481.2</v>
      </c>
      <c r="H108" s="60">
        <f t="shared" si="62"/>
        <v>492.7</v>
      </c>
      <c r="I108" s="60">
        <f t="shared" si="62"/>
        <v>532.6</v>
      </c>
      <c r="J108" s="60">
        <f t="shared" si="62"/>
        <v>496</v>
      </c>
      <c r="K108" s="60">
        <f t="shared" si="62"/>
        <v>361</v>
      </c>
      <c r="L108" s="60">
        <f t="shared" si="62"/>
        <v>207.9</v>
      </c>
      <c r="M108" s="60">
        <f t="shared" si="62"/>
        <v>235</v>
      </c>
      <c r="N108" s="60">
        <f t="shared" si="62"/>
        <v>292.5</v>
      </c>
      <c r="O108" s="60">
        <f t="shared" si="62"/>
        <v>302.89999999999998</v>
      </c>
      <c r="P108" s="60">
        <f t="shared" si="62"/>
        <v>499.4</v>
      </c>
      <c r="Q108" s="60">
        <f t="shared" si="62"/>
        <v>584.5</v>
      </c>
      <c r="R108" s="60">
        <f t="shared" si="62"/>
        <v>712.7</v>
      </c>
      <c r="S108" s="60">
        <f t="shared" si="62"/>
        <v>748</v>
      </c>
      <c r="T108" s="60">
        <f t="shared" si="62"/>
        <v>734.5</v>
      </c>
      <c r="U108" s="60">
        <f t="shared" si="62"/>
        <v>722.80000000000007</v>
      </c>
      <c r="V108" s="60">
        <f t="shared" si="62"/>
        <v>570</v>
      </c>
      <c r="W108" s="60">
        <f t="shared" si="62"/>
        <v>554</v>
      </c>
      <c r="X108" s="60">
        <f t="shared" si="62"/>
        <v>467</v>
      </c>
      <c r="Y108" s="60">
        <f t="shared" si="62"/>
        <v>447.1</v>
      </c>
      <c r="Z108" s="60">
        <f t="shared" si="62"/>
        <v>431.20000000000005</v>
      </c>
      <c r="AA108" s="60">
        <f t="shared" si="62"/>
        <v>452.5</v>
      </c>
      <c r="AB108" s="60">
        <f t="shared" si="62"/>
        <v>396</v>
      </c>
      <c r="AC108" s="60">
        <f t="shared" si="62"/>
        <v>540</v>
      </c>
      <c r="AD108" s="60">
        <f t="shared" si="62"/>
        <v>566.70000000000005</v>
      </c>
      <c r="AE108" s="60">
        <f t="shared" si="62"/>
        <v>619.5</v>
      </c>
      <c r="AF108" s="60">
        <f t="shared" si="62"/>
        <v>626.1</v>
      </c>
      <c r="AG108" s="88"/>
      <c r="AH108" s="47">
        <f t="shared" si="27"/>
        <v>748</v>
      </c>
      <c r="AI108" s="48">
        <f t="shared" si="28"/>
        <v>207.9</v>
      </c>
    </row>
    <row r="109" spans="1:37" x14ac:dyDescent="0.25">
      <c r="A109" s="100" t="s">
        <v>109</v>
      </c>
      <c r="B109" s="101">
        <v>49.98</v>
      </c>
      <c r="C109" s="101">
        <v>50</v>
      </c>
      <c r="D109" s="101">
        <v>49.98</v>
      </c>
      <c r="E109" s="101">
        <v>50.015000000000001</v>
      </c>
      <c r="F109" s="101">
        <v>50.015999999999998</v>
      </c>
      <c r="G109" s="101">
        <v>49.999000000000002</v>
      </c>
      <c r="H109" s="101">
        <v>49.966000000000001</v>
      </c>
      <c r="I109" s="101">
        <v>50.145000000000003</v>
      </c>
      <c r="J109" s="101">
        <v>50.02</v>
      </c>
      <c r="K109" s="101">
        <v>50</v>
      </c>
      <c r="L109" s="101">
        <v>50.023000000000003</v>
      </c>
      <c r="M109" s="101">
        <v>50.110999999999997</v>
      </c>
      <c r="N109" s="101">
        <v>49.895000000000003</v>
      </c>
      <c r="O109" s="101">
        <v>49.978000000000002</v>
      </c>
      <c r="P109" s="101">
        <v>50.003999999999998</v>
      </c>
      <c r="Q109" s="101">
        <v>50.021000000000001</v>
      </c>
      <c r="R109" s="101">
        <v>50.064</v>
      </c>
      <c r="S109" s="101">
        <v>50.2</v>
      </c>
      <c r="T109" s="101">
        <v>49.95</v>
      </c>
      <c r="U109" s="101">
        <v>49.972999999999999</v>
      </c>
      <c r="V109" s="101">
        <v>50.018000000000001</v>
      </c>
      <c r="W109" s="101">
        <v>50.1</v>
      </c>
      <c r="X109" s="101">
        <v>50.082999999999998</v>
      </c>
      <c r="Y109" s="101">
        <v>50</v>
      </c>
      <c r="Z109" s="101">
        <v>50.033999999999999</v>
      </c>
      <c r="AA109" s="101">
        <v>49.9634</v>
      </c>
      <c r="AB109" s="101">
        <v>50.037999999999997</v>
      </c>
      <c r="AC109" s="101">
        <v>49.963999999999999</v>
      </c>
      <c r="AD109" s="101">
        <v>50</v>
      </c>
      <c r="AE109" s="101">
        <v>49.963000000000001</v>
      </c>
      <c r="AF109" s="101">
        <v>49.984000000000002</v>
      </c>
      <c r="AG109" s="102"/>
      <c r="AH109" s="47">
        <f t="shared" si="27"/>
        <v>50.2</v>
      </c>
      <c r="AI109" s="48">
        <f t="shared" si="28"/>
        <v>49.895000000000003</v>
      </c>
    </row>
    <row r="110" spans="1:37" x14ac:dyDescent="0.25">
      <c r="A110" s="103" t="s">
        <v>110</v>
      </c>
      <c r="B110" s="65">
        <v>129</v>
      </c>
      <c r="C110" s="65">
        <v>127.5</v>
      </c>
      <c r="D110" s="65">
        <v>129.30000000000001</v>
      </c>
      <c r="E110" s="65">
        <v>128.1</v>
      </c>
      <c r="F110" s="65">
        <v>128.69999999999999</v>
      </c>
      <c r="G110" s="65">
        <v>127.3</v>
      </c>
      <c r="H110" s="65">
        <v>126.6</v>
      </c>
      <c r="I110" s="65">
        <v>124.1</v>
      </c>
      <c r="J110" s="65">
        <v>124.7</v>
      </c>
      <c r="K110" s="65">
        <v>125</v>
      </c>
      <c r="L110" s="65">
        <v>128.4</v>
      </c>
      <c r="M110" s="65">
        <v>127.5</v>
      </c>
      <c r="N110" s="65">
        <v>126.5</v>
      </c>
      <c r="O110" s="65">
        <v>126.7</v>
      </c>
      <c r="P110" s="65">
        <v>125.7</v>
      </c>
      <c r="Q110" s="65">
        <v>126.4</v>
      </c>
      <c r="R110" s="65">
        <v>126.1</v>
      </c>
      <c r="S110" s="65">
        <v>124.7</v>
      </c>
      <c r="T110" s="65">
        <v>124.6</v>
      </c>
      <c r="U110" s="65">
        <v>126.2</v>
      </c>
      <c r="V110" s="65">
        <v>128.69999999999999</v>
      </c>
      <c r="W110" s="65">
        <v>128.69999999999999</v>
      </c>
      <c r="X110" s="65">
        <v>128.69999999999999</v>
      </c>
      <c r="Y110" s="65">
        <v>126</v>
      </c>
      <c r="Z110" s="65">
        <v>126.5</v>
      </c>
      <c r="AA110" s="65">
        <v>127</v>
      </c>
      <c r="AB110" s="65">
        <v>127.8</v>
      </c>
      <c r="AC110" s="65">
        <v>128.19999999999999</v>
      </c>
      <c r="AD110" s="65">
        <v>129</v>
      </c>
      <c r="AE110" s="65">
        <v>129.1</v>
      </c>
      <c r="AF110" s="65">
        <v>129</v>
      </c>
      <c r="AG110" s="104"/>
      <c r="AH110" s="47">
        <f t="shared" si="27"/>
        <v>129.30000000000001</v>
      </c>
      <c r="AI110" s="48">
        <f t="shared" si="28"/>
        <v>124.1</v>
      </c>
    </row>
    <row r="111" spans="1:37" x14ac:dyDescent="0.25">
      <c r="A111" s="103" t="s">
        <v>111</v>
      </c>
      <c r="B111" s="65">
        <v>132.4</v>
      </c>
      <c r="C111" s="65">
        <v>131.5</v>
      </c>
      <c r="D111" s="65">
        <v>132.9</v>
      </c>
      <c r="E111" s="65">
        <v>131.6</v>
      </c>
      <c r="F111" s="65">
        <v>132.1</v>
      </c>
      <c r="G111" s="65">
        <v>131.30000000000001</v>
      </c>
      <c r="H111" s="65">
        <v>130.30000000000001</v>
      </c>
      <c r="I111" s="65">
        <v>127.8</v>
      </c>
      <c r="J111" s="65">
        <v>128</v>
      </c>
      <c r="K111" s="65">
        <v>127</v>
      </c>
      <c r="L111" s="65">
        <v>128.6</v>
      </c>
      <c r="M111" s="65">
        <v>127.7</v>
      </c>
      <c r="N111" s="65">
        <v>126.8</v>
      </c>
      <c r="O111" s="65">
        <v>127.1</v>
      </c>
      <c r="P111" s="65">
        <v>127</v>
      </c>
      <c r="Q111" s="65">
        <v>128.6</v>
      </c>
      <c r="R111" s="65">
        <v>128.4</v>
      </c>
      <c r="S111" s="65">
        <v>127.8</v>
      </c>
      <c r="T111" s="65">
        <v>127.3</v>
      </c>
      <c r="U111" s="65">
        <v>128.19999999999999</v>
      </c>
      <c r="V111" s="65">
        <v>130</v>
      </c>
      <c r="W111" s="65">
        <v>130</v>
      </c>
      <c r="X111" s="65">
        <v>130</v>
      </c>
      <c r="Y111" s="65">
        <v>126.6</v>
      </c>
      <c r="Z111" s="65">
        <v>126.8</v>
      </c>
      <c r="AA111" s="65">
        <v>127.7</v>
      </c>
      <c r="AB111" s="65">
        <v>128.5</v>
      </c>
      <c r="AC111" s="65">
        <v>129</v>
      </c>
      <c r="AD111" s="65">
        <v>130</v>
      </c>
      <c r="AE111" s="65">
        <v>131.19999999999999</v>
      </c>
      <c r="AF111" s="65">
        <v>131.69999999999999</v>
      </c>
      <c r="AG111" s="104"/>
      <c r="AH111" s="47">
        <f t="shared" si="27"/>
        <v>132.9</v>
      </c>
      <c r="AI111" s="48">
        <f t="shared" si="28"/>
        <v>126.6</v>
      </c>
    </row>
    <row r="112" spans="1:37" x14ac:dyDescent="0.25">
      <c r="A112" s="103" t="s">
        <v>112</v>
      </c>
      <c r="B112" s="65">
        <v>132.30000000000001</v>
      </c>
      <c r="C112" s="65">
        <v>128.30000000000001</v>
      </c>
      <c r="D112" s="65">
        <v>128.80000000000001</v>
      </c>
      <c r="E112" s="65">
        <v>131.6</v>
      </c>
      <c r="F112" s="65">
        <v>131</v>
      </c>
      <c r="G112" s="65">
        <v>129.4</v>
      </c>
      <c r="H112" s="65">
        <v>127.8</v>
      </c>
      <c r="I112" s="65">
        <v>128.19999999999999</v>
      </c>
      <c r="J112" s="65">
        <v>125.9</v>
      </c>
      <c r="K112" s="65">
        <v>125.9</v>
      </c>
      <c r="L112" s="65">
        <v>132.5</v>
      </c>
      <c r="M112" s="65">
        <v>130.6</v>
      </c>
      <c r="N112" s="65">
        <v>130.6</v>
      </c>
      <c r="O112" s="65">
        <v>131.30000000000001</v>
      </c>
      <c r="P112" s="65">
        <v>129.5</v>
      </c>
      <c r="Q112" s="65">
        <v>126.2</v>
      </c>
      <c r="R112" s="65">
        <v>128.1</v>
      </c>
      <c r="S112" s="65">
        <v>127</v>
      </c>
      <c r="T112" s="65">
        <v>124.9</v>
      </c>
      <c r="U112" s="65">
        <v>126.5</v>
      </c>
      <c r="V112" s="65">
        <v>130.4</v>
      </c>
      <c r="W112" s="65">
        <v>130.4</v>
      </c>
      <c r="X112" s="65">
        <v>130.4</v>
      </c>
      <c r="Y112" s="65">
        <v>127.9</v>
      </c>
      <c r="Z112" s="65">
        <v>127.8</v>
      </c>
      <c r="AA112" s="65">
        <v>126.9</v>
      </c>
      <c r="AB112" s="65">
        <v>128.4</v>
      </c>
      <c r="AC112" s="65">
        <v>130.80000000000001</v>
      </c>
      <c r="AD112" s="65">
        <v>131.1</v>
      </c>
      <c r="AE112" s="65">
        <v>129.30000000000001</v>
      </c>
      <c r="AF112" s="65">
        <v>129.80000000000001</v>
      </c>
      <c r="AG112" s="104"/>
      <c r="AH112" s="47">
        <f t="shared" si="27"/>
        <v>132.5</v>
      </c>
      <c r="AI112" s="48">
        <f t="shared" si="28"/>
        <v>124.9</v>
      </c>
    </row>
    <row r="113" spans="1:35" x14ac:dyDescent="0.25">
      <c r="A113" s="105" t="s">
        <v>113</v>
      </c>
      <c r="B113" s="65">
        <v>137.19999999999999</v>
      </c>
      <c r="C113" s="65">
        <v>132.30000000000001</v>
      </c>
      <c r="D113" s="65">
        <v>132.9</v>
      </c>
      <c r="E113" s="65">
        <v>135.4</v>
      </c>
      <c r="F113" s="65">
        <v>134.6</v>
      </c>
      <c r="G113" s="65">
        <v>132.6</v>
      </c>
      <c r="H113" s="65">
        <v>130.6</v>
      </c>
      <c r="I113" s="65">
        <v>130.4</v>
      </c>
      <c r="J113" s="65">
        <v>128.6</v>
      </c>
      <c r="K113" s="65">
        <v>128.6</v>
      </c>
      <c r="L113" s="65">
        <v>133.6</v>
      </c>
      <c r="M113" s="65">
        <v>131.6</v>
      </c>
      <c r="N113" s="65">
        <v>131.6</v>
      </c>
      <c r="O113" s="65">
        <v>131.6</v>
      </c>
      <c r="P113" s="65">
        <v>130.6</v>
      </c>
      <c r="Q113" s="65">
        <v>128.5</v>
      </c>
      <c r="R113" s="65">
        <v>131.1</v>
      </c>
      <c r="S113" s="65">
        <v>129</v>
      </c>
      <c r="T113" s="65">
        <v>127.2</v>
      </c>
      <c r="U113" s="65">
        <v>128.80000000000001</v>
      </c>
      <c r="V113" s="65">
        <v>131.6</v>
      </c>
      <c r="W113" s="65">
        <v>131.6</v>
      </c>
      <c r="X113" s="65">
        <v>131.6</v>
      </c>
      <c r="Y113" s="65">
        <v>129.4</v>
      </c>
      <c r="Z113" s="65">
        <v>135.44999999999999</v>
      </c>
      <c r="AA113" s="65">
        <v>130</v>
      </c>
      <c r="AB113" s="65">
        <v>130.30000000000001</v>
      </c>
      <c r="AC113" s="65">
        <v>132.80000000000001</v>
      </c>
      <c r="AD113" s="65">
        <v>133.1</v>
      </c>
      <c r="AE113" s="65">
        <v>132.80000000000001</v>
      </c>
      <c r="AF113" s="65">
        <v>132.30000000000001</v>
      </c>
      <c r="AG113" s="104"/>
      <c r="AH113" s="47">
        <f t="shared" si="27"/>
        <v>137.19999999999999</v>
      </c>
      <c r="AI113" s="48">
        <f t="shared" si="28"/>
        <v>127.2</v>
      </c>
    </row>
    <row r="114" spans="1:35" x14ac:dyDescent="0.25">
      <c r="A114" s="105" t="s">
        <v>114</v>
      </c>
      <c r="B114" s="106">
        <v>133.30000000000001</v>
      </c>
      <c r="C114" s="106">
        <v>131.9</v>
      </c>
      <c r="D114" s="106">
        <v>133.80000000000001</v>
      </c>
      <c r="E114" s="106">
        <v>131.6</v>
      </c>
      <c r="F114" s="106">
        <v>131.4</v>
      </c>
      <c r="G114" s="106">
        <v>131.1</v>
      </c>
      <c r="H114" s="106">
        <v>131.80000000000001</v>
      </c>
      <c r="I114" s="106">
        <v>134.4</v>
      </c>
      <c r="J114" s="106">
        <v>133.1</v>
      </c>
      <c r="K114" s="106">
        <v>132.1</v>
      </c>
      <c r="L114" s="106">
        <v>131.1</v>
      </c>
      <c r="M114" s="106">
        <v>30.2</v>
      </c>
      <c r="N114" s="106">
        <v>30.2</v>
      </c>
      <c r="O114" s="106">
        <v>132.4</v>
      </c>
      <c r="P114" s="106">
        <v>131.9</v>
      </c>
      <c r="Q114" s="106">
        <v>131.30000000000001</v>
      </c>
      <c r="R114" s="106">
        <v>133.1</v>
      </c>
      <c r="S114" s="106">
        <v>132.6</v>
      </c>
      <c r="T114" s="106">
        <v>132</v>
      </c>
      <c r="U114" s="106">
        <v>134.80000000000001</v>
      </c>
      <c r="V114" s="106">
        <v>134.5</v>
      </c>
      <c r="W114" s="106">
        <v>134.5</v>
      </c>
      <c r="X114" s="106">
        <v>134.5</v>
      </c>
      <c r="Y114" s="106">
        <v>133.80000000000001</v>
      </c>
      <c r="Z114" s="106">
        <v>133.69999999999999</v>
      </c>
      <c r="AA114" s="106">
        <v>133</v>
      </c>
      <c r="AB114" s="106">
        <v>134.19999999999999</v>
      </c>
      <c r="AC114" s="106">
        <v>133.6</v>
      </c>
      <c r="AD114" s="106">
        <v>134.1</v>
      </c>
      <c r="AE114" s="106">
        <v>134.6</v>
      </c>
      <c r="AF114" s="106">
        <v>132.80000000000001</v>
      </c>
      <c r="AG114" s="107"/>
      <c r="AH114" s="47">
        <f t="shared" si="27"/>
        <v>134.80000000000001</v>
      </c>
      <c r="AI114" s="48">
        <f t="shared" si="28"/>
        <v>30.2</v>
      </c>
    </row>
    <row r="115" spans="1:35" x14ac:dyDescent="0.25">
      <c r="A115" s="103" t="s">
        <v>115</v>
      </c>
      <c r="B115" s="65">
        <v>132.6</v>
      </c>
      <c r="C115" s="65">
        <v>130</v>
      </c>
      <c r="D115" s="65">
        <v>132.30000000000001</v>
      </c>
      <c r="E115" s="65">
        <v>132.80000000000001</v>
      </c>
      <c r="F115" s="65">
        <v>131</v>
      </c>
      <c r="G115" s="65">
        <v>131.19999999999999</v>
      </c>
      <c r="H115" s="65">
        <v>130.19999999999999</v>
      </c>
      <c r="I115" s="65">
        <v>130.6</v>
      </c>
      <c r="J115" s="65">
        <v>131.19999999999999</v>
      </c>
      <c r="K115" s="65">
        <v>130.19999999999999</v>
      </c>
      <c r="L115" s="65">
        <v>131.19999999999999</v>
      </c>
      <c r="M115" s="65">
        <v>131.30000000000001</v>
      </c>
      <c r="N115" s="65">
        <v>131.30000000000001</v>
      </c>
      <c r="O115" s="65">
        <v>133.1</v>
      </c>
      <c r="P115" s="65">
        <v>133.4</v>
      </c>
      <c r="Q115" s="65">
        <v>134.19999999999999</v>
      </c>
      <c r="R115" s="65">
        <v>133</v>
      </c>
      <c r="S115" s="65">
        <v>130.6</v>
      </c>
      <c r="T115" s="65">
        <v>132.30000000000001</v>
      </c>
      <c r="U115" s="65">
        <v>134.9</v>
      </c>
      <c r="V115" s="65">
        <v>133.19999999999999</v>
      </c>
      <c r="W115" s="65">
        <v>133.19999999999999</v>
      </c>
      <c r="X115" s="65">
        <v>133.19999999999999</v>
      </c>
      <c r="Y115" s="65">
        <v>132.80000000000001</v>
      </c>
      <c r="Z115" s="65">
        <v>133.1</v>
      </c>
      <c r="AA115" s="65">
        <v>130.6</v>
      </c>
      <c r="AB115" s="65">
        <v>130.4</v>
      </c>
      <c r="AC115" s="65">
        <v>133.80000000000001</v>
      </c>
      <c r="AD115" s="65">
        <v>133.1</v>
      </c>
      <c r="AE115" s="65">
        <v>133.6</v>
      </c>
      <c r="AF115" s="65">
        <v>133.1</v>
      </c>
      <c r="AG115" s="104"/>
      <c r="AH115" s="47">
        <f t="shared" si="27"/>
        <v>134.9</v>
      </c>
      <c r="AI115" s="48">
        <f t="shared" si="28"/>
        <v>130</v>
      </c>
    </row>
    <row r="116" spans="1:35" ht="15.75" thickBot="1" x14ac:dyDescent="0.3">
      <c r="A116" s="103" t="s">
        <v>116</v>
      </c>
      <c r="B116" s="92">
        <v>66.7</v>
      </c>
      <c r="C116" s="92">
        <v>66.2</v>
      </c>
      <c r="D116" s="92">
        <v>67.099999999999994</v>
      </c>
      <c r="E116" s="92">
        <v>66.7</v>
      </c>
      <c r="F116" s="92">
        <v>66.7</v>
      </c>
      <c r="G116" s="92">
        <v>66.099999999999994</v>
      </c>
      <c r="H116" s="92">
        <v>65.3</v>
      </c>
      <c r="I116" s="92">
        <v>64.599999999999994</v>
      </c>
      <c r="J116" s="92">
        <v>64.2</v>
      </c>
      <c r="K116" s="92">
        <v>64</v>
      </c>
      <c r="L116" s="92">
        <v>64.900000000000006</v>
      </c>
      <c r="M116" s="92">
        <v>64.3</v>
      </c>
      <c r="N116" s="92">
        <v>63.7</v>
      </c>
      <c r="O116" s="92">
        <v>64.099999999999994</v>
      </c>
      <c r="P116" s="92">
        <v>63.8</v>
      </c>
      <c r="Q116" s="92">
        <v>65</v>
      </c>
      <c r="R116" s="92">
        <v>64.900000000000006</v>
      </c>
      <c r="S116" s="92">
        <v>64.400000000000006</v>
      </c>
      <c r="T116" s="92">
        <v>64.3</v>
      </c>
      <c r="U116" s="92">
        <v>64.7</v>
      </c>
      <c r="V116" s="92">
        <v>65.3</v>
      </c>
      <c r="W116" s="92">
        <v>65.3</v>
      </c>
      <c r="X116" s="92">
        <v>65.3</v>
      </c>
      <c r="Y116" s="92">
        <v>63.4</v>
      </c>
      <c r="Z116" s="92">
        <v>63.5</v>
      </c>
      <c r="AA116" s="92">
        <v>64</v>
      </c>
      <c r="AB116" s="92">
        <v>64.599999999999994</v>
      </c>
      <c r="AC116" s="92">
        <v>64.8</v>
      </c>
      <c r="AD116" s="92">
        <v>65.400000000000006</v>
      </c>
      <c r="AE116" s="92">
        <v>65.8</v>
      </c>
      <c r="AF116" s="92">
        <v>66.099999999999994</v>
      </c>
      <c r="AG116" s="108"/>
      <c r="AH116" s="47">
        <f t="shared" si="27"/>
        <v>67.099999999999994</v>
      </c>
      <c r="AI116" s="48">
        <f t="shared" si="28"/>
        <v>63.4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 t="s">
        <v>117</v>
      </c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27"/>
        <v>0</v>
      </c>
      <c r="AI117" s="48">
        <f t="shared" si="28"/>
        <v>0</v>
      </c>
    </row>
    <row r="118" spans="1:35" ht="15.75" thickBot="1" x14ac:dyDescent="0.3">
      <c r="A118" s="110" t="s">
        <v>118</v>
      </c>
      <c r="B118" s="111">
        <f>SUM(B22,B28,B31:B32,B66,B68:B69,B71,B73,B119:B123,B155,B161,B167,B176,B178,B190,B197,B200:B201,B208,B210,B212,B216:B218,B220:B222,B227,B233:B234,B236:B238,B246,B251)</f>
        <v>161.04000000000002</v>
      </c>
      <c r="C118" s="111">
        <f>SUM(C22,C28,C31:C32,C66,C68:C69,C71,C73,C119:C123,C155,C161,C167,C176,C178,C190,C197,C200:C201,C208,C210,C212,C216:C218,C220:C222,C227,C233:C234,C236:C238,C246,C251)</f>
        <v>140.08000000000001</v>
      </c>
      <c r="D118" s="111">
        <f>SUM(D22,D28,D31:D32,D66,D68:D69,D71,D73,D119:D123,D155,D161,D167,D176,D178,D190,D197,D200:D201,D208,D210,D212,D216:D218,D220:D222,D227,D233:D234,D236:D238,D246,D251)</f>
        <v>138.82</v>
      </c>
      <c r="E118" s="111">
        <f t="shared" ref="E118:O118" si="63">SUM(E22,E28,E31:E32,E66,E68:E69,E71,E73,E119:E123,E155,E161,E167,E176,E178,E190,E197,E200:E201,E208,E210,E212,E216:E218,E220:E222,E227,E233:E234,E236:E238,E246,E251)</f>
        <v>138.41999999999999</v>
      </c>
      <c r="F118" s="111">
        <f t="shared" si="63"/>
        <v>143.45999999999998</v>
      </c>
      <c r="G118" s="111">
        <f t="shared" si="63"/>
        <v>175.03999999999996</v>
      </c>
      <c r="H118" s="111">
        <f t="shared" si="63"/>
        <v>215.54</v>
      </c>
      <c r="I118" s="111">
        <f t="shared" si="63"/>
        <v>272.8</v>
      </c>
      <c r="J118" s="111">
        <f t="shared" si="63"/>
        <v>300.83999999999997</v>
      </c>
      <c r="K118" s="111">
        <f t="shared" si="63"/>
        <v>432.96</v>
      </c>
      <c r="L118" s="111">
        <f t="shared" si="63"/>
        <v>441.05999999999995</v>
      </c>
      <c r="M118" s="111">
        <f t="shared" si="63"/>
        <v>420.96800000000002</v>
      </c>
      <c r="N118" s="111">
        <f t="shared" si="63"/>
        <v>377.94900000000001</v>
      </c>
      <c r="O118" s="111">
        <f t="shared" si="63"/>
        <v>388.84</v>
      </c>
      <c r="P118" s="111">
        <v>42</v>
      </c>
      <c r="Q118" s="111">
        <f t="shared" ref="Q118:AD118" si="64">SUM(Q22,Q28,Q31:Q32,Q66,Q68:Q69,Q71,Q73,Q119:Q123,Q155,Q161,Q167,Q176,Q178,Q190,Q197,Q200:Q201,Q208,Q210,Q212,Q216:Q218,Q220:Q222,Q227,Q233:Q234,Q236:Q238,Q246,Q251)</f>
        <v>325.315</v>
      </c>
      <c r="R118" s="111">
        <f t="shared" si="64"/>
        <v>320.065</v>
      </c>
      <c r="S118" s="111">
        <f t="shared" si="64"/>
        <v>301.94</v>
      </c>
      <c r="T118" s="111">
        <f t="shared" si="64"/>
        <v>297.17239999999998</v>
      </c>
      <c r="U118" s="111">
        <f t="shared" si="64"/>
        <v>320.74799999999999</v>
      </c>
      <c r="V118" s="111">
        <f t="shared" si="64"/>
        <v>339.46800000000002</v>
      </c>
      <c r="W118" s="111">
        <f t="shared" si="64"/>
        <v>377.07</v>
      </c>
      <c r="X118" s="111">
        <f t="shared" si="64"/>
        <v>458.44</v>
      </c>
      <c r="Y118" s="111">
        <f t="shared" si="64"/>
        <v>453.97410000000008</v>
      </c>
      <c r="Z118" s="111">
        <f t="shared" si="64"/>
        <v>449.71710000000002</v>
      </c>
      <c r="AA118" s="111">
        <f t="shared" si="64"/>
        <v>429.5684</v>
      </c>
      <c r="AB118" s="111">
        <f t="shared" si="64"/>
        <v>439.34000000000003</v>
      </c>
      <c r="AC118" s="111">
        <f t="shared" si="64"/>
        <v>410.74000000000007</v>
      </c>
      <c r="AD118" s="111">
        <f t="shared" si="64"/>
        <v>395.44</v>
      </c>
      <c r="AE118" s="111">
        <f>SUM(AE22,AE28,AE31:AE32,AE66,AE68:AE69,AE71,AE73,AE119:AE123,AE155,AE161,AE167,AE176,AE178,AE190,AE197,AE200:AE201,AE208,AE210,AE212,AE216:AE218,AE220:AE222,AE227,AE233:AE234,AE236:AE238,AE246,AE251)</f>
        <v>292.33999999999997</v>
      </c>
      <c r="AF118" s="111">
        <f>SUM(AF22,AF28,AF31:AF32,AF66,AF68:AF69,AF71,AF73,AF119:AF123,AF155,AF161,AF167,AF176,AF178,AF190,AF197,AF200:AF201,AF208,AF210,AF212,AF216:AF218,AF220:AF222,AF227,AF233:AF234,AF236:AF238,AF246,AF251)</f>
        <v>212.74</v>
      </c>
      <c r="AG118" s="112"/>
      <c r="AH118" s="47">
        <f t="shared" si="27"/>
        <v>458.44</v>
      </c>
      <c r="AI118" s="48">
        <f t="shared" si="28"/>
        <v>42</v>
      </c>
    </row>
    <row r="119" spans="1:35" x14ac:dyDescent="0.25">
      <c r="A119" s="172" t="s">
        <v>119</v>
      </c>
      <c r="B119" s="113">
        <v>1.8</v>
      </c>
      <c r="C119" s="113">
        <v>-6.8</v>
      </c>
      <c r="D119" s="113">
        <v>-4.9000000000000004</v>
      </c>
      <c r="E119" s="113">
        <v>-7.5</v>
      </c>
      <c r="F119" s="113">
        <v>-7</v>
      </c>
      <c r="G119" s="113">
        <v>6</v>
      </c>
      <c r="H119" s="113">
        <v>15.1</v>
      </c>
      <c r="I119" s="113">
        <v>33</v>
      </c>
      <c r="J119" s="113">
        <v>31.4</v>
      </c>
      <c r="K119" s="113">
        <v>35.700000000000003</v>
      </c>
      <c r="L119" s="113">
        <v>38.700000000000003</v>
      </c>
      <c r="M119" s="113">
        <v>30</v>
      </c>
      <c r="N119" s="113">
        <v>9.6</v>
      </c>
      <c r="O119" s="113">
        <v>15.6</v>
      </c>
      <c r="P119" s="113">
        <v>8.5</v>
      </c>
      <c r="Q119" s="113">
        <v>20.8</v>
      </c>
      <c r="R119" s="113">
        <v>2.7</v>
      </c>
      <c r="S119" s="113">
        <v>-6.2</v>
      </c>
      <c r="T119" s="113">
        <v>-4</v>
      </c>
      <c r="U119" s="113">
        <v>0.3</v>
      </c>
      <c r="V119" s="113">
        <v>13.2</v>
      </c>
      <c r="W119" s="113">
        <v>21.8</v>
      </c>
      <c r="X119" s="113">
        <v>35.200000000000003</v>
      </c>
      <c r="Y119" s="113">
        <v>35.700000000000003</v>
      </c>
      <c r="Z119" s="113">
        <v>30.5</v>
      </c>
      <c r="AA119" s="113">
        <v>25</v>
      </c>
      <c r="AB119" s="113">
        <v>23.6</v>
      </c>
      <c r="AC119" s="113">
        <v>27.1</v>
      </c>
      <c r="AD119" s="113">
        <v>27.1</v>
      </c>
      <c r="AE119" s="113">
        <v>25.3</v>
      </c>
      <c r="AF119" s="113">
        <v>1.9</v>
      </c>
      <c r="AG119" s="114">
        <v>75</v>
      </c>
      <c r="AH119" s="47">
        <f t="shared" si="27"/>
        <v>38.700000000000003</v>
      </c>
      <c r="AI119" s="48">
        <f t="shared" si="28"/>
        <v>-7.5</v>
      </c>
    </row>
    <row r="120" spans="1:35" x14ac:dyDescent="0.25">
      <c r="A120" s="173" t="s">
        <v>120</v>
      </c>
      <c r="B120" s="115">
        <v>1.9</v>
      </c>
      <c r="C120" s="115">
        <v>-9.9</v>
      </c>
      <c r="D120" s="115">
        <v>-6.8</v>
      </c>
      <c r="E120" s="115">
        <v>-10.5</v>
      </c>
      <c r="F120" s="115">
        <v>-10.4</v>
      </c>
      <c r="G120" s="115">
        <v>9.8000000000000007</v>
      </c>
      <c r="H120" s="115">
        <v>22.2</v>
      </c>
      <c r="I120" s="115">
        <v>45.2</v>
      </c>
      <c r="J120" s="115">
        <v>42.5</v>
      </c>
      <c r="K120" s="115">
        <v>45</v>
      </c>
      <c r="L120" s="115">
        <v>49.1</v>
      </c>
      <c r="M120" s="115">
        <v>35.700000000000003</v>
      </c>
      <c r="N120" s="115">
        <v>10.5</v>
      </c>
      <c r="O120" s="115">
        <v>18.100000000000001</v>
      </c>
      <c r="P120" s="115">
        <v>7.9</v>
      </c>
      <c r="Q120" s="115">
        <v>26.3</v>
      </c>
      <c r="R120" s="115">
        <v>-2</v>
      </c>
      <c r="S120" s="115">
        <v>-13.5</v>
      </c>
      <c r="T120" s="115">
        <v>-10.4</v>
      </c>
      <c r="U120" s="115">
        <v>-5.6</v>
      </c>
      <c r="V120" s="115">
        <v>18.399999999999999</v>
      </c>
      <c r="W120" s="115">
        <v>29.63</v>
      </c>
      <c r="X120" s="115">
        <v>49.2</v>
      </c>
      <c r="Y120" s="115">
        <v>48.4</v>
      </c>
      <c r="Z120" s="115">
        <v>45.6</v>
      </c>
      <c r="AA120" s="115">
        <v>32.9</v>
      </c>
      <c r="AB120" s="115">
        <v>30.8</v>
      </c>
      <c r="AC120" s="115">
        <v>35.299999999999997</v>
      </c>
      <c r="AD120" s="115">
        <v>35.799999999999997</v>
      </c>
      <c r="AE120" s="115">
        <v>35.1</v>
      </c>
      <c r="AF120" s="115">
        <v>0.6</v>
      </c>
      <c r="AG120" s="114">
        <v>240</v>
      </c>
      <c r="AH120" s="47">
        <f t="shared" si="27"/>
        <v>49.2</v>
      </c>
      <c r="AI120" s="48">
        <f t="shared" si="28"/>
        <v>-13.5</v>
      </c>
    </row>
    <row r="121" spans="1:35" x14ac:dyDescent="0.25">
      <c r="A121" s="173" t="s">
        <v>121</v>
      </c>
      <c r="B121" s="115">
        <f>-19-20.2</f>
        <v>-39.200000000000003</v>
      </c>
      <c r="C121" s="115">
        <f>-23.6-25.9</f>
        <v>-49.5</v>
      </c>
      <c r="D121" s="115">
        <f>-21.9-24.1</f>
        <v>-46</v>
      </c>
      <c r="E121" s="115">
        <f>-21-23</f>
        <v>-44</v>
      </c>
      <c r="F121" s="115">
        <f>-20-21</f>
        <v>-41</v>
      </c>
      <c r="G121" s="115">
        <f>-19.3-21.7</f>
        <v>-41</v>
      </c>
      <c r="H121" s="115">
        <f>-15-18</f>
        <v>-33</v>
      </c>
      <c r="I121" s="115">
        <f>-13-14</f>
        <v>-27</v>
      </c>
      <c r="J121" s="115">
        <f>-8-9.6</f>
        <v>-17.600000000000001</v>
      </c>
      <c r="K121" s="115">
        <f>24+22.8</f>
        <v>46.8</v>
      </c>
      <c r="L121" s="115">
        <f>24+22.8</f>
        <v>46.8</v>
      </c>
      <c r="M121" s="115">
        <v>28.2</v>
      </c>
      <c r="N121" s="115">
        <v>20</v>
      </c>
      <c r="O121" s="115">
        <v>18</v>
      </c>
      <c r="P121" s="115">
        <v>25</v>
      </c>
      <c r="Q121" s="115">
        <v>-19</v>
      </c>
      <c r="R121" s="115">
        <v>11</v>
      </c>
      <c r="S121" s="115">
        <v>4.5999999999999996</v>
      </c>
      <c r="T121" s="115">
        <v>2.2999999999999998</v>
      </c>
      <c r="U121" s="115">
        <v>14</v>
      </c>
      <c r="V121" s="115">
        <v>34</v>
      </c>
      <c r="W121" s="115">
        <v>41.3</v>
      </c>
      <c r="X121" s="115">
        <v>45</v>
      </c>
      <c r="Y121" s="115">
        <v>44.2</v>
      </c>
      <c r="Z121" s="115">
        <v>45.2</v>
      </c>
      <c r="AA121" s="115">
        <v>42.8</v>
      </c>
      <c r="AB121" s="115">
        <v>73</v>
      </c>
      <c r="AC121" s="115">
        <v>64</v>
      </c>
      <c r="AD121" s="115">
        <v>59</v>
      </c>
      <c r="AE121" s="115">
        <v>19.399999999999999</v>
      </c>
      <c r="AF121" s="115">
        <v>2</v>
      </c>
      <c r="AG121" s="114">
        <v>240</v>
      </c>
      <c r="AH121" s="47">
        <f t="shared" si="27"/>
        <v>73</v>
      </c>
      <c r="AI121" s="48">
        <f t="shared" si="28"/>
        <v>-49.5</v>
      </c>
    </row>
    <row r="122" spans="1:35" ht="15.75" thickBot="1" x14ac:dyDescent="0.3">
      <c r="A122" s="173" t="s">
        <v>122</v>
      </c>
      <c r="B122" s="115">
        <v>-7.7</v>
      </c>
      <c r="C122" s="115">
        <v>-12.4</v>
      </c>
      <c r="D122" s="115">
        <v>-11.2</v>
      </c>
      <c r="E122" s="115">
        <v>-13.5</v>
      </c>
      <c r="F122" s="115">
        <v>-13.7</v>
      </c>
      <c r="G122" s="115">
        <v>-8.4</v>
      </c>
      <c r="H122" s="115">
        <v>-5.8</v>
      </c>
      <c r="I122" s="115">
        <v>-1.8</v>
      </c>
      <c r="J122" s="115">
        <v>2.9</v>
      </c>
      <c r="K122" s="115">
        <v>50.7</v>
      </c>
      <c r="L122" s="115">
        <v>51.7</v>
      </c>
      <c r="M122" s="115">
        <v>55.5</v>
      </c>
      <c r="N122" s="115">
        <v>56.7</v>
      </c>
      <c r="O122" s="115">
        <v>55.4</v>
      </c>
      <c r="P122" s="115">
        <v>45.2</v>
      </c>
      <c r="Q122" s="115">
        <v>39.700000000000003</v>
      </c>
      <c r="R122" s="115">
        <v>29.5</v>
      </c>
      <c r="S122" s="115">
        <v>38</v>
      </c>
      <c r="T122" s="115">
        <v>37.5</v>
      </c>
      <c r="U122" s="115">
        <v>43.2</v>
      </c>
      <c r="V122" s="115">
        <v>45.5</v>
      </c>
      <c r="W122" s="115">
        <v>47.9</v>
      </c>
      <c r="X122" s="115">
        <v>62.6</v>
      </c>
      <c r="Y122" s="115">
        <v>66.3</v>
      </c>
      <c r="Z122" s="115">
        <v>67.400000000000006</v>
      </c>
      <c r="AA122" s="115">
        <v>64.3</v>
      </c>
      <c r="AB122" s="115">
        <v>62</v>
      </c>
      <c r="AC122" s="115">
        <v>52</v>
      </c>
      <c r="AD122" s="115">
        <v>49.2</v>
      </c>
      <c r="AE122" s="115">
        <v>12.2</v>
      </c>
      <c r="AF122" s="115">
        <v>1.5</v>
      </c>
      <c r="AG122" s="114">
        <v>60</v>
      </c>
      <c r="AH122" s="47">
        <f t="shared" si="27"/>
        <v>67.400000000000006</v>
      </c>
      <c r="AI122" s="48">
        <f t="shared" si="28"/>
        <v>-13.7</v>
      </c>
    </row>
    <row r="123" spans="1:35" x14ac:dyDescent="0.25">
      <c r="A123" s="172" t="s">
        <v>260</v>
      </c>
      <c r="B123" s="117">
        <f>61*1.6</f>
        <v>97.600000000000009</v>
      </c>
      <c r="C123" s="117">
        <f>71.9*1.6</f>
        <v>115.04000000000002</v>
      </c>
      <c r="D123" s="117">
        <f>64.8*1.6</f>
        <v>103.68</v>
      </c>
      <c r="E123" s="117">
        <f>67*1.64</f>
        <v>109.88</v>
      </c>
      <c r="F123" s="117">
        <f>68*1.64</f>
        <v>111.52</v>
      </c>
      <c r="G123" s="117">
        <f>65*1.64</f>
        <v>106.6</v>
      </c>
      <c r="H123" s="117">
        <f>70*1.64</f>
        <v>114.8</v>
      </c>
      <c r="I123" s="117">
        <f>74*1.64</f>
        <v>121.36</v>
      </c>
      <c r="J123" s="117">
        <f>85*1.64</f>
        <v>139.4</v>
      </c>
      <c r="K123" s="117">
        <f>93*1.64</f>
        <v>152.51999999999998</v>
      </c>
      <c r="L123" s="117">
        <f>93*1.64</f>
        <v>152.51999999999998</v>
      </c>
      <c r="M123" s="117">
        <f>1.64*100.2</f>
        <v>164.328</v>
      </c>
      <c r="N123" s="117">
        <f>102.7*1.67</f>
        <v>171.50899999999999</v>
      </c>
      <c r="O123" s="117">
        <v>167</v>
      </c>
      <c r="P123" s="117">
        <f>97.2*1.67</f>
        <v>162.32399999999998</v>
      </c>
      <c r="Q123" s="117">
        <f>82.5*1.67</f>
        <v>137.77500000000001</v>
      </c>
      <c r="R123" s="117">
        <f>97.5*1.67</f>
        <v>162.82499999999999</v>
      </c>
      <c r="S123" s="117">
        <v>166</v>
      </c>
      <c r="T123" s="117">
        <f>1.64*99.41</f>
        <v>163.0324</v>
      </c>
      <c r="U123" s="117">
        <f>1.64*99.7</f>
        <v>163.50799999999998</v>
      </c>
      <c r="V123" s="117">
        <f>1.64*77.7</f>
        <v>127.428</v>
      </c>
      <c r="W123" s="117">
        <v>135</v>
      </c>
      <c r="X123" s="117">
        <v>165</v>
      </c>
      <c r="Y123" s="117">
        <f>1.643*95.7</f>
        <v>157.23510000000002</v>
      </c>
      <c r="Z123" s="117">
        <f>1.643*96.7</f>
        <v>158.87810000000002</v>
      </c>
      <c r="AA123" s="117">
        <f>1.643*98.8</f>
        <v>162.32839999999999</v>
      </c>
      <c r="AB123" s="117">
        <f>93*1.6</f>
        <v>148.80000000000001</v>
      </c>
      <c r="AC123" s="117">
        <f>82*1.6</f>
        <v>131.20000000000002</v>
      </c>
      <c r="AD123" s="117">
        <f>77*1.6</f>
        <v>123.2</v>
      </c>
      <c r="AE123" s="117">
        <f>62*1.6</f>
        <v>99.2</v>
      </c>
      <c r="AF123" s="117">
        <f>66*1.6</f>
        <v>105.60000000000001</v>
      </c>
      <c r="AG123" s="118">
        <v>120</v>
      </c>
      <c r="AH123" s="47">
        <f t="shared" si="27"/>
        <v>171.50899999999999</v>
      </c>
      <c r="AI123" s="48">
        <f t="shared" si="28"/>
        <v>97.600000000000009</v>
      </c>
    </row>
    <row r="124" spans="1:35" x14ac:dyDescent="0.25">
      <c r="A124" s="173" t="s">
        <v>259</v>
      </c>
      <c r="B124" s="117">
        <v>79</v>
      </c>
      <c r="C124" s="117">
        <v>86.6</v>
      </c>
      <c r="D124" s="117">
        <v>82.9</v>
      </c>
      <c r="E124" s="117">
        <v>83.3</v>
      </c>
      <c r="F124" s="117">
        <v>84.8</v>
      </c>
      <c r="G124" s="117">
        <v>81.2</v>
      </c>
      <c r="H124" s="117">
        <v>85.1</v>
      </c>
      <c r="I124" s="117">
        <v>89.2</v>
      </c>
      <c r="J124" s="117">
        <v>96.2</v>
      </c>
      <c r="K124" s="117">
        <v>102.1</v>
      </c>
      <c r="L124" s="117">
        <v>102.1</v>
      </c>
      <c r="M124" s="117">
        <v>107.83</v>
      </c>
      <c r="N124" s="117">
        <v>110.2</v>
      </c>
      <c r="O124" s="117">
        <v>108.6</v>
      </c>
      <c r="P124" s="117">
        <v>107.1</v>
      </c>
      <c r="Q124" s="117">
        <v>94.1</v>
      </c>
      <c r="R124" s="117">
        <v>106.8</v>
      </c>
      <c r="S124" s="117">
        <v>109</v>
      </c>
      <c r="T124" s="117">
        <v>105.4</v>
      </c>
      <c r="U124" s="117">
        <v>109.5</v>
      </c>
      <c r="V124" s="117">
        <v>91.4</v>
      </c>
      <c r="W124" s="117">
        <v>94.7</v>
      </c>
      <c r="X124" s="117">
        <v>99.1</v>
      </c>
      <c r="Y124" s="117">
        <v>105.3</v>
      </c>
      <c r="Z124" s="117">
        <v>106.7</v>
      </c>
      <c r="AA124" s="117">
        <v>107.7</v>
      </c>
      <c r="AB124" s="117">
        <v>103</v>
      </c>
      <c r="AC124" s="117">
        <v>96</v>
      </c>
      <c r="AD124" s="117">
        <v>92</v>
      </c>
      <c r="AE124" s="117">
        <v>80</v>
      </c>
      <c r="AF124" s="117">
        <v>82</v>
      </c>
      <c r="AG124" s="118"/>
      <c r="AH124" s="47"/>
      <c r="AI124" s="48"/>
    </row>
    <row r="125" spans="1:35" x14ac:dyDescent="0.25">
      <c r="A125" s="173" t="s">
        <v>256</v>
      </c>
      <c r="B125" s="117">
        <v>56.2</v>
      </c>
      <c r="C125" s="117">
        <v>80</v>
      </c>
      <c r="D125" s="117">
        <v>64.2</v>
      </c>
      <c r="E125" s="117">
        <v>74</v>
      </c>
      <c r="F125" s="117">
        <v>65.900000000000006</v>
      </c>
      <c r="G125" s="117">
        <v>55.9</v>
      </c>
      <c r="H125" s="117">
        <v>40.9</v>
      </c>
      <c r="I125" s="117">
        <v>14.5</v>
      </c>
      <c r="J125" s="117">
        <v>13.7</v>
      </c>
      <c r="K125" s="117">
        <v>-36.9</v>
      </c>
      <c r="L125" s="117">
        <v>-36.9</v>
      </c>
      <c r="M125" s="117">
        <v>-28.1</v>
      </c>
      <c r="N125" s="117">
        <v>5.4</v>
      </c>
      <c r="O125" s="117">
        <v>8.4</v>
      </c>
      <c r="P125" s="117">
        <v>18.399999999999999</v>
      </c>
      <c r="Q125" s="117">
        <v>14.2</v>
      </c>
      <c r="R125" s="117">
        <v>45.3</v>
      </c>
      <c r="S125" s="117">
        <v>50.5</v>
      </c>
      <c r="T125" s="117">
        <v>43</v>
      </c>
      <c r="U125" s="117">
        <v>34.5</v>
      </c>
      <c r="V125" s="117">
        <v>15.7</v>
      </c>
      <c r="W125" s="117">
        <v>-29.7</v>
      </c>
      <c r="X125" s="117">
        <f>-45.85</f>
        <v>-45.85</v>
      </c>
      <c r="Y125" s="117">
        <v>-44</v>
      </c>
      <c r="Z125" s="117">
        <v>-42.2</v>
      </c>
      <c r="AA125" s="117">
        <v>-31.7</v>
      </c>
      <c r="AB125" s="117">
        <v>-28.4</v>
      </c>
      <c r="AC125" s="117">
        <v>-29.2</v>
      </c>
      <c r="AD125" s="117">
        <v>-29</v>
      </c>
      <c r="AE125" s="117">
        <v>-5</v>
      </c>
      <c r="AF125" s="117">
        <v>39.200000000000003</v>
      </c>
      <c r="AG125" s="118"/>
      <c r="AH125" s="47"/>
      <c r="AI125" s="48"/>
    </row>
    <row r="126" spans="1:35" ht="15.75" thickBot="1" x14ac:dyDescent="0.3">
      <c r="A126" s="173" t="s">
        <v>255</v>
      </c>
      <c r="B126" s="117">
        <v>95.6</v>
      </c>
      <c r="C126" s="117">
        <v>110.6</v>
      </c>
      <c r="D126" s="117">
        <v>105.8</v>
      </c>
      <c r="E126" s="117">
        <v>112.6</v>
      </c>
      <c r="F126" s="117">
        <v>108.9</v>
      </c>
      <c r="G126" s="117">
        <v>104.5</v>
      </c>
      <c r="H126" s="117">
        <v>102</v>
      </c>
      <c r="I126" s="117">
        <v>105.5</v>
      </c>
      <c r="J126" s="117">
        <v>111</v>
      </c>
      <c r="K126" s="117">
        <v>105.5</v>
      </c>
      <c r="L126" s="117">
        <v>87.9</v>
      </c>
      <c r="M126" s="117">
        <v>90.7</v>
      </c>
      <c r="N126" s="117">
        <v>103.8</v>
      </c>
      <c r="O126" s="117">
        <v>98.6</v>
      </c>
      <c r="P126" s="117">
        <v>101.1</v>
      </c>
      <c r="Q126" s="117">
        <v>111</v>
      </c>
      <c r="R126" s="117">
        <v>105</v>
      </c>
      <c r="S126" s="117">
        <v>102</v>
      </c>
      <c r="T126" s="117">
        <v>97.1</v>
      </c>
      <c r="U126" s="117">
        <v>98.5</v>
      </c>
      <c r="V126" s="117">
        <v>84.6</v>
      </c>
      <c r="W126" s="117">
        <v>85</v>
      </c>
      <c r="X126" s="117">
        <v>95.6</v>
      </c>
      <c r="Y126" s="117">
        <v>89</v>
      </c>
      <c r="Z126" s="117">
        <v>90.6</v>
      </c>
      <c r="AA126" s="117">
        <v>94.3</v>
      </c>
      <c r="AB126" s="117">
        <v>85.1</v>
      </c>
      <c r="AC126" s="117">
        <v>83</v>
      </c>
      <c r="AD126" s="117">
        <v>79</v>
      </c>
      <c r="AE126" s="117">
        <v>75</v>
      </c>
      <c r="AF126" s="117">
        <v>84</v>
      </c>
      <c r="AG126" s="114"/>
      <c r="AH126" s="47">
        <f t="shared" si="27"/>
        <v>112.6</v>
      </c>
      <c r="AI126" s="48">
        <f t="shared" si="28"/>
        <v>75</v>
      </c>
    </row>
    <row r="127" spans="1:35" x14ac:dyDescent="0.25">
      <c r="A127" s="172" t="s">
        <v>257</v>
      </c>
      <c r="B127" s="106">
        <v>43.5</v>
      </c>
      <c r="C127" s="106">
        <v>67.3</v>
      </c>
      <c r="D127" s="106">
        <v>65.7</v>
      </c>
      <c r="E127" s="117">
        <v>70.400000000000006</v>
      </c>
      <c r="F127" s="117">
        <v>67.8</v>
      </c>
      <c r="G127" s="117">
        <v>64.5</v>
      </c>
      <c r="H127" s="117">
        <v>51.8</v>
      </c>
      <c r="I127" s="117">
        <v>41.8</v>
      </c>
      <c r="J127" s="117">
        <v>43.2</v>
      </c>
      <c r="K127" s="117">
        <v>22.2</v>
      </c>
      <c r="L127" s="117">
        <v>21.3</v>
      </c>
      <c r="M127" s="117">
        <v>33.9</v>
      </c>
      <c r="N127" s="117">
        <v>52.5</v>
      </c>
      <c r="O127" s="117">
        <v>49.9</v>
      </c>
      <c r="P127" s="117">
        <v>54.5</v>
      </c>
      <c r="Q127" s="117">
        <v>33.5</v>
      </c>
      <c r="R127" s="117">
        <v>50.2</v>
      </c>
      <c r="S127" s="117">
        <v>64.400000000000006</v>
      </c>
      <c r="T127" s="117">
        <v>52</v>
      </c>
      <c r="U127" s="117">
        <v>52.6</v>
      </c>
      <c r="V127" s="117">
        <v>33.200000000000003</v>
      </c>
      <c r="W127" s="117">
        <v>20.5</v>
      </c>
      <c r="X127" s="117">
        <v>15</v>
      </c>
      <c r="Y127" s="117">
        <v>27</v>
      </c>
      <c r="Z127" s="117">
        <v>43.1</v>
      </c>
      <c r="AA127" s="117">
        <v>50.9</v>
      </c>
      <c r="AB127" s="117">
        <v>52.3</v>
      </c>
      <c r="AC127" s="117">
        <v>45</v>
      </c>
      <c r="AD127" s="117">
        <v>42</v>
      </c>
      <c r="AE127" s="117">
        <v>34</v>
      </c>
      <c r="AF127" s="106">
        <v>46</v>
      </c>
      <c r="AG127" s="114"/>
      <c r="AH127" s="47">
        <f t="shared" si="27"/>
        <v>70.400000000000006</v>
      </c>
      <c r="AI127" s="48">
        <f t="shared" si="28"/>
        <v>15</v>
      </c>
    </row>
    <row r="128" spans="1:35" x14ac:dyDescent="0.25">
      <c r="A128" s="173" t="s">
        <v>124</v>
      </c>
      <c r="B128" s="106">
        <v>1</v>
      </c>
      <c r="C128" s="106">
        <v>4.3</v>
      </c>
      <c r="D128" s="106">
        <v>5.0999999999999996</v>
      </c>
      <c r="E128" s="106">
        <v>3.6</v>
      </c>
      <c r="F128" s="106">
        <v>2.8</v>
      </c>
      <c r="G128" s="106">
        <v>0.6</v>
      </c>
      <c r="H128" s="106">
        <v>-6.2</v>
      </c>
      <c r="I128" s="106">
        <v>-15.3</v>
      </c>
      <c r="J128" s="106">
        <v>-19.8</v>
      </c>
      <c r="K128" s="106">
        <v>-38.299999999999997</v>
      </c>
      <c r="L128" s="106">
        <v>-37</v>
      </c>
      <c r="M128" s="106">
        <v>-37</v>
      </c>
      <c r="N128" s="106">
        <v>-29.4</v>
      </c>
      <c r="O128" s="106">
        <v>-27.1</v>
      </c>
      <c r="P128" s="106">
        <v>-22.7</v>
      </c>
      <c r="Q128" s="106">
        <v>-15.5</v>
      </c>
      <c r="R128" s="106">
        <v>-15.4</v>
      </c>
      <c r="S128" s="106">
        <v>-18.899999999999999</v>
      </c>
      <c r="T128" s="106">
        <v>-16.2</v>
      </c>
      <c r="U128" s="106">
        <v>-20.8</v>
      </c>
      <c r="V128" s="106">
        <v>-20.2</v>
      </c>
      <c r="W128" s="106">
        <v>-34.4</v>
      </c>
      <c r="X128" s="106">
        <v>-49.6</v>
      </c>
      <c r="Y128" s="106">
        <v>-45.9</v>
      </c>
      <c r="Z128" s="106">
        <v>-40.6</v>
      </c>
      <c r="AA128" s="106">
        <v>-36.6</v>
      </c>
      <c r="AB128" s="106">
        <v>-30.5</v>
      </c>
      <c r="AC128" s="106">
        <v>-25.3</v>
      </c>
      <c r="AD128" s="106">
        <v>-24</v>
      </c>
      <c r="AE128" s="106">
        <v>-12</v>
      </c>
      <c r="AF128" s="106">
        <v>-5</v>
      </c>
      <c r="AG128" s="114"/>
      <c r="AH128" s="47">
        <f t="shared" si="27"/>
        <v>5.0999999999999996</v>
      </c>
      <c r="AI128" s="48">
        <f t="shared" si="28"/>
        <v>-49.6</v>
      </c>
    </row>
    <row r="129" spans="1:37" x14ac:dyDescent="0.25">
      <c r="A129" s="173" t="s">
        <v>261</v>
      </c>
      <c r="B129" s="106">
        <v>22.5</v>
      </c>
      <c r="C129" s="106">
        <v>22.8</v>
      </c>
      <c r="D129" s="106">
        <v>22.3</v>
      </c>
      <c r="E129" s="106">
        <v>22.8</v>
      </c>
      <c r="F129" s="106">
        <v>23.2</v>
      </c>
      <c r="G129" s="106">
        <v>23.9</v>
      </c>
      <c r="H129" s="106">
        <v>25</v>
      </c>
      <c r="I129" s="106">
        <v>25.8</v>
      </c>
      <c r="J129" s="106">
        <v>26</v>
      </c>
      <c r="K129" s="106">
        <v>12</v>
      </c>
      <c r="L129" s="106">
        <v>12</v>
      </c>
      <c r="M129" s="106">
        <v>12</v>
      </c>
      <c r="N129" s="106">
        <v>9.6</v>
      </c>
      <c r="O129" s="106">
        <v>10.6</v>
      </c>
      <c r="P129" s="106">
        <v>10.5</v>
      </c>
      <c r="Q129" s="106">
        <v>17.899999999999999</v>
      </c>
      <c r="R129" s="106">
        <v>25.9</v>
      </c>
      <c r="S129" s="106">
        <v>30.5</v>
      </c>
      <c r="T129" s="106">
        <v>31.7</v>
      </c>
      <c r="U129" s="106">
        <v>24.6</v>
      </c>
      <c r="V129" s="106">
        <v>-33.4</v>
      </c>
      <c r="W129" s="106">
        <f>-32.3</f>
        <v>-32.299999999999997</v>
      </c>
      <c r="X129" s="106">
        <v>-25.4</v>
      </c>
      <c r="Y129" s="106">
        <v>-32</v>
      </c>
      <c r="Z129" s="106">
        <v>-36.799999999999997</v>
      </c>
      <c r="AA129" s="106">
        <v>-37.799999999999997</v>
      </c>
      <c r="AB129" s="106">
        <v>-31.6</v>
      </c>
      <c r="AC129" s="106">
        <v>-33</v>
      </c>
      <c r="AD129" s="106">
        <v>-31</v>
      </c>
      <c r="AE129" s="106">
        <v>-15</v>
      </c>
      <c r="AF129" s="106">
        <v>-22</v>
      </c>
      <c r="AG129" s="114"/>
      <c r="AH129" s="47">
        <f t="shared" si="27"/>
        <v>31.7</v>
      </c>
      <c r="AI129" s="48">
        <f t="shared" si="28"/>
        <v>-37.799999999999997</v>
      </c>
    </row>
    <row r="130" spans="1:37" ht="15.75" thickBot="1" x14ac:dyDescent="0.3">
      <c r="A130" s="173" t="s">
        <v>258</v>
      </c>
      <c r="B130" s="106">
        <v>85.7</v>
      </c>
      <c r="C130" s="106">
        <v>86.7</v>
      </c>
      <c r="D130" s="106">
        <v>82.4</v>
      </c>
      <c r="E130" s="106">
        <v>81.2</v>
      </c>
      <c r="F130" s="106">
        <v>82.7</v>
      </c>
      <c r="G130" s="106">
        <v>89</v>
      </c>
      <c r="H130" s="106">
        <v>88.4</v>
      </c>
      <c r="I130" s="106"/>
      <c r="J130" s="106">
        <v>100.8</v>
      </c>
      <c r="K130" s="106">
        <v>105</v>
      </c>
      <c r="L130" s="106">
        <v>85</v>
      </c>
      <c r="M130" s="106">
        <v>86.1</v>
      </c>
      <c r="N130" s="106">
        <v>76.7</v>
      </c>
      <c r="O130" s="106">
        <v>71.099999999999994</v>
      </c>
      <c r="P130" s="106">
        <v>72</v>
      </c>
      <c r="Q130" s="106">
        <v>107.1</v>
      </c>
      <c r="R130" s="106">
        <v>108.2</v>
      </c>
      <c r="S130" s="106">
        <v>109.9</v>
      </c>
      <c r="T130" s="106">
        <v>109</v>
      </c>
      <c r="U130" s="106">
        <v>107.3</v>
      </c>
      <c r="V130" s="106">
        <v>91.8</v>
      </c>
      <c r="W130" s="106">
        <v>102.4</v>
      </c>
      <c r="X130" s="106">
        <v>123</v>
      </c>
      <c r="Y130" s="106">
        <v>106.8</v>
      </c>
      <c r="Z130" s="106">
        <v>108.1</v>
      </c>
      <c r="AA130" s="106">
        <v>111.2</v>
      </c>
      <c r="AB130" s="106">
        <v>108</v>
      </c>
      <c r="AC130" s="106">
        <v>103</v>
      </c>
      <c r="AD130" s="106">
        <v>100</v>
      </c>
      <c r="AE130" s="106">
        <v>104.3</v>
      </c>
      <c r="AF130" s="106">
        <v>92</v>
      </c>
      <c r="AG130" s="114"/>
      <c r="AH130" s="47">
        <f t="shared" si="27"/>
        <v>123</v>
      </c>
      <c r="AI130" s="48">
        <f t="shared" si="28"/>
        <v>71.099999999999994</v>
      </c>
    </row>
    <row r="131" spans="1:37" x14ac:dyDescent="0.25">
      <c r="A131" s="144" t="s">
        <v>238</v>
      </c>
      <c r="B131" s="146"/>
      <c r="C131" s="146"/>
      <c r="D131" s="146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6"/>
      <c r="AG131" s="43"/>
      <c r="AH131" s="47"/>
      <c r="AI131" s="48"/>
    </row>
    <row r="132" spans="1:37" x14ac:dyDescent="0.25">
      <c r="A132" s="189" t="s">
        <v>368</v>
      </c>
      <c r="B132" s="148">
        <v>1983.45</v>
      </c>
      <c r="C132" s="148">
        <v>1983.78</v>
      </c>
      <c r="D132" s="148">
        <v>1984.05</v>
      </c>
      <c r="E132" s="147">
        <v>1984.3</v>
      </c>
      <c r="F132" s="147">
        <v>1984.6</v>
      </c>
      <c r="G132" s="147">
        <v>1984.85</v>
      </c>
      <c r="H132" s="147"/>
      <c r="I132" s="147">
        <v>1985.1</v>
      </c>
      <c r="J132" s="147"/>
      <c r="K132" s="147">
        <v>1985.22</v>
      </c>
      <c r="L132" s="147"/>
      <c r="M132" s="147">
        <v>1984.82</v>
      </c>
      <c r="N132" s="147">
        <v>1984.25</v>
      </c>
      <c r="O132" s="147">
        <v>1983.74</v>
      </c>
      <c r="P132" s="147">
        <v>1983.52</v>
      </c>
      <c r="Q132" s="147">
        <v>1983.63</v>
      </c>
      <c r="R132" s="147">
        <v>1983.77</v>
      </c>
      <c r="S132" s="147">
        <v>1983.97</v>
      </c>
      <c r="T132" s="147">
        <v>1984.2</v>
      </c>
      <c r="U132" s="147">
        <v>1984.39</v>
      </c>
      <c r="V132" s="147">
        <v>1984.6</v>
      </c>
      <c r="W132" s="147"/>
      <c r="X132" s="147">
        <v>1984.6</v>
      </c>
      <c r="Y132" s="147"/>
      <c r="Z132" s="147">
        <v>1984.17</v>
      </c>
      <c r="AA132" s="147"/>
      <c r="AB132" s="147"/>
      <c r="AC132" s="147">
        <v>1983.5</v>
      </c>
      <c r="AD132" s="147">
        <v>1983.52</v>
      </c>
      <c r="AE132" s="147">
        <v>1983.7</v>
      </c>
      <c r="AF132" s="148">
        <v>1984</v>
      </c>
      <c r="AG132" s="149"/>
      <c r="AH132" s="47"/>
      <c r="AI132" s="48"/>
    </row>
    <row r="133" spans="1:37" x14ac:dyDescent="0.25">
      <c r="A133" s="189" t="s">
        <v>239</v>
      </c>
      <c r="B133" s="151">
        <v>519.66999999999996</v>
      </c>
      <c r="C133" s="151">
        <v>520.15</v>
      </c>
      <c r="D133" s="151">
        <v>520.55999999999995</v>
      </c>
      <c r="E133" s="150">
        <v>520.94000000000005</v>
      </c>
      <c r="F133" s="150">
        <v>521.35</v>
      </c>
      <c r="G133" s="150">
        <v>521.71</v>
      </c>
      <c r="H133" s="150"/>
      <c r="I133" s="150">
        <v>521.72</v>
      </c>
      <c r="J133" s="150"/>
      <c r="K133" s="150">
        <v>521.24</v>
      </c>
      <c r="L133" s="150"/>
      <c r="M133" s="150">
        <v>520.75</v>
      </c>
      <c r="N133" s="150">
        <v>520.29999999999995</v>
      </c>
      <c r="O133" s="150">
        <v>520.13</v>
      </c>
      <c r="P133" s="150">
        <v>520.04999999999995</v>
      </c>
      <c r="Q133" s="150">
        <v>519.88</v>
      </c>
      <c r="R133" s="150">
        <v>519.67999999999995</v>
      </c>
      <c r="S133" s="150">
        <v>519.94000000000005</v>
      </c>
      <c r="T133" s="150">
        <v>520.14</v>
      </c>
      <c r="U133" s="150">
        <v>520.36</v>
      </c>
      <c r="V133" s="150">
        <v>520.5</v>
      </c>
      <c r="W133" s="150"/>
      <c r="X133" s="150">
        <v>520.27</v>
      </c>
      <c r="Y133" s="150"/>
      <c r="Z133" s="150">
        <v>519.67999999999995</v>
      </c>
      <c r="AA133" s="150"/>
      <c r="AB133" s="150"/>
      <c r="AC133" s="150">
        <v>519.5</v>
      </c>
      <c r="AD133" s="150">
        <v>519.5</v>
      </c>
      <c r="AE133" s="150">
        <v>519.54999999999995</v>
      </c>
      <c r="AF133" s="151">
        <v>519.92999999999995</v>
      </c>
      <c r="AG133" s="149"/>
      <c r="AH133" s="47"/>
      <c r="AI133" s="48"/>
    </row>
    <row r="134" spans="1:37" x14ac:dyDescent="0.25">
      <c r="A134" s="189" t="s">
        <v>240</v>
      </c>
      <c r="B134" s="151">
        <v>621.91999999999996</v>
      </c>
      <c r="C134" s="151">
        <v>622.65</v>
      </c>
      <c r="D134" s="151">
        <v>623.20000000000005</v>
      </c>
      <c r="E134" s="150">
        <v>623.62</v>
      </c>
      <c r="F134" s="150">
        <v>623.95000000000005</v>
      </c>
      <c r="G134" s="150">
        <v>624.15</v>
      </c>
      <c r="H134" s="150"/>
      <c r="I134" s="150">
        <v>624.09</v>
      </c>
      <c r="J134" s="150"/>
      <c r="K134" s="150">
        <v>623.61</v>
      </c>
      <c r="L134" s="150"/>
      <c r="M134" s="150">
        <v>622.88</v>
      </c>
      <c r="N134" s="150">
        <v>622.27</v>
      </c>
      <c r="O134" s="150">
        <v>622</v>
      </c>
      <c r="P134" s="150">
        <v>621.5</v>
      </c>
      <c r="Q134" s="150">
        <v>621.41</v>
      </c>
      <c r="R134" s="150">
        <v>621.75</v>
      </c>
      <c r="S134" s="150">
        <v>622.51</v>
      </c>
      <c r="T134" s="150">
        <v>622.98</v>
      </c>
      <c r="U134" s="150">
        <v>623.35</v>
      </c>
      <c r="V134" s="150">
        <v>623.79999999999995</v>
      </c>
      <c r="W134" s="150"/>
      <c r="X134" s="150">
        <v>623.61</v>
      </c>
      <c r="Y134" s="150"/>
      <c r="Z134" s="150">
        <v>623.02</v>
      </c>
      <c r="AA134" s="150"/>
      <c r="AB134" s="150"/>
      <c r="AC134" s="150">
        <v>622.16999999999996</v>
      </c>
      <c r="AD134" s="150">
        <v>621.95000000000005</v>
      </c>
      <c r="AE134" s="150">
        <v>621.57000000000005</v>
      </c>
      <c r="AF134" s="151">
        <v>621.98</v>
      </c>
      <c r="AG134" s="149"/>
      <c r="AH134" s="47"/>
      <c r="AI134" s="48"/>
    </row>
    <row r="135" spans="1:37" x14ac:dyDescent="0.25">
      <c r="A135" s="189" t="s">
        <v>241</v>
      </c>
      <c r="B135" s="151">
        <v>334.39</v>
      </c>
      <c r="C135" s="151">
        <v>334.95</v>
      </c>
      <c r="D135" s="151">
        <v>335.36</v>
      </c>
      <c r="E135" s="150">
        <v>335.61</v>
      </c>
      <c r="F135" s="150">
        <v>335.77</v>
      </c>
      <c r="G135" s="150"/>
      <c r="H135" s="150"/>
      <c r="I135" s="150">
        <v>335.85</v>
      </c>
      <c r="J135" s="150"/>
      <c r="K135" s="150">
        <v>335.5</v>
      </c>
      <c r="L135" s="150"/>
      <c r="M135" s="150">
        <v>334.94</v>
      </c>
      <c r="N135" s="150">
        <v>334.54</v>
      </c>
      <c r="O135" s="150">
        <v>334.51</v>
      </c>
      <c r="P135" s="150">
        <v>334.45</v>
      </c>
      <c r="Q135" s="150">
        <v>334.64</v>
      </c>
      <c r="R135" s="150">
        <v>334.86</v>
      </c>
      <c r="S135" s="150">
        <v>335.14</v>
      </c>
      <c r="T135" s="150">
        <v>335.45</v>
      </c>
      <c r="U135" s="150">
        <v>335.75</v>
      </c>
      <c r="V135" s="150">
        <v>335.94</v>
      </c>
      <c r="W135" s="150"/>
      <c r="X135" s="150">
        <v>336.08</v>
      </c>
      <c r="Y135" s="150"/>
      <c r="Z135" s="150">
        <v>335.86</v>
      </c>
      <c r="AA135" s="150"/>
      <c r="AB135" s="150"/>
      <c r="AC135" s="150">
        <v>335.03</v>
      </c>
      <c r="AD135" s="150">
        <v>334.88</v>
      </c>
      <c r="AE135" s="150">
        <v>334.35</v>
      </c>
      <c r="AF135" s="151">
        <v>334.03</v>
      </c>
      <c r="AG135" s="149"/>
      <c r="AH135" s="47"/>
      <c r="AI135" s="48"/>
    </row>
    <row r="136" spans="1:37" x14ac:dyDescent="0.25">
      <c r="A136" s="189" t="s">
        <v>407</v>
      </c>
      <c r="B136" s="151">
        <v>883.5</v>
      </c>
      <c r="C136" s="151">
        <v>884.2</v>
      </c>
      <c r="D136" s="151">
        <v>885</v>
      </c>
      <c r="E136" s="150">
        <v>885.6</v>
      </c>
      <c r="F136" s="150">
        <v>886.2</v>
      </c>
      <c r="G136" s="150">
        <v>886.3</v>
      </c>
      <c r="H136" s="150"/>
      <c r="I136" s="150">
        <v>885.7</v>
      </c>
      <c r="J136" s="150"/>
      <c r="K136" s="150">
        <v>884.4</v>
      </c>
      <c r="L136" s="150"/>
      <c r="M136" s="150">
        <v>882.8</v>
      </c>
      <c r="N136" s="150">
        <v>881.7</v>
      </c>
      <c r="O136" s="150">
        <v>882.8</v>
      </c>
      <c r="P136" s="150">
        <v>883.7</v>
      </c>
      <c r="Q136" s="150">
        <v>884.4</v>
      </c>
      <c r="R136" s="150">
        <v>885.2</v>
      </c>
      <c r="S136" s="150">
        <v>885.8</v>
      </c>
      <c r="T136" s="150">
        <v>886.2</v>
      </c>
      <c r="U136" s="150">
        <v>886.8</v>
      </c>
      <c r="V136" s="150">
        <v>887.1</v>
      </c>
      <c r="W136" s="150"/>
      <c r="X136" s="150"/>
      <c r="Y136" s="150"/>
      <c r="Z136" s="150">
        <v>886.3</v>
      </c>
      <c r="AA136" s="150"/>
      <c r="AB136" s="150">
        <v>885</v>
      </c>
      <c r="AC136" s="150">
        <v>884.2</v>
      </c>
      <c r="AD136" s="150">
        <v>883.6</v>
      </c>
      <c r="AE136" s="150">
        <v>882.8</v>
      </c>
      <c r="AF136" s="151">
        <v>882.7</v>
      </c>
      <c r="AG136" s="149"/>
      <c r="AH136" s="47"/>
      <c r="AI136" s="48"/>
    </row>
    <row r="137" spans="1:37" ht="15.75" thickBot="1" x14ac:dyDescent="0.3">
      <c r="A137" s="189" t="s">
        <v>242</v>
      </c>
      <c r="B137" s="152">
        <v>1519.96</v>
      </c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>
        <v>1519.97</v>
      </c>
      <c r="N137" s="152"/>
      <c r="O137" s="152"/>
      <c r="P137" s="152"/>
      <c r="Q137" s="152"/>
      <c r="R137" s="152"/>
      <c r="S137" s="152">
        <v>1519.84</v>
      </c>
      <c r="T137" s="152">
        <v>1519.82</v>
      </c>
      <c r="U137" s="152">
        <v>1519.8</v>
      </c>
      <c r="V137" s="152">
        <v>1519.78</v>
      </c>
      <c r="W137" s="152"/>
      <c r="X137" s="152">
        <v>1519.76</v>
      </c>
      <c r="Y137" s="152"/>
      <c r="Z137" s="152">
        <v>1519.74</v>
      </c>
      <c r="AA137" s="152"/>
      <c r="AB137" s="152"/>
      <c r="AC137" s="152"/>
      <c r="AD137" s="152"/>
      <c r="AE137" s="152"/>
      <c r="AF137" s="153"/>
      <c r="AG137" s="149"/>
      <c r="AH137" s="47"/>
      <c r="AI137" s="48"/>
    </row>
    <row r="138" spans="1:37" ht="15.75" thickBot="1" x14ac:dyDescent="0.3">
      <c r="A138" s="120" t="s">
        <v>125</v>
      </c>
      <c r="B138" s="121"/>
      <c r="C138" s="121"/>
      <c r="D138" s="121"/>
      <c r="E138" s="121"/>
      <c r="F138" s="170" t="s">
        <v>254</v>
      </c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74"/>
      <c r="AH138" s="47"/>
      <c r="AI138" s="48"/>
      <c r="AK138" s="50"/>
    </row>
    <row r="139" spans="1:37" x14ac:dyDescent="0.25">
      <c r="A139" s="122" t="s">
        <v>126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5">
        <v>9.94</v>
      </c>
      <c r="AH139" s="47"/>
      <c r="AI139" s="48"/>
      <c r="AK139" s="50"/>
    </row>
    <row r="140" spans="1:37" x14ac:dyDescent="0.25">
      <c r="A140" s="103" t="s">
        <v>127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5"/>
      <c r="AH140" s="47"/>
      <c r="AI140" s="48"/>
      <c r="AK140" s="50"/>
    </row>
    <row r="141" spans="1:37" x14ac:dyDescent="0.25">
      <c r="A141" s="103" t="s">
        <v>128</v>
      </c>
      <c r="B141" s="123"/>
      <c r="C141" s="124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5"/>
      <c r="AH141" s="47"/>
      <c r="AI141" s="48"/>
      <c r="AK141" s="50"/>
    </row>
    <row r="142" spans="1:37" x14ac:dyDescent="0.25">
      <c r="A142" s="103" t="s">
        <v>129</v>
      </c>
      <c r="B142" s="123"/>
      <c r="C142" s="124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5"/>
      <c r="AH142" s="47"/>
      <c r="AI142" s="48"/>
      <c r="AK142" s="50"/>
    </row>
    <row r="143" spans="1:37" x14ac:dyDescent="0.25">
      <c r="A143" s="103" t="s">
        <v>130</v>
      </c>
      <c r="B143" s="123"/>
      <c r="C143" s="124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5"/>
      <c r="AH143" s="47"/>
      <c r="AI143" s="48"/>
      <c r="AK143" s="50"/>
    </row>
    <row r="144" spans="1:37" x14ac:dyDescent="0.25">
      <c r="A144" s="103" t="s">
        <v>131</v>
      </c>
      <c r="B144" s="123"/>
      <c r="C144" s="124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5"/>
      <c r="AH144" s="47"/>
      <c r="AI144" s="48"/>
      <c r="AK144" s="50"/>
    </row>
    <row r="145" spans="1:37" x14ac:dyDescent="0.25">
      <c r="A145" s="103" t="s">
        <v>132</v>
      </c>
      <c r="B145" s="123"/>
      <c r="C145" s="124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5"/>
      <c r="AH145" s="47"/>
      <c r="AI145" s="48"/>
      <c r="AK145" s="50"/>
    </row>
    <row r="146" spans="1:37" x14ac:dyDescent="0.25">
      <c r="A146" s="103" t="s">
        <v>133</v>
      </c>
      <c r="B146" s="123"/>
      <c r="C146" s="124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5"/>
      <c r="AH146" s="47"/>
      <c r="AI146" s="48"/>
      <c r="AK146" s="50"/>
    </row>
    <row r="147" spans="1:37" x14ac:dyDescent="0.25">
      <c r="A147" s="103" t="s">
        <v>134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5"/>
      <c r="AH147" s="47"/>
      <c r="AI147" s="48"/>
      <c r="AK147" s="50"/>
    </row>
    <row r="148" spans="1:37" x14ac:dyDescent="0.25">
      <c r="A148" s="103" t="s">
        <v>135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5"/>
      <c r="AH148" s="47"/>
      <c r="AI148" s="48"/>
      <c r="AK148" s="50"/>
    </row>
    <row r="149" spans="1:37" x14ac:dyDescent="0.25">
      <c r="A149" s="103" t="s">
        <v>136</v>
      </c>
      <c r="B149" s="123"/>
      <c r="C149" s="124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5"/>
      <c r="AH149" s="47"/>
      <c r="AI149" s="48"/>
      <c r="AK149" s="50"/>
    </row>
    <row r="150" spans="1:37" x14ac:dyDescent="0.25">
      <c r="A150" s="103" t="s">
        <v>137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5"/>
      <c r="AH150" s="47"/>
      <c r="AI150" s="48"/>
      <c r="AK150" s="50"/>
    </row>
    <row r="151" spans="1:37" x14ac:dyDescent="0.25">
      <c r="A151" s="103" t="s">
        <v>138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5"/>
      <c r="AH151" s="47"/>
      <c r="AI151" s="48"/>
      <c r="AK151" s="50"/>
    </row>
    <row r="152" spans="1:37" x14ac:dyDescent="0.25">
      <c r="A152" s="103" t="s">
        <v>139</v>
      </c>
      <c r="B152" s="123"/>
      <c r="C152" s="124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5"/>
      <c r="AH152" s="47"/>
      <c r="AI152" s="48"/>
      <c r="AK152" s="50"/>
    </row>
    <row r="153" spans="1:37" x14ac:dyDescent="0.25">
      <c r="A153" s="103" t="s">
        <v>140</v>
      </c>
      <c r="B153" s="123"/>
      <c r="C153" s="124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5"/>
      <c r="AH153" s="47"/>
      <c r="AI153" s="48"/>
      <c r="AK153" s="50"/>
    </row>
    <row r="154" spans="1:37" x14ac:dyDescent="0.25">
      <c r="A154" s="103" t="s">
        <v>141</v>
      </c>
      <c r="B154" s="123"/>
      <c r="C154" s="124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5"/>
      <c r="AH154" s="47"/>
      <c r="AI154" s="48"/>
      <c r="AK154" s="50"/>
    </row>
    <row r="155" spans="1:37" x14ac:dyDescent="0.25">
      <c r="A155" s="103" t="s">
        <v>142</v>
      </c>
      <c r="B155" s="126"/>
      <c r="C155" s="127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8">
        <v>9.9</v>
      </c>
      <c r="AH155" s="47"/>
      <c r="AI155" s="48"/>
      <c r="AK155" s="50"/>
    </row>
    <row r="156" spans="1:37" x14ac:dyDescent="0.25">
      <c r="A156" s="116" t="s">
        <v>143</v>
      </c>
      <c r="B156" s="126"/>
      <c r="C156" s="127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9">
        <v>9.6579999999999995</v>
      </c>
      <c r="AH156" s="47"/>
      <c r="AI156" s="48"/>
      <c r="AK156" s="50"/>
    </row>
    <row r="157" spans="1:37" x14ac:dyDescent="0.25">
      <c r="A157" s="116" t="s">
        <v>144</v>
      </c>
      <c r="B157" s="126"/>
      <c r="C157" s="127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9">
        <v>9.6</v>
      </c>
      <c r="AH157" s="47"/>
      <c r="AI157" s="48"/>
      <c r="AK157" s="50"/>
    </row>
    <row r="158" spans="1:37" x14ac:dyDescent="0.25">
      <c r="A158" s="116" t="s">
        <v>145</v>
      </c>
      <c r="B158" s="126"/>
      <c r="C158" s="127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9">
        <v>9.51</v>
      </c>
      <c r="AH158" s="47"/>
      <c r="AI158" s="48"/>
      <c r="AK158" s="50"/>
    </row>
    <row r="159" spans="1:37" x14ac:dyDescent="0.25">
      <c r="A159" s="116" t="s">
        <v>146</v>
      </c>
      <c r="B159" s="126"/>
      <c r="C159" s="127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9">
        <v>9.4</v>
      </c>
      <c r="AH159" s="47"/>
      <c r="AI159" s="48"/>
      <c r="AK159" s="50"/>
    </row>
    <row r="160" spans="1:37" x14ac:dyDescent="0.25">
      <c r="A160" s="116" t="s">
        <v>147</v>
      </c>
      <c r="B160" s="126"/>
      <c r="C160" s="127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9">
        <v>8.8000000000000007</v>
      </c>
      <c r="AH160" s="47"/>
      <c r="AI160" s="48"/>
      <c r="AK160" s="50"/>
    </row>
    <row r="161" spans="1:37" x14ac:dyDescent="0.25">
      <c r="A161" s="116" t="s">
        <v>148</v>
      </c>
      <c r="B161" s="126"/>
      <c r="C161" s="127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9">
        <v>8.5</v>
      </c>
      <c r="AH161" s="47"/>
      <c r="AI161" s="48"/>
      <c r="AK161" s="50"/>
    </row>
    <row r="162" spans="1:37" x14ac:dyDescent="0.25">
      <c r="A162" s="116" t="s">
        <v>149</v>
      </c>
      <c r="B162" s="126"/>
      <c r="C162" s="127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9">
        <v>8.5</v>
      </c>
      <c r="AH162" s="47"/>
      <c r="AI162" s="48"/>
      <c r="AK162" s="50"/>
    </row>
    <row r="163" spans="1:37" x14ac:dyDescent="0.25">
      <c r="A163" s="116" t="s">
        <v>150</v>
      </c>
      <c r="B163" s="126"/>
      <c r="C163" s="127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9">
        <v>8.4</v>
      </c>
      <c r="AH163" s="47"/>
      <c r="AI163" s="48"/>
      <c r="AK163" s="50"/>
    </row>
    <row r="164" spans="1:37" ht="13.5" customHeight="1" x14ac:dyDescent="0.25">
      <c r="A164" s="116" t="s">
        <v>151</v>
      </c>
      <c r="B164" s="126"/>
      <c r="C164" s="127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9">
        <v>8</v>
      </c>
      <c r="AH164" s="47"/>
      <c r="AI164" s="48"/>
      <c r="AK164" s="50"/>
    </row>
    <row r="165" spans="1:37" x14ac:dyDescent="0.25">
      <c r="A165" s="116" t="s">
        <v>152</v>
      </c>
      <c r="B165" s="126"/>
      <c r="C165" s="127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9">
        <v>8</v>
      </c>
      <c r="AH165" s="47"/>
      <c r="AI165" s="48"/>
      <c r="AK165" s="50"/>
    </row>
    <row r="166" spans="1:37" x14ac:dyDescent="0.25">
      <c r="A166" s="116" t="s">
        <v>153</v>
      </c>
      <c r="B166" s="126"/>
      <c r="C166" s="127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9">
        <v>8</v>
      </c>
      <c r="AH166" s="47"/>
      <c r="AI166" s="48"/>
      <c r="AK166" s="50"/>
    </row>
    <row r="167" spans="1:37" x14ac:dyDescent="0.25">
      <c r="A167" s="116" t="s">
        <v>154</v>
      </c>
      <c r="B167" s="126"/>
      <c r="C167" s="127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9">
        <v>7.8</v>
      </c>
      <c r="AH167" s="47"/>
      <c r="AI167" s="48"/>
      <c r="AK167" s="50"/>
    </row>
    <row r="168" spans="1:37" x14ac:dyDescent="0.25">
      <c r="A168" s="116" t="s">
        <v>155</v>
      </c>
      <c r="B168" s="126"/>
      <c r="C168" s="127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9">
        <v>7.6</v>
      </c>
      <c r="AH168" s="47"/>
      <c r="AI168" s="48"/>
      <c r="AK168" s="50"/>
    </row>
    <row r="169" spans="1:37" x14ac:dyDescent="0.25">
      <c r="A169" s="116" t="s">
        <v>156</v>
      </c>
      <c r="B169" s="126"/>
      <c r="C169" s="127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9">
        <v>7.5</v>
      </c>
      <c r="AH169" s="47"/>
      <c r="AI169" s="48"/>
      <c r="AK169" s="50"/>
    </row>
    <row r="170" spans="1:37" x14ac:dyDescent="0.25">
      <c r="A170" s="116" t="s">
        <v>157</v>
      </c>
      <c r="B170" s="126"/>
      <c r="C170" s="127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9">
        <v>7.5</v>
      </c>
      <c r="AH170" s="47"/>
      <c r="AI170" s="48"/>
      <c r="AK170" s="50"/>
    </row>
    <row r="171" spans="1:37" x14ac:dyDescent="0.25">
      <c r="A171" s="116" t="s">
        <v>158</v>
      </c>
      <c r="B171" s="126"/>
      <c r="C171" s="127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9">
        <v>7</v>
      </c>
      <c r="AH171" s="47"/>
      <c r="AI171" s="48"/>
      <c r="AK171" s="50"/>
    </row>
    <row r="172" spans="1:37" x14ac:dyDescent="0.25">
      <c r="A172" s="116" t="s">
        <v>159</v>
      </c>
      <c r="B172" s="126"/>
      <c r="C172" s="127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9">
        <v>7</v>
      </c>
      <c r="AH172" s="47"/>
      <c r="AI172" s="48"/>
      <c r="AK172" s="50"/>
    </row>
    <row r="173" spans="1:37" x14ac:dyDescent="0.25">
      <c r="A173" s="116" t="s">
        <v>160</v>
      </c>
      <c r="B173" s="126"/>
      <c r="C173" s="127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9">
        <v>7</v>
      </c>
      <c r="AH173" s="47"/>
      <c r="AI173" s="48"/>
      <c r="AK173" s="50"/>
    </row>
    <row r="174" spans="1:37" x14ac:dyDescent="0.25">
      <c r="A174" s="116" t="s">
        <v>161</v>
      </c>
      <c r="B174" s="126"/>
      <c r="C174" s="127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9">
        <v>7</v>
      </c>
      <c r="AH174" s="47"/>
      <c r="AI174" s="48"/>
      <c r="AK174" s="50"/>
    </row>
    <row r="175" spans="1:37" x14ac:dyDescent="0.25">
      <c r="A175" s="116" t="s">
        <v>162</v>
      </c>
      <c r="B175" s="126"/>
      <c r="C175" s="127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9">
        <v>6.6</v>
      </c>
      <c r="AH175" s="47"/>
      <c r="AI175" s="48"/>
      <c r="AK175" s="50"/>
    </row>
    <row r="176" spans="1:37" x14ac:dyDescent="0.25">
      <c r="A176" s="116" t="s">
        <v>163</v>
      </c>
      <c r="B176" s="126"/>
      <c r="C176" s="127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9">
        <v>6.6</v>
      </c>
      <c r="AH176" s="47"/>
      <c r="AI176" s="48"/>
      <c r="AK176" s="50"/>
    </row>
    <row r="177" spans="1:37" x14ac:dyDescent="0.25">
      <c r="A177" s="116" t="s">
        <v>164</v>
      </c>
      <c r="B177" s="126"/>
      <c r="C177" s="127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9">
        <v>6.4</v>
      </c>
      <c r="AH177" s="47"/>
      <c r="AI177" s="48"/>
      <c r="AK177" s="50"/>
    </row>
    <row r="178" spans="1:37" x14ac:dyDescent="0.25">
      <c r="A178" s="116" t="s">
        <v>165</v>
      </c>
      <c r="B178" s="126"/>
      <c r="C178" s="127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9">
        <v>6</v>
      </c>
      <c r="AH178" s="47"/>
      <c r="AI178" s="48"/>
      <c r="AK178" s="50"/>
    </row>
    <row r="179" spans="1:37" x14ac:dyDescent="0.25">
      <c r="A179" s="116" t="s">
        <v>166</v>
      </c>
      <c r="B179" s="126"/>
      <c r="C179" s="127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9">
        <v>5.0999999999999996</v>
      </c>
      <c r="AH179" s="47"/>
      <c r="AI179" s="48"/>
      <c r="AK179" s="50"/>
    </row>
    <row r="180" spans="1:37" x14ac:dyDescent="0.25">
      <c r="A180" s="116" t="s">
        <v>167</v>
      </c>
      <c r="B180" s="126"/>
      <c r="C180" s="127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9">
        <v>5</v>
      </c>
      <c r="AH180" s="47"/>
      <c r="AI180" s="48"/>
      <c r="AK180" s="50"/>
    </row>
    <row r="181" spans="1:37" x14ac:dyDescent="0.25">
      <c r="A181" s="103" t="s">
        <v>168</v>
      </c>
      <c r="B181" s="126"/>
      <c r="C181" s="127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8">
        <v>5</v>
      </c>
      <c r="AH181" s="47"/>
      <c r="AI181" s="48"/>
      <c r="AK181" s="50"/>
    </row>
    <row r="182" spans="1:37" x14ac:dyDescent="0.25">
      <c r="A182" s="116" t="s">
        <v>169</v>
      </c>
      <c r="B182" s="126"/>
      <c r="C182" s="127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9">
        <v>5</v>
      </c>
      <c r="AH182" s="47"/>
      <c r="AI182" s="48"/>
      <c r="AK182" s="50"/>
    </row>
    <row r="183" spans="1:37" x14ac:dyDescent="0.25">
      <c r="A183" s="116" t="s">
        <v>170</v>
      </c>
      <c r="B183" s="126"/>
      <c r="C183" s="127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9">
        <v>5</v>
      </c>
      <c r="AH183" s="47"/>
      <c r="AI183" s="48"/>
      <c r="AK183" s="50"/>
    </row>
    <row r="184" spans="1:37" x14ac:dyDescent="0.25">
      <c r="A184" s="116" t="s">
        <v>171</v>
      </c>
      <c r="B184" s="126"/>
      <c r="C184" s="127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9">
        <v>5</v>
      </c>
      <c r="AH184" s="47"/>
      <c r="AI184" s="48"/>
      <c r="AK184" s="50"/>
    </row>
    <row r="185" spans="1:37" x14ac:dyDescent="0.25">
      <c r="A185" s="116" t="s">
        <v>172</v>
      </c>
      <c r="B185" s="126"/>
      <c r="C185" s="127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9">
        <v>5</v>
      </c>
      <c r="AH185" s="47"/>
      <c r="AI185" s="48"/>
      <c r="AK185" s="50"/>
    </row>
    <row r="186" spans="1:37" x14ac:dyDescent="0.25">
      <c r="A186" s="116" t="s">
        <v>173</v>
      </c>
      <c r="B186" s="126"/>
      <c r="C186" s="127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9">
        <v>5</v>
      </c>
      <c r="AH186" s="47"/>
      <c r="AI186" s="48"/>
      <c r="AK186" s="50"/>
    </row>
    <row r="187" spans="1:37" x14ac:dyDescent="0.25">
      <c r="A187" s="116" t="s">
        <v>174</v>
      </c>
      <c r="B187" s="126"/>
      <c r="C187" s="127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9">
        <v>4.9930000000000003</v>
      </c>
      <c r="AH187" s="47"/>
      <c r="AI187" s="48"/>
      <c r="AK187" s="50"/>
    </row>
    <row r="188" spans="1:37" x14ac:dyDescent="0.25">
      <c r="A188" s="116" t="s">
        <v>175</v>
      </c>
      <c r="B188" s="126"/>
      <c r="C188" s="127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9">
        <v>4.9800000000000004</v>
      </c>
      <c r="AH188" s="47"/>
      <c r="AI188" s="48"/>
      <c r="AK188" s="50"/>
    </row>
    <row r="189" spans="1:37" x14ac:dyDescent="0.25">
      <c r="A189" s="116" t="s">
        <v>176</v>
      </c>
      <c r="B189" s="126"/>
      <c r="C189" s="127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9">
        <v>4.95</v>
      </c>
      <c r="AH189" s="47"/>
      <c r="AI189" s="48"/>
      <c r="AK189" s="50"/>
    </row>
    <row r="190" spans="1:37" x14ac:dyDescent="0.25">
      <c r="A190" s="116" t="s">
        <v>177</v>
      </c>
      <c r="B190" s="126"/>
      <c r="C190" s="127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9">
        <v>4.95</v>
      </c>
      <c r="AH190" s="47"/>
      <c r="AI190" s="48"/>
      <c r="AK190" s="50"/>
    </row>
    <row r="191" spans="1:37" x14ac:dyDescent="0.25">
      <c r="A191" s="116" t="s">
        <v>178</v>
      </c>
      <c r="B191" s="126"/>
      <c r="C191" s="127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9">
        <v>4.8</v>
      </c>
      <c r="AH191" s="47"/>
      <c r="AI191" s="48"/>
      <c r="AK191" s="50"/>
    </row>
    <row r="192" spans="1:37" x14ac:dyDescent="0.25">
      <c r="A192" s="116" t="s">
        <v>179</v>
      </c>
      <c r="B192" s="126"/>
      <c r="C192" s="127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9">
        <v>4.8</v>
      </c>
      <c r="AH192" s="47"/>
      <c r="AI192" s="48"/>
      <c r="AK192" s="50"/>
    </row>
    <row r="193" spans="1:37" x14ac:dyDescent="0.25">
      <c r="A193" s="116" t="s">
        <v>180</v>
      </c>
      <c r="B193" s="126"/>
      <c r="C193" s="127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9">
        <v>4.8</v>
      </c>
      <c r="AH193" s="47"/>
      <c r="AI193" s="48"/>
      <c r="AK193" s="50"/>
    </row>
    <row r="194" spans="1:37" x14ac:dyDescent="0.25">
      <c r="A194" s="116" t="s">
        <v>181</v>
      </c>
      <c r="B194" s="126"/>
      <c r="C194" s="127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9">
        <v>4.5</v>
      </c>
      <c r="AH194" s="47"/>
      <c r="AI194" s="48"/>
      <c r="AK194" s="50"/>
    </row>
    <row r="195" spans="1:37" x14ac:dyDescent="0.25">
      <c r="A195" s="116" t="s">
        <v>182</v>
      </c>
      <c r="B195" s="126"/>
      <c r="C195" s="127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9">
        <v>4.5</v>
      </c>
      <c r="AH195" s="47"/>
      <c r="AI195" s="48"/>
      <c r="AK195" s="50"/>
    </row>
    <row r="196" spans="1:37" x14ac:dyDescent="0.25">
      <c r="A196" s="116" t="s">
        <v>183</v>
      </c>
      <c r="B196" s="126"/>
      <c r="C196" s="127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9">
        <v>4.4550000000000001</v>
      </c>
      <c r="AH196" s="47"/>
      <c r="AI196" s="48"/>
      <c r="AK196" s="50"/>
    </row>
    <row r="197" spans="1:37" x14ac:dyDescent="0.25">
      <c r="A197" s="116" t="s">
        <v>184</v>
      </c>
      <c r="B197" s="126"/>
      <c r="C197" s="127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9">
        <v>4.41</v>
      </c>
      <c r="AH197" s="47"/>
      <c r="AI197" s="48"/>
      <c r="AK197" s="50"/>
    </row>
    <row r="198" spans="1:37" x14ac:dyDescent="0.25">
      <c r="A198" s="116" t="s">
        <v>185</v>
      </c>
      <c r="B198" s="126"/>
      <c r="C198" s="127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9">
        <v>4.4000000000000004</v>
      </c>
      <c r="AH198" s="47"/>
      <c r="AI198" s="48"/>
      <c r="AK198" s="50"/>
    </row>
    <row r="199" spans="1:37" x14ac:dyDescent="0.25">
      <c r="A199" s="116" t="s">
        <v>186</v>
      </c>
      <c r="B199" s="126"/>
      <c r="C199" s="127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9">
        <v>4.3600000000000003</v>
      </c>
      <c r="AH199" s="47"/>
      <c r="AI199" s="48"/>
      <c r="AK199" s="50"/>
    </row>
    <row r="200" spans="1:37" x14ac:dyDescent="0.25">
      <c r="A200" s="116" t="s">
        <v>187</v>
      </c>
      <c r="B200" s="126"/>
      <c r="C200" s="127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9">
        <v>4.2</v>
      </c>
      <c r="AH200" s="47"/>
      <c r="AI200" s="48"/>
      <c r="AK200" s="50"/>
    </row>
    <row r="201" spans="1:37" x14ac:dyDescent="0.25">
      <c r="A201" s="116" t="s">
        <v>188</v>
      </c>
      <c r="B201" s="126"/>
      <c r="C201" s="127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9">
        <v>4</v>
      </c>
      <c r="AH201" s="47"/>
      <c r="AI201" s="48"/>
      <c r="AK201" s="50"/>
    </row>
    <row r="202" spans="1:37" x14ac:dyDescent="0.25">
      <c r="A202" s="116" t="s">
        <v>189</v>
      </c>
      <c r="B202" s="126"/>
      <c r="C202" s="127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9">
        <v>4</v>
      </c>
      <c r="AH202" s="47"/>
      <c r="AI202" s="48"/>
      <c r="AK202" s="50"/>
    </row>
    <row r="203" spans="1:37" x14ac:dyDescent="0.25">
      <c r="A203" s="116" t="s">
        <v>190</v>
      </c>
      <c r="B203" s="126"/>
      <c r="C203" s="127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9">
        <v>4</v>
      </c>
      <c r="AH203" s="47"/>
      <c r="AI203" s="48"/>
      <c r="AK203" s="50"/>
    </row>
    <row r="204" spans="1:37" x14ac:dyDescent="0.25">
      <c r="A204" s="116" t="s">
        <v>191</v>
      </c>
      <c r="B204" s="126"/>
      <c r="C204" s="127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9">
        <v>4</v>
      </c>
      <c r="AH204" s="47"/>
      <c r="AI204" s="48"/>
      <c r="AK204" s="50"/>
    </row>
    <row r="205" spans="1:37" x14ac:dyDescent="0.25">
      <c r="A205" s="116" t="s">
        <v>192</v>
      </c>
      <c r="B205" s="126"/>
      <c r="C205" s="127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9">
        <v>4</v>
      </c>
      <c r="AH205" s="47"/>
      <c r="AI205" s="48"/>
      <c r="AK205" s="50"/>
    </row>
    <row r="206" spans="1:37" x14ac:dyDescent="0.25">
      <c r="A206" s="116" t="s">
        <v>193</v>
      </c>
      <c r="B206" s="126"/>
      <c r="C206" s="127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9">
        <v>4</v>
      </c>
      <c r="AH206" s="47"/>
      <c r="AI206" s="48"/>
      <c r="AK206" s="50"/>
    </row>
    <row r="207" spans="1:37" x14ac:dyDescent="0.25">
      <c r="A207" s="116" t="s">
        <v>194</v>
      </c>
      <c r="B207" s="126"/>
      <c r="C207" s="127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9">
        <v>4</v>
      </c>
      <c r="AH207" s="47"/>
      <c r="AI207" s="48"/>
      <c r="AK207" s="50"/>
    </row>
    <row r="208" spans="1:37" x14ac:dyDescent="0.25">
      <c r="A208" s="116" t="s">
        <v>195</v>
      </c>
      <c r="B208" s="126"/>
      <c r="C208" s="127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9">
        <v>4</v>
      </c>
      <c r="AH208" s="47"/>
      <c r="AI208" s="48"/>
      <c r="AK208" s="50"/>
    </row>
    <row r="209" spans="1:37" x14ac:dyDescent="0.25">
      <c r="A209" s="116" t="s">
        <v>196</v>
      </c>
      <c r="B209" s="126"/>
      <c r="C209" s="127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9">
        <v>3.75</v>
      </c>
      <c r="AH209" s="47"/>
      <c r="AI209" s="48"/>
      <c r="AK209" s="50"/>
    </row>
    <row r="210" spans="1:37" x14ac:dyDescent="0.25">
      <c r="A210" s="116" t="s">
        <v>197</v>
      </c>
      <c r="B210" s="126"/>
      <c r="C210" s="127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9">
        <v>3.52</v>
      </c>
      <c r="AH210" s="47"/>
      <c r="AI210" s="48"/>
      <c r="AK210" s="50"/>
    </row>
    <row r="211" spans="1:37" x14ac:dyDescent="0.25">
      <c r="A211" s="116" t="s">
        <v>198</v>
      </c>
      <c r="B211" s="126"/>
      <c r="C211" s="127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9">
        <v>3.33</v>
      </c>
      <c r="AH211" s="47"/>
      <c r="AI211" s="48"/>
      <c r="AK211" s="50"/>
    </row>
    <row r="212" spans="1:37" x14ac:dyDescent="0.25">
      <c r="A212" s="116" t="s">
        <v>199</v>
      </c>
      <c r="B212" s="126"/>
      <c r="C212" s="127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9">
        <v>3.2</v>
      </c>
      <c r="AH212" s="47"/>
      <c r="AI212" s="48"/>
      <c r="AK212" s="50"/>
    </row>
    <row r="213" spans="1:37" x14ac:dyDescent="0.25">
      <c r="A213" s="116" t="s">
        <v>200</v>
      </c>
      <c r="B213" s="126"/>
      <c r="C213" s="127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9">
        <v>3</v>
      </c>
      <c r="AH213" s="47"/>
      <c r="AI213" s="48"/>
      <c r="AK213" s="50"/>
    </row>
    <row r="214" spans="1:37" x14ac:dyDescent="0.25">
      <c r="A214" s="116" t="s">
        <v>201</v>
      </c>
      <c r="B214" s="126"/>
      <c r="C214" s="127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9">
        <v>3</v>
      </c>
      <c r="AH214" s="47"/>
      <c r="AI214" s="48"/>
      <c r="AK214" s="50"/>
    </row>
    <row r="215" spans="1:37" x14ac:dyDescent="0.25">
      <c r="A215" s="116" t="s">
        <v>202</v>
      </c>
      <c r="B215" s="126"/>
      <c r="C215" s="127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9">
        <v>3</v>
      </c>
      <c r="AH215" s="47"/>
      <c r="AI215" s="48"/>
      <c r="AK215" s="50"/>
    </row>
    <row r="216" spans="1:37" x14ac:dyDescent="0.25">
      <c r="A216" s="116" t="s">
        <v>203</v>
      </c>
      <c r="B216" s="126"/>
      <c r="C216" s="127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9">
        <v>3</v>
      </c>
      <c r="AH216" s="47"/>
      <c r="AI216" s="48"/>
      <c r="AK216" s="50"/>
    </row>
    <row r="217" spans="1:37" x14ac:dyDescent="0.25">
      <c r="A217" s="116" t="s">
        <v>204</v>
      </c>
      <c r="B217" s="126"/>
      <c r="C217" s="127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9">
        <v>3</v>
      </c>
      <c r="AH217" s="47"/>
      <c r="AI217" s="48"/>
      <c r="AK217" s="50"/>
    </row>
    <row r="218" spans="1:37" x14ac:dyDescent="0.25">
      <c r="A218" s="116" t="s">
        <v>205</v>
      </c>
      <c r="B218" s="126"/>
      <c r="C218" s="127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9">
        <v>3</v>
      </c>
      <c r="AH218" s="47"/>
      <c r="AI218" s="48"/>
      <c r="AK218" s="50"/>
    </row>
    <row r="219" spans="1:37" x14ac:dyDescent="0.25">
      <c r="A219" s="116" t="s">
        <v>206</v>
      </c>
      <c r="B219" s="126"/>
      <c r="C219" s="127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9">
        <v>3</v>
      </c>
      <c r="AH219" s="47"/>
      <c r="AI219" s="48"/>
      <c r="AK219" s="50"/>
    </row>
    <row r="220" spans="1:37" x14ac:dyDescent="0.25">
      <c r="A220" s="116" t="s">
        <v>207</v>
      </c>
      <c r="B220" s="126"/>
      <c r="C220" s="127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9">
        <v>3</v>
      </c>
      <c r="AH220" s="47"/>
      <c r="AI220" s="48"/>
      <c r="AK220" s="50"/>
    </row>
    <row r="221" spans="1:37" x14ac:dyDescent="0.25">
      <c r="A221" s="116" t="s">
        <v>208</v>
      </c>
      <c r="B221" s="126"/>
      <c r="C221" s="127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9">
        <v>2.83</v>
      </c>
      <c r="AH221" s="47"/>
      <c r="AI221" s="48"/>
      <c r="AK221" s="50"/>
    </row>
    <row r="222" spans="1:37" x14ac:dyDescent="0.25">
      <c r="A222" s="116" t="s">
        <v>209</v>
      </c>
      <c r="B222" s="126"/>
      <c r="C222" s="127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9">
        <v>2.5</v>
      </c>
      <c r="AH222" s="47"/>
      <c r="AI222" s="48"/>
      <c r="AK222" s="50"/>
    </row>
    <row r="223" spans="1:37" x14ac:dyDescent="0.25">
      <c r="A223" s="116" t="s">
        <v>210</v>
      </c>
      <c r="B223" s="126"/>
      <c r="C223" s="127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9">
        <v>2.5</v>
      </c>
      <c r="AH223" s="47"/>
      <c r="AI223" s="48"/>
      <c r="AK223" s="50"/>
    </row>
    <row r="224" spans="1:37" x14ac:dyDescent="0.25">
      <c r="A224" s="116" t="s">
        <v>211</v>
      </c>
      <c r="B224" s="126"/>
      <c r="C224" s="127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9">
        <v>2.4</v>
      </c>
      <c r="AH224" s="47"/>
      <c r="AI224" s="48"/>
      <c r="AK224" s="50"/>
    </row>
    <row r="225" spans="1:37" x14ac:dyDescent="0.25">
      <c r="A225" s="116" t="s">
        <v>212</v>
      </c>
      <c r="B225" s="126"/>
      <c r="C225" s="127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9">
        <v>2.4</v>
      </c>
      <c r="AH225" s="47"/>
      <c r="AI225" s="48"/>
      <c r="AK225" s="50"/>
    </row>
    <row r="226" spans="1:37" x14ac:dyDescent="0.25">
      <c r="A226" s="116" t="s">
        <v>213</v>
      </c>
      <c r="B226" s="126"/>
      <c r="C226" s="127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9">
        <v>2.2000000000000002</v>
      </c>
      <c r="AH226" s="47"/>
      <c r="AI226" s="48"/>
      <c r="AK226" s="50"/>
    </row>
    <row r="227" spans="1:37" x14ac:dyDescent="0.25">
      <c r="A227" s="116" t="s">
        <v>214</v>
      </c>
      <c r="B227" s="126"/>
      <c r="C227" s="127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9">
        <v>2</v>
      </c>
      <c r="AH227" s="47"/>
      <c r="AI227" s="48"/>
      <c r="AK227" s="50"/>
    </row>
    <row r="228" spans="1:37" x14ac:dyDescent="0.25">
      <c r="A228" s="116" t="s">
        <v>215</v>
      </c>
      <c r="B228" s="126"/>
      <c r="C228" s="127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9">
        <v>2</v>
      </c>
      <c r="AH228" s="47"/>
      <c r="AI228" s="48"/>
      <c r="AK228" s="50"/>
    </row>
    <row r="229" spans="1:37" x14ac:dyDescent="0.25">
      <c r="A229" s="116" t="s">
        <v>216</v>
      </c>
      <c r="B229" s="126"/>
      <c r="C229" s="127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9">
        <v>2</v>
      </c>
      <c r="AH229" s="47"/>
      <c r="AI229" s="48"/>
      <c r="AK229" s="50"/>
    </row>
    <row r="230" spans="1:37" x14ac:dyDescent="0.25">
      <c r="A230" s="116" t="s">
        <v>217</v>
      </c>
      <c r="B230" s="126"/>
      <c r="C230" s="127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9">
        <v>1.8</v>
      </c>
      <c r="AH230" s="47"/>
      <c r="AI230" s="48"/>
      <c r="AK230" s="50"/>
    </row>
    <row r="231" spans="1:37" x14ac:dyDescent="0.25">
      <c r="A231" s="116" t="s">
        <v>218</v>
      </c>
      <c r="B231" s="126"/>
      <c r="C231" s="127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9">
        <v>1.8</v>
      </c>
      <c r="AH231" s="47"/>
      <c r="AI231" s="48"/>
      <c r="AK231" s="50"/>
    </row>
    <row r="232" spans="1:37" x14ac:dyDescent="0.25">
      <c r="A232" s="116" t="s">
        <v>219</v>
      </c>
      <c r="B232" s="126"/>
      <c r="C232" s="127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9">
        <v>1.65</v>
      </c>
      <c r="AH232" s="47"/>
      <c r="AI232" s="48"/>
      <c r="AK232" s="50"/>
    </row>
    <row r="233" spans="1:37" x14ac:dyDescent="0.25">
      <c r="A233" s="116" t="s">
        <v>220</v>
      </c>
      <c r="B233" s="126"/>
      <c r="C233" s="127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9">
        <v>1.5</v>
      </c>
      <c r="AH233" s="47"/>
      <c r="AI233" s="48"/>
      <c r="AK233" s="50"/>
    </row>
    <row r="234" spans="1:37" x14ac:dyDescent="0.25">
      <c r="A234" s="116" t="s">
        <v>221</v>
      </c>
      <c r="B234" s="126"/>
      <c r="C234" s="127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9">
        <v>0.998</v>
      </c>
      <c r="AH234" s="47"/>
      <c r="AI234" s="48"/>
      <c r="AK234" s="50"/>
    </row>
    <row r="235" spans="1:37" x14ac:dyDescent="0.25">
      <c r="A235" s="116" t="s">
        <v>222</v>
      </c>
      <c r="B235" s="126"/>
      <c r="C235" s="127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9">
        <v>0.997</v>
      </c>
      <c r="AH235" s="47"/>
      <c r="AI235" s="48"/>
      <c r="AK235" s="50"/>
    </row>
    <row r="236" spans="1:37" x14ac:dyDescent="0.25">
      <c r="A236" s="116" t="s">
        <v>223</v>
      </c>
      <c r="B236" s="126"/>
      <c r="C236" s="127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9">
        <v>0.997</v>
      </c>
      <c r="AH236" s="47"/>
      <c r="AI236" s="48"/>
      <c r="AK236" s="50"/>
    </row>
    <row r="237" spans="1:37" x14ac:dyDescent="0.25">
      <c r="A237" s="116" t="s">
        <v>224</v>
      </c>
      <c r="B237" s="126"/>
      <c r="C237" s="127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9">
        <v>0.996</v>
      </c>
      <c r="AH237" s="47"/>
      <c r="AI237" s="48"/>
      <c r="AK237" s="50"/>
    </row>
    <row r="238" spans="1:37" x14ac:dyDescent="0.25">
      <c r="A238" s="116" t="s">
        <v>225</v>
      </c>
      <c r="B238" s="126"/>
      <c r="C238" s="127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9">
        <v>0.996</v>
      </c>
      <c r="AH238" s="47"/>
      <c r="AI238" s="48"/>
      <c r="AK238" s="50"/>
    </row>
    <row r="239" spans="1:37" x14ac:dyDescent="0.25">
      <c r="A239" s="116" t="s">
        <v>226</v>
      </c>
      <c r="B239" s="126"/>
      <c r="C239" s="127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9">
        <v>0.996</v>
      </c>
      <c r="AH239" s="47"/>
      <c r="AI239" s="48"/>
      <c r="AK239" s="50"/>
    </row>
    <row r="240" spans="1:37" x14ac:dyDescent="0.25">
      <c r="A240" s="116" t="s">
        <v>227</v>
      </c>
      <c r="B240" s="126"/>
      <c r="C240" s="127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9">
        <v>0.995</v>
      </c>
      <c r="AH240" s="47"/>
      <c r="AI240" s="48"/>
      <c r="AK240" s="50"/>
    </row>
    <row r="241" spans="1:37" x14ac:dyDescent="0.25">
      <c r="A241" s="116" t="s">
        <v>228</v>
      </c>
      <c r="B241" s="126"/>
      <c r="C241" s="127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9">
        <v>0.99299999999999999</v>
      </c>
      <c r="AH241" s="47"/>
      <c r="AI241" s="48"/>
      <c r="AK241" s="50"/>
    </row>
    <row r="242" spans="1:37" x14ac:dyDescent="0.25">
      <c r="A242" s="116" t="s">
        <v>229</v>
      </c>
      <c r="B242" s="126"/>
      <c r="C242" s="124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9">
        <v>0.99</v>
      </c>
      <c r="AH242" s="47"/>
      <c r="AI242" s="48"/>
      <c r="AK242" s="50"/>
    </row>
    <row r="243" spans="1:37" ht="15.75" thickBot="1" x14ac:dyDescent="0.3">
      <c r="A243" s="116" t="s">
        <v>230</v>
      </c>
      <c r="B243" s="130"/>
      <c r="C243" s="131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29">
        <v>0.97899999999999998</v>
      </c>
      <c r="AH243" s="47"/>
      <c r="AI243" s="48"/>
      <c r="AK243" s="50"/>
    </row>
    <row r="244" spans="1:37" ht="15.75" thickBot="1" x14ac:dyDescent="0.3">
      <c r="A244" s="132" t="s">
        <v>231</v>
      </c>
      <c r="B244" s="133">
        <f t="shared" ref="B244:AG244" si="65">SUM(B139:B243)</f>
        <v>0</v>
      </c>
      <c r="C244" s="134">
        <f t="shared" si="65"/>
        <v>0</v>
      </c>
      <c r="D244" s="134">
        <f t="shared" si="65"/>
        <v>0</v>
      </c>
      <c r="E244" s="134">
        <f t="shared" si="65"/>
        <v>0</v>
      </c>
      <c r="F244" s="134">
        <f t="shared" si="65"/>
        <v>0</v>
      </c>
      <c r="G244" s="134">
        <f t="shared" si="65"/>
        <v>0</v>
      </c>
      <c r="H244" s="134">
        <f t="shared" si="65"/>
        <v>0</v>
      </c>
      <c r="I244" s="134">
        <f t="shared" si="65"/>
        <v>0</v>
      </c>
      <c r="J244" s="134">
        <f t="shared" si="65"/>
        <v>0</v>
      </c>
      <c r="K244" s="134">
        <f t="shared" si="65"/>
        <v>0</v>
      </c>
      <c r="L244" s="134">
        <f t="shared" si="65"/>
        <v>0</v>
      </c>
      <c r="M244" s="134">
        <f t="shared" si="65"/>
        <v>0</v>
      </c>
      <c r="N244" s="134">
        <f t="shared" si="65"/>
        <v>0</v>
      </c>
      <c r="O244" s="134">
        <f t="shared" si="65"/>
        <v>0</v>
      </c>
      <c r="P244" s="134">
        <f t="shared" si="65"/>
        <v>0</v>
      </c>
      <c r="Q244" s="134">
        <f t="shared" si="65"/>
        <v>0</v>
      </c>
      <c r="R244" s="134">
        <f t="shared" si="65"/>
        <v>0</v>
      </c>
      <c r="S244" s="134">
        <f t="shared" si="65"/>
        <v>0</v>
      </c>
      <c r="T244" s="134">
        <f t="shared" si="65"/>
        <v>0</v>
      </c>
      <c r="U244" s="134">
        <f t="shared" si="65"/>
        <v>0</v>
      </c>
      <c r="V244" s="134">
        <f t="shared" si="65"/>
        <v>0</v>
      </c>
      <c r="W244" s="134">
        <f t="shared" si="65"/>
        <v>0</v>
      </c>
      <c r="X244" s="134">
        <f t="shared" si="65"/>
        <v>0</v>
      </c>
      <c r="Y244" s="134">
        <f t="shared" si="65"/>
        <v>0</v>
      </c>
      <c r="Z244" s="134">
        <f t="shared" si="65"/>
        <v>0</v>
      </c>
      <c r="AA244" s="134">
        <f t="shared" si="65"/>
        <v>0</v>
      </c>
      <c r="AB244" s="134">
        <f t="shared" si="65"/>
        <v>0</v>
      </c>
      <c r="AC244" s="134">
        <f t="shared" si="65"/>
        <v>0</v>
      </c>
      <c r="AD244" s="134">
        <f t="shared" si="65"/>
        <v>0</v>
      </c>
      <c r="AE244" s="134">
        <f t="shared" si="65"/>
        <v>0</v>
      </c>
      <c r="AF244" s="135">
        <f t="shared" si="65"/>
        <v>0</v>
      </c>
      <c r="AG244" s="136">
        <f t="shared" si="65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19"/>
      <c r="AH245" s="47"/>
      <c r="AI245" s="48"/>
      <c r="AK245" s="50"/>
    </row>
    <row r="246" spans="1:37" x14ac:dyDescent="0.25">
      <c r="A246" s="100" t="s">
        <v>232</v>
      </c>
      <c r="B246" s="138">
        <f t="shared" ref="B246:B251" si="66">AF246</f>
        <v>0.3</v>
      </c>
      <c r="C246" s="138">
        <v>0.3</v>
      </c>
      <c r="D246" s="138">
        <f t="shared" ref="D246:S251" si="67">C246</f>
        <v>0.3</v>
      </c>
      <c r="E246" s="138">
        <f t="shared" si="67"/>
        <v>0.3</v>
      </c>
      <c r="F246" s="138">
        <f t="shared" si="67"/>
        <v>0.3</v>
      </c>
      <c r="G246" s="138">
        <f t="shared" si="67"/>
        <v>0.3</v>
      </c>
      <c r="H246" s="138">
        <f t="shared" si="67"/>
        <v>0.3</v>
      </c>
      <c r="I246" s="138">
        <f t="shared" si="67"/>
        <v>0.3</v>
      </c>
      <c r="J246" s="138">
        <f t="shared" si="67"/>
        <v>0.3</v>
      </c>
      <c r="K246" s="138">
        <f t="shared" si="67"/>
        <v>0.3</v>
      </c>
      <c r="L246" s="138">
        <f t="shared" si="67"/>
        <v>0.3</v>
      </c>
      <c r="M246" s="138">
        <f t="shared" si="67"/>
        <v>0.3</v>
      </c>
      <c r="N246" s="138">
        <f t="shared" si="67"/>
        <v>0.3</v>
      </c>
      <c r="O246" s="138">
        <f t="shared" si="67"/>
        <v>0.3</v>
      </c>
      <c r="P246" s="138">
        <f t="shared" si="67"/>
        <v>0.3</v>
      </c>
      <c r="Q246" s="138">
        <f t="shared" si="67"/>
        <v>0.3</v>
      </c>
      <c r="R246" s="138">
        <f t="shared" si="67"/>
        <v>0.3</v>
      </c>
      <c r="S246" s="138">
        <f t="shared" si="67"/>
        <v>0.3</v>
      </c>
      <c r="T246" s="138">
        <f t="shared" ref="T246:AF251" si="68">S246</f>
        <v>0.3</v>
      </c>
      <c r="U246" s="138">
        <f t="shared" si="68"/>
        <v>0.3</v>
      </c>
      <c r="V246" s="138">
        <f t="shared" si="68"/>
        <v>0.3</v>
      </c>
      <c r="W246" s="138">
        <f t="shared" si="68"/>
        <v>0.3</v>
      </c>
      <c r="X246" s="138">
        <f t="shared" si="68"/>
        <v>0.3</v>
      </c>
      <c r="Y246" s="138">
        <f t="shared" si="68"/>
        <v>0.3</v>
      </c>
      <c r="Z246" s="138">
        <f t="shared" si="68"/>
        <v>0.3</v>
      </c>
      <c r="AA246" s="138">
        <f t="shared" si="68"/>
        <v>0.3</v>
      </c>
      <c r="AB246" s="138">
        <f t="shared" si="68"/>
        <v>0.3</v>
      </c>
      <c r="AC246" s="138">
        <f t="shared" si="68"/>
        <v>0.3</v>
      </c>
      <c r="AD246" s="138">
        <f t="shared" si="68"/>
        <v>0.3</v>
      </c>
      <c r="AE246" s="138">
        <f t="shared" si="68"/>
        <v>0.3</v>
      </c>
      <c r="AF246" s="138">
        <f t="shared" si="68"/>
        <v>0.3</v>
      </c>
      <c r="AG246" s="139">
        <v>2.4</v>
      </c>
      <c r="AH246" s="47"/>
      <c r="AI246" s="48"/>
      <c r="AK246" s="50"/>
    </row>
    <row r="247" spans="1:37" x14ac:dyDescent="0.25">
      <c r="A247" s="103" t="s">
        <v>233</v>
      </c>
      <c r="B247" s="126">
        <f t="shared" si="66"/>
        <v>0.4</v>
      </c>
      <c r="C247" s="126">
        <v>0.4</v>
      </c>
      <c r="D247" s="126">
        <f t="shared" si="67"/>
        <v>0.4</v>
      </c>
      <c r="E247" s="126">
        <f t="shared" si="67"/>
        <v>0.4</v>
      </c>
      <c r="F247" s="126">
        <f t="shared" si="67"/>
        <v>0.4</v>
      </c>
      <c r="G247" s="126">
        <f t="shared" si="67"/>
        <v>0.4</v>
      </c>
      <c r="H247" s="126">
        <f t="shared" si="67"/>
        <v>0.4</v>
      </c>
      <c r="I247" s="126">
        <f t="shared" si="67"/>
        <v>0.4</v>
      </c>
      <c r="J247" s="126">
        <f t="shared" si="67"/>
        <v>0.4</v>
      </c>
      <c r="K247" s="126">
        <f t="shared" si="67"/>
        <v>0.4</v>
      </c>
      <c r="L247" s="126">
        <f t="shared" si="67"/>
        <v>0.4</v>
      </c>
      <c r="M247" s="126">
        <f t="shared" si="67"/>
        <v>0.4</v>
      </c>
      <c r="N247" s="126">
        <f t="shared" si="67"/>
        <v>0.4</v>
      </c>
      <c r="O247" s="126">
        <f t="shared" si="67"/>
        <v>0.4</v>
      </c>
      <c r="P247" s="126">
        <f t="shared" si="67"/>
        <v>0.4</v>
      </c>
      <c r="Q247" s="126">
        <f t="shared" si="67"/>
        <v>0.4</v>
      </c>
      <c r="R247" s="126">
        <f t="shared" si="67"/>
        <v>0.4</v>
      </c>
      <c r="S247" s="126">
        <f t="shared" si="67"/>
        <v>0.4</v>
      </c>
      <c r="T247" s="126">
        <f t="shared" si="68"/>
        <v>0.4</v>
      </c>
      <c r="U247" s="126">
        <f t="shared" si="68"/>
        <v>0.4</v>
      </c>
      <c r="V247" s="126">
        <f t="shared" si="68"/>
        <v>0.4</v>
      </c>
      <c r="W247" s="126">
        <f t="shared" si="68"/>
        <v>0.4</v>
      </c>
      <c r="X247" s="126">
        <f t="shared" si="68"/>
        <v>0.4</v>
      </c>
      <c r="Y247" s="126">
        <f t="shared" si="68"/>
        <v>0.4</v>
      </c>
      <c r="Z247" s="126">
        <f t="shared" si="68"/>
        <v>0.4</v>
      </c>
      <c r="AA247" s="126">
        <f t="shared" si="68"/>
        <v>0.4</v>
      </c>
      <c r="AB247" s="126">
        <f t="shared" si="68"/>
        <v>0.4</v>
      </c>
      <c r="AC247" s="126">
        <f t="shared" si="68"/>
        <v>0.4</v>
      </c>
      <c r="AD247" s="126">
        <f t="shared" si="68"/>
        <v>0.4</v>
      </c>
      <c r="AE247" s="126">
        <f t="shared" si="68"/>
        <v>0.4</v>
      </c>
      <c r="AF247" s="126">
        <f t="shared" si="68"/>
        <v>0.4</v>
      </c>
      <c r="AG247" s="140">
        <v>2</v>
      </c>
      <c r="AH247" s="47"/>
      <c r="AI247" s="48"/>
      <c r="AK247" s="50"/>
    </row>
    <row r="248" spans="1:37" x14ac:dyDescent="0.25">
      <c r="A248" s="103" t="s">
        <v>234</v>
      </c>
      <c r="B248" s="126">
        <f t="shared" si="66"/>
        <v>1.5</v>
      </c>
      <c r="C248" s="126">
        <v>1.5</v>
      </c>
      <c r="D248" s="126">
        <f t="shared" si="67"/>
        <v>1.5</v>
      </c>
      <c r="E248" s="126">
        <f t="shared" si="67"/>
        <v>1.5</v>
      </c>
      <c r="F248" s="126">
        <f t="shared" si="67"/>
        <v>1.5</v>
      </c>
      <c r="G248" s="126">
        <f t="shared" si="67"/>
        <v>1.5</v>
      </c>
      <c r="H248" s="126">
        <f t="shared" si="67"/>
        <v>1.5</v>
      </c>
      <c r="I248" s="126">
        <f t="shared" si="67"/>
        <v>1.5</v>
      </c>
      <c r="J248" s="126">
        <f t="shared" si="67"/>
        <v>1.5</v>
      </c>
      <c r="K248" s="126">
        <f t="shared" si="67"/>
        <v>1.5</v>
      </c>
      <c r="L248" s="126">
        <f t="shared" si="67"/>
        <v>1.5</v>
      </c>
      <c r="M248" s="126">
        <f t="shared" si="67"/>
        <v>1.5</v>
      </c>
      <c r="N248" s="126">
        <f t="shared" si="67"/>
        <v>1.5</v>
      </c>
      <c r="O248" s="126">
        <f t="shared" si="67"/>
        <v>1.5</v>
      </c>
      <c r="P248" s="126">
        <f t="shared" si="67"/>
        <v>1.5</v>
      </c>
      <c r="Q248" s="126">
        <f t="shared" si="67"/>
        <v>1.5</v>
      </c>
      <c r="R248" s="126">
        <f t="shared" si="67"/>
        <v>1.5</v>
      </c>
      <c r="S248" s="126">
        <f t="shared" si="67"/>
        <v>1.5</v>
      </c>
      <c r="T248" s="126">
        <f t="shared" si="68"/>
        <v>1.5</v>
      </c>
      <c r="U248" s="126">
        <f t="shared" si="68"/>
        <v>1.5</v>
      </c>
      <c r="V248" s="126">
        <f t="shared" si="68"/>
        <v>1.5</v>
      </c>
      <c r="W248" s="126">
        <f t="shared" si="68"/>
        <v>1.5</v>
      </c>
      <c r="X248" s="126">
        <f t="shared" si="68"/>
        <v>1.5</v>
      </c>
      <c r="Y248" s="126">
        <f t="shared" si="68"/>
        <v>1.5</v>
      </c>
      <c r="Z248" s="126">
        <f t="shared" si="68"/>
        <v>1.5</v>
      </c>
      <c r="AA248" s="126">
        <f t="shared" si="68"/>
        <v>1.5</v>
      </c>
      <c r="AB248" s="126">
        <f t="shared" si="68"/>
        <v>1.5</v>
      </c>
      <c r="AC248" s="126">
        <f t="shared" si="68"/>
        <v>1.5</v>
      </c>
      <c r="AD248" s="126">
        <f t="shared" si="68"/>
        <v>1.5</v>
      </c>
      <c r="AE248" s="126">
        <f t="shared" si="68"/>
        <v>1.5</v>
      </c>
      <c r="AF248" s="126">
        <f t="shared" si="68"/>
        <v>1.5</v>
      </c>
      <c r="AG248" s="140">
        <v>1.5</v>
      </c>
      <c r="AH248" s="47"/>
      <c r="AI248" s="48"/>
      <c r="AK248" s="50"/>
    </row>
    <row r="249" spans="1:37" x14ac:dyDescent="0.25">
      <c r="A249" s="103" t="s">
        <v>235</v>
      </c>
      <c r="B249" s="126">
        <f t="shared" si="66"/>
        <v>0.3</v>
      </c>
      <c r="C249" s="126">
        <v>0.3</v>
      </c>
      <c r="D249" s="126">
        <f t="shared" si="67"/>
        <v>0.3</v>
      </c>
      <c r="E249" s="126">
        <f t="shared" si="67"/>
        <v>0.3</v>
      </c>
      <c r="F249" s="126">
        <f t="shared" si="67"/>
        <v>0.3</v>
      </c>
      <c r="G249" s="126">
        <f t="shared" si="67"/>
        <v>0.3</v>
      </c>
      <c r="H249" s="126">
        <f t="shared" si="67"/>
        <v>0.3</v>
      </c>
      <c r="I249" s="126">
        <f t="shared" si="67"/>
        <v>0.3</v>
      </c>
      <c r="J249" s="126">
        <f t="shared" si="67"/>
        <v>0.3</v>
      </c>
      <c r="K249" s="126">
        <f t="shared" si="67"/>
        <v>0.3</v>
      </c>
      <c r="L249" s="126">
        <f t="shared" si="67"/>
        <v>0.3</v>
      </c>
      <c r="M249" s="126">
        <f t="shared" si="67"/>
        <v>0.3</v>
      </c>
      <c r="N249" s="126">
        <f t="shared" si="67"/>
        <v>0.3</v>
      </c>
      <c r="O249" s="126">
        <f t="shared" si="67"/>
        <v>0.3</v>
      </c>
      <c r="P249" s="126">
        <f t="shared" si="67"/>
        <v>0.3</v>
      </c>
      <c r="Q249" s="126">
        <f t="shared" si="67"/>
        <v>0.3</v>
      </c>
      <c r="R249" s="126">
        <f t="shared" si="67"/>
        <v>0.3</v>
      </c>
      <c r="S249" s="126">
        <f t="shared" si="67"/>
        <v>0.3</v>
      </c>
      <c r="T249" s="126">
        <f t="shared" si="68"/>
        <v>0.3</v>
      </c>
      <c r="U249" s="126">
        <f t="shared" si="68"/>
        <v>0.3</v>
      </c>
      <c r="V249" s="126">
        <f t="shared" si="68"/>
        <v>0.3</v>
      </c>
      <c r="W249" s="126">
        <f t="shared" si="68"/>
        <v>0.3</v>
      </c>
      <c r="X249" s="126">
        <f t="shared" si="68"/>
        <v>0.3</v>
      </c>
      <c r="Y249" s="126">
        <f t="shared" si="68"/>
        <v>0.3</v>
      </c>
      <c r="Z249" s="126">
        <f t="shared" si="68"/>
        <v>0.3</v>
      </c>
      <c r="AA249" s="126">
        <f t="shared" si="68"/>
        <v>0.3</v>
      </c>
      <c r="AB249" s="126">
        <f t="shared" si="68"/>
        <v>0.3</v>
      </c>
      <c r="AC249" s="126">
        <f t="shared" si="68"/>
        <v>0.3</v>
      </c>
      <c r="AD249" s="126">
        <f t="shared" si="68"/>
        <v>0.3</v>
      </c>
      <c r="AE249" s="126">
        <f t="shared" si="68"/>
        <v>0.3</v>
      </c>
      <c r="AF249" s="126">
        <f t="shared" si="68"/>
        <v>0.3</v>
      </c>
      <c r="AG249" s="140">
        <v>1</v>
      </c>
      <c r="AH249" s="47"/>
      <c r="AI249" s="48"/>
      <c r="AK249" s="50"/>
    </row>
    <row r="250" spans="1:37" x14ac:dyDescent="0.25">
      <c r="A250" s="103" t="s">
        <v>236</v>
      </c>
      <c r="B250" s="126">
        <f t="shared" si="66"/>
        <v>0.4</v>
      </c>
      <c r="C250" s="126">
        <v>0.4</v>
      </c>
      <c r="D250" s="126">
        <f t="shared" si="67"/>
        <v>0.4</v>
      </c>
      <c r="E250" s="126">
        <f t="shared" si="67"/>
        <v>0.4</v>
      </c>
      <c r="F250" s="126">
        <f t="shared" si="67"/>
        <v>0.4</v>
      </c>
      <c r="G250" s="126">
        <f t="shared" si="67"/>
        <v>0.4</v>
      </c>
      <c r="H250" s="126">
        <f t="shared" si="67"/>
        <v>0.4</v>
      </c>
      <c r="I250" s="126">
        <f t="shared" si="67"/>
        <v>0.4</v>
      </c>
      <c r="J250" s="126">
        <f t="shared" si="67"/>
        <v>0.4</v>
      </c>
      <c r="K250" s="126">
        <f t="shared" si="67"/>
        <v>0.4</v>
      </c>
      <c r="L250" s="126">
        <f t="shared" si="67"/>
        <v>0.4</v>
      </c>
      <c r="M250" s="126">
        <f t="shared" si="67"/>
        <v>0.4</v>
      </c>
      <c r="N250" s="126">
        <f t="shared" si="67"/>
        <v>0.4</v>
      </c>
      <c r="O250" s="126">
        <f t="shared" si="67"/>
        <v>0.4</v>
      </c>
      <c r="P250" s="126">
        <f t="shared" si="67"/>
        <v>0.4</v>
      </c>
      <c r="Q250" s="126">
        <f t="shared" si="67"/>
        <v>0.4</v>
      </c>
      <c r="R250" s="126">
        <f t="shared" si="67"/>
        <v>0.4</v>
      </c>
      <c r="S250" s="126">
        <f t="shared" si="67"/>
        <v>0.4</v>
      </c>
      <c r="T250" s="126">
        <f t="shared" si="68"/>
        <v>0.4</v>
      </c>
      <c r="U250" s="126">
        <f t="shared" si="68"/>
        <v>0.4</v>
      </c>
      <c r="V250" s="126">
        <f t="shared" si="68"/>
        <v>0.4</v>
      </c>
      <c r="W250" s="126">
        <f t="shared" si="68"/>
        <v>0.4</v>
      </c>
      <c r="X250" s="126">
        <f t="shared" si="68"/>
        <v>0.4</v>
      </c>
      <c r="Y250" s="126">
        <f t="shared" si="68"/>
        <v>0.4</v>
      </c>
      <c r="Z250" s="126">
        <f t="shared" si="68"/>
        <v>0.4</v>
      </c>
      <c r="AA250" s="126">
        <f t="shared" si="68"/>
        <v>0.4</v>
      </c>
      <c r="AB250" s="126">
        <f t="shared" si="68"/>
        <v>0.4</v>
      </c>
      <c r="AC250" s="126">
        <f t="shared" si="68"/>
        <v>0.4</v>
      </c>
      <c r="AD250" s="126">
        <f t="shared" si="68"/>
        <v>0.4</v>
      </c>
      <c r="AE250" s="126">
        <f t="shared" si="68"/>
        <v>0.4</v>
      </c>
      <c r="AF250" s="126">
        <f t="shared" si="68"/>
        <v>0.4</v>
      </c>
      <c r="AG250" s="140">
        <v>1</v>
      </c>
      <c r="AH250" s="47"/>
      <c r="AI250" s="48"/>
      <c r="AK250" s="50"/>
    </row>
    <row r="251" spans="1:37" ht="15.75" thickBot="1" x14ac:dyDescent="0.3">
      <c r="A251" s="116" t="s">
        <v>237</v>
      </c>
      <c r="B251" s="130">
        <f t="shared" si="66"/>
        <v>0.64</v>
      </c>
      <c r="C251" s="130">
        <v>0.64</v>
      </c>
      <c r="D251" s="130">
        <f t="shared" si="67"/>
        <v>0.64</v>
      </c>
      <c r="E251" s="130">
        <f t="shared" si="67"/>
        <v>0.64</v>
      </c>
      <c r="F251" s="130">
        <f t="shared" si="67"/>
        <v>0.64</v>
      </c>
      <c r="G251" s="130">
        <f t="shared" si="67"/>
        <v>0.64</v>
      </c>
      <c r="H251" s="130">
        <f t="shared" si="67"/>
        <v>0.64</v>
      </c>
      <c r="I251" s="130">
        <f t="shared" si="67"/>
        <v>0.64</v>
      </c>
      <c r="J251" s="130">
        <f t="shared" si="67"/>
        <v>0.64</v>
      </c>
      <c r="K251" s="130">
        <f t="shared" si="67"/>
        <v>0.64</v>
      </c>
      <c r="L251" s="130">
        <f t="shared" si="67"/>
        <v>0.64</v>
      </c>
      <c r="M251" s="130">
        <f t="shared" si="67"/>
        <v>0.64</v>
      </c>
      <c r="N251" s="130">
        <f t="shared" si="67"/>
        <v>0.64</v>
      </c>
      <c r="O251" s="130">
        <f t="shared" si="67"/>
        <v>0.64</v>
      </c>
      <c r="P251" s="130">
        <f t="shared" si="67"/>
        <v>0.64</v>
      </c>
      <c r="Q251" s="130">
        <f t="shared" si="67"/>
        <v>0.64</v>
      </c>
      <c r="R251" s="130">
        <f t="shared" si="67"/>
        <v>0.64</v>
      </c>
      <c r="S251" s="130">
        <f t="shared" si="67"/>
        <v>0.64</v>
      </c>
      <c r="T251" s="130">
        <f t="shared" si="68"/>
        <v>0.64</v>
      </c>
      <c r="U251" s="130">
        <f t="shared" si="68"/>
        <v>0.64</v>
      </c>
      <c r="V251" s="130">
        <f t="shared" si="68"/>
        <v>0.64</v>
      </c>
      <c r="W251" s="130">
        <f t="shared" si="68"/>
        <v>0.64</v>
      </c>
      <c r="X251" s="130">
        <f t="shared" si="68"/>
        <v>0.64</v>
      </c>
      <c r="Y251" s="130">
        <f t="shared" si="68"/>
        <v>0.64</v>
      </c>
      <c r="Z251" s="130">
        <f t="shared" si="68"/>
        <v>0.64</v>
      </c>
      <c r="AA251" s="130">
        <f t="shared" si="68"/>
        <v>0.64</v>
      </c>
      <c r="AB251" s="130">
        <f t="shared" si="68"/>
        <v>0.64</v>
      </c>
      <c r="AC251" s="130">
        <f t="shared" si="68"/>
        <v>0.64</v>
      </c>
      <c r="AD251" s="130">
        <f t="shared" si="68"/>
        <v>0.64</v>
      </c>
      <c r="AE251" s="130">
        <f t="shared" si="68"/>
        <v>0.64</v>
      </c>
      <c r="AF251" s="130">
        <f t="shared" si="68"/>
        <v>0.64</v>
      </c>
      <c r="AG251" s="141">
        <v>0.66</v>
      </c>
      <c r="AH251" s="47"/>
      <c r="AI251" s="48"/>
    </row>
    <row r="252" spans="1:37" ht="15.75" thickBot="1" x14ac:dyDescent="0.3">
      <c r="A252" s="142" t="s">
        <v>75</v>
      </c>
      <c r="B252" s="134">
        <f t="shared" ref="B252:AG252" si="69">SUM(B246:B251)</f>
        <v>3.54</v>
      </c>
      <c r="C252" s="134">
        <f t="shared" si="69"/>
        <v>3.54</v>
      </c>
      <c r="D252" s="134">
        <f t="shared" si="69"/>
        <v>3.54</v>
      </c>
      <c r="E252" s="134">
        <f t="shared" si="69"/>
        <v>3.54</v>
      </c>
      <c r="F252" s="134">
        <f t="shared" si="69"/>
        <v>3.54</v>
      </c>
      <c r="G252" s="134">
        <f t="shared" si="69"/>
        <v>3.54</v>
      </c>
      <c r="H252" s="134">
        <f t="shared" si="69"/>
        <v>3.54</v>
      </c>
      <c r="I252" s="134">
        <f t="shared" si="69"/>
        <v>3.54</v>
      </c>
      <c r="J252" s="134">
        <f t="shared" si="69"/>
        <v>3.54</v>
      </c>
      <c r="K252" s="134">
        <f t="shared" si="69"/>
        <v>3.54</v>
      </c>
      <c r="L252" s="134">
        <f t="shared" si="69"/>
        <v>3.54</v>
      </c>
      <c r="M252" s="134">
        <f t="shared" si="69"/>
        <v>3.54</v>
      </c>
      <c r="N252" s="134">
        <f t="shared" si="69"/>
        <v>3.54</v>
      </c>
      <c r="O252" s="134">
        <f t="shared" si="69"/>
        <v>3.54</v>
      </c>
      <c r="P252" s="134">
        <f t="shared" si="69"/>
        <v>3.54</v>
      </c>
      <c r="Q252" s="134">
        <f t="shared" si="69"/>
        <v>3.54</v>
      </c>
      <c r="R252" s="134">
        <f t="shared" si="69"/>
        <v>3.54</v>
      </c>
      <c r="S252" s="134">
        <f t="shared" si="69"/>
        <v>3.54</v>
      </c>
      <c r="T252" s="134">
        <f t="shared" si="69"/>
        <v>3.54</v>
      </c>
      <c r="U252" s="134">
        <f t="shared" si="69"/>
        <v>3.54</v>
      </c>
      <c r="V252" s="134">
        <f t="shared" si="69"/>
        <v>3.54</v>
      </c>
      <c r="W252" s="134">
        <f t="shared" si="69"/>
        <v>3.54</v>
      </c>
      <c r="X252" s="134">
        <f t="shared" si="69"/>
        <v>3.54</v>
      </c>
      <c r="Y252" s="134">
        <f t="shared" si="69"/>
        <v>3.54</v>
      </c>
      <c r="Z252" s="134">
        <f t="shared" si="69"/>
        <v>3.54</v>
      </c>
      <c r="AA252" s="134">
        <f t="shared" si="69"/>
        <v>3.54</v>
      </c>
      <c r="AB252" s="134">
        <f t="shared" si="69"/>
        <v>3.54</v>
      </c>
      <c r="AC252" s="134">
        <f t="shared" si="69"/>
        <v>3.54</v>
      </c>
      <c r="AD252" s="134">
        <f t="shared" si="69"/>
        <v>3.54</v>
      </c>
      <c r="AE252" s="134">
        <f t="shared" si="69"/>
        <v>3.54</v>
      </c>
      <c r="AF252" s="134">
        <f t="shared" si="69"/>
        <v>3.54</v>
      </c>
      <c r="AG252" s="143">
        <f t="shared" si="69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37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54" t="s">
        <v>243</v>
      </c>
      <c r="B256" s="155">
        <f>MAX(G99:N99)</f>
        <v>1888.64</v>
      </c>
      <c r="C256" s="156">
        <f>INDEX(G9:N9,1,MATCH(MAX(G99:N99),G99:N99,0))</f>
        <v>0.33333333333333331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50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157" t="str">
        <f ca="1">MID(CELL("filename",C7),FIND("]",CELL("filename",C7))+1,600)</f>
        <v>12</v>
      </c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50" x14ac:dyDescent="0.25">
      <c r="A258" s="257" t="s">
        <v>244</v>
      </c>
      <c r="B258" s="257"/>
      <c r="C258" s="43"/>
      <c r="D258" s="157" t="str">
        <f ca="1">"Pie Chart of Daily Peak Demand(Inclusive of Export) of Nepal ("&amp;A4&amp;" "&amp;B4&amp;")"</f>
        <v>Pie Chart of Daily Peak Demand(Inclusive of Export) of Nepal (Nepali Date: 2080/10/12)</v>
      </c>
      <c r="E258" s="43"/>
      <c r="F258" s="43"/>
      <c r="G258" s="157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157" t="str">
        <f ca="1">"Daily Load Curve(Excluding of Export) of Nepal ("&amp;A4&amp;" "&amp;B4&amp;")"</f>
        <v>Daily Load Curve(Excluding of Export) of Nepal (Nepali Date: 2080/10/12)</v>
      </c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50" ht="12.75" customHeight="1" thickBot="1" x14ac:dyDescent="0.3">
      <c r="A259" s="158" t="s">
        <v>7</v>
      </c>
      <c r="B259" s="159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50" ht="15.75" thickTop="1" x14ac:dyDescent="0.25">
      <c r="A260" s="158" t="s">
        <v>245</v>
      </c>
      <c r="B260" s="15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160" t="s">
        <v>246</v>
      </c>
      <c r="T260" s="161">
        <v>0</v>
      </c>
      <c r="U260" s="162">
        <v>4.1666666666666664E-2</v>
      </c>
      <c r="V260" s="163">
        <v>8.3333333333333301E-2</v>
      </c>
      <c r="W260" s="163">
        <v>0.125</v>
      </c>
      <c r="X260" s="163">
        <v>0.16666666666666699</v>
      </c>
      <c r="Y260" s="163">
        <v>0.20833333333333301</v>
      </c>
      <c r="Z260" s="163">
        <v>0.22916666666666666</v>
      </c>
      <c r="AA260" s="163">
        <v>0.25</v>
      </c>
      <c r="AB260" s="163">
        <v>0.27083333333333331</v>
      </c>
      <c r="AC260" s="163">
        <v>0.29166666666666669</v>
      </c>
      <c r="AD260" s="163">
        <v>0.3125</v>
      </c>
      <c r="AE260" s="164">
        <v>0.33333333333333331</v>
      </c>
      <c r="AF260" s="164">
        <v>0.375</v>
      </c>
      <c r="AG260" s="164">
        <v>0.41666666666666702</v>
      </c>
      <c r="AH260" s="164">
        <v>0.45833333333333298</v>
      </c>
      <c r="AI260" s="164">
        <v>0.5</v>
      </c>
      <c r="AJ260" s="164">
        <v>0.54166666666666696</v>
      </c>
      <c r="AK260" s="164">
        <v>0.58333333333333304</v>
      </c>
      <c r="AL260" s="164">
        <v>0.625</v>
      </c>
      <c r="AM260" s="164">
        <v>0.66666666666666696</v>
      </c>
      <c r="AN260" s="164">
        <v>0.70833333333333304</v>
      </c>
      <c r="AO260" s="164">
        <v>0.72916666666666663</v>
      </c>
      <c r="AP260" s="164">
        <v>0.75</v>
      </c>
      <c r="AQ260" s="164">
        <v>0.77083333333333337</v>
      </c>
      <c r="AR260" s="164">
        <v>0.79166666666666663</v>
      </c>
      <c r="AS260" s="164">
        <v>0.8125</v>
      </c>
      <c r="AT260" s="163">
        <v>0.83333333333333337</v>
      </c>
      <c r="AU260" s="163">
        <v>0.85416666666666663</v>
      </c>
      <c r="AV260" s="163">
        <v>0.875</v>
      </c>
      <c r="AW260" s="163">
        <v>0.91666666666666696</v>
      </c>
      <c r="AX260" s="163">
        <v>0.95833333333333304</v>
      </c>
    </row>
    <row r="261" spans="1:50" x14ac:dyDescent="0.25">
      <c r="A261" s="158" t="s">
        <v>247</v>
      </c>
      <c r="B261" s="15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 t="s">
        <v>248</v>
      </c>
      <c r="T261" s="165">
        <f t="shared" ref="T261:AX261" si="70">B99</f>
        <v>1238.3400000000001</v>
      </c>
      <c r="U261" s="165">
        <f t="shared" si="70"/>
        <v>1208.2399999999998</v>
      </c>
      <c r="V261" s="165">
        <f t="shared" si="70"/>
        <v>1184.24</v>
      </c>
      <c r="W261" s="165">
        <f t="shared" si="70"/>
        <v>1202.3400000000001</v>
      </c>
      <c r="X261" s="165">
        <f t="shared" si="70"/>
        <v>1185.94</v>
      </c>
      <c r="Y261" s="165">
        <f t="shared" si="70"/>
        <v>1255.24</v>
      </c>
      <c r="Z261" s="165">
        <f t="shared" si="70"/>
        <v>1340.0400000000002</v>
      </c>
      <c r="AA261" s="165">
        <f t="shared" si="70"/>
        <v>1495.74</v>
      </c>
      <c r="AB261" s="165">
        <f t="shared" si="70"/>
        <v>1546.3400000000001</v>
      </c>
      <c r="AC261" s="165">
        <f t="shared" si="70"/>
        <v>1758.64</v>
      </c>
      <c r="AD261" s="165">
        <f t="shared" si="70"/>
        <v>1804.3400000000001</v>
      </c>
      <c r="AE261" s="165">
        <f t="shared" si="70"/>
        <v>1888.64</v>
      </c>
      <c r="AF261" s="165">
        <f t="shared" si="70"/>
        <v>1740.04</v>
      </c>
      <c r="AG261" s="165">
        <f t="shared" si="70"/>
        <v>1703.6399999999999</v>
      </c>
      <c r="AH261" s="165">
        <f t="shared" si="70"/>
        <v>1681.1399999999999</v>
      </c>
      <c r="AI261" s="165">
        <f t="shared" si="70"/>
        <v>1600.24</v>
      </c>
      <c r="AJ261" s="165">
        <f t="shared" si="70"/>
        <v>1558.64</v>
      </c>
      <c r="AK261" s="165">
        <f t="shared" si="70"/>
        <v>1587.6399999999999</v>
      </c>
      <c r="AL261" s="165">
        <f t="shared" si="70"/>
        <v>1579.84</v>
      </c>
      <c r="AM261" s="165">
        <f t="shared" si="70"/>
        <v>1570.94</v>
      </c>
      <c r="AN261" s="165">
        <f t="shared" si="70"/>
        <v>1576.7399999999998</v>
      </c>
      <c r="AO261" s="165">
        <f t="shared" si="70"/>
        <v>1676.34</v>
      </c>
      <c r="AP261" s="165">
        <f t="shared" si="70"/>
        <v>2000.68</v>
      </c>
      <c r="AQ261" s="165">
        <f t="shared" si="70"/>
        <v>2030.239</v>
      </c>
      <c r="AR261" s="165">
        <f t="shared" si="70"/>
        <v>2001.739</v>
      </c>
      <c r="AS261" s="165">
        <f t="shared" si="70"/>
        <v>1982.54</v>
      </c>
      <c r="AT261" s="165">
        <f t="shared" si="70"/>
        <v>1915.1399999999999</v>
      </c>
      <c r="AU261" s="165">
        <f t="shared" si="70"/>
        <v>1824.94</v>
      </c>
      <c r="AV261" s="165">
        <f t="shared" si="70"/>
        <v>1703.3400000000001</v>
      </c>
      <c r="AW261" s="165">
        <f t="shared" si="70"/>
        <v>1456.3400000000001</v>
      </c>
      <c r="AX261" s="165">
        <f t="shared" si="70"/>
        <v>1328.74</v>
      </c>
    </row>
    <row r="262" spans="1:50" x14ac:dyDescent="0.25">
      <c r="A262" s="158" t="s">
        <v>249</v>
      </c>
      <c r="B262" s="15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50" x14ac:dyDescent="0.25">
      <c r="A263" s="158" t="s">
        <v>250</v>
      </c>
      <c r="B263" s="15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50" x14ac:dyDescent="0.25">
      <c r="A264" s="158" t="s">
        <v>251</v>
      </c>
      <c r="B264" s="15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50" x14ac:dyDescent="0.25">
      <c r="A265" s="158" t="s">
        <v>252</v>
      </c>
      <c r="B265" s="166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50" x14ac:dyDescent="0.25">
      <c r="A266" s="158" t="s">
        <v>253</v>
      </c>
      <c r="B266" s="15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50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50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50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50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50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50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1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1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1:34" x14ac:dyDescent="0.25">
      <c r="A282" s="167" t="s">
        <v>238</v>
      </c>
      <c r="B282" s="168">
        <f t="shared" ref="B282:AE282" si="71">C251</f>
        <v>0.64</v>
      </c>
      <c r="C282" s="168">
        <f t="shared" si="71"/>
        <v>0.64</v>
      </c>
      <c r="D282" s="168">
        <f t="shared" si="71"/>
        <v>0.64</v>
      </c>
      <c r="E282" s="168">
        <f t="shared" si="71"/>
        <v>0.64</v>
      </c>
      <c r="F282" s="168">
        <f t="shared" si="71"/>
        <v>0.64</v>
      </c>
      <c r="G282" s="168">
        <f t="shared" si="71"/>
        <v>0.64</v>
      </c>
      <c r="H282" s="168">
        <f t="shared" si="71"/>
        <v>0.64</v>
      </c>
      <c r="I282" s="168">
        <f t="shared" si="71"/>
        <v>0.64</v>
      </c>
      <c r="J282" s="168">
        <f t="shared" si="71"/>
        <v>0.64</v>
      </c>
      <c r="K282" s="168">
        <f t="shared" si="71"/>
        <v>0.64</v>
      </c>
      <c r="L282" s="168">
        <f t="shared" si="71"/>
        <v>0.64</v>
      </c>
      <c r="M282" s="168">
        <f t="shared" si="71"/>
        <v>0.64</v>
      </c>
      <c r="N282" s="168">
        <f t="shared" si="71"/>
        <v>0.64</v>
      </c>
      <c r="O282" s="168">
        <f t="shared" si="71"/>
        <v>0.64</v>
      </c>
      <c r="P282" s="168">
        <f t="shared" si="71"/>
        <v>0.64</v>
      </c>
      <c r="Q282" s="168">
        <f t="shared" si="71"/>
        <v>0.64</v>
      </c>
      <c r="R282" s="168">
        <f t="shared" si="71"/>
        <v>0.64</v>
      </c>
      <c r="S282" s="168">
        <f t="shared" si="71"/>
        <v>0.64</v>
      </c>
      <c r="T282" s="168">
        <f t="shared" si="71"/>
        <v>0.64</v>
      </c>
      <c r="U282" s="168">
        <f t="shared" si="71"/>
        <v>0.64</v>
      </c>
      <c r="V282" s="168">
        <f t="shared" si="71"/>
        <v>0.64</v>
      </c>
      <c r="W282" s="168">
        <f t="shared" si="71"/>
        <v>0.64</v>
      </c>
      <c r="X282" s="168">
        <f t="shared" si="71"/>
        <v>0.64</v>
      </c>
      <c r="Y282" s="168">
        <f t="shared" si="71"/>
        <v>0.64</v>
      </c>
      <c r="Z282" s="168">
        <f t="shared" si="71"/>
        <v>0.64</v>
      </c>
      <c r="AA282" s="168">
        <f t="shared" si="71"/>
        <v>0.64</v>
      </c>
      <c r="AB282" s="168">
        <f t="shared" si="71"/>
        <v>0.64</v>
      </c>
      <c r="AC282" s="168">
        <f t="shared" si="71"/>
        <v>0.64</v>
      </c>
      <c r="AD282" s="168">
        <f t="shared" si="71"/>
        <v>0.64</v>
      </c>
      <c r="AE282" s="168">
        <f t="shared" si="71"/>
        <v>0.64</v>
      </c>
      <c r="AF282" s="168">
        <f>B251</f>
        <v>0.64</v>
      </c>
      <c r="AG282" s="43"/>
      <c r="AH282" s="43"/>
    </row>
    <row r="283" spans="1:34" x14ac:dyDescent="0.25">
      <c r="A283" s="169" t="e">
        <f>#REF!</f>
        <v>#REF!</v>
      </c>
      <c r="B283" s="169" t="e">
        <f>IF(#REF!&lt;100,"",#REF!-520)</f>
        <v>#REF!</v>
      </c>
      <c r="C283" s="169" t="e">
        <f>IF(#REF!&lt;100,"",#REF!-520)</f>
        <v>#REF!</v>
      </c>
      <c r="D283" s="169" t="e">
        <f>IF(#REF!&lt;100,"",#REF!-520)</f>
        <v>#REF!</v>
      </c>
      <c r="E283" s="169" t="e">
        <f>IF(#REF!&lt;100,"",#REF!-520)</f>
        <v>#REF!</v>
      </c>
      <c r="F283" s="169" t="e">
        <f>IF(#REF!&lt;100,"",#REF!-520)</f>
        <v>#REF!</v>
      </c>
      <c r="G283" s="169" t="e">
        <f>IF(#REF!&lt;100,"",#REF!-520)</f>
        <v>#REF!</v>
      </c>
      <c r="H283" s="169" t="e">
        <f>IF(#REF!&lt;100,"",#REF!-520)</f>
        <v>#REF!</v>
      </c>
      <c r="I283" s="169" t="e">
        <f>IF(#REF!&lt;100,"",#REF!-520)</f>
        <v>#REF!</v>
      </c>
      <c r="J283" s="169" t="e">
        <f>IF(#REF!&lt;100,"",#REF!-520)</f>
        <v>#REF!</v>
      </c>
      <c r="K283" s="169" t="e">
        <f>IF(#REF!&lt;100,"",#REF!-520)</f>
        <v>#REF!</v>
      </c>
      <c r="L283" s="169" t="e">
        <f>IF(#REF!&lt;100,"",#REF!-520)</f>
        <v>#REF!</v>
      </c>
      <c r="M283" s="169" t="e">
        <f>IF(#REF!&lt;100,"",#REF!-520)</f>
        <v>#REF!</v>
      </c>
      <c r="N283" s="169" t="e">
        <f>IF(#REF!&lt;100,"",#REF!-520)</f>
        <v>#REF!</v>
      </c>
      <c r="O283" s="169" t="e">
        <f>IF(#REF!&lt;100,"",#REF!-520)</f>
        <v>#REF!</v>
      </c>
      <c r="P283" s="169" t="e">
        <f>IF(#REF!&lt;100,"",#REF!-520)</f>
        <v>#REF!</v>
      </c>
      <c r="Q283" s="169" t="e">
        <f>IF(#REF!&lt;100,"",#REF!-520)</f>
        <v>#REF!</v>
      </c>
      <c r="R283" s="169" t="e">
        <f>IF(#REF!&lt;100,"",#REF!-520)</f>
        <v>#REF!</v>
      </c>
      <c r="S283" s="169" t="e">
        <f>IF(#REF!&lt;100,"",#REF!-520)</f>
        <v>#REF!</v>
      </c>
      <c r="T283" s="169" t="e">
        <f>IF(#REF!&lt;100,"",#REF!-520)</f>
        <v>#REF!</v>
      </c>
      <c r="U283" s="169" t="e">
        <f>IF(#REF!&lt;100,"",#REF!-520)</f>
        <v>#REF!</v>
      </c>
      <c r="V283" s="169" t="e">
        <f>IF(#REF!&lt;100,"",#REF!-520)</f>
        <v>#REF!</v>
      </c>
      <c r="W283" s="169" t="e">
        <f>IF(#REF!&lt;100,"",#REF!-520)</f>
        <v>#REF!</v>
      </c>
      <c r="X283" s="169" t="e">
        <f>IF(#REF!&lt;100,"",#REF!-520)</f>
        <v>#REF!</v>
      </c>
      <c r="Y283" s="169" t="e">
        <f>IF(#REF!&lt;100,"",#REF!-520)</f>
        <v>#REF!</v>
      </c>
      <c r="Z283" s="169" t="e">
        <f>IF(#REF!&lt;100,"",#REF!-520)</f>
        <v>#REF!</v>
      </c>
      <c r="AA283" s="169" t="e">
        <f>IF(#REF!&lt;100,"",#REF!-520)</f>
        <v>#REF!</v>
      </c>
      <c r="AB283" s="169" t="e">
        <f>IF(#REF!&lt;100,"",#REF!-520)</f>
        <v>#REF!</v>
      </c>
      <c r="AC283" s="169" t="e">
        <f>IF(#REF!&lt;100,"",#REF!-520)</f>
        <v>#REF!</v>
      </c>
      <c r="AD283" s="169" t="e">
        <f>IF(#REF!&lt;100,"",#REF!-520)</f>
        <v>#REF!</v>
      </c>
      <c r="AE283" s="169" t="e">
        <f>IF(#REF!&lt;100,"",#REF!-520)</f>
        <v>#REF!</v>
      </c>
      <c r="AF283" s="169" t="e">
        <f>IF(#REF!&lt;100,"",#REF!-520)</f>
        <v>#REF!</v>
      </c>
      <c r="AG283" s="43"/>
      <c r="AH283" s="43"/>
    </row>
    <row r="284" spans="1:34" x14ac:dyDescent="0.25">
      <c r="A284" s="169" t="e">
        <f>#REF!</f>
        <v>#REF!</v>
      </c>
      <c r="B284" s="169" t="e">
        <f>IF(#REF!&lt;100,"",#REF!-620)</f>
        <v>#REF!</v>
      </c>
      <c r="C284" s="169" t="e">
        <f>IF(#REF!&lt;100,"",#REF!-620)</f>
        <v>#REF!</v>
      </c>
      <c r="D284" s="169" t="e">
        <f>IF(#REF!&lt;100,"",#REF!-620)</f>
        <v>#REF!</v>
      </c>
      <c r="E284" s="169" t="e">
        <f>IF(#REF!&lt;100,"",#REF!-620)</f>
        <v>#REF!</v>
      </c>
      <c r="F284" s="169" t="e">
        <f>IF(#REF!&lt;100,"",#REF!-620)</f>
        <v>#REF!</v>
      </c>
      <c r="G284" s="169" t="e">
        <f>IF(#REF!&lt;100,"",#REF!-620)</f>
        <v>#REF!</v>
      </c>
      <c r="H284" s="169" t="e">
        <f>IF(#REF!&lt;100,"",#REF!-620)</f>
        <v>#REF!</v>
      </c>
      <c r="I284" s="169" t="e">
        <f>IF(#REF!&lt;100,"",#REF!-620)</f>
        <v>#REF!</v>
      </c>
      <c r="J284" s="169" t="e">
        <f>IF(#REF!&lt;100,"",#REF!-620)</f>
        <v>#REF!</v>
      </c>
      <c r="K284" s="169" t="e">
        <f>IF(#REF!&lt;100,"",#REF!-620)</f>
        <v>#REF!</v>
      </c>
      <c r="L284" s="169" t="e">
        <f>IF(#REF!&lt;100,"",#REF!-620)</f>
        <v>#REF!</v>
      </c>
      <c r="M284" s="169" t="e">
        <f>IF(#REF!&lt;100,"",#REF!-620)</f>
        <v>#REF!</v>
      </c>
      <c r="N284" s="169" t="e">
        <f>IF(#REF!&lt;100,"",#REF!-620)</f>
        <v>#REF!</v>
      </c>
      <c r="O284" s="169" t="e">
        <f>IF(#REF!&lt;100,"",#REF!-620)</f>
        <v>#REF!</v>
      </c>
      <c r="P284" s="169" t="e">
        <f>IF(#REF!&lt;100,"",#REF!-620)</f>
        <v>#REF!</v>
      </c>
      <c r="Q284" s="169" t="e">
        <f>IF(#REF!&lt;100,"",#REF!-620)</f>
        <v>#REF!</v>
      </c>
      <c r="R284" s="169" t="e">
        <f>IF(#REF!&lt;100,"",#REF!-620)</f>
        <v>#REF!</v>
      </c>
      <c r="S284" s="169" t="e">
        <f>IF(#REF!&lt;100,"",#REF!-620)</f>
        <v>#REF!</v>
      </c>
      <c r="T284" s="169" t="e">
        <f>IF(#REF!&lt;100,"",#REF!-620)</f>
        <v>#REF!</v>
      </c>
      <c r="U284" s="169" t="e">
        <f>IF(#REF!&lt;100,"",#REF!-620)</f>
        <v>#REF!</v>
      </c>
      <c r="V284" s="169" t="e">
        <f>IF(#REF!&lt;100,"",#REF!-620)</f>
        <v>#REF!</v>
      </c>
      <c r="W284" s="169" t="e">
        <f>IF(#REF!&lt;100,"",#REF!-620)</f>
        <v>#REF!</v>
      </c>
      <c r="X284" s="169" t="e">
        <f>IF(#REF!&lt;100,"",#REF!-620)</f>
        <v>#REF!</v>
      </c>
      <c r="Y284" s="169" t="e">
        <f>IF(#REF!&lt;100,"",#REF!-620)</f>
        <v>#REF!</v>
      </c>
      <c r="Z284" s="169" t="e">
        <f>IF(#REF!&lt;100,"",#REF!-620)</f>
        <v>#REF!</v>
      </c>
      <c r="AA284" s="169" t="e">
        <f>IF(#REF!&lt;100,"",#REF!-620)</f>
        <v>#REF!</v>
      </c>
      <c r="AB284" s="169" t="e">
        <f>IF(#REF!&lt;100,"",#REF!-620)</f>
        <v>#REF!</v>
      </c>
      <c r="AC284" s="169" t="e">
        <f>IF(#REF!&lt;100,"",#REF!-620)</f>
        <v>#REF!</v>
      </c>
      <c r="AD284" s="169" t="e">
        <f>IF(#REF!&lt;100,"",#REF!-620)</f>
        <v>#REF!</v>
      </c>
      <c r="AE284" s="169" t="e">
        <f>IF(#REF!&lt;100,"",#REF!-620)</f>
        <v>#REF!</v>
      </c>
      <c r="AF284" s="169" t="e">
        <f>IF(#REF!&lt;100,"",#REF!-620)</f>
        <v>#REF!</v>
      </c>
      <c r="AG284" s="43"/>
      <c r="AH284" s="43"/>
    </row>
    <row r="285" spans="1:34" x14ac:dyDescent="0.25">
      <c r="A285" s="169" t="e">
        <f>#REF!</f>
        <v>#REF!</v>
      </c>
      <c r="B285" s="169" t="e">
        <f>IF(#REF!&lt;100,"",#REF!-330)</f>
        <v>#REF!</v>
      </c>
      <c r="C285" s="169" t="e">
        <f>IF(#REF!&lt;100,"",#REF!-330)</f>
        <v>#REF!</v>
      </c>
      <c r="D285" s="169" t="e">
        <f>IF(#REF!&lt;100,"",#REF!-330)</f>
        <v>#REF!</v>
      </c>
      <c r="E285" s="169" t="e">
        <f>IF(#REF!&lt;100,"",#REF!-330)</f>
        <v>#REF!</v>
      </c>
      <c r="F285" s="169" t="e">
        <f>IF(#REF!&lt;100,"",#REF!-330)</f>
        <v>#REF!</v>
      </c>
      <c r="G285" s="169" t="e">
        <f>IF(#REF!&lt;100,"",#REF!-330)</f>
        <v>#REF!</v>
      </c>
      <c r="H285" s="169" t="e">
        <f>IF(#REF!&lt;100,"",#REF!-330)</f>
        <v>#REF!</v>
      </c>
      <c r="I285" s="169" t="e">
        <f>IF(#REF!&lt;100,"",#REF!-330)</f>
        <v>#REF!</v>
      </c>
      <c r="J285" s="169" t="e">
        <f>IF(#REF!&lt;100,"",#REF!-330)</f>
        <v>#REF!</v>
      </c>
      <c r="K285" s="169" t="e">
        <f>IF(#REF!&lt;100,"",#REF!-330)</f>
        <v>#REF!</v>
      </c>
      <c r="L285" s="169" t="e">
        <f>IF(#REF!&lt;100,"",#REF!-330)</f>
        <v>#REF!</v>
      </c>
      <c r="M285" s="169" t="e">
        <f>IF(#REF!&lt;100,"",#REF!-330)</f>
        <v>#REF!</v>
      </c>
      <c r="N285" s="169" t="e">
        <f>IF(#REF!&lt;100,"",#REF!-330)</f>
        <v>#REF!</v>
      </c>
      <c r="O285" s="169" t="e">
        <f>IF(#REF!&lt;100,"",#REF!-330)</f>
        <v>#REF!</v>
      </c>
      <c r="P285" s="169" t="e">
        <f>IF(#REF!&lt;100,"",#REF!-330)</f>
        <v>#REF!</v>
      </c>
      <c r="Q285" s="169" t="e">
        <f>IF(#REF!&lt;100,"",#REF!-330)</f>
        <v>#REF!</v>
      </c>
      <c r="R285" s="169" t="e">
        <f>IF(#REF!&lt;100,"",#REF!-330)</f>
        <v>#REF!</v>
      </c>
      <c r="S285" s="169" t="e">
        <f>IF(#REF!&lt;100,"",#REF!-330)</f>
        <v>#REF!</v>
      </c>
      <c r="T285" s="169" t="e">
        <f>IF(#REF!&lt;100,"",#REF!-330)</f>
        <v>#REF!</v>
      </c>
      <c r="U285" s="169" t="e">
        <f>IF(#REF!&lt;100,"",#REF!-330)</f>
        <v>#REF!</v>
      </c>
      <c r="V285" s="169" t="e">
        <f>IF(#REF!&lt;100,"",#REF!-330)</f>
        <v>#REF!</v>
      </c>
      <c r="W285" s="169" t="e">
        <f>IF(#REF!&lt;100,"",#REF!-330)</f>
        <v>#REF!</v>
      </c>
      <c r="X285" s="169" t="e">
        <f>IF(#REF!&lt;100,"",#REF!-330)</f>
        <v>#REF!</v>
      </c>
      <c r="Y285" s="169" t="e">
        <f>IF(#REF!&lt;100,"",#REF!-330)</f>
        <v>#REF!</v>
      </c>
      <c r="Z285" s="169" t="e">
        <f>IF(#REF!&lt;100,"",#REF!-330)</f>
        <v>#REF!</v>
      </c>
      <c r="AA285" s="169" t="e">
        <f>IF(#REF!&lt;100,"",#REF!-330)</f>
        <v>#REF!</v>
      </c>
      <c r="AB285" s="169" t="e">
        <f>IF(#REF!&lt;100,"",#REF!-330)</f>
        <v>#REF!</v>
      </c>
      <c r="AC285" s="169" t="e">
        <f>IF(#REF!&lt;100,"",#REF!-330)</f>
        <v>#REF!</v>
      </c>
      <c r="AD285" s="169" t="e">
        <f>IF(#REF!&lt;100,"",#REF!-330)</f>
        <v>#REF!</v>
      </c>
      <c r="AE285" s="169" t="e">
        <f>IF(#REF!&lt;100,"",#REF!-330)</f>
        <v>#REF!</v>
      </c>
      <c r="AF285" s="169" t="e">
        <f>IF(#REF!&lt;100,"",#REF!-330)</f>
        <v>#REF!</v>
      </c>
      <c r="AG285" s="43"/>
      <c r="AH285" s="43"/>
    </row>
    <row r="286" spans="1:34" x14ac:dyDescent="0.25">
      <c r="A286" s="169" t="e">
        <f>#REF!</f>
        <v>#REF!</v>
      </c>
      <c r="B286" s="169" t="e">
        <f>IF(#REF!&lt;100,"",#REF!-1500)</f>
        <v>#REF!</v>
      </c>
      <c r="C286" s="169" t="e">
        <f>IF(#REF!&lt;100,"",#REF!-1500)</f>
        <v>#REF!</v>
      </c>
      <c r="D286" s="169" t="e">
        <f>IF(#REF!&lt;100,"",#REF!-1500)</f>
        <v>#REF!</v>
      </c>
      <c r="E286" s="169" t="e">
        <f>IF(#REF!&lt;100,"",#REF!-1500)</f>
        <v>#REF!</v>
      </c>
      <c r="F286" s="169" t="e">
        <f>IF(#REF!&lt;100,"",#REF!-1500)</f>
        <v>#REF!</v>
      </c>
      <c r="G286" s="169" t="e">
        <f>IF(#REF!&lt;100,"",#REF!-1500)</f>
        <v>#REF!</v>
      </c>
      <c r="H286" s="169" t="e">
        <f>IF(#REF!&lt;100,"",#REF!-1500)</f>
        <v>#REF!</v>
      </c>
      <c r="I286" s="169" t="e">
        <f>IF(#REF!&lt;100,"",#REF!-1500)</f>
        <v>#REF!</v>
      </c>
      <c r="J286" s="169" t="e">
        <f>IF(#REF!&lt;100,"",#REF!-1500)</f>
        <v>#REF!</v>
      </c>
      <c r="K286" s="169" t="e">
        <f>IF(#REF!&lt;100,"",#REF!-1500)</f>
        <v>#REF!</v>
      </c>
      <c r="L286" s="169" t="e">
        <f>IF(#REF!&lt;100,"",#REF!-1500)</f>
        <v>#REF!</v>
      </c>
      <c r="M286" s="169" t="e">
        <f>IF(#REF!&lt;100,"",#REF!-1500)</f>
        <v>#REF!</v>
      </c>
      <c r="N286" s="169" t="e">
        <f>IF(#REF!&lt;100,"",#REF!-1500)</f>
        <v>#REF!</v>
      </c>
      <c r="O286" s="169" t="e">
        <f>IF(#REF!&lt;100,"",#REF!-1500)</f>
        <v>#REF!</v>
      </c>
      <c r="P286" s="169" t="e">
        <f>IF(#REF!&lt;100,"",#REF!-1500)</f>
        <v>#REF!</v>
      </c>
      <c r="Q286" s="169" t="e">
        <f>IF(#REF!&lt;100,"",#REF!-1500)</f>
        <v>#REF!</v>
      </c>
      <c r="R286" s="169" t="e">
        <f>IF(#REF!&lt;100,"",#REF!-1500)</f>
        <v>#REF!</v>
      </c>
      <c r="S286" s="169" t="e">
        <f>IF(#REF!&lt;100,"",#REF!-1500)</f>
        <v>#REF!</v>
      </c>
      <c r="T286" s="169" t="e">
        <f>IF(#REF!&lt;100,"",#REF!-1500)</f>
        <v>#REF!</v>
      </c>
      <c r="U286" s="169" t="e">
        <f>IF(#REF!&lt;100,"",#REF!-1500)</f>
        <v>#REF!</v>
      </c>
      <c r="V286" s="169" t="e">
        <f>IF(#REF!&lt;100,"",#REF!-1500)</f>
        <v>#REF!</v>
      </c>
      <c r="W286" s="169" t="e">
        <f>IF(#REF!&lt;100,"",#REF!-1500)</f>
        <v>#REF!</v>
      </c>
      <c r="X286" s="169" t="e">
        <f>IF(#REF!&lt;100,"",#REF!-1500)</f>
        <v>#REF!</v>
      </c>
      <c r="Y286" s="169" t="e">
        <f>IF(#REF!&lt;100,"",#REF!-1500)</f>
        <v>#REF!</v>
      </c>
      <c r="Z286" s="169" t="e">
        <f>IF(#REF!&lt;100,"",#REF!-1500)</f>
        <v>#REF!</v>
      </c>
      <c r="AA286" s="169" t="e">
        <f>IF(#REF!&lt;100,"",#REF!-1500)</f>
        <v>#REF!</v>
      </c>
      <c r="AB286" s="169" t="e">
        <f>IF(#REF!&lt;100,"",#REF!-1500)</f>
        <v>#REF!</v>
      </c>
      <c r="AC286" s="169" t="e">
        <f>IF(#REF!&lt;100,"",#REF!-1500)</f>
        <v>#REF!</v>
      </c>
      <c r="AD286" s="169" t="e">
        <f>IF(#REF!&lt;100,"",#REF!-1500)</f>
        <v>#REF!</v>
      </c>
      <c r="AE286" s="169" t="e">
        <f>IF(#REF!&lt;100,"",#REF!-1500)</f>
        <v>#REF!</v>
      </c>
      <c r="AF286" s="169" t="e">
        <f>IF(#REF!&lt;100,"",#REF!-1500)</f>
        <v>#REF!</v>
      </c>
      <c r="AG286" s="43"/>
      <c r="AH286" s="43"/>
    </row>
    <row r="287" spans="1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1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2:34" x14ac:dyDescent="0.25"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2:34" x14ac:dyDescent="0.25"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2:34" x14ac:dyDescent="0.25"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2:34" x14ac:dyDescent="0.25"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2:34" x14ac:dyDescent="0.25"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1668" priority="123">
      <formula>$AH11=0</formula>
    </cfRule>
  </conditionalFormatting>
  <conditionalFormatting sqref="A132:A253">
    <cfRule type="expression" dxfId="1667" priority="128">
      <formula>$AH132=0</formula>
    </cfRule>
  </conditionalFormatting>
  <conditionalFormatting sqref="B8 M8 S8 AB8">
    <cfRule type="expression" dxfId="1666" priority="238">
      <formula>C$9&lt;8/24</formula>
    </cfRule>
    <cfRule type="expression" dxfId="1665" priority="237">
      <formula>AND(C$9&gt;=8/24,C$9&lt;14/24)</formula>
    </cfRule>
    <cfRule type="expression" dxfId="1664" priority="236">
      <formula>AND(C$9&gt;=14/24,C$9&lt;20/24)</formula>
    </cfRule>
  </conditionalFormatting>
  <conditionalFormatting sqref="B63:F68 G68:N68">
    <cfRule type="expression" dxfId="1663" priority="56">
      <formula>B$9&lt;8/24</formula>
    </cfRule>
    <cfRule type="expression" dxfId="1662" priority="55">
      <formula>AND(B$9&gt;=8/24,B$9&lt;14/24)</formula>
    </cfRule>
    <cfRule type="expression" dxfId="1661" priority="54">
      <formula>AND(B$9&gt;=14/24,B$9&lt;20/24)</formula>
    </cfRule>
    <cfRule type="expression" dxfId="1660" priority="53">
      <formula>B$9&gt;=20/24</formula>
    </cfRule>
  </conditionalFormatting>
  <conditionalFormatting sqref="B68:N68">
    <cfRule type="expression" dxfId="1659" priority="61">
      <formula>B$9&lt;8/24</formula>
    </cfRule>
    <cfRule type="expression" dxfId="1658" priority="60">
      <formula>AND(B$9&gt;=8/24,B$9&lt;14/24)</formula>
    </cfRule>
    <cfRule type="expression" dxfId="1657" priority="59">
      <formula>AND(B$9&gt;=14/24,B$9&lt;20/24)</formula>
    </cfRule>
    <cfRule type="expression" dxfId="1656" priority="58">
      <formula>B$9&gt;=20/24</formula>
    </cfRule>
  </conditionalFormatting>
  <conditionalFormatting sqref="B69:N74">
    <cfRule type="expression" dxfId="1655" priority="52">
      <formula>B$9&lt;8/24</formula>
    </cfRule>
    <cfRule type="expression" dxfId="1654" priority="51">
      <formula>AND(B$9&gt;=8/24,B$9&lt;14/24)</formula>
    </cfRule>
    <cfRule type="expression" dxfId="1653" priority="50">
      <formula>AND(B$9&gt;=14/24,B$9&lt;20/24)</formula>
    </cfRule>
    <cfRule type="expression" dxfId="1652" priority="49">
      <formula>B$9&gt;=20/24</formula>
    </cfRule>
  </conditionalFormatting>
  <conditionalFormatting sqref="B9:AF52">
    <cfRule type="expression" dxfId="1651" priority="20">
      <formula>B$9&gt;=20/24</formula>
    </cfRule>
    <cfRule type="expression" dxfId="1650" priority="21">
      <formula>AND(B$9&gt;=14/24,B$9&lt;20/24)</formula>
    </cfRule>
    <cfRule type="expression" dxfId="1649" priority="22">
      <formula>AND(B$9&gt;=8/24,B$9&lt;14/24)</formula>
    </cfRule>
    <cfRule type="expression" dxfId="1648" priority="23">
      <formula>B$9&lt;8/24</formula>
    </cfRule>
  </conditionalFormatting>
  <conditionalFormatting sqref="B11:AF54">
    <cfRule type="expression" dxfId="1647" priority="13">
      <formula>B11&gt;$AG11</formula>
    </cfRule>
  </conditionalFormatting>
  <conditionalFormatting sqref="B53:AF54">
    <cfRule type="expression" dxfId="1646" priority="11">
      <formula>AND(B$9&gt;=8/24,B$9&lt;14/24)</formula>
    </cfRule>
    <cfRule type="expression" dxfId="1645" priority="12">
      <formula>B$9&lt;8/24</formula>
    </cfRule>
    <cfRule type="expression" dxfId="1644" priority="10">
      <formula>AND(B$9&gt;=14/24,B$9&lt;20/24)</formula>
    </cfRule>
    <cfRule type="expression" dxfId="1643" priority="9">
      <formula>B$9&gt;=20/24</formula>
    </cfRule>
  </conditionalFormatting>
  <conditionalFormatting sqref="B55:AF55">
    <cfRule type="expression" dxfId="1642" priority="29">
      <formula>B55&gt;$AG55</formula>
    </cfRule>
  </conditionalFormatting>
  <conditionalFormatting sqref="B55:AF57">
    <cfRule type="expression" dxfId="1641" priority="26">
      <formula>AND(B$9&gt;=14/24,B$9&lt;20/24)</formula>
    </cfRule>
    <cfRule type="expression" dxfId="1640" priority="27">
      <formula>AND(B$9&gt;=8/24,B$9&lt;14/24)</formula>
    </cfRule>
    <cfRule type="expression" dxfId="1639" priority="28">
      <formula>B$9&lt;8/24</formula>
    </cfRule>
    <cfRule type="expression" dxfId="1638" priority="25">
      <formula>B$9&gt;=20/24</formula>
    </cfRule>
  </conditionalFormatting>
  <conditionalFormatting sqref="B56:AF61">
    <cfRule type="expression" dxfId="1637" priority="24">
      <formula>B56&gt;$AG56</formula>
    </cfRule>
  </conditionalFormatting>
  <conditionalFormatting sqref="B59:AF61">
    <cfRule type="expression" dxfId="1636" priority="37">
      <formula>AND(B$9&gt;=8/24,B$9&lt;14/24)</formula>
    </cfRule>
    <cfRule type="expression" dxfId="1635" priority="36">
      <formula>AND(B$9&gt;=14/24,B$9&lt;20/24)</formula>
    </cfRule>
    <cfRule type="expression" dxfId="1634" priority="35">
      <formula>B$9&gt;=20/24</formula>
    </cfRule>
    <cfRule type="expression" dxfId="1633" priority="38">
      <formula>B$9&lt;8/24</formula>
    </cfRule>
  </conditionalFormatting>
  <conditionalFormatting sqref="B63:AF74">
    <cfRule type="expression" dxfId="1632" priority="18">
      <formula>B63&gt;$AG63</formula>
    </cfRule>
  </conditionalFormatting>
  <conditionalFormatting sqref="B77:AF79">
    <cfRule type="expression" dxfId="1631" priority="39">
      <formula>B77&gt;$AG77</formula>
    </cfRule>
    <cfRule type="expression" dxfId="1630" priority="40">
      <formula>B$9&gt;=20/24</formula>
    </cfRule>
    <cfRule type="expression" dxfId="1629" priority="41">
      <formula>AND(B$9&gt;=14/24,B$9&lt;20/24)</formula>
    </cfRule>
    <cfRule type="expression" dxfId="1628" priority="42">
      <formula>AND(B$9&gt;=8/24,B$9&lt;14/24)</formula>
    </cfRule>
    <cfRule type="expression" dxfId="1627" priority="43">
      <formula>B$9&lt;8/24</formula>
    </cfRule>
  </conditionalFormatting>
  <conditionalFormatting sqref="B101:AF117">
    <cfRule type="expression" dxfId="1626" priority="7">
      <formula>AND(B$9&gt;=8/24,B$9&lt;14/24)</formula>
    </cfRule>
    <cfRule type="expression" dxfId="1625" priority="5">
      <formula>B$9&gt;=20/24</formula>
    </cfRule>
    <cfRule type="expression" dxfId="1624" priority="6">
      <formula>AND(B$9&gt;=14/24,B$9&lt;20/24)</formula>
    </cfRule>
    <cfRule type="expression" dxfId="1623" priority="8">
      <formula>B$9&lt;8/24</formula>
    </cfRule>
  </conditionalFormatting>
  <conditionalFormatting sqref="B119:AF137">
    <cfRule type="expression" dxfId="1622" priority="3">
      <formula>AND(B$9&gt;=8/24,B$9&lt;14/24)</formula>
    </cfRule>
    <cfRule type="expression" dxfId="1621" priority="4">
      <formula>B$9&lt;8/24</formula>
    </cfRule>
    <cfRule type="expression" dxfId="1620" priority="2">
      <formula>AND(B$9&gt;=14/24,B$9&lt;20/24)</formula>
    </cfRule>
    <cfRule type="expression" dxfId="1619" priority="1">
      <formula>B$9&gt;=20/24</formula>
    </cfRule>
  </conditionalFormatting>
  <conditionalFormatting sqref="B244:AF244 B246:B252 D246:AF252 U260:AF260">
    <cfRule type="expression" dxfId="1618" priority="230">
      <formula>AND(B$9&gt;=14/24,B$9&lt;20/24)</formula>
    </cfRule>
    <cfRule type="expression" dxfId="1617" priority="229">
      <formula>B$9&gt;=20/24</formula>
    </cfRule>
    <cfRule type="expression" dxfId="1616" priority="231">
      <formula>AND(B$9&gt;=8/24,B$9&lt;14/24)</formula>
    </cfRule>
    <cfRule type="expression" dxfId="1615" priority="232">
      <formula>B$9&lt;8/24</formula>
    </cfRule>
  </conditionalFormatting>
  <conditionalFormatting sqref="B62:AG62">
    <cfRule type="expression" dxfId="1614" priority="46">
      <formula>AND(B$9&gt;=14/24,B$9&lt;20/24)</formula>
    </cfRule>
    <cfRule type="expression" dxfId="1613" priority="44">
      <formula>B62&gt;$AG62</formula>
    </cfRule>
    <cfRule type="expression" dxfId="1612" priority="45">
      <formula>B$9&gt;=20/24</formula>
    </cfRule>
    <cfRule type="expression" dxfId="1611" priority="47">
      <formula>AND(B$9&gt;=8/24,B$9&lt;14/24)</formula>
    </cfRule>
    <cfRule type="expression" dxfId="1610" priority="48">
      <formula>B$9&lt;8/24</formula>
    </cfRule>
  </conditionalFormatting>
  <conditionalFormatting sqref="B75:AG76 B80:AG80">
    <cfRule type="expression" dxfId="1609" priority="30">
      <formula>B75&gt;$AG75</formula>
    </cfRule>
  </conditionalFormatting>
  <conditionalFormatting sqref="B80:AG80">
    <cfRule type="expression" dxfId="1608" priority="33">
      <formula>AND(B$9&gt;=8/24,B$9&lt;14/24)</formula>
    </cfRule>
    <cfRule type="expression" dxfId="1607" priority="32">
      <formula>AND(B$9&gt;=14/24,B$9&lt;20/24)</formula>
    </cfRule>
    <cfRule type="expression" dxfId="1606" priority="31">
      <formula>B$9&gt;=20/24</formula>
    </cfRule>
    <cfRule type="expression" dxfId="1605" priority="34">
      <formula>B$9&lt;8/24</formula>
    </cfRule>
  </conditionalFormatting>
  <conditionalFormatting sqref="E81:E86 B81:D99">
    <cfRule type="expression" dxfId="1604" priority="17">
      <formula>B$9&lt;8/24</formula>
    </cfRule>
    <cfRule type="expression" dxfId="1603" priority="16">
      <formula>AND(B$9&gt;=8/24,B$9&lt;14/24)</formula>
    </cfRule>
    <cfRule type="expression" dxfId="1602" priority="15">
      <formula>AND(B$9&gt;=14/24,B$9&lt;20/24)</formula>
    </cfRule>
    <cfRule type="expression" dxfId="1601" priority="14">
      <formula>B$9&gt;=20/24</formula>
    </cfRule>
  </conditionalFormatting>
  <conditionalFormatting sqref="F81:AF85 F86:R86 S86:AF91 E87:R91 E92:AF99">
    <cfRule type="expression" dxfId="1600" priority="140">
      <formula>AND(E$9&gt;=8/24,E$9&lt;14/24)</formula>
    </cfRule>
    <cfRule type="expression" dxfId="1599" priority="141">
      <formula>E$9&lt;8/24</formula>
    </cfRule>
    <cfRule type="expression" dxfId="1598" priority="138">
      <formula>E$9&gt;=20/24</formula>
    </cfRule>
    <cfRule type="expression" dxfId="1597" priority="139">
      <formula>AND(E$9&gt;=14/24,E$9&lt;20/24)</formula>
    </cfRule>
  </conditionalFormatting>
  <conditionalFormatting sqref="G63:I67 J64:N67">
    <cfRule type="expression" dxfId="1596" priority="146">
      <formula>G$9&lt;8/24</formula>
    </cfRule>
    <cfRule type="expression" dxfId="1595" priority="143">
      <formula>G$9&gt;=20/24</formula>
    </cfRule>
    <cfRule type="expression" dxfId="1594" priority="144">
      <formula>AND(G$9&gt;=14/24,G$9&lt;20/24)</formula>
    </cfRule>
    <cfRule type="expression" dxfId="1593" priority="145">
      <formula>AND(G$9&gt;=8/24,G$9&lt;14/24)</formula>
    </cfRule>
  </conditionalFormatting>
  <conditionalFormatting sqref="G63:N65">
    <cfRule type="expression" dxfId="1592" priority="210">
      <formula>G$9&gt;=20/24</formula>
    </cfRule>
    <cfRule type="expression" dxfId="1591" priority="211">
      <formula>AND(G$9&gt;=14/24,G$9&lt;20/24)</formula>
    </cfRule>
    <cfRule type="expression" dxfId="1590" priority="212">
      <formula>AND(G$9&gt;=8/24,G$9&lt;14/24)</formula>
    </cfRule>
    <cfRule type="expression" dxfId="1589" priority="213">
      <formula>G$9&lt;8/24</formula>
    </cfRule>
  </conditionalFormatting>
  <conditionalFormatting sqref="H74:N74 O63:AF74">
    <cfRule type="expression" dxfId="1588" priority="177">
      <formula>H$9&gt;=20/24</formula>
    </cfRule>
  </conditionalFormatting>
  <conditionalFormatting sqref="O3:P3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O63:AF74 H74:N74">
    <cfRule type="expression" dxfId="1587" priority="180">
      <formula>H$9&lt;8/24</formula>
    </cfRule>
    <cfRule type="expression" dxfId="1586" priority="179">
      <formula>AND(H$9&gt;=8/24,H$9&lt;14/24)</formula>
    </cfRule>
    <cfRule type="expression" dxfId="1585" priority="178">
      <formula>AND(H$9&gt;=14/24,H$9&lt;20/24)</formula>
    </cfRule>
  </conditionalFormatting>
  <conditionalFormatting sqref="S8 AB8 B8 M8">
    <cfRule type="expression" dxfId="1584" priority="235">
      <formula>C$9&gt;=20/24</formula>
    </cfRule>
  </conditionalFormatting>
  <conditionalFormatting sqref="S8">
    <cfRule type="expression" dxfId="1583" priority="222">
      <formula>U$9&gt;=20/24</formula>
    </cfRule>
    <cfRule type="expression" dxfId="1582" priority="223">
      <formula>AND(U$9&gt;=14/24,U$9&lt;20/24)</formula>
    </cfRule>
    <cfRule type="expression" dxfId="1581" priority="224">
      <formula>AND(U$9&gt;=8/24,U$9&lt;14/24)</formula>
    </cfRule>
    <cfRule type="expression" dxfId="1580" priority="225">
      <formula>U$9&lt;8/24</formula>
    </cfRule>
  </conditionalFormatting>
  <conditionalFormatting sqref="T260">
    <cfRule type="expression" dxfId="1579" priority="250">
      <formula>AX$9&lt;8/24</formula>
    </cfRule>
    <cfRule type="expression" dxfId="1578" priority="249">
      <formula>AND(AX$9&gt;=8/24,AX$9&lt;14/24)</formula>
    </cfRule>
    <cfRule type="expression" dxfId="1577" priority="247">
      <formula>AX$9&gt;=20/24</formula>
    </cfRule>
    <cfRule type="expression" dxfId="1576" priority="248">
      <formula>AND(AX$9&gt;=14/24,AX$9&lt;20/24)</formula>
    </cfRule>
  </conditionalFormatting>
  <conditionalFormatting sqref="V3 AB3">
    <cfRule type="iconSet" priority="234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1575" priority="220">
      <formula>AND(AD$9&gt;=8/24,AD$9&lt;14/24)</formula>
    </cfRule>
    <cfRule type="expression" dxfId="1574" priority="218">
      <formula>AD$9&gt;=20/24</formula>
    </cfRule>
    <cfRule type="expression" dxfId="1573" priority="219">
      <formula>AND(AD$9&gt;=14/24,AD$9&lt;20/24)</formula>
    </cfRule>
    <cfRule type="expression" dxfId="1572" priority="221">
      <formula>AD$9&lt;8/24</formula>
    </cfRule>
  </conditionalFormatting>
  <conditionalFormatting sqref="AG58">
    <cfRule type="expression" dxfId="1571" priority="205">
      <formula>AG58&gt;$AG58</formula>
    </cfRule>
  </conditionalFormatting>
  <conditionalFormatting sqref="AG97">
    <cfRule type="expression" dxfId="1570" priority="208">
      <formula>AND(AG$9&gt;=8/24,AG$9&lt;14/24)</formula>
    </cfRule>
    <cfRule type="expression" dxfId="1569" priority="206">
      <formula>AG$9&gt;=20/24</formula>
    </cfRule>
    <cfRule type="expression" dxfId="1568" priority="207">
      <formula>AND(AG$9&gt;=14/24,AG$9&lt;20/24)</formula>
    </cfRule>
    <cfRule type="expression" dxfId="1567" priority="209">
      <formula>AG$9&lt;8/24</formula>
    </cfRule>
  </conditionalFormatting>
  <conditionalFormatting sqref="AG260">
    <cfRule type="expression" dxfId="1566" priority="242">
      <formula>B$9&lt;8/24</formula>
    </cfRule>
    <cfRule type="expression" dxfId="1565" priority="241">
      <formula>AND(B$9&gt;=8/24,B$9&lt;14/24)</formula>
    </cfRule>
    <cfRule type="expression" dxfId="1564" priority="239">
      <formula>B$9&gt;=20/24</formula>
    </cfRule>
    <cfRule type="expression" dxfId="1563" priority="240">
      <formula>AND(B$9&gt;=14/24,B$9&lt;20/24)</formula>
    </cfRule>
  </conditionalFormatting>
  <conditionalFormatting sqref="AH260:AX260">
    <cfRule type="expression" dxfId="1562" priority="243">
      <formula>AG$9&gt;=20/24</formula>
    </cfRule>
    <cfRule type="expression" dxfId="1561" priority="244">
      <formula>AND(AG$9&gt;=14/24,AG$9&lt;20/24)</formula>
    </cfRule>
    <cfRule type="expression" dxfId="1560" priority="245">
      <formula>AND(AG$9&gt;=8/24,AG$9&lt;14/24)</formula>
    </cfRule>
    <cfRule type="expression" dxfId="1559" priority="246">
      <formula>AG$9&lt;8/24</formula>
    </cfRule>
  </conditionalFormatting>
  <conditionalFormatting sqref="AL4:AL6">
    <cfRule type="iconSet" priority="228">
      <iconSet iconSet="3TrafficLights2" reverse="1">
        <cfvo type="percent" val="0"/>
        <cfvo type="num" val="1"/>
        <cfvo type="num" val="1"/>
      </iconSet>
    </cfRule>
  </conditionalFormatting>
  <conditionalFormatting sqref="AL19:AL20">
    <cfRule type="iconSet" priority="193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203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92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202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204">
      <iconSet iconSet="3TrafficLights2" reverse="1">
        <cfvo type="percent" val="0"/>
        <cfvo type="num" val="1"/>
        <cfvo type="num" val="1"/>
      </iconSet>
    </cfRule>
  </conditionalFormatting>
  <conditionalFormatting sqref="AL48 AL45:AL46 AL21:AL24 AL7:AL18 AL26:AL37 AL39:AL43 AL54:AL55">
    <cfRule type="iconSet" priority="251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2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2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91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1558" priority="252">
      <formula>AJ$9&gt;=20/24</formula>
    </cfRule>
    <cfRule type="expression" dxfId="1557" priority="253">
      <formula>AND(AJ$9&gt;=14/24,AJ$9&lt;20/24)</formula>
    </cfRule>
    <cfRule type="expression" dxfId="1556" priority="254">
      <formula>AND(AJ$9&gt;=8/24,AJ$9&lt;14/24)</formula>
    </cfRule>
    <cfRule type="expression" dxfId="1555" priority="255">
      <formula>AJ$9&lt;8/24</formula>
    </cfRule>
  </conditionalFormatting>
  <conditionalFormatting sqref="AL88:AN88 AL94:AN94">
    <cfRule type="expression" dxfId="1554" priority="200">
      <formula>AND(AL$9&gt;=8/24,AL$9&lt;14/24)</formula>
    </cfRule>
    <cfRule type="expression" dxfId="1553" priority="199">
      <formula>AND(AL$9&gt;=14/24,AL$9&lt;20/24)</formula>
    </cfRule>
    <cfRule type="expression" dxfId="1552" priority="198">
      <formula>AL$9&gt;=20/24</formula>
    </cfRule>
    <cfRule type="expression" dxfId="1551" priority="201">
      <formula>AL$9&lt;8/24</formula>
    </cfRule>
  </conditionalFormatting>
  <conditionalFormatting sqref="AN89:AN92">
    <cfRule type="expression" dxfId="1550" priority="195">
      <formula>AND(AN$9&gt;=14/24,AN$9&lt;20/24)</formula>
    </cfRule>
    <cfRule type="expression" dxfId="1549" priority="194">
      <formula>AN$9&gt;=20/24</formula>
    </cfRule>
    <cfRule type="expression" dxfId="1548" priority="197">
      <formula>AN$9&lt;8/24</formula>
    </cfRule>
    <cfRule type="expression" dxfId="1547" priority="196">
      <formula>AND(AN$9&gt;=8/24,AN$9&lt;14/24)</formula>
    </cfRule>
  </conditionalFormatting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967D4-7FC2-4080-9126-1116C6C1EA5B}">
  <sheetPr codeName="Sheet14"/>
  <dimension ref="A1:CJ293"/>
  <sheetViews>
    <sheetView zoomScale="110" zoomScaleNormal="110" workbookViewId="0">
      <pane xSplit="1" ySplit="10" topLeftCell="B108" activePane="bottomRight" state="frozen"/>
      <selection activeCell="P118" sqref="P118"/>
      <selection pane="topRight" activeCell="P118" sqref="P118"/>
      <selection pane="bottomLeft" activeCell="P118" sqref="P118"/>
      <selection pane="bottomRight" activeCell="AD7" sqref="AD7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hidden="1" customHeight="1" thickBot="1" x14ac:dyDescent="0.3">
      <c r="A1" s="275" t="s">
        <v>0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  <c r="AD1" s="275"/>
      <c r="AE1" s="275"/>
      <c r="AF1" s="275"/>
      <c r="AG1" s="276" t="s">
        <v>1</v>
      </c>
      <c r="AH1" s="276"/>
      <c r="AI1" s="276"/>
      <c r="AL1" s="2"/>
    </row>
    <row r="2" spans="1:88" ht="20.25" hidden="1" x14ac:dyDescent="0.25">
      <c r="A2" s="3"/>
      <c r="B2" s="277" t="s">
        <v>2</v>
      </c>
      <c r="C2" s="4"/>
      <c r="D2" s="279" t="s">
        <v>3</v>
      </c>
      <c r="E2" s="4"/>
      <c r="F2" s="279" t="s">
        <v>4</v>
      </c>
      <c r="G2" s="4"/>
      <c r="H2" s="279" t="s">
        <v>5</v>
      </c>
      <c r="I2" s="5"/>
      <c r="J2" s="281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78"/>
      <c r="C3" s="16"/>
      <c r="D3" s="280"/>
      <c r="E3" s="16"/>
      <c r="F3" s="280"/>
      <c r="G3" s="16"/>
      <c r="H3" s="280"/>
      <c r="I3" s="17"/>
      <c r="J3" s="281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70" t="str">
        <f ca="1">"2080/"&amp;"10/"&amp;INT(MID(CELL("filename",D6),FIND("]",CELL("filename",D6))+1,200))</f>
        <v>2080/10/13</v>
      </c>
      <c r="C4" s="270"/>
      <c r="D4" s="270"/>
      <c r="E4" s="271" t="str">
        <f ca="1">"2080/"&amp;"10/"&amp;INT(MID(CELL("filename",G6),FIND("]",CELL("filename",G6))+1,200))</f>
        <v>2080/10/13</v>
      </c>
      <c r="F4" s="271"/>
      <c r="G4" s="271"/>
      <c r="H4" s="271" t="str">
        <f ca="1">TEXT(E4,"dddd")</f>
        <v>Sunday</v>
      </c>
      <c r="I4" s="271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C92</f>
        <v>490.2</v>
      </c>
      <c r="C5" s="30">
        <f t="shared" si="0"/>
        <v>490.9</v>
      </c>
      <c r="D5" s="30">
        <f t="shared" si="0"/>
        <v>476</v>
      </c>
      <c r="E5" s="30">
        <f t="shared" si="0"/>
        <v>478</v>
      </c>
      <c r="F5" s="30">
        <f t="shared" si="0"/>
        <v>461</v>
      </c>
      <c r="G5" s="30">
        <f t="shared" si="0"/>
        <v>470.3</v>
      </c>
      <c r="H5" s="30">
        <f t="shared" si="0"/>
        <v>482</v>
      </c>
      <c r="I5" s="30">
        <f t="shared" si="0"/>
        <v>504</v>
      </c>
      <c r="J5" s="30">
        <f t="shared" si="0"/>
        <v>428</v>
      </c>
      <c r="K5" s="30">
        <f t="shared" si="0"/>
        <v>237</v>
      </c>
      <c r="L5" s="30">
        <f t="shared" si="0"/>
        <v>215.53</v>
      </c>
      <c r="M5" s="30">
        <f t="shared" si="0"/>
        <v>214.7</v>
      </c>
      <c r="N5" s="30">
        <f t="shared" si="0"/>
        <v>226.6</v>
      </c>
      <c r="O5" s="30">
        <f t="shared" si="0"/>
        <v>400</v>
      </c>
      <c r="P5" s="30">
        <f t="shared" si="0"/>
        <v>492.3</v>
      </c>
      <c r="Q5" s="30">
        <f t="shared" si="0"/>
        <v>637.4</v>
      </c>
      <c r="R5" s="30">
        <f t="shared" si="0"/>
        <v>640.24</v>
      </c>
      <c r="S5" s="30">
        <f t="shared" si="0"/>
        <v>593.4</v>
      </c>
      <c r="T5" s="30">
        <f t="shared" si="0"/>
        <v>635</v>
      </c>
      <c r="U5" s="30">
        <f t="shared" si="0"/>
        <v>366.4</v>
      </c>
      <c r="V5" s="30">
        <f t="shared" si="0"/>
        <v>351.29999999999995</v>
      </c>
      <c r="W5" s="30">
        <f t="shared" si="0"/>
        <v>348.3</v>
      </c>
      <c r="X5" s="30">
        <f t="shared" si="0"/>
        <v>412.09999999999997</v>
      </c>
      <c r="Y5" s="30">
        <f t="shared" si="0"/>
        <v>395.90000000000003</v>
      </c>
      <c r="Z5" s="30">
        <f t="shared" si="0"/>
        <v>443.20000000000005</v>
      </c>
      <c r="AA5" s="30">
        <f t="shared" si="0"/>
        <v>470.3</v>
      </c>
      <c r="AB5" s="30">
        <f t="shared" si="0"/>
        <v>439.7</v>
      </c>
      <c r="AC5" s="30">
        <f t="shared" si="0"/>
        <v>422.7</v>
      </c>
      <c r="AD5" s="30">
        <f t="shared" si="0"/>
        <v>467.90000000000003</v>
      </c>
      <c r="AE5" s="30">
        <f t="shared" si="0"/>
        <v>528.29999999999995</v>
      </c>
      <c r="AF5" s="30">
        <f>B92</f>
        <v>555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1540MW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Load=1136</v>
      </c>
      <c r="B7" s="35">
        <f>B100</f>
        <v>1232.6399999999999</v>
      </c>
      <c r="C7" s="35">
        <f t="shared" ref="C7:AF7" si="1">C100</f>
        <v>1167.8399999999999</v>
      </c>
      <c r="D7" s="35">
        <f t="shared" si="1"/>
        <v>1168.54</v>
      </c>
      <c r="E7" s="35">
        <f t="shared" si="1"/>
        <v>1152.6399999999999</v>
      </c>
      <c r="F7" s="35">
        <f t="shared" si="1"/>
        <v>1153.6399999999999</v>
      </c>
      <c r="G7" s="35">
        <f t="shared" si="1"/>
        <v>1135.6399999999999</v>
      </c>
      <c r="H7" s="35">
        <f t="shared" si="1"/>
        <v>1227.94</v>
      </c>
      <c r="I7" s="35">
        <f t="shared" si="1"/>
        <v>1291.6399999999999</v>
      </c>
      <c r="J7" s="35">
        <f t="shared" si="1"/>
        <v>1348.64</v>
      </c>
      <c r="K7" s="35">
        <f t="shared" si="1"/>
        <v>1356.1399999999999</v>
      </c>
      <c r="L7" s="35">
        <f t="shared" si="1"/>
        <v>1444.1399999999999</v>
      </c>
      <c r="M7" s="35">
        <f t="shared" si="1"/>
        <v>1539.87</v>
      </c>
      <c r="N7" s="35">
        <f t="shared" si="1"/>
        <v>1514.64</v>
      </c>
      <c r="O7" s="35">
        <f t="shared" si="1"/>
        <v>1483.54</v>
      </c>
      <c r="P7" s="35">
        <f t="shared" si="1"/>
        <v>1656.94</v>
      </c>
      <c r="Q7" s="35">
        <f t="shared" si="1"/>
        <v>1496.04</v>
      </c>
      <c r="R7" s="35">
        <f t="shared" si="1"/>
        <v>1506.6399999999999</v>
      </c>
      <c r="S7" s="35">
        <f t="shared" si="1"/>
        <v>1356.28</v>
      </c>
      <c r="T7" s="35">
        <f t="shared" si="1"/>
        <v>1295.44</v>
      </c>
      <c r="U7" s="35">
        <f t="shared" si="1"/>
        <v>1373.94</v>
      </c>
      <c r="V7" s="35">
        <f t="shared" si="1"/>
        <v>1285.6399999999999</v>
      </c>
      <c r="W7" s="35">
        <f t="shared" si="1"/>
        <v>1391.64</v>
      </c>
      <c r="X7" s="35">
        <f t="shared" si="1"/>
        <v>1570.04</v>
      </c>
      <c r="Y7" s="35">
        <f t="shared" si="1"/>
        <v>1934.44</v>
      </c>
      <c r="Z7" s="35">
        <f t="shared" si="1"/>
        <v>1878.2400000000002</v>
      </c>
      <c r="AA7" s="35">
        <f t="shared" si="1"/>
        <v>1824.5400000000002</v>
      </c>
      <c r="AB7" s="35">
        <f t="shared" si="1"/>
        <v>1765.24</v>
      </c>
      <c r="AC7" s="35">
        <f t="shared" si="1"/>
        <v>1701.04</v>
      </c>
      <c r="AD7" s="35">
        <f t="shared" si="1"/>
        <v>1607.04</v>
      </c>
      <c r="AE7" s="35">
        <f t="shared" si="1"/>
        <v>1416.74</v>
      </c>
      <c r="AF7" s="35">
        <f t="shared" si="1"/>
        <v>1205.74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72" t="s">
        <v>14</v>
      </c>
      <c r="C8" s="273"/>
      <c r="D8" s="273"/>
      <c r="E8" s="273"/>
      <c r="F8" s="273"/>
      <c r="G8" s="273"/>
      <c r="H8" s="273"/>
      <c r="I8" s="273"/>
      <c r="J8" s="273"/>
      <c r="K8" s="273"/>
      <c r="L8" s="274"/>
      <c r="M8" s="265" t="s">
        <v>15</v>
      </c>
      <c r="N8" s="266"/>
      <c r="O8" s="266"/>
      <c r="P8" s="266"/>
      <c r="Q8" s="266"/>
      <c r="R8" s="267"/>
      <c r="S8" s="265" t="s">
        <v>16</v>
      </c>
      <c r="T8" s="266"/>
      <c r="U8" s="266"/>
      <c r="V8" s="266"/>
      <c r="W8" s="266"/>
      <c r="X8" s="266"/>
      <c r="Y8" s="266"/>
      <c r="Z8" s="266"/>
      <c r="AA8" s="267"/>
      <c r="AB8" s="265" t="s">
        <v>17</v>
      </c>
      <c r="AC8" s="266"/>
      <c r="AD8" s="266"/>
      <c r="AE8" s="266"/>
      <c r="AF8" s="267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68" t="s">
        <v>18</v>
      </c>
      <c r="B9" s="264">
        <v>0</v>
      </c>
      <c r="C9" s="264">
        <v>4.1666666666666664E-2</v>
      </c>
      <c r="D9" s="264">
        <v>8.3333333333333301E-2</v>
      </c>
      <c r="E9" s="264">
        <v>0.125</v>
      </c>
      <c r="F9" s="264">
        <v>0.16666666666666699</v>
      </c>
      <c r="G9" s="264">
        <v>0.20833333333333301</v>
      </c>
      <c r="H9" s="264">
        <v>0.22916666666666666</v>
      </c>
      <c r="I9" s="264">
        <v>0.25</v>
      </c>
      <c r="J9" s="264">
        <v>0.27083333333333331</v>
      </c>
      <c r="K9" s="264">
        <v>0.29166666666666669</v>
      </c>
      <c r="L9" s="264">
        <v>0.3125</v>
      </c>
      <c r="M9" s="262">
        <v>0.33333333333333331</v>
      </c>
      <c r="N9" s="262">
        <v>0.375</v>
      </c>
      <c r="O9" s="262">
        <v>0.41666666666666702</v>
      </c>
      <c r="P9" s="262">
        <v>0.45833333333333298</v>
      </c>
      <c r="Q9" s="262">
        <v>0.5</v>
      </c>
      <c r="R9" s="262">
        <v>0.54166666666666696</v>
      </c>
      <c r="S9" s="258">
        <v>0.58333333333333304</v>
      </c>
      <c r="T9" s="258">
        <v>0.625</v>
      </c>
      <c r="U9" s="258">
        <v>0.66666666666666696</v>
      </c>
      <c r="V9" s="258">
        <v>0.70833333333333304</v>
      </c>
      <c r="W9" s="258">
        <v>0.72916666666666663</v>
      </c>
      <c r="X9" s="258">
        <v>0.75</v>
      </c>
      <c r="Y9" s="258">
        <v>0.77083333333333337</v>
      </c>
      <c r="Z9" s="258">
        <v>0.79166666666666663</v>
      </c>
      <c r="AA9" s="258">
        <v>0.8125</v>
      </c>
      <c r="AB9" s="258">
        <v>0.83333333333333337</v>
      </c>
      <c r="AC9" s="258">
        <v>0.85416666666666663</v>
      </c>
      <c r="AD9" s="258">
        <v>0.875</v>
      </c>
      <c r="AE9" s="258">
        <v>0.91666666666666696</v>
      </c>
      <c r="AF9" s="258">
        <v>0.95833333333333304</v>
      </c>
      <c r="AG9" s="260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69"/>
      <c r="B10" s="259"/>
      <c r="C10" s="259"/>
      <c r="D10" s="259"/>
      <c r="E10" s="259"/>
      <c r="F10" s="259"/>
      <c r="G10" s="259"/>
      <c r="H10" s="259"/>
      <c r="I10" s="259"/>
      <c r="J10" s="259"/>
      <c r="K10" s="259"/>
      <c r="L10" s="259"/>
      <c r="M10" s="263"/>
      <c r="N10" s="263"/>
      <c r="O10" s="263"/>
      <c r="P10" s="263"/>
      <c r="Q10" s="263"/>
      <c r="R10" s="263"/>
      <c r="S10" s="259"/>
      <c r="T10" s="259"/>
      <c r="U10" s="259"/>
      <c r="V10" s="259"/>
      <c r="W10" s="259"/>
      <c r="X10" s="259"/>
      <c r="Y10" s="259"/>
      <c r="Z10" s="259"/>
      <c r="AA10" s="259"/>
      <c r="AB10" s="259"/>
      <c r="AC10" s="259"/>
      <c r="AD10" s="259"/>
      <c r="AE10" s="259"/>
      <c r="AF10" s="259"/>
      <c r="AG10" s="261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33.200000000000003</v>
      </c>
      <c r="C11" s="45">
        <v>33.200000000000003</v>
      </c>
      <c r="D11" s="45">
        <v>33.200000000000003</v>
      </c>
      <c r="E11" s="45">
        <v>33.200000000000003</v>
      </c>
      <c r="F11" s="45">
        <v>33.200000000000003</v>
      </c>
      <c r="G11" s="45">
        <v>33.200000000000003</v>
      </c>
      <c r="H11" s="45">
        <v>33.200000000000003</v>
      </c>
      <c r="I11" s="45">
        <v>33.200000000000003</v>
      </c>
      <c r="J11" s="45">
        <v>33.200000000000003</v>
      </c>
      <c r="K11" s="45">
        <v>33.200000000000003</v>
      </c>
      <c r="L11" s="45">
        <v>33.200000000000003</v>
      </c>
      <c r="M11" s="45">
        <v>31.8</v>
      </c>
      <c r="N11" s="45">
        <v>31.8</v>
      </c>
      <c r="O11" s="45">
        <v>31.8</v>
      </c>
      <c r="P11" s="45">
        <v>31.8</v>
      </c>
      <c r="Q11" s="45">
        <v>31.8</v>
      </c>
      <c r="R11" s="45">
        <v>31.8</v>
      </c>
      <c r="S11" s="45">
        <v>31.8</v>
      </c>
      <c r="T11" s="45">
        <v>31.8</v>
      </c>
      <c r="U11" s="45">
        <v>31.8</v>
      </c>
      <c r="V11" s="45">
        <v>31.8</v>
      </c>
      <c r="W11" s="45">
        <v>31.8</v>
      </c>
      <c r="X11" s="45">
        <v>31.8</v>
      </c>
      <c r="Y11" s="45">
        <v>30.1</v>
      </c>
      <c r="Z11" s="45">
        <v>30.1</v>
      </c>
      <c r="AA11" s="45">
        <v>30.1</v>
      </c>
      <c r="AB11" s="45">
        <v>30.1</v>
      </c>
      <c r="AC11" s="45">
        <v>30.1</v>
      </c>
      <c r="AD11" s="45">
        <v>30.1</v>
      </c>
      <c r="AE11" s="45">
        <v>28.3</v>
      </c>
      <c r="AF11" s="45">
        <v>28.3</v>
      </c>
      <c r="AG11" s="46">
        <v>86</v>
      </c>
      <c r="AH11" s="47">
        <f t="shared" ref="AH11:AH84" si="2">MAX(B11:AF11)</f>
        <v>33.200000000000003</v>
      </c>
      <c r="AI11" s="48">
        <f t="shared" ref="AI11:AI84" si="3">MIN(B11:AF11)</f>
        <v>28.3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262</v>
      </c>
      <c r="B12" s="45">
        <v>11.1</v>
      </c>
      <c r="C12" s="45">
        <v>11.1</v>
      </c>
      <c r="D12" s="45">
        <v>11.1</v>
      </c>
      <c r="E12" s="45">
        <v>11.1</v>
      </c>
      <c r="F12" s="45">
        <v>11.1</v>
      </c>
      <c r="G12" s="45">
        <v>11.1</v>
      </c>
      <c r="H12" s="45">
        <v>11.1</v>
      </c>
      <c r="I12" s="45">
        <v>11.1</v>
      </c>
      <c r="J12" s="45">
        <v>11.1</v>
      </c>
      <c r="K12" s="45">
        <v>11.1</v>
      </c>
      <c r="L12" s="45">
        <v>11.1</v>
      </c>
      <c r="M12" s="45">
        <v>11</v>
      </c>
      <c r="N12" s="45">
        <v>11</v>
      </c>
      <c r="O12" s="45">
        <v>11</v>
      </c>
      <c r="P12" s="45">
        <v>11</v>
      </c>
      <c r="Q12" s="45">
        <v>11</v>
      </c>
      <c r="R12" s="45">
        <v>11</v>
      </c>
      <c r="S12" s="45">
        <v>11</v>
      </c>
      <c r="T12" s="45">
        <v>11</v>
      </c>
      <c r="U12" s="45">
        <v>11</v>
      </c>
      <c r="V12" s="45">
        <v>11</v>
      </c>
      <c r="W12" s="45">
        <v>11</v>
      </c>
      <c r="X12" s="45">
        <v>11</v>
      </c>
      <c r="Y12" s="45">
        <v>0</v>
      </c>
      <c r="Z12" s="45">
        <v>0</v>
      </c>
      <c r="AA12" s="45">
        <v>0</v>
      </c>
      <c r="AB12" s="45">
        <v>10</v>
      </c>
      <c r="AC12" s="45">
        <v>10</v>
      </c>
      <c r="AD12" s="45">
        <v>10</v>
      </c>
      <c r="AE12" s="45">
        <v>10</v>
      </c>
      <c r="AF12" s="45">
        <v>10</v>
      </c>
      <c r="AG12" s="49">
        <v>54</v>
      </c>
      <c r="AH12" s="47">
        <f t="shared" si="2"/>
        <v>11.1</v>
      </c>
      <c r="AI12" s="48">
        <f t="shared" si="3"/>
        <v>0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15.5</v>
      </c>
      <c r="C13" s="45">
        <v>15.5</v>
      </c>
      <c r="D13" s="45">
        <v>15.5</v>
      </c>
      <c r="E13" s="45">
        <v>15.5</v>
      </c>
      <c r="F13" s="45">
        <v>15.5</v>
      </c>
      <c r="G13" s="45">
        <v>15.5</v>
      </c>
      <c r="H13" s="45">
        <v>15.5</v>
      </c>
      <c r="I13" s="45">
        <v>15.5</v>
      </c>
      <c r="J13" s="45">
        <v>15.5</v>
      </c>
      <c r="K13" s="45">
        <v>15.5</v>
      </c>
      <c r="L13" s="45">
        <v>15.5</v>
      </c>
      <c r="M13" s="45">
        <v>15.2</v>
      </c>
      <c r="N13" s="45">
        <v>15.2</v>
      </c>
      <c r="O13" s="45">
        <v>15.2</v>
      </c>
      <c r="P13" s="45">
        <v>15.2</v>
      </c>
      <c r="Q13" s="45">
        <v>15.2</v>
      </c>
      <c r="R13" s="45">
        <v>15.2</v>
      </c>
      <c r="S13" s="45">
        <v>15.2</v>
      </c>
      <c r="T13" s="45">
        <v>15.2</v>
      </c>
      <c r="U13" s="45">
        <v>15.2</v>
      </c>
      <c r="V13" s="45">
        <v>15.2</v>
      </c>
      <c r="W13" s="45">
        <v>15.2</v>
      </c>
      <c r="X13" s="45">
        <v>15.2</v>
      </c>
      <c r="Y13" s="45">
        <v>15.5</v>
      </c>
      <c r="Z13" s="45">
        <v>15.5</v>
      </c>
      <c r="AA13" s="45">
        <v>15.5</v>
      </c>
      <c r="AB13" s="45">
        <v>15.5</v>
      </c>
      <c r="AC13" s="45">
        <v>15.5</v>
      </c>
      <c r="AD13" s="45">
        <v>15.5</v>
      </c>
      <c r="AE13" s="45">
        <v>15.5</v>
      </c>
      <c r="AF13" s="45">
        <v>15.5</v>
      </c>
      <c r="AG13" s="49">
        <v>54</v>
      </c>
      <c r="AH13" s="47">
        <f t="shared" si="2"/>
        <v>15.5</v>
      </c>
      <c r="AI13" s="48">
        <f t="shared" si="3"/>
        <v>15.2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15.5</v>
      </c>
      <c r="C14" s="45">
        <v>15.5</v>
      </c>
      <c r="D14" s="45">
        <v>15.5</v>
      </c>
      <c r="E14" s="45">
        <v>15.5</v>
      </c>
      <c r="F14" s="45">
        <v>15.5</v>
      </c>
      <c r="G14" s="45">
        <v>15.5</v>
      </c>
      <c r="H14" s="45">
        <v>15.5</v>
      </c>
      <c r="I14" s="45">
        <v>15.5</v>
      </c>
      <c r="J14" s="45">
        <v>15.5</v>
      </c>
      <c r="K14" s="45">
        <v>15.5</v>
      </c>
      <c r="L14" s="45">
        <v>15.5</v>
      </c>
      <c r="M14" s="45">
        <v>15</v>
      </c>
      <c r="N14" s="45">
        <v>15</v>
      </c>
      <c r="O14" s="45">
        <v>15</v>
      </c>
      <c r="P14" s="45">
        <v>15</v>
      </c>
      <c r="Q14" s="45">
        <v>15</v>
      </c>
      <c r="R14" s="45">
        <v>15</v>
      </c>
      <c r="S14" s="45">
        <v>15</v>
      </c>
      <c r="T14" s="45">
        <v>15</v>
      </c>
      <c r="U14" s="45">
        <v>15</v>
      </c>
      <c r="V14" s="45">
        <v>15</v>
      </c>
      <c r="W14" s="45">
        <v>15</v>
      </c>
      <c r="X14" s="45">
        <v>15</v>
      </c>
      <c r="Y14" s="45">
        <v>15.5</v>
      </c>
      <c r="Z14" s="45">
        <v>15.5</v>
      </c>
      <c r="AA14" s="45">
        <v>15.5</v>
      </c>
      <c r="AB14" s="45">
        <v>15.5</v>
      </c>
      <c r="AC14" s="45">
        <v>15.5</v>
      </c>
      <c r="AD14" s="45">
        <v>15.5</v>
      </c>
      <c r="AE14" s="45">
        <v>15.5</v>
      </c>
      <c r="AF14" s="45">
        <v>15.5</v>
      </c>
      <c r="AG14" s="46">
        <v>52.4</v>
      </c>
      <c r="AH14" s="47">
        <f t="shared" si="2"/>
        <v>15.5</v>
      </c>
      <c r="AI14" s="48">
        <f t="shared" si="3"/>
        <v>15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33.200000000000003</v>
      </c>
      <c r="C15" s="45">
        <v>33.200000000000003</v>
      </c>
      <c r="D15" s="45">
        <v>33.200000000000003</v>
      </c>
      <c r="E15" s="45">
        <v>33.200000000000003</v>
      </c>
      <c r="F15" s="45">
        <v>33.200000000000003</v>
      </c>
      <c r="G15" s="45">
        <v>33.200000000000003</v>
      </c>
      <c r="H15" s="45">
        <v>33.200000000000003</v>
      </c>
      <c r="I15" s="45">
        <v>33.200000000000003</v>
      </c>
      <c r="J15" s="45">
        <v>33.200000000000003</v>
      </c>
      <c r="K15" s="45">
        <v>33.200000000000003</v>
      </c>
      <c r="L15" s="45">
        <v>33.200000000000003</v>
      </c>
      <c r="M15" s="51">
        <v>32.4</v>
      </c>
      <c r="N15" s="51">
        <v>32.4</v>
      </c>
      <c r="O15" s="51">
        <v>32.4</v>
      </c>
      <c r="P15" s="51">
        <v>32.4</v>
      </c>
      <c r="Q15" s="51">
        <v>32.4</v>
      </c>
      <c r="R15" s="51">
        <v>32.4</v>
      </c>
      <c r="S15" s="51">
        <v>32.4</v>
      </c>
      <c r="T15" s="51">
        <v>32.4</v>
      </c>
      <c r="U15" s="51">
        <v>32.4</v>
      </c>
      <c r="V15" s="51">
        <v>32.4</v>
      </c>
      <c r="W15" s="51">
        <v>32.4</v>
      </c>
      <c r="X15" s="51">
        <v>32.4</v>
      </c>
      <c r="Y15" s="51">
        <v>33.200000000000003</v>
      </c>
      <c r="Z15" s="51">
        <v>33.200000000000003</v>
      </c>
      <c r="AA15" s="51">
        <v>33.200000000000003</v>
      </c>
      <c r="AB15" s="51">
        <v>33.200000000000003</v>
      </c>
      <c r="AC15" s="51">
        <v>33.200000000000003</v>
      </c>
      <c r="AD15" s="51">
        <v>33.200000000000003</v>
      </c>
      <c r="AE15" s="51">
        <v>33.200000000000003</v>
      </c>
      <c r="AF15" s="51">
        <v>33.200000000000003</v>
      </c>
      <c r="AG15" s="49">
        <v>50</v>
      </c>
      <c r="AH15" s="47">
        <f t="shared" si="2"/>
        <v>33.200000000000003</v>
      </c>
      <c r="AI15" s="48">
        <f t="shared" si="3"/>
        <v>32.4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19</v>
      </c>
      <c r="C16" s="45">
        <v>19</v>
      </c>
      <c r="D16" s="45">
        <v>19</v>
      </c>
      <c r="E16" s="45">
        <v>19</v>
      </c>
      <c r="F16" s="45">
        <v>19</v>
      </c>
      <c r="G16" s="45">
        <v>19</v>
      </c>
      <c r="H16" s="45">
        <v>19</v>
      </c>
      <c r="I16" s="45">
        <v>19</v>
      </c>
      <c r="J16" s="45">
        <v>19</v>
      </c>
      <c r="K16" s="45">
        <v>19</v>
      </c>
      <c r="L16" s="45">
        <v>19</v>
      </c>
      <c r="M16" s="45">
        <v>16.899999999999999</v>
      </c>
      <c r="N16" s="45">
        <v>16.899999999999999</v>
      </c>
      <c r="O16" s="45">
        <v>16.899999999999999</v>
      </c>
      <c r="P16" s="45">
        <v>16.899999999999999</v>
      </c>
      <c r="Q16" s="45">
        <v>16.899999999999999</v>
      </c>
      <c r="R16" s="45">
        <v>16.899999999999999</v>
      </c>
      <c r="S16" s="45">
        <v>16.899999999999999</v>
      </c>
      <c r="T16" s="45">
        <v>16.899999999999999</v>
      </c>
      <c r="U16" s="45">
        <v>16.899999999999999</v>
      </c>
      <c r="V16" s="45">
        <v>16.899999999999999</v>
      </c>
      <c r="W16" s="45">
        <v>16.899999999999999</v>
      </c>
      <c r="X16" s="45">
        <v>16.899999999999999</v>
      </c>
      <c r="Y16" s="45">
        <v>19</v>
      </c>
      <c r="Z16" s="45">
        <v>19</v>
      </c>
      <c r="AA16" s="45">
        <v>19</v>
      </c>
      <c r="AB16" s="45">
        <v>19</v>
      </c>
      <c r="AC16" s="45">
        <v>19</v>
      </c>
      <c r="AD16" s="45">
        <v>19</v>
      </c>
      <c r="AE16" s="45">
        <v>19</v>
      </c>
      <c r="AF16" s="45">
        <v>19</v>
      </c>
      <c r="AG16" s="49">
        <v>45</v>
      </c>
      <c r="AH16" s="47">
        <f t="shared" si="2"/>
        <v>19</v>
      </c>
      <c r="AI16" s="48">
        <f t="shared" si="3"/>
        <v>16.899999999999999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16.5</v>
      </c>
      <c r="C17" s="45">
        <v>16.5</v>
      </c>
      <c r="D17" s="45">
        <v>16.5</v>
      </c>
      <c r="E17" s="45">
        <v>16.5</v>
      </c>
      <c r="F17" s="45">
        <v>16.5</v>
      </c>
      <c r="G17" s="45">
        <v>16.5</v>
      </c>
      <c r="H17" s="45">
        <v>16.5</v>
      </c>
      <c r="I17" s="45">
        <v>16.5</v>
      </c>
      <c r="J17" s="45">
        <v>16.5</v>
      </c>
      <c r="K17" s="45">
        <v>16.5</v>
      </c>
      <c r="L17" s="45">
        <v>16.5</v>
      </c>
      <c r="M17" s="45">
        <v>16.5</v>
      </c>
      <c r="N17" s="45">
        <v>16.5</v>
      </c>
      <c r="O17" s="45">
        <v>0</v>
      </c>
      <c r="P17" s="45">
        <v>0</v>
      </c>
      <c r="Q17" s="45">
        <v>0</v>
      </c>
      <c r="R17" s="45">
        <v>0</v>
      </c>
      <c r="S17" s="45">
        <v>0</v>
      </c>
      <c r="T17" s="45">
        <v>0</v>
      </c>
      <c r="U17" s="45">
        <v>0</v>
      </c>
      <c r="V17" s="45">
        <v>0</v>
      </c>
      <c r="W17" s="45">
        <v>0</v>
      </c>
      <c r="X17" s="45">
        <v>0</v>
      </c>
      <c r="Y17" s="45">
        <v>16.5</v>
      </c>
      <c r="Z17" s="45">
        <v>16.5</v>
      </c>
      <c r="AA17" s="45">
        <v>16.5</v>
      </c>
      <c r="AB17" s="45">
        <v>16.5</v>
      </c>
      <c r="AC17" s="45">
        <v>16.5</v>
      </c>
      <c r="AD17" s="45">
        <v>16.5</v>
      </c>
      <c r="AE17" s="45">
        <v>16.5</v>
      </c>
      <c r="AF17" s="45">
        <v>16.5</v>
      </c>
      <c r="AG17" s="49">
        <v>44</v>
      </c>
      <c r="AH17" s="47">
        <f>MAX(B17:AG17)</f>
        <v>44</v>
      </c>
      <c r="AI17" s="48">
        <f>MIN(B17:AG17)</f>
        <v>0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8.5</v>
      </c>
      <c r="C18" s="45">
        <v>8.5</v>
      </c>
      <c r="D18" s="45">
        <v>8.5</v>
      </c>
      <c r="E18" s="45">
        <v>8.5</v>
      </c>
      <c r="F18" s="45">
        <v>8.5</v>
      </c>
      <c r="G18" s="45">
        <v>8.5</v>
      </c>
      <c r="H18" s="45">
        <v>8.5</v>
      </c>
      <c r="I18" s="45">
        <v>8.5</v>
      </c>
      <c r="J18" s="45">
        <v>8.5</v>
      </c>
      <c r="K18" s="45">
        <v>8.5</v>
      </c>
      <c r="L18" s="45">
        <v>8.5</v>
      </c>
      <c r="M18" s="45">
        <v>9</v>
      </c>
      <c r="N18" s="45">
        <v>9</v>
      </c>
      <c r="O18" s="45">
        <v>9</v>
      </c>
      <c r="P18" s="45">
        <v>9</v>
      </c>
      <c r="Q18" s="45">
        <v>9</v>
      </c>
      <c r="R18" s="45">
        <v>9</v>
      </c>
      <c r="S18" s="45">
        <v>9</v>
      </c>
      <c r="T18" s="45">
        <v>9</v>
      </c>
      <c r="U18" s="45">
        <v>9</v>
      </c>
      <c r="V18" s="45">
        <v>9</v>
      </c>
      <c r="W18" s="45">
        <v>9</v>
      </c>
      <c r="X18" s="45">
        <v>9</v>
      </c>
      <c r="Y18" s="45">
        <v>8.5</v>
      </c>
      <c r="Z18" s="45">
        <v>8.5</v>
      </c>
      <c r="AA18" s="45">
        <v>8.5</v>
      </c>
      <c r="AB18" s="45">
        <v>8.5</v>
      </c>
      <c r="AC18" s="45">
        <v>8.5</v>
      </c>
      <c r="AD18" s="45">
        <v>8.5</v>
      </c>
      <c r="AE18" s="45">
        <v>8.5</v>
      </c>
      <c r="AF18" s="45">
        <v>8.5</v>
      </c>
      <c r="AG18" s="49">
        <v>42</v>
      </c>
      <c r="AH18" s="47">
        <f t="shared" si="2"/>
        <v>9</v>
      </c>
      <c r="AI18" s="48">
        <f t="shared" si="3"/>
        <v>8.5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263</v>
      </c>
      <c r="B19" s="45">
        <v>15.4</v>
      </c>
      <c r="C19" s="45">
        <v>15.4</v>
      </c>
      <c r="D19" s="45">
        <v>15.4</v>
      </c>
      <c r="E19" s="45">
        <v>15.4</v>
      </c>
      <c r="F19" s="45">
        <v>15.4</v>
      </c>
      <c r="G19" s="45">
        <v>15.4</v>
      </c>
      <c r="H19" s="45">
        <v>15.4</v>
      </c>
      <c r="I19" s="45">
        <v>15.4</v>
      </c>
      <c r="J19" s="45">
        <v>15.4</v>
      </c>
      <c r="K19" s="45">
        <v>15.4</v>
      </c>
      <c r="L19" s="45">
        <v>15.4</v>
      </c>
      <c r="M19" s="45">
        <v>14</v>
      </c>
      <c r="N19" s="45">
        <v>14</v>
      </c>
      <c r="O19" s="45">
        <v>14</v>
      </c>
      <c r="P19" s="45">
        <v>14</v>
      </c>
      <c r="Q19" s="45">
        <v>14</v>
      </c>
      <c r="R19" s="45">
        <v>14</v>
      </c>
      <c r="S19" s="45">
        <v>14</v>
      </c>
      <c r="T19" s="45">
        <v>14</v>
      </c>
      <c r="U19" s="45">
        <v>14</v>
      </c>
      <c r="V19" s="45">
        <v>14</v>
      </c>
      <c r="W19" s="45">
        <v>14</v>
      </c>
      <c r="X19" s="45">
        <v>14</v>
      </c>
      <c r="Y19" s="45">
        <v>15.4</v>
      </c>
      <c r="Z19" s="45">
        <v>15.4</v>
      </c>
      <c r="AA19" s="45">
        <v>15.4</v>
      </c>
      <c r="AB19" s="45">
        <v>15.4</v>
      </c>
      <c r="AC19" s="45">
        <v>15.4</v>
      </c>
      <c r="AD19" s="45">
        <v>15.4</v>
      </c>
      <c r="AE19" s="45">
        <v>15.4</v>
      </c>
      <c r="AF19" s="45">
        <v>15.4</v>
      </c>
      <c r="AG19" s="49">
        <v>38.46</v>
      </c>
      <c r="AH19" s="47">
        <f t="shared" si="2"/>
        <v>15.4</v>
      </c>
      <c r="AI19" s="48">
        <f t="shared" si="3"/>
        <v>14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10.199999999999999</v>
      </c>
      <c r="C20" s="45">
        <v>10.199999999999999</v>
      </c>
      <c r="D20" s="45">
        <v>10.199999999999999</v>
      </c>
      <c r="E20" s="45">
        <v>10.199999999999999</v>
      </c>
      <c r="F20" s="45">
        <v>10.199999999999999</v>
      </c>
      <c r="G20" s="45">
        <v>10.199999999999999</v>
      </c>
      <c r="H20" s="45">
        <v>10.199999999999999</v>
      </c>
      <c r="I20" s="45">
        <v>10.199999999999999</v>
      </c>
      <c r="J20" s="45">
        <v>10.199999999999999</v>
      </c>
      <c r="K20" s="45">
        <v>10.199999999999999</v>
      </c>
      <c r="L20" s="45">
        <v>10.199999999999999</v>
      </c>
      <c r="M20" s="45">
        <v>10.199999999999999</v>
      </c>
      <c r="N20" s="45">
        <v>10.199999999999999</v>
      </c>
      <c r="O20" s="45">
        <v>10.199999999999999</v>
      </c>
      <c r="P20" s="45">
        <v>10.199999999999999</v>
      </c>
      <c r="Q20" s="45">
        <v>10.199999999999999</v>
      </c>
      <c r="R20" s="45">
        <v>10.199999999999999</v>
      </c>
      <c r="S20" s="45">
        <v>10.199999999999999</v>
      </c>
      <c r="T20" s="45">
        <v>10.199999999999999</v>
      </c>
      <c r="U20" s="45">
        <v>10.199999999999999</v>
      </c>
      <c r="V20" s="45">
        <v>10.199999999999999</v>
      </c>
      <c r="W20" s="45">
        <v>10.199999999999999</v>
      </c>
      <c r="X20" s="45">
        <v>10.199999999999999</v>
      </c>
      <c r="Y20" s="45">
        <v>10.199999999999999</v>
      </c>
      <c r="Z20" s="45">
        <v>10.199999999999999</v>
      </c>
      <c r="AA20" s="45">
        <v>10.199999999999999</v>
      </c>
      <c r="AB20" s="45">
        <v>10.199999999999999</v>
      </c>
      <c r="AC20" s="45">
        <v>10.199999999999999</v>
      </c>
      <c r="AD20" s="45">
        <v>10.199999999999999</v>
      </c>
      <c r="AE20" s="45">
        <v>10.199999999999999</v>
      </c>
      <c r="AF20" s="45">
        <v>10.199999999999999</v>
      </c>
      <c r="AG20" s="49">
        <v>38.46</v>
      </c>
      <c r="AH20" s="47">
        <f t="shared" si="2"/>
        <v>10.199999999999999</v>
      </c>
      <c r="AI20" s="48">
        <f t="shared" si="3"/>
        <v>10.199999999999999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13.6</v>
      </c>
      <c r="C21" s="45">
        <v>13.6</v>
      </c>
      <c r="D21" s="45">
        <v>13.6</v>
      </c>
      <c r="E21" s="45">
        <v>13.6</v>
      </c>
      <c r="F21" s="45">
        <v>13.6</v>
      </c>
      <c r="G21" s="45">
        <v>13.6</v>
      </c>
      <c r="H21" s="45">
        <v>13.6</v>
      </c>
      <c r="I21" s="45">
        <v>13.6</v>
      </c>
      <c r="J21" s="45">
        <v>13.6</v>
      </c>
      <c r="K21" s="45">
        <v>13.6</v>
      </c>
      <c r="L21" s="45">
        <v>13.6</v>
      </c>
      <c r="M21" s="45">
        <v>13.6</v>
      </c>
      <c r="N21" s="45">
        <v>13.6</v>
      </c>
      <c r="O21" s="45">
        <v>13.6</v>
      </c>
      <c r="P21" s="45">
        <v>13.6</v>
      </c>
      <c r="Q21" s="45">
        <v>13.6</v>
      </c>
      <c r="R21" s="45">
        <v>13.6</v>
      </c>
      <c r="S21" s="45">
        <v>13.6</v>
      </c>
      <c r="T21" s="45">
        <v>13.6</v>
      </c>
      <c r="U21" s="45">
        <v>13.6</v>
      </c>
      <c r="V21" s="45">
        <v>13.6</v>
      </c>
      <c r="W21" s="45">
        <v>13.6</v>
      </c>
      <c r="X21" s="45">
        <v>13.6</v>
      </c>
      <c r="Y21" s="45">
        <v>13.6</v>
      </c>
      <c r="Z21" s="45">
        <v>13.6</v>
      </c>
      <c r="AA21" s="45">
        <v>13.6</v>
      </c>
      <c r="AB21" s="45">
        <v>13.6</v>
      </c>
      <c r="AC21" s="45">
        <v>13.6</v>
      </c>
      <c r="AD21" s="45">
        <v>13.6</v>
      </c>
      <c r="AE21" s="45">
        <v>13.6</v>
      </c>
      <c r="AF21" s="45">
        <v>13.6</v>
      </c>
      <c r="AG21" s="49">
        <v>36</v>
      </c>
      <c r="AH21" s="47">
        <f t="shared" si="2"/>
        <v>13.6</v>
      </c>
      <c r="AI21" s="48">
        <f t="shared" si="3"/>
        <v>13.6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8.6999999999999993</v>
      </c>
      <c r="C22" s="45">
        <v>8.6999999999999993</v>
      </c>
      <c r="D22" s="45">
        <v>8.6999999999999993</v>
      </c>
      <c r="E22" s="45">
        <v>8.6999999999999993</v>
      </c>
      <c r="F22" s="45">
        <v>8.6999999999999993</v>
      </c>
      <c r="G22" s="45">
        <v>8.6999999999999993</v>
      </c>
      <c r="H22" s="45">
        <v>8.6999999999999993</v>
      </c>
      <c r="I22" s="45">
        <v>8.6999999999999993</v>
      </c>
      <c r="J22" s="45">
        <v>8.6999999999999993</v>
      </c>
      <c r="K22" s="45">
        <v>8.6999999999999993</v>
      </c>
      <c r="L22" s="45">
        <v>8.6999999999999993</v>
      </c>
      <c r="M22" s="45">
        <v>9</v>
      </c>
      <c r="N22" s="45">
        <v>9</v>
      </c>
      <c r="O22" s="45">
        <v>9</v>
      </c>
      <c r="P22" s="45">
        <v>9</v>
      </c>
      <c r="Q22" s="45">
        <v>9</v>
      </c>
      <c r="R22" s="45">
        <v>9</v>
      </c>
      <c r="S22" s="45">
        <v>9</v>
      </c>
      <c r="T22" s="45">
        <v>9</v>
      </c>
      <c r="U22" s="45">
        <v>9</v>
      </c>
      <c r="V22" s="45">
        <v>9</v>
      </c>
      <c r="W22" s="45">
        <v>9</v>
      </c>
      <c r="X22" s="45">
        <v>9</v>
      </c>
      <c r="Y22" s="45">
        <v>8.6999999999999993</v>
      </c>
      <c r="Z22" s="45">
        <v>8.6999999999999993</v>
      </c>
      <c r="AA22" s="45">
        <v>8.6999999999999993</v>
      </c>
      <c r="AB22" s="45">
        <v>8.6999999999999993</v>
      </c>
      <c r="AC22" s="45">
        <v>8.6999999999999993</v>
      </c>
      <c r="AD22" s="45">
        <v>8.6999999999999993</v>
      </c>
      <c r="AE22" s="45">
        <v>8.6999999999999993</v>
      </c>
      <c r="AF22" s="45">
        <v>8.6999999999999993</v>
      </c>
      <c r="AG22" s="52">
        <v>30</v>
      </c>
      <c r="AH22" s="47">
        <f t="shared" si="2"/>
        <v>9</v>
      </c>
      <c r="AI22" s="48">
        <f t="shared" si="3"/>
        <v>8.6999999999999993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9</v>
      </c>
      <c r="C23" s="45">
        <v>9</v>
      </c>
      <c r="D23" s="45">
        <v>9</v>
      </c>
      <c r="E23" s="45">
        <v>9</v>
      </c>
      <c r="F23" s="45">
        <v>9</v>
      </c>
      <c r="G23" s="45">
        <v>9</v>
      </c>
      <c r="H23" s="45">
        <v>9</v>
      </c>
      <c r="I23" s="45">
        <v>9</v>
      </c>
      <c r="J23" s="45">
        <v>9</v>
      </c>
      <c r="K23" s="45">
        <v>9</v>
      </c>
      <c r="L23" s="45">
        <v>9</v>
      </c>
      <c r="M23" s="45">
        <v>8</v>
      </c>
      <c r="N23" s="45">
        <v>8</v>
      </c>
      <c r="O23" s="45">
        <v>8</v>
      </c>
      <c r="P23" s="45">
        <v>8</v>
      </c>
      <c r="Q23" s="45">
        <v>8</v>
      </c>
      <c r="R23" s="45">
        <v>8</v>
      </c>
      <c r="S23" s="45">
        <v>8</v>
      </c>
      <c r="T23" s="45">
        <v>8</v>
      </c>
      <c r="U23" s="45">
        <v>8</v>
      </c>
      <c r="V23" s="45">
        <v>8</v>
      </c>
      <c r="W23" s="45">
        <v>8</v>
      </c>
      <c r="X23" s="45">
        <v>8</v>
      </c>
      <c r="Y23" s="45">
        <v>9</v>
      </c>
      <c r="Z23" s="45">
        <v>9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9</v>
      </c>
      <c r="AG23" s="49">
        <v>24.2</v>
      </c>
      <c r="AH23" s="47">
        <f t="shared" si="2"/>
        <v>9</v>
      </c>
      <c r="AI23" s="48">
        <f t="shared" si="3"/>
        <v>8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9.1999999999999993</v>
      </c>
      <c r="C24" s="45">
        <v>9.1999999999999993</v>
      </c>
      <c r="D24" s="45">
        <v>9.1999999999999993</v>
      </c>
      <c r="E24" s="45">
        <v>9.1999999999999993</v>
      </c>
      <c r="F24" s="45">
        <v>9.1999999999999993</v>
      </c>
      <c r="G24" s="45">
        <v>9.1999999999999993</v>
      </c>
      <c r="H24" s="45">
        <v>9.1999999999999993</v>
      </c>
      <c r="I24" s="45">
        <v>9.1999999999999993</v>
      </c>
      <c r="J24" s="45">
        <v>9.1999999999999993</v>
      </c>
      <c r="K24" s="45">
        <v>9.1999999999999993</v>
      </c>
      <c r="L24" s="45">
        <v>9.1999999999999993</v>
      </c>
      <c r="M24" s="45">
        <v>9.1999999999999993</v>
      </c>
      <c r="N24" s="45">
        <v>9.1999999999999993</v>
      </c>
      <c r="O24" s="45">
        <v>9.1999999999999993</v>
      </c>
      <c r="P24" s="45">
        <v>9.1999999999999993</v>
      </c>
      <c r="Q24" s="45">
        <v>9.1999999999999993</v>
      </c>
      <c r="R24" s="45">
        <v>9.1999999999999993</v>
      </c>
      <c r="S24" s="45">
        <v>9.1999999999999993</v>
      </c>
      <c r="T24" s="45">
        <v>9.1999999999999993</v>
      </c>
      <c r="U24" s="45">
        <v>9.1999999999999993</v>
      </c>
      <c r="V24" s="45">
        <v>9.1999999999999993</v>
      </c>
      <c r="W24" s="45">
        <v>9.1999999999999993</v>
      </c>
      <c r="X24" s="45">
        <v>9.1999999999999993</v>
      </c>
      <c r="Y24" s="45">
        <v>9.1999999999999993</v>
      </c>
      <c r="Z24" s="45">
        <v>9.1999999999999993</v>
      </c>
      <c r="AA24" s="45">
        <v>9.1999999999999993</v>
      </c>
      <c r="AB24" s="45">
        <v>9.1999999999999993</v>
      </c>
      <c r="AC24" s="45">
        <v>9.1999999999999993</v>
      </c>
      <c r="AD24" s="45">
        <v>9.1999999999999993</v>
      </c>
      <c r="AE24" s="45">
        <v>9.1999999999999993</v>
      </c>
      <c r="AF24" s="45">
        <v>9.1999999999999993</v>
      </c>
      <c r="AG24" s="49">
        <v>28</v>
      </c>
      <c r="AH24" s="47">
        <f t="shared" si="2"/>
        <v>9.1999999999999993</v>
      </c>
      <c r="AI24" s="48">
        <f t="shared" si="3"/>
        <v>9.1999999999999993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8.3000000000000007</v>
      </c>
      <c r="C25" s="45">
        <v>8.3000000000000007</v>
      </c>
      <c r="D25" s="45">
        <v>8.3000000000000007</v>
      </c>
      <c r="E25" s="45">
        <v>8.3000000000000007</v>
      </c>
      <c r="F25" s="45">
        <v>8.3000000000000007</v>
      </c>
      <c r="G25" s="45">
        <v>8.3000000000000007</v>
      </c>
      <c r="H25" s="45">
        <v>8.3000000000000007</v>
      </c>
      <c r="I25" s="45">
        <v>8.3000000000000007</v>
      </c>
      <c r="J25" s="45">
        <v>8.3000000000000007</v>
      </c>
      <c r="K25" s="45">
        <v>8.3000000000000007</v>
      </c>
      <c r="L25" s="45">
        <v>8.3000000000000007</v>
      </c>
      <c r="M25" s="45">
        <v>8.3000000000000007</v>
      </c>
      <c r="N25" s="45">
        <v>8.3000000000000007</v>
      </c>
      <c r="O25" s="45">
        <v>8.3000000000000007</v>
      </c>
      <c r="P25" s="45">
        <v>8.3000000000000007</v>
      </c>
      <c r="Q25" s="45">
        <v>8.3000000000000007</v>
      </c>
      <c r="R25" s="45">
        <v>8.3000000000000007</v>
      </c>
      <c r="S25" s="45">
        <v>8.3000000000000007</v>
      </c>
      <c r="T25" s="45">
        <v>8.3000000000000007</v>
      </c>
      <c r="U25" s="45">
        <v>8.3000000000000007</v>
      </c>
      <c r="V25" s="45">
        <v>8.3000000000000007</v>
      </c>
      <c r="W25" s="45">
        <v>8.3000000000000007</v>
      </c>
      <c r="X25" s="45">
        <v>8.3000000000000007</v>
      </c>
      <c r="Y25" s="45">
        <v>8.3000000000000007</v>
      </c>
      <c r="Z25" s="45">
        <v>8.3000000000000007</v>
      </c>
      <c r="AA25" s="45">
        <v>8.3000000000000007</v>
      </c>
      <c r="AB25" s="45">
        <v>8.3000000000000007</v>
      </c>
      <c r="AC25" s="45">
        <v>8.3000000000000007</v>
      </c>
      <c r="AD25" s="45">
        <v>8.3000000000000007</v>
      </c>
      <c r="AE25" s="45">
        <v>8.3000000000000007</v>
      </c>
      <c r="AF25" s="45">
        <v>8.3000000000000007</v>
      </c>
      <c r="AG25" s="52">
        <v>30</v>
      </c>
      <c r="AH25" s="47">
        <f t="shared" si="2"/>
        <v>8.3000000000000007</v>
      </c>
      <c r="AI25" s="48">
        <f t="shared" si="3"/>
        <v>8.3000000000000007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8.5</v>
      </c>
      <c r="C26" s="45">
        <v>8.5</v>
      </c>
      <c r="D26" s="45">
        <v>8.5</v>
      </c>
      <c r="E26" s="45">
        <v>8.5</v>
      </c>
      <c r="F26" s="45">
        <v>8.5</v>
      </c>
      <c r="G26" s="45">
        <v>8.5</v>
      </c>
      <c r="H26" s="45">
        <v>8.5</v>
      </c>
      <c r="I26" s="45">
        <v>8.5</v>
      </c>
      <c r="J26" s="45">
        <v>8.5</v>
      </c>
      <c r="K26" s="45">
        <v>8.5</v>
      </c>
      <c r="L26" s="45">
        <v>8.5</v>
      </c>
      <c r="M26" s="45">
        <v>8.5</v>
      </c>
      <c r="N26" s="45">
        <v>8.5</v>
      </c>
      <c r="O26" s="45">
        <v>8.5</v>
      </c>
      <c r="P26" s="45">
        <v>8.5</v>
      </c>
      <c r="Q26" s="45">
        <v>8.5</v>
      </c>
      <c r="R26" s="45">
        <v>8.5</v>
      </c>
      <c r="S26" s="45">
        <v>8.5</v>
      </c>
      <c r="T26" s="45">
        <v>8.5</v>
      </c>
      <c r="U26" s="45">
        <v>8.5</v>
      </c>
      <c r="V26" s="45">
        <v>8.5</v>
      </c>
      <c r="W26" s="45">
        <v>8.5</v>
      </c>
      <c r="X26" s="45">
        <v>8.5</v>
      </c>
      <c r="Y26" s="45">
        <v>8.5</v>
      </c>
      <c r="Z26" s="45">
        <v>8.5</v>
      </c>
      <c r="AA26" s="45">
        <v>8.5</v>
      </c>
      <c r="AB26" s="45">
        <v>8.5</v>
      </c>
      <c r="AC26" s="45">
        <v>8.5</v>
      </c>
      <c r="AD26" s="45">
        <v>8.5</v>
      </c>
      <c r="AE26" s="45">
        <v>8.5</v>
      </c>
      <c r="AF26" s="45">
        <v>8.5</v>
      </c>
      <c r="AG26" s="49">
        <v>25</v>
      </c>
      <c r="AH26" s="47">
        <f t="shared" si="2"/>
        <v>8.5</v>
      </c>
      <c r="AI26" s="48">
        <f t="shared" si="3"/>
        <v>8.5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5</v>
      </c>
      <c r="C27" s="45">
        <v>5</v>
      </c>
      <c r="D27" s="45">
        <v>5</v>
      </c>
      <c r="E27" s="45">
        <v>5</v>
      </c>
      <c r="F27" s="45">
        <v>5</v>
      </c>
      <c r="G27" s="45">
        <v>5</v>
      </c>
      <c r="H27" s="45">
        <v>5</v>
      </c>
      <c r="I27" s="45">
        <v>5</v>
      </c>
      <c r="J27" s="45">
        <v>5</v>
      </c>
      <c r="K27" s="45">
        <v>5</v>
      </c>
      <c r="L27" s="45">
        <v>5</v>
      </c>
      <c r="M27" s="45">
        <v>5</v>
      </c>
      <c r="N27" s="45">
        <v>5</v>
      </c>
      <c r="O27" s="45">
        <v>5</v>
      </c>
      <c r="P27" s="45">
        <v>5</v>
      </c>
      <c r="Q27" s="45">
        <v>5</v>
      </c>
      <c r="R27" s="45">
        <v>5</v>
      </c>
      <c r="S27" s="45">
        <v>5</v>
      </c>
      <c r="T27" s="45">
        <v>5</v>
      </c>
      <c r="U27" s="45">
        <v>5</v>
      </c>
      <c r="V27" s="45">
        <v>5</v>
      </c>
      <c r="W27" s="45">
        <v>5</v>
      </c>
      <c r="X27" s="45">
        <v>5</v>
      </c>
      <c r="Y27" s="45">
        <v>5</v>
      </c>
      <c r="Z27" s="45">
        <v>5</v>
      </c>
      <c r="AA27" s="45">
        <v>5</v>
      </c>
      <c r="AB27" s="45">
        <v>5</v>
      </c>
      <c r="AC27" s="45">
        <v>5</v>
      </c>
      <c r="AD27" s="45">
        <v>5</v>
      </c>
      <c r="AE27" s="45">
        <v>5</v>
      </c>
      <c r="AF27" s="45">
        <v>5</v>
      </c>
      <c r="AG27" s="49">
        <v>25</v>
      </c>
      <c r="AH27" s="47">
        <f t="shared" si="2"/>
        <v>5</v>
      </c>
      <c r="AI27" s="48">
        <f t="shared" si="3"/>
        <v>5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7.5</v>
      </c>
      <c r="C28" s="45">
        <v>7.5</v>
      </c>
      <c r="D28" s="45">
        <v>7.5</v>
      </c>
      <c r="E28" s="45">
        <v>7.5</v>
      </c>
      <c r="F28" s="45">
        <v>7.5</v>
      </c>
      <c r="G28" s="45">
        <v>7.5</v>
      </c>
      <c r="H28" s="45">
        <v>7.5</v>
      </c>
      <c r="I28" s="45">
        <v>7.5</v>
      </c>
      <c r="J28" s="45">
        <v>7.5</v>
      </c>
      <c r="K28" s="45">
        <v>7.5</v>
      </c>
      <c r="L28" s="45">
        <v>7.5</v>
      </c>
      <c r="M28" s="45">
        <v>7.5</v>
      </c>
      <c r="N28" s="45">
        <v>7.5</v>
      </c>
      <c r="O28" s="45">
        <v>7.5</v>
      </c>
      <c r="P28" s="45">
        <v>7.5</v>
      </c>
      <c r="Q28" s="45">
        <v>7.5</v>
      </c>
      <c r="R28" s="45">
        <v>7.5</v>
      </c>
      <c r="S28" s="45">
        <v>7.5</v>
      </c>
      <c r="T28" s="45">
        <v>7.5</v>
      </c>
      <c r="U28" s="45">
        <v>7.5</v>
      </c>
      <c r="V28" s="45">
        <v>7.5</v>
      </c>
      <c r="W28" s="45">
        <v>7.5</v>
      </c>
      <c r="X28" s="45">
        <v>7.5</v>
      </c>
      <c r="Y28" s="45">
        <v>7.5</v>
      </c>
      <c r="Z28" s="45">
        <v>7.5</v>
      </c>
      <c r="AA28" s="45">
        <v>7.5</v>
      </c>
      <c r="AB28" s="45">
        <v>7.5</v>
      </c>
      <c r="AC28" s="45">
        <v>7.5</v>
      </c>
      <c r="AD28" s="45">
        <v>7.5</v>
      </c>
      <c r="AE28" s="45">
        <v>7.5</v>
      </c>
      <c r="AF28" s="45">
        <v>7.5</v>
      </c>
      <c r="AG28" s="49">
        <v>25</v>
      </c>
      <c r="AH28" s="47">
        <f t="shared" si="2"/>
        <v>7.5</v>
      </c>
      <c r="AI28" s="48">
        <f t="shared" si="3"/>
        <v>7.5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8.6999999999999993</v>
      </c>
      <c r="C29" s="45">
        <v>8.6999999999999993</v>
      </c>
      <c r="D29" s="45">
        <v>8.6999999999999993</v>
      </c>
      <c r="E29" s="45">
        <v>8.6999999999999993</v>
      </c>
      <c r="F29" s="45">
        <v>8.6999999999999993</v>
      </c>
      <c r="G29" s="45">
        <v>8.6999999999999993</v>
      </c>
      <c r="H29" s="45">
        <v>8.6999999999999993</v>
      </c>
      <c r="I29" s="45">
        <v>8.6999999999999993</v>
      </c>
      <c r="J29" s="45">
        <v>8.6999999999999993</v>
      </c>
      <c r="K29" s="45">
        <v>8.6999999999999993</v>
      </c>
      <c r="L29" s="45">
        <v>8.6999999999999993</v>
      </c>
      <c r="M29" s="45">
        <v>8.6999999999999993</v>
      </c>
      <c r="N29" s="45">
        <v>8.6999999999999993</v>
      </c>
      <c r="O29" s="45">
        <v>8.6999999999999993</v>
      </c>
      <c r="P29" s="45">
        <v>8.6999999999999993</v>
      </c>
      <c r="Q29" s="45">
        <v>8.6999999999999993</v>
      </c>
      <c r="R29" s="45">
        <v>8.6999999999999993</v>
      </c>
      <c r="S29" s="45">
        <v>8.6999999999999993</v>
      </c>
      <c r="T29" s="45">
        <v>8.6999999999999993</v>
      </c>
      <c r="U29" s="45">
        <v>8.6999999999999993</v>
      </c>
      <c r="V29" s="45">
        <v>8.6999999999999993</v>
      </c>
      <c r="W29" s="45">
        <v>8.6999999999999993</v>
      </c>
      <c r="X29" s="45">
        <v>8.6999999999999993</v>
      </c>
      <c r="Y29" s="45">
        <v>8.6999999999999993</v>
      </c>
      <c r="Z29" s="45">
        <v>8.6999999999999993</v>
      </c>
      <c r="AA29" s="45">
        <v>8.6999999999999993</v>
      </c>
      <c r="AB29" s="45">
        <v>8.6999999999999993</v>
      </c>
      <c r="AC29" s="45">
        <v>8.6999999999999993</v>
      </c>
      <c r="AD29" s="45">
        <v>8.6999999999999993</v>
      </c>
      <c r="AE29" s="45">
        <v>8.6999999999999993</v>
      </c>
      <c r="AF29" s="45">
        <v>8.6999999999999993</v>
      </c>
      <c r="AG29" s="49">
        <v>25</v>
      </c>
      <c r="AH29" s="47">
        <f t="shared" si="2"/>
        <v>8.6999999999999993</v>
      </c>
      <c r="AI29" s="48">
        <f t="shared" si="3"/>
        <v>8.6999999999999993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0.5</v>
      </c>
      <c r="C30" s="45">
        <v>0.5</v>
      </c>
      <c r="D30" s="45">
        <v>0.5</v>
      </c>
      <c r="E30" s="45">
        <v>0.5</v>
      </c>
      <c r="F30" s="45">
        <v>0.5</v>
      </c>
      <c r="G30" s="45">
        <v>0.5</v>
      </c>
      <c r="H30" s="45">
        <v>0.5</v>
      </c>
      <c r="I30" s="45">
        <v>0.5</v>
      </c>
      <c r="J30" s="45">
        <v>0.5</v>
      </c>
      <c r="K30" s="45">
        <v>0.5</v>
      </c>
      <c r="L30" s="45">
        <v>0.5</v>
      </c>
      <c r="M30" s="45">
        <v>0.5</v>
      </c>
      <c r="N30" s="45">
        <v>0.5</v>
      </c>
      <c r="O30" s="45">
        <v>0.5</v>
      </c>
      <c r="P30" s="45">
        <v>0.5</v>
      </c>
      <c r="Q30" s="45">
        <v>0.5</v>
      </c>
      <c r="R30" s="45">
        <v>0.5</v>
      </c>
      <c r="S30" s="45">
        <v>0.5</v>
      </c>
      <c r="T30" s="45">
        <v>0.5</v>
      </c>
      <c r="U30" s="45">
        <v>0.5</v>
      </c>
      <c r="V30" s="45">
        <v>0.5</v>
      </c>
      <c r="W30" s="45">
        <v>0.5</v>
      </c>
      <c r="X30" s="45">
        <v>0.5</v>
      </c>
      <c r="Y30" s="45">
        <v>0.5</v>
      </c>
      <c r="Z30" s="45">
        <v>0.5</v>
      </c>
      <c r="AA30" s="45">
        <v>0.5</v>
      </c>
      <c r="AB30" s="45">
        <v>0.5</v>
      </c>
      <c r="AC30" s="45">
        <v>0.5</v>
      </c>
      <c r="AD30" s="45">
        <v>0.5</v>
      </c>
      <c r="AE30" s="45">
        <v>0.5</v>
      </c>
      <c r="AF30" s="45">
        <v>0.5</v>
      </c>
      <c r="AG30" s="49">
        <v>23.5</v>
      </c>
      <c r="AH30" s="47">
        <f t="shared" si="2"/>
        <v>0.5</v>
      </c>
      <c r="AI30" s="48">
        <f t="shared" si="3"/>
        <v>0.5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4.5</v>
      </c>
      <c r="C31" s="45">
        <v>4.5</v>
      </c>
      <c r="D31" s="45">
        <v>4.5</v>
      </c>
      <c r="E31" s="45">
        <v>4.5</v>
      </c>
      <c r="F31" s="45">
        <v>4.5</v>
      </c>
      <c r="G31" s="45">
        <v>4.5</v>
      </c>
      <c r="H31" s="45">
        <v>4.5</v>
      </c>
      <c r="I31" s="45">
        <v>4.5</v>
      </c>
      <c r="J31" s="45">
        <v>4.5</v>
      </c>
      <c r="K31" s="45">
        <v>4.5</v>
      </c>
      <c r="L31" s="45">
        <v>4.5</v>
      </c>
      <c r="M31" s="45">
        <v>4.5</v>
      </c>
      <c r="N31" s="45">
        <v>4.5</v>
      </c>
      <c r="O31" s="45">
        <v>4.5</v>
      </c>
      <c r="P31" s="45">
        <v>4.5</v>
      </c>
      <c r="Q31" s="45">
        <v>4.5</v>
      </c>
      <c r="R31" s="45">
        <v>4.5</v>
      </c>
      <c r="S31" s="45">
        <v>4.5</v>
      </c>
      <c r="T31" s="45">
        <v>4.5</v>
      </c>
      <c r="U31" s="45">
        <v>4.5</v>
      </c>
      <c r="V31" s="45">
        <v>4.5</v>
      </c>
      <c r="W31" s="45">
        <v>4.5</v>
      </c>
      <c r="X31" s="45">
        <v>4.5</v>
      </c>
      <c r="Y31" s="45">
        <v>4.5</v>
      </c>
      <c r="Z31" s="45">
        <v>4.5</v>
      </c>
      <c r="AA31" s="45">
        <v>4.5</v>
      </c>
      <c r="AB31" s="45">
        <v>4.5</v>
      </c>
      <c r="AC31" s="45">
        <v>4.5</v>
      </c>
      <c r="AD31" s="45">
        <v>4.5</v>
      </c>
      <c r="AE31" s="45">
        <v>4.5</v>
      </c>
      <c r="AF31" s="45">
        <v>4.5</v>
      </c>
      <c r="AG31" s="49">
        <v>22.2</v>
      </c>
      <c r="AH31" s="47">
        <f t="shared" si="2"/>
        <v>4.5</v>
      </c>
      <c r="AI31" s="48">
        <f t="shared" si="3"/>
        <v>4.5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>
        <v>5.5</v>
      </c>
      <c r="N32" s="45">
        <v>5.5</v>
      </c>
      <c r="O32" s="45">
        <v>5.5</v>
      </c>
      <c r="P32" s="45">
        <v>5.5</v>
      </c>
      <c r="Q32" s="45">
        <v>5.5</v>
      </c>
      <c r="R32" s="45">
        <v>5.5</v>
      </c>
      <c r="S32" s="45">
        <v>5.5</v>
      </c>
      <c r="T32" s="45">
        <v>5.5</v>
      </c>
      <c r="U32" s="45">
        <v>5.5</v>
      </c>
      <c r="V32" s="45">
        <v>5.5</v>
      </c>
      <c r="W32" s="45">
        <v>5.5</v>
      </c>
      <c r="X32" s="45">
        <v>5.5</v>
      </c>
      <c r="Y32" s="45">
        <v>5.5</v>
      </c>
      <c r="Z32" s="45">
        <v>5.5</v>
      </c>
      <c r="AA32" s="45">
        <v>5.5</v>
      </c>
      <c r="AB32" s="45">
        <v>5.5</v>
      </c>
      <c r="AC32" s="45">
        <v>5.5</v>
      </c>
      <c r="AD32" s="45">
        <v>5.5</v>
      </c>
      <c r="AE32" s="45">
        <v>5.5</v>
      </c>
      <c r="AF32" s="45">
        <v>5.5</v>
      </c>
      <c r="AG32" s="49">
        <v>22.1</v>
      </c>
      <c r="AH32" s="47">
        <f t="shared" si="2"/>
        <v>5.5</v>
      </c>
      <c r="AI32" s="48">
        <f t="shared" si="3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22</v>
      </c>
      <c r="AH33" s="47">
        <f t="shared" si="2"/>
        <v>6</v>
      </c>
      <c r="AI33" s="48">
        <f t="shared" si="3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10.1</v>
      </c>
      <c r="C34" s="45">
        <v>10.1</v>
      </c>
      <c r="D34" s="45">
        <v>10.1</v>
      </c>
      <c r="E34" s="45">
        <v>10.1</v>
      </c>
      <c r="F34" s="45">
        <v>10.1</v>
      </c>
      <c r="G34" s="45">
        <v>10.1</v>
      </c>
      <c r="H34" s="45">
        <v>10.1</v>
      </c>
      <c r="I34" s="45">
        <v>10.1</v>
      </c>
      <c r="J34" s="45">
        <v>10.1</v>
      </c>
      <c r="K34" s="45">
        <v>10.1</v>
      </c>
      <c r="L34" s="45">
        <v>10.1</v>
      </c>
      <c r="M34" s="45">
        <v>10.1</v>
      </c>
      <c r="N34" s="45">
        <v>10.1</v>
      </c>
      <c r="O34" s="45">
        <v>10.1</v>
      </c>
      <c r="P34" s="45">
        <v>10.1</v>
      </c>
      <c r="Q34" s="45">
        <v>10.1</v>
      </c>
      <c r="R34" s="45">
        <v>10.1</v>
      </c>
      <c r="S34" s="45">
        <v>10.1</v>
      </c>
      <c r="T34" s="45">
        <v>10.1</v>
      </c>
      <c r="U34" s="45">
        <v>10.1</v>
      </c>
      <c r="V34" s="45">
        <v>10.1</v>
      </c>
      <c r="W34" s="45">
        <v>10.1</v>
      </c>
      <c r="X34" s="45">
        <v>10.1</v>
      </c>
      <c r="Y34" s="45">
        <v>10.1</v>
      </c>
      <c r="Z34" s="45">
        <v>10.1</v>
      </c>
      <c r="AA34" s="45">
        <v>10.1</v>
      </c>
      <c r="AB34" s="45">
        <v>10.1</v>
      </c>
      <c r="AC34" s="45">
        <v>10.1</v>
      </c>
      <c r="AD34" s="45">
        <v>10.1</v>
      </c>
      <c r="AE34" s="45">
        <v>10.1</v>
      </c>
      <c r="AF34" s="45">
        <v>10.1</v>
      </c>
      <c r="AG34" s="49">
        <v>22</v>
      </c>
      <c r="AH34" s="47">
        <f t="shared" si="2"/>
        <v>10.1</v>
      </c>
      <c r="AI34" s="48">
        <f t="shared" si="3"/>
        <v>10.1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6.5</v>
      </c>
      <c r="C35" s="45">
        <v>6.5</v>
      </c>
      <c r="D35" s="45">
        <v>6.5</v>
      </c>
      <c r="E35" s="45">
        <v>6.5</v>
      </c>
      <c r="F35" s="45">
        <v>6.5</v>
      </c>
      <c r="G35" s="45">
        <v>6.5</v>
      </c>
      <c r="H35" s="45">
        <v>6.5</v>
      </c>
      <c r="I35" s="45">
        <v>6.5</v>
      </c>
      <c r="J35" s="45">
        <v>6.5</v>
      </c>
      <c r="K35" s="45">
        <v>6.5</v>
      </c>
      <c r="L35" s="45">
        <v>6.5</v>
      </c>
      <c r="M35" s="45">
        <v>6.5</v>
      </c>
      <c r="N35" s="45">
        <v>6.5</v>
      </c>
      <c r="O35" s="45">
        <v>6.5</v>
      </c>
      <c r="P35" s="45">
        <v>6.5</v>
      </c>
      <c r="Q35" s="45">
        <v>6.5</v>
      </c>
      <c r="R35" s="45">
        <v>6.5</v>
      </c>
      <c r="S35" s="45">
        <v>6.5</v>
      </c>
      <c r="T35" s="45">
        <v>6.5</v>
      </c>
      <c r="U35" s="45">
        <v>6.5</v>
      </c>
      <c r="V35" s="45">
        <v>6.5</v>
      </c>
      <c r="W35" s="45">
        <v>6.5</v>
      </c>
      <c r="X35" s="45">
        <v>6.5</v>
      </c>
      <c r="Y35" s="45">
        <v>6.5</v>
      </c>
      <c r="Z35" s="45">
        <v>6.5</v>
      </c>
      <c r="AA35" s="45">
        <v>6.5</v>
      </c>
      <c r="AB35" s="45">
        <v>6.5</v>
      </c>
      <c r="AC35" s="45">
        <v>6.5</v>
      </c>
      <c r="AD35" s="45">
        <v>6.5</v>
      </c>
      <c r="AE35" s="45">
        <v>6.5</v>
      </c>
      <c r="AF35" s="45">
        <v>6.5</v>
      </c>
      <c r="AG35" s="49">
        <v>20</v>
      </c>
      <c r="AH35" s="47">
        <f t="shared" si="2"/>
        <v>6.5</v>
      </c>
      <c r="AI35" s="48">
        <f t="shared" si="3"/>
        <v>6.5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264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2"/>
        <v>4</v>
      </c>
      <c r="AI36" s="48">
        <f t="shared" si="3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5.5</v>
      </c>
      <c r="C37" s="45">
        <v>5.5</v>
      </c>
      <c r="D37" s="45">
        <v>5.5</v>
      </c>
      <c r="E37" s="45">
        <v>5.5</v>
      </c>
      <c r="F37" s="45">
        <v>5.5</v>
      </c>
      <c r="G37" s="45">
        <v>5.5</v>
      </c>
      <c r="H37" s="45">
        <v>5.5</v>
      </c>
      <c r="I37" s="45">
        <v>5.5</v>
      </c>
      <c r="J37" s="45">
        <v>5.5</v>
      </c>
      <c r="K37" s="45">
        <v>5.5</v>
      </c>
      <c r="L37" s="45">
        <v>5.5</v>
      </c>
      <c r="M37" s="45">
        <v>5.5</v>
      </c>
      <c r="N37" s="45">
        <v>5.5</v>
      </c>
      <c r="O37" s="45">
        <v>5.5</v>
      </c>
      <c r="P37" s="45">
        <v>5.5</v>
      </c>
      <c r="Q37" s="45">
        <v>5.5</v>
      </c>
      <c r="R37" s="45">
        <v>5.5</v>
      </c>
      <c r="S37" s="45">
        <v>5.5</v>
      </c>
      <c r="T37" s="45">
        <v>5.5</v>
      </c>
      <c r="U37" s="45">
        <v>5.5</v>
      </c>
      <c r="V37" s="45">
        <v>5.5</v>
      </c>
      <c r="W37" s="45">
        <v>5.5</v>
      </c>
      <c r="X37" s="45">
        <v>5.5</v>
      </c>
      <c r="Y37" s="45">
        <v>5.5</v>
      </c>
      <c r="Z37" s="45">
        <v>5.5</v>
      </c>
      <c r="AA37" s="45">
        <v>5.5</v>
      </c>
      <c r="AB37" s="45">
        <v>5.5</v>
      </c>
      <c r="AC37" s="45">
        <v>5.5</v>
      </c>
      <c r="AD37" s="45">
        <v>5.5</v>
      </c>
      <c r="AE37" s="45">
        <v>5.5</v>
      </c>
      <c r="AF37" s="45">
        <v>5.5</v>
      </c>
      <c r="AG37" s="49">
        <v>18</v>
      </c>
      <c r="AH37" s="47">
        <f t="shared" si="2"/>
        <v>5.5</v>
      </c>
      <c r="AI37" s="48">
        <f t="shared" si="3"/>
        <v>5.5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>
        <v>7.2</v>
      </c>
      <c r="N38" s="45">
        <v>7.2</v>
      </c>
      <c r="O38" s="45">
        <v>7.2</v>
      </c>
      <c r="P38" s="45">
        <v>7.2</v>
      </c>
      <c r="Q38" s="45">
        <v>7.2</v>
      </c>
      <c r="R38" s="45">
        <v>7.2</v>
      </c>
      <c r="S38" s="45">
        <v>7.2</v>
      </c>
      <c r="T38" s="45">
        <v>7.2</v>
      </c>
      <c r="U38" s="45">
        <v>7.2</v>
      </c>
      <c r="V38" s="45">
        <v>7.2</v>
      </c>
      <c r="W38" s="45">
        <v>7.2</v>
      </c>
      <c r="X38" s="45">
        <v>7.2</v>
      </c>
      <c r="Y38" s="45">
        <v>7.2</v>
      </c>
      <c r="Z38" s="45">
        <v>7.2</v>
      </c>
      <c r="AA38" s="45">
        <v>7.2</v>
      </c>
      <c r="AB38" s="45">
        <v>7.2</v>
      </c>
      <c r="AC38" s="45">
        <v>7.2</v>
      </c>
      <c r="AD38" s="45">
        <v>7.2</v>
      </c>
      <c r="AE38" s="45">
        <v>7.2</v>
      </c>
      <c r="AF38" s="45">
        <v>7.2</v>
      </c>
      <c r="AG38" s="49">
        <v>14.9</v>
      </c>
      <c r="AH38" s="47">
        <f t="shared" si="2"/>
        <v>7.2</v>
      </c>
      <c r="AI38" s="48">
        <f t="shared" si="3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265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2"/>
        <v>5</v>
      </c>
      <c r="AI40" s="48">
        <f t="shared" si="3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266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>
        <v>4</v>
      </c>
      <c r="N41" s="45">
        <v>4</v>
      </c>
      <c r="O41" s="45">
        <v>4</v>
      </c>
      <c r="P41" s="45">
        <v>4</v>
      </c>
      <c r="Q41" s="45">
        <v>4</v>
      </c>
      <c r="R41" s="45">
        <v>4</v>
      </c>
      <c r="S41" s="45">
        <v>4</v>
      </c>
      <c r="T41" s="45">
        <v>4</v>
      </c>
      <c r="U41" s="45">
        <v>4</v>
      </c>
      <c r="V41" s="45">
        <v>4</v>
      </c>
      <c r="W41" s="45">
        <v>4</v>
      </c>
      <c r="X41" s="45">
        <v>4</v>
      </c>
      <c r="Y41" s="45">
        <v>4</v>
      </c>
      <c r="Z41" s="45">
        <v>4</v>
      </c>
      <c r="AA41" s="45">
        <v>4</v>
      </c>
      <c r="AB41" s="45">
        <v>4</v>
      </c>
      <c r="AC41" s="45">
        <v>4</v>
      </c>
      <c r="AD41" s="45">
        <v>4</v>
      </c>
      <c r="AE41" s="45">
        <v>4</v>
      </c>
      <c r="AF41" s="45">
        <v>4</v>
      </c>
      <c r="AG41" s="49">
        <v>14.9</v>
      </c>
      <c r="AH41" s="47">
        <f t="shared" si="2"/>
        <v>4</v>
      </c>
      <c r="AI41" s="48">
        <f t="shared" si="3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2"/>
        <v>1.8</v>
      </c>
      <c r="AI42" s="48">
        <f t="shared" si="3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2"/>
        <v>3.8</v>
      </c>
      <c r="AI43" s="48">
        <f t="shared" si="3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4</v>
      </c>
      <c r="C44" s="45">
        <v>4</v>
      </c>
      <c r="D44" s="45">
        <v>4</v>
      </c>
      <c r="E44" s="45">
        <v>4</v>
      </c>
      <c r="F44" s="45">
        <v>4</v>
      </c>
      <c r="G44" s="45">
        <v>4</v>
      </c>
      <c r="H44" s="45">
        <v>4</v>
      </c>
      <c r="I44" s="45">
        <v>4</v>
      </c>
      <c r="J44" s="45">
        <v>4</v>
      </c>
      <c r="K44" s="45">
        <v>4</v>
      </c>
      <c r="L44" s="45">
        <v>4</v>
      </c>
      <c r="M44" s="45">
        <v>4</v>
      </c>
      <c r="N44" s="45">
        <v>4</v>
      </c>
      <c r="O44" s="45">
        <v>4</v>
      </c>
      <c r="P44" s="45">
        <v>4</v>
      </c>
      <c r="Q44" s="45">
        <v>4</v>
      </c>
      <c r="R44" s="45">
        <v>4</v>
      </c>
      <c r="S44" s="45">
        <v>4</v>
      </c>
      <c r="T44" s="45">
        <v>4</v>
      </c>
      <c r="U44" s="45">
        <v>4</v>
      </c>
      <c r="V44" s="45">
        <v>4</v>
      </c>
      <c r="W44" s="45">
        <v>4</v>
      </c>
      <c r="X44" s="45">
        <v>4</v>
      </c>
      <c r="Y44" s="45">
        <v>4</v>
      </c>
      <c r="Z44" s="45">
        <v>4</v>
      </c>
      <c r="AA44" s="45">
        <v>4</v>
      </c>
      <c r="AB44" s="45">
        <v>4</v>
      </c>
      <c r="AC44" s="45">
        <v>4</v>
      </c>
      <c r="AD44" s="45">
        <v>4</v>
      </c>
      <c r="AE44" s="45">
        <v>4</v>
      </c>
      <c r="AF44" s="45">
        <v>4</v>
      </c>
      <c r="AG44" s="49">
        <v>12</v>
      </c>
      <c r="AH44" s="47">
        <f t="shared" si="2"/>
        <v>4</v>
      </c>
      <c r="AI44" s="48">
        <f t="shared" si="3"/>
        <v>4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49">
        <v>12</v>
      </c>
      <c r="AH45" s="47">
        <f t="shared" si="2"/>
        <v>9</v>
      </c>
      <c r="AI45" s="48">
        <f t="shared" si="3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2"/>
        <v>3</v>
      </c>
      <c r="AI46" s="48">
        <f t="shared" si="3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2"/>
        <v>3.5</v>
      </c>
      <c r="AI47" s="48">
        <f t="shared" si="3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>
        <v>5</v>
      </c>
      <c r="N48" s="45">
        <v>5</v>
      </c>
      <c r="O48" s="45">
        <v>5</v>
      </c>
      <c r="P48" s="45">
        <v>5</v>
      </c>
      <c r="Q48" s="45">
        <v>5</v>
      </c>
      <c r="R48" s="45">
        <v>5</v>
      </c>
      <c r="S48" s="45">
        <v>5</v>
      </c>
      <c r="T48" s="45">
        <v>5</v>
      </c>
      <c r="U48" s="45">
        <v>5</v>
      </c>
      <c r="V48" s="45">
        <v>5</v>
      </c>
      <c r="W48" s="45">
        <v>5</v>
      </c>
      <c r="X48" s="45">
        <v>5</v>
      </c>
      <c r="Y48" s="45">
        <v>5</v>
      </c>
      <c r="Z48" s="45">
        <v>5</v>
      </c>
      <c r="AA48" s="45">
        <v>5</v>
      </c>
      <c r="AB48" s="45">
        <v>5</v>
      </c>
      <c r="AC48" s="45">
        <v>5</v>
      </c>
      <c r="AD48" s="45">
        <v>5</v>
      </c>
      <c r="AE48" s="45">
        <v>5</v>
      </c>
      <c r="AF48" s="45">
        <v>5</v>
      </c>
      <c r="AG48" s="52">
        <v>11.88</v>
      </c>
      <c r="AH48" s="47">
        <f t="shared" si="2"/>
        <v>5</v>
      </c>
      <c r="AI48" s="48">
        <f t="shared" si="3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>
        <v>3</v>
      </c>
      <c r="N49" s="45">
        <v>3</v>
      </c>
      <c r="O49" s="45">
        <v>3</v>
      </c>
      <c r="P49" s="45">
        <v>3</v>
      </c>
      <c r="Q49" s="45">
        <v>3</v>
      </c>
      <c r="R49" s="45">
        <v>3</v>
      </c>
      <c r="S49" s="45">
        <v>3</v>
      </c>
      <c r="T49" s="45">
        <v>3</v>
      </c>
      <c r="U49" s="45">
        <v>3</v>
      </c>
      <c r="V49" s="45">
        <v>3</v>
      </c>
      <c r="W49" s="45">
        <v>3</v>
      </c>
      <c r="X49" s="45">
        <v>3</v>
      </c>
      <c r="Y49" s="45">
        <v>3</v>
      </c>
      <c r="Z49" s="45">
        <v>3</v>
      </c>
      <c r="AA49" s="45">
        <v>3</v>
      </c>
      <c r="AB49" s="45">
        <v>3</v>
      </c>
      <c r="AC49" s="45">
        <v>3</v>
      </c>
      <c r="AD49" s="45">
        <v>3</v>
      </c>
      <c r="AE49" s="45">
        <v>3</v>
      </c>
      <c r="AF49" s="45">
        <v>3</v>
      </c>
      <c r="AG49" s="55">
        <v>11</v>
      </c>
      <c r="AH49" s="47">
        <f t="shared" si="2"/>
        <v>3</v>
      </c>
      <c r="AI49" s="48">
        <f t="shared" si="3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267</v>
      </c>
      <c r="B50" s="45">
        <v>3.3</v>
      </c>
      <c r="C50" s="45">
        <v>3.3</v>
      </c>
      <c r="D50" s="45">
        <v>3.3</v>
      </c>
      <c r="E50" s="45">
        <v>3.3</v>
      </c>
      <c r="F50" s="45">
        <v>3.3</v>
      </c>
      <c r="G50" s="45">
        <v>3.3</v>
      </c>
      <c r="H50" s="45">
        <v>3.3</v>
      </c>
      <c r="I50" s="45">
        <v>3.3</v>
      </c>
      <c r="J50" s="45">
        <v>3.3</v>
      </c>
      <c r="K50" s="45">
        <v>3.3</v>
      </c>
      <c r="L50" s="45">
        <v>3.3</v>
      </c>
      <c r="M50" s="45">
        <v>3.3</v>
      </c>
      <c r="N50" s="45">
        <v>3.3</v>
      </c>
      <c r="O50" s="45">
        <v>3.3</v>
      </c>
      <c r="P50" s="45">
        <v>3.3</v>
      </c>
      <c r="Q50" s="45">
        <v>3.3</v>
      </c>
      <c r="R50" s="45">
        <v>3.3</v>
      </c>
      <c r="S50" s="45">
        <v>3.3</v>
      </c>
      <c r="T50" s="45">
        <v>3.3</v>
      </c>
      <c r="U50" s="45">
        <v>3.3</v>
      </c>
      <c r="V50" s="45">
        <v>3.3</v>
      </c>
      <c r="W50" s="45">
        <v>3.3</v>
      </c>
      <c r="X50" s="45">
        <v>3.3</v>
      </c>
      <c r="Y50" s="45">
        <v>3.3</v>
      </c>
      <c r="Z50" s="45">
        <v>3.3</v>
      </c>
      <c r="AA50" s="45">
        <v>3.3</v>
      </c>
      <c r="AB50" s="45">
        <v>3.3</v>
      </c>
      <c r="AC50" s="45">
        <v>3.3</v>
      </c>
      <c r="AD50" s="45">
        <v>3.3</v>
      </c>
      <c r="AE50" s="45">
        <v>3.3</v>
      </c>
      <c r="AF50" s="45">
        <v>3.3</v>
      </c>
      <c r="AG50" s="55">
        <v>11</v>
      </c>
      <c r="AH50" s="47">
        <f t="shared" si="2"/>
        <v>3.3</v>
      </c>
      <c r="AI50" s="48">
        <f t="shared" si="3"/>
        <v>3.3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268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"/>
        <v>3</v>
      </c>
      <c r="AI51" s="48">
        <f t="shared" si="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2"/>
        <v>4</v>
      </c>
      <c r="AI52" s="48">
        <f t="shared" si="3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"/>
        <v>4.5</v>
      </c>
      <c r="AI53" s="48">
        <f t="shared" si="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269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"/>
        <v>0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175</v>
      </c>
      <c r="C56" s="57">
        <v>175</v>
      </c>
      <c r="D56" s="57">
        <v>175</v>
      </c>
      <c r="E56" s="57">
        <v>175</v>
      </c>
      <c r="F56" s="57">
        <v>175</v>
      </c>
      <c r="G56" s="57">
        <v>175</v>
      </c>
      <c r="H56" s="57">
        <v>175</v>
      </c>
      <c r="I56" s="57">
        <v>175</v>
      </c>
      <c r="J56" s="57">
        <v>175</v>
      </c>
      <c r="K56" s="57">
        <v>175</v>
      </c>
      <c r="L56" s="57">
        <v>175</v>
      </c>
      <c r="M56" s="57">
        <v>175</v>
      </c>
      <c r="N56" s="57">
        <v>175</v>
      </c>
      <c r="O56" s="57">
        <v>175</v>
      </c>
      <c r="P56" s="57">
        <v>175</v>
      </c>
      <c r="Q56" s="57">
        <v>175</v>
      </c>
      <c r="R56" s="57">
        <v>175</v>
      </c>
      <c r="S56" s="57">
        <v>175</v>
      </c>
      <c r="T56" s="57">
        <v>175</v>
      </c>
      <c r="U56" s="57">
        <v>175</v>
      </c>
      <c r="V56" s="57">
        <v>175</v>
      </c>
      <c r="W56" s="57">
        <v>175</v>
      </c>
      <c r="X56" s="57">
        <v>175</v>
      </c>
      <c r="Y56" s="57">
        <v>175</v>
      </c>
      <c r="Z56" s="57">
        <v>175</v>
      </c>
      <c r="AA56" s="57">
        <v>175</v>
      </c>
      <c r="AB56" s="57">
        <v>175</v>
      </c>
      <c r="AC56" s="57">
        <v>175</v>
      </c>
      <c r="AD56" s="57">
        <v>175</v>
      </c>
      <c r="AE56" s="57">
        <v>175</v>
      </c>
      <c r="AF56" s="57">
        <v>175</v>
      </c>
      <c r="AG56" s="55">
        <v>85</v>
      </c>
      <c r="AH56" s="47">
        <f t="shared" si="2"/>
        <v>175</v>
      </c>
      <c r="AI56" s="48">
        <f t="shared" si="3"/>
        <v>175</v>
      </c>
      <c r="AK56" s="50"/>
    </row>
    <row r="57" spans="1:88" ht="15.75" thickBot="1" x14ac:dyDescent="0.3">
      <c r="A57" s="58" t="s">
        <v>57</v>
      </c>
      <c r="B57" s="57">
        <v>29.3</v>
      </c>
      <c r="C57" s="57">
        <v>29.3</v>
      </c>
      <c r="D57" s="57">
        <v>33.1</v>
      </c>
      <c r="E57" s="57">
        <v>33.1</v>
      </c>
      <c r="F57" s="57">
        <v>33.1</v>
      </c>
      <c r="G57" s="57">
        <v>33.1</v>
      </c>
      <c r="H57" s="57">
        <v>33.1</v>
      </c>
      <c r="I57" s="57">
        <v>33.1</v>
      </c>
      <c r="J57" s="57">
        <v>33.1</v>
      </c>
      <c r="K57" s="57">
        <v>33.1</v>
      </c>
      <c r="L57" s="57">
        <v>33.1</v>
      </c>
      <c r="M57" s="57">
        <v>30</v>
      </c>
      <c r="N57" s="57">
        <v>30</v>
      </c>
      <c r="O57" s="57">
        <v>30</v>
      </c>
      <c r="P57" s="57">
        <v>30</v>
      </c>
      <c r="Q57" s="57">
        <v>30</v>
      </c>
      <c r="R57" s="57">
        <v>30</v>
      </c>
      <c r="S57" s="57">
        <v>30</v>
      </c>
      <c r="T57" s="57">
        <v>30</v>
      </c>
      <c r="U57" s="57">
        <v>30</v>
      </c>
      <c r="V57" s="57">
        <v>30</v>
      </c>
      <c r="W57" s="57">
        <v>30</v>
      </c>
      <c r="X57" s="57">
        <v>30</v>
      </c>
      <c r="Y57" s="57">
        <v>30</v>
      </c>
      <c r="Z57" s="57">
        <v>30</v>
      </c>
      <c r="AA57" s="57">
        <v>30</v>
      </c>
      <c r="AB57" s="57">
        <v>30</v>
      </c>
      <c r="AC57" s="57">
        <v>30</v>
      </c>
      <c r="AD57" s="57">
        <v>30</v>
      </c>
      <c r="AE57" s="57">
        <v>30</v>
      </c>
      <c r="AF57" s="57">
        <v>30</v>
      </c>
      <c r="AG57" s="55">
        <v>240</v>
      </c>
      <c r="AH57" s="47">
        <f t="shared" si="2"/>
        <v>33.1</v>
      </c>
      <c r="AI57" s="48">
        <f t="shared" si="3"/>
        <v>29.3</v>
      </c>
      <c r="AK57" s="50"/>
    </row>
    <row r="58" spans="1:88" ht="15.75" thickBot="1" x14ac:dyDescent="0.3">
      <c r="A58" s="59" t="s">
        <v>58</v>
      </c>
      <c r="B58" s="60">
        <f>SUM(B11:B56)</f>
        <v>538.29999999999995</v>
      </c>
      <c r="C58" s="60">
        <f>SUM(C11:C56)</f>
        <v>538.29999999999995</v>
      </c>
      <c r="D58" s="60">
        <f t="shared" ref="D58:AF58" si="4">SUM(D11:D56)</f>
        <v>538.29999999999995</v>
      </c>
      <c r="E58" s="60">
        <f t="shared" ref="E58:G58" si="5">SUM(E11:E56)</f>
        <v>538.29999999999995</v>
      </c>
      <c r="F58" s="60">
        <f t="shared" si="5"/>
        <v>538.29999999999995</v>
      </c>
      <c r="G58" s="60">
        <f t="shared" si="5"/>
        <v>538.29999999999995</v>
      </c>
      <c r="H58" s="60">
        <f t="shared" ref="H58:I58" si="6">SUM(H11:H56)</f>
        <v>538.29999999999995</v>
      </c>
      <c r="I58" s="60">
        <f t="shared" si="6"/>
        <v>538.29999999999995</v>
      </c>
      <c r="J58" s="60">
        <f t="shared" ref="J58:K58" si="7">SUM(J11:J56)</f>
        <v>538.29999999999995</v>
      </c>
      <c r="K58" s="60">
        <f t="shared" si="7"/>
        <v>538.29999999999995</v>
      </c>
      <c r="L58" s="60">
        <f t="shared" ref="L58" si="8">SUM(L11:L56)</f>
        <v>538.29999999999995</v>
      </c>
      <c r="M58" s="60">
        <f t="shared" si="4"/>
        <v>531.5</v>
      </c>
      <c r="N58" s="60">
        <f t="shared" si="4"/>
        <v>531.5</v>
      </c>
      <c r="O58" s="60">
        <f t="shared" si="4"/>
        <v>515</v>
      </c>
      <c r="P58" s="60">
        <f t="shared" ref="P58" si="9">SUM(P11:P56)</f>
        <v>515</v>
      </c>
      <c r="Q58" s="60">
        <f t="shared" si="4"/>
        <v>515</v>
      </c>
      <c r="R58" s="60">
        <f t="shared" si="4"/>
        <v>515</v>
      </c>
      <c r="S58" s="60">
        <f t="shared" ref="S58:T58" si="10">SUM(S11:S56)</f>
        <v>515</v>
      </c>
      <c r="T58" s="60">
        <f t="shared" si="10"/>
        <v>515</v>
      </c>
      <c r="U58" s="60">
        <f t="shared" ref="U58:V58" si="11">SUM(U11:U56)</f>
        <v>515</v>
      </c>
      <c r="V58" s="60">
        <f t="shared" si="11"/>
        <v>515</v>
      </c>
      <c r="W58" s="60">
        <f t="shared" ref="W58:X58" si="12">SUM(W11:W56)</f>
        <v>515</v>
      </c>
      <c r="X58" s="60">
        <f t="shared" si="12"/>
        <v>515</v>
      </c>
      <c r="Y58" s="60">
        <f>SUM(Y11:Y56)</f>
        <v>524.1</v>
      </c>
      <c r="Z58" s="60">
        <f>SUM(Z11:Z56)</f>
        <v>524.1</v>
      </c>
      <c r="AA58" s="60">
        <f>SUM(AA11:AA56)</f>
        <v>524.1</v>
      </c>
      <c r="AB58" s="60">
        <f t="shared" si="4"/>
        <v>534.1</v>
      </c>
      <c r="AC58" s="60">
        <f t="shared" si="4"/>
        <v>534.1</v>
      </c>
      <c r="AD58" s="60">
        <f t="shared" si="4"/>
        <v>534.1</v>
      </c>
      <c r="AE58" s="60">
        <f t="shared" si="4"/>
        <v>532.29999999999995</v>
      </c>
      <c r="AF58" s="60">
        <f t="shared" si="4"/>
        <v>532.29999999999995</v>
      </c>
      <c r="AG58" s="61">
        <f>SUM(AG14:AG56)</f>
        <v>1042.4000000000001</v>
      </c>
      <c r="AH58" s="47">
        <f t="shared" si="2"/>
        <v>538.29999999999995</v>
      </c>
      <c r="AI58" s="48">
        <f t="shared" si="3"/>
        <v>515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280</v>
      </c>
      <c r="M59" s="45">
        <v>400</v>
      </c>
      <c r="N59" s="63">
        <v>380</v>
      </c>
      <c r="O59" s="63">
        <v>360</v>
      </c>
      <c r="P59" s="63">
        <v>360</v>
      </c>
      <c r="Q59" s="63">
        <v>90</v>
      </c>
      <c r="R59" s="63">
        <v>90</v>
      </c>
      <c r="S59" s="63">
        <v>0</v>
      </c>
      <c r="T59" s="63">
        <v>0</v>
      </c>
      <c r="U59" s="63">
        <v>0</v>
      </c>
      <c r="V59" s="63">
        <v>60</v>
      </c>
      <c r="W59" s="63">
        <v>120</v>
      </c>
      <c r="X59" s="63">
        <v>290</v>
      </c>
      <c r="Y59" s="45">
        <v>300</v>
      </c>
      <c r="Z59" s="45">
        <v>260</v>
      </c>
      <c r="AA59" s="45">
        <v>160</v>
      </c>
      <c r="AB59" s="45">
        <v>90</v>
      </c>
      <c r="AC59" s="45">
        <v>90</v>
      </c>
      <c r="AD59" s="45">
        <v>90</v>
      </c>
      <c r="AE59" s="45">
        <v>40</v>
      </c>
      <c r="AF59" s="45">
        <v>0</v>
      </c>
      <c r="AG59" s="52">
        <v>456</v>
      </c>
      <c r="AH59" s="47">
        <f t="shared" si="2"/>
        <v>400</v>
      </c>
      <c r="AI59" s="48">
        <f t="shared" si="3"/>
        <v>0</v>
      </c>
      <c r="AK59" s="50"/>
    </row>
    <row r="60" spans="1:88" x14ac:dyDescent="0.25">
      <c r="A60" s="64" t="s">
        <v>60</v>
      </c>
      <c r="B60" s="65">
        <v>36</v>
      </c>
      <c r="C60" s="65">
        <v>36</v>
      </c>
      <c r="D60" s="65">
        <v>36</v>
      </c>
      <c r="E60" s="65">
        <v>36</v>
      </c>
      <c r="F60" s="65">
        <v>36</v>
      </c>
      <c r="G60" s="65">
        <v>36</v>
      </c>
      <c r="H60" s="65">
        <v>36</v>
      </c>
      <c r="I60" s="65">
        <v>36</v>
      </c>
      <c r="J60" s="65">
        <v>36</v>
      </c>
      <c r="K60" s="65">
        <v>36</v>
      </c>
      <c r="L60" s="65">
        <v>36</v>
      </c>
      <c r="M60" s="65">
        <v>36</v>
      </c>
      <c r="N60" s="65">
        <v>36</v>
      </c>
      <c r="O60" s="65">
        <v>36</v>
      </c>
      <c r="P60" s="65">
        <v>36</v>
      </c>
      <c r="Q60" s="65">
        <v>36</v>
      </c>
      <c r="R60" s="65">
        <v>36</v>
      </c>
      <c r="S60" s="65">
        <v>36</v>
      </c>
      <c r="T60" s="65">
        <v>36</v>
      </c>
      <c r="U60" s="65">
        <v>36</v>
      </c>
      <c r="V60" s="65">
        <v>36</v>
      </c>
      <c r="W60" s="65">
        <v>36</v>
      </c>
      <c r="X60" s="65">
        <v>36</v>
      </c>
      <c r="Y60" s="65">
        <v>36</v>
      </c>
      <c r="Z60" s="65">
        <v>36</v>
      </c>
      <c r="AA60" s="65">
        <v>36</v>
      </c>
      <c r="AB60" s="65">
        <v>36</v>
      </c>
      <c r="AC60" s="65">
        <v>36</v>
      </c>
      <c r="AD60" s="65">
        <v>36</v>
      </c>
      <c r="AE60" s="65">
        <v>36</v>
      </c>
      <c r="AF60" s="65">
        <v>36</v>
      </c>
      <c r="AG60" s="55">
        <v>60</v>
      </c>
      <c r="AH60" s="47">
        <f t="shared" si="2"/>
        <v>36</v>
      </c>
      <c r="AI60" s="48">
        <f t="shared" si="3"/>
        <v>36</v>
      </c>
      <c r="AK60" s="50"/>
    </row>
    <row r="61" spans="1:88" ht="15.75" thickBot="1" x14ac:dyDescent="0.3">
      <c r="A61" s="66" t="s">
        <v>61</v>
      </c>
      <c r="B61" s="67">
        <v>16.100000000000001</v>
      </c>
      <c r="C61" s="67">
        <v>16.100000000000001</v>
      </c>
      <c r="D61" s="67">
        <v>16.100000000000001</v>
      </c>
      <c r="E61" s="67">
        <v>16.100000000000001</v>
      </c>
      <c r="F61" s="67">
        <v>16.100000000000001</v>
      </c>
      <c r="G61" s="67">
        <v>16.100000000000001</v>
      </c>
      <c r="H61" s="67">
        <v>16.100000000000001</v>
      </c>
      <c r="I61" s="67">
        <v>16.100000000000001</v>
      </c>
      <c r="J61" s="67">
        <v>16.100000000000001</v>
      </c>
      <c r="K61" s="67">
        <v>16.100000000000001</v>
      </c>
      <c r="L61" s="67">
        <v>16.100000000000001</v>
      </c>
      <c r="M61" s="67">
        <v>10.3</v>
      </c>
      <c r="N61" s="67">
        <v>10</v>
      </c>
      <c r="O61" s="67">
        <v>10</v>
      </c>
      <c r="P61" s="67">
        <v>10</v>
      </c>
      <c r="Q61" s="67">
        <v>10.199999999999999</v>
      </c>
      <c r="R61" s="67">
        <v>10.199999999999999</v>
      </c>
      <c r="S61" s="67">
        <v>10.199999999999999</v>
      </c>
      <c r="T61" s="67">
        <v>10.199999999999999</v>
      </c>
      <c r="U61" s="67">
        <v>10.199999999999999</v>
      </c>
      <c r="V61" s="67">
        <v>10.199999999999999</v>
      </c>
      <c r="W61" s="67">
        <v>10.199999999999999</v>
      </c>
      <c r="X61" s="67">
        <v>10.199999999999999</v>
      </c>
      <c r="Y61" s="67">
        <v>16.100000000000001</v>
      </c>
      <c r="Z61" s="67">
        <v>16.100000000000001</v>
      </c>
      <c r="AA61" s="67">
        <v>16.100000000000001</v>
      </c>
      <c r="AB61" s="67">
        <v>16.100000000000001</v>
      </c>
      <c r="AC61" s="67">
        <v>16.2</v>
      </c>
      <c r="AD61" s="67">
        <v>16.2</v>
      </c>
      <c r="AE61" s="67">
        <v>11.2</v>
      </c>
      <c r="AF61" s="67">
        <v>11.2</v>
      </c>
      <c r="AG61" s="68">
        <v>22.1</v>
      </c>
      <c r="AH61" s="47">
        <f t="shared" si="2"/>
        <v>16.2</v>
      </c>
      <c r="AI61" s="48">
        <f t="shared" si="3"/>
        <v>10</v>
      </c>
      <c r="AK61" s="50"/>
    </row>
    <row r="62" spans="1:88" ht="15.75" thickBot="1" x14ac:dyDescent="0.3">
      <c r="A62" s="69" t="s">
        <v>62</v>
      </c>
      <c r="B62" s="60">
        <f t="shared" ref="B62:AG62" si="13">SUM(B59:B61)</f>
        <v>52.1</v>
      </c>
      <c r="C62" s="60">
        <f t="shared" si="13"/>
        <v>52.1</v>
      </c>
      <c r="D62" s="60">
        <f t="shared" si="13"/>
        <v>52.1</v>
      </c>
      <c r="E62" s="60">
        <f t="shared" ref="E62:G62" si="14">SUM(E59:E61)</f>
        <v>52.1</v>
      </c>
      <c r="F62" s="60">
        <f t="shared" si="14"/>
        <v>52.1</v>
      </c>
      <c r="G62" s="60">
        <f t="shared" si="14"/>
        <v>52.1</v>
      </c>
      <c r="H62" s="60">
        <f t="shared" ref="H62:I62" si="15">SUM(H59:H61)</f>
        <v>52.1</v>
      </c>
      <c r="I62" s="60">
        <f t="shared" si="15"/>
        <v>52.1</v>
      </c>
      <c r="J62" s="60">
        <f t="shared" ref="J62:K62" si="16">SUM(J59:J61)</f>
        <v>52.1</v>
      </c>
      <c r="K62" s="60">
        <f t="shared" si="16"/>
        <v>52.1</v>
      </c>
      <c r="L62" s="60">
        <f t="shared" ref="L62" si="17">SUM(L59:L61)</f>
        <v>332.1</v>
      </c>
      <c r="M62" s="60">
        <f t="shared" si="13"/>
        <v>446.3</v>
      </c>
      <c r="N62" s="60">
        <f t="shared" si="13"/>
        <v>426</v>
      </c>
      <c r="O62" s="60">
        <f t="shared" si="13"/>
        <v>406</v>
      </c>
      <c r="P62" s="60">
        <f t="shared" ref="P62" si="18">SUM(P59:P61)</f>
        <v>406</v>
      </c>
      <c r="Q62" s="60">
        <f t="shared" si="13"/>
        <v>136.19999999999999</v>
      </c>
      <c r="R62" s="60">
        <f t="shared" si="13"/>
        <v>136.19999999999999</v>
      </c>
      <c r="S62" s="60">
        <f t="shared" ref="S62:T62" si="19">SUM(S59:S61)</f>
        <v>46.2</v>
      </c>
      <c r="T62" s="60">
        <f t="shared" si="19"/>
        <v>46.2</v>
      </c>
      <c r="U62" s="60">
        <f t="shared" ref="U62:V62" si="20">SUM(U59:U61)</f>
        <v>46.2</v>
      </c>
      <c r="V62" s="60">
        <f t="shared" si="20"/>
        <v>106.2</v>
      </c>
      <c r="W62" s="60">
        <f t="shared" ref="W62:X62" si="21">SUM(W59:W61)</f>
        <v>166.2</v>
      </c>
      <c r="X62" s="60">
        <f t="shared" si="21"/>
        <v>336.2</v>
      </c>
      <c r="Y62" s="60">
        <f>SUM(Y59:Y61)</f>
        <v>352.1</v>
      </c>
      <c r="Z62" s="60">
        <f>SUM(Z59:Z61)</f>
        <v>312.10000000000002</v>
      </c>
      <c r="AA62" s="60">
        <f>SUM(AA59:AA61)</f>
        <v>212.1</v>
      </c>
      <c r="AB62" s="60">
        <f t="shared" si="13"/>
        <v>142.1</v>
      </c>
      <c r="AC62" s="60">
        <f t="shared" si="13"/>
        <v>142.19999999999999</v>
      </c>
      <c r="AD62" s="60">
        <f t="shared" si="13"/>
        <v>142.19999999999999</v>
      </c>
      <c r="AE62" s="60">
        <f t="shared" si="13"/>
        <v>87.2</v>
      </c>
      <c r="AF62" s="60">
        <f t="shared" si="13"/>
        <v>47.2</v>
      </c>
      <c r="AG62" s="61">
        <f t="shared" si="13"/>
        <v>538.1</v>
      </c>
      <c r="AH62" s="47">
        <f t="shared" si="2"/>
        <v>446.3</v>
      </c>
      <c r="AI62" s="48">
        <f t="shared" si="3"/>
        <v>46.2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29</v>
      </c>
      <c r="I63" s="45">
        <v>48</v>
      </c>
      <c r="J63" s="45">
        <v>60</v>
      </c>
      <c r="K63" s="45">
        <v>91</v>
      </c>
      <c r="L63" s="45">
        <v>91</v>
      </c>
      <c r="M63" s="45">
        <v>97.5</v>
      </c>
      <c r="N63" s="45">
        <v>97.5</v>
      </c>
      <c r="O63" s="45">
        <v>97</v>
      </c>
      <c r="P63" s="45">
        <v>97</v>
      </c>
      <c r="Q63" s="45">
        <v>97</v>
      </c>
      <c r="R63" s="45">
        <v>97</v>
      </c>
      <c r="S63" s="45">
        <v>40.9</v>
      </c>
      <c r="T63" s="45">
        <v>30.1</v>
      </c>
      <c r="U63" s="45">
        <v>61.4</v>
      </c>
      <c r="V63" s="45">
        <v>112.3</v>
      </c>
      <c r="W63" s="45">
        <v>131</v>
      </c>
      <c r="X63" s="45">
        <v>143.4</v>
      </c>
      <c r="Y63" s="45">
        <v>143.4</v>
      </c>
      <c r="Z63" s="45">
        <v>143.4</v>
      </c>
      <c r="AA63" s="45">
        <v>141.6</v>
      </c>
      <c r="AB63" s="45">
        <v>140.9</v>
      </c>
      <c r="AC63" s="45">
        <v>112.1</v>
      </c>
      <c r="AD63" s="45">
        <v>81.5</v>
      </c>
      <c r="AE63" s="45">
        <v>70.900000000000006</v>
      </c>
      <c r="AF63" s="45">
        <v>0</v>
      </c>
      <c r="AG63" s="52">
        <v>144</v>
      </c>
      <c r="AH63" s="47">
        <f t="shared" si="2"/>
        <v>143.4</v>
      </c>
      <c r="AI63" s="48">
        <f t="shared" si="3"/>
        <v>0</v>
      </c>
      <c r="AK63" s="50"/>
    </row>
    <row r="64" spans="1:88" x14ac:dyDescent="0.25">
      <c r="A64" s="54" t="s">
        <v>64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22</v>
      </c>
      <c r="I64" s="65">
        <v>23</v>
      </c>
      <c r="J64" s="65">
        <v>45</v>
      </c>
      <c r="K64" s="65">
        <v>69.5</v>
      </c>
      <c r="L64" s="65">
        <v>69.5</v>
      </c>
      <c r="M64" s="65">
        <v>65.599999999999994</v>
      </c>
      <c r="N64" s="65">
        <v>65.599999999999994</v>
      </c>
      <c r="O64" s="65">
        <v>69</v>
      </c>
      <c r="P64" s="65">
        <v>69</v>
      </c>
      <c r="Q64" s="65">
        <v>69</v>
      </c>
      <c r="R64" s="65">
        <v>0</v>
      </c>
      <c r="S64" s="65">
        <v>0</v>
      </c>
      <c r="T64" s="65">
        <v>0</v>
      </c>
      <c r="U64" s="65">
        <v>0</v>
      </c>
      <c r="V64" s="65">
        <v>45.7</v>
      </c>
      <c r="W64" s="65">
        <v>63.6</v>
      </c>
      <c r="X64" s="65">
        <v>63.6</v>
      </c>
      <c r="Y64" s="45">
        <v>63.6</v>
      </c>
      <c r="Z64" s="45">
        <v>63.6</v>
      </c>
      <c r="AA64" s="45">
        <v>64.2</v>
      </c>
      <c r="AB64" s="45">
        <v>63.4</v>
      </c>
      <c r="AC64" s="45">
        <v>63.4</v>
      </c>
      <c r="AD64" s="65">
        <v>29.4</v>
      </c>
      <c r="AE64" s="45">
        <v>34.6</v>
      </c>
      <c r="AF64" s="45">
        <v>0</v>
      </c>
      <c r="AG64" s="55">
        <v>70</v>
      </c>
      <c r="AH64" s="47">
        <f t="shared" si="2"/>
        <v>69.5</v>
      </c>
      <c r="AI64" s="48">
        <f t="shared" si="3"/>
        <v>0</v>
      </c>
      <c r="AK64" s="50"/>
    </row>
    <row r="65" spans="1:41" x14ac:dyDescent="0.25">
      <c r="A65" s="54" t="s">
        <v>65</v>
      </c>
      <c r="B65" s="65">
        <v>0</v>
      </c>
      <c r="C65" s="65">
        <v>0</v>
      </c>
      <c r="D65" s="65">
        <v>0</v>
      </c>
      <c r="E65" s="65">
        <v>0</v>
      </c>
      <c r="F65" s="65">
        <v>0</v>
      </c>
      <c r="G65" s="65">
        <v>0</v>
      </c>
      <c r="H65" s="65">
        <v>33</v>
      </c>
      <c r="I65" s="65">
        <v>66</v>
      </c>
      <c r="J65" s="65">
        <v>53</v>
      </c>
      <c r="K65" s="65">
        <v>67</v>
      </c>
      <c r="L65" s="65">
        <v>67</v>
      </c>
      <c r="M65" s="65">
        <v>65.599999999999994</v>
      </c>
      <c r="N65" s="65">
        <v>68</v>
      </c>
      <c r="O65" s="65">
        <v>65.900000000000006</v>
      </c>
      <c r="P65" s="65">
        <v>65.900000000000006</v>
      </c>
      <c r="Q65" s="65">
        <v>32</v>
      </c>
      <c r="R65" s="65">
        <v>0</v>
      </c>
      <c r="S65" s="65">
        <v>0</v>
      </c>
      <c r="T65" s="65">
        <v>0</v>
      </c>
      <c r="U65" s="65">
        <v>23.4</v>
      </c>
      <c r="V65" s="65">
        <v>52.5</v>
      </c>
      <c r="W65" s="65">
        <v>67.900000000000006</v>
      </c>
      <c r="X65" s="65">
        <v>67.900000000000006</v>
      </c>
      <c r="Y65" s="45">
        <v>67.900000000000006</v>
      </c>
      <c r="Z65" s="45">
        <v>67.900000000000006</v>
      </c>
      <c r="AA65" s="45">
        <v>68.099999999999994</v>
      </c>
      <c r="AB65" s="45">
        <v>67.099999999999994</v>
      </c>
      <c r="AC65" s="45">
        <v>62.2</v>
      </c>
      <c r="AD65" s="65">
        <v>49.9</v>
      </c>
      <c r="AE65" s="45">
        <v>45.7</v>
      </c>
      <c r="AF65" s="45">
        <v>0</v>
      </c>
      <c r="AG65" s="55">
        <v>69</v>
      </c>
      <c r="AH65" s="47">
        <f t="shared" si="2"/>
        <v>68.099999999999994</v>
      </c>
      <c r="AI65" s="48">
        <f t="shared" si="3"/>
        <v>0</v>
      </c>
      <c r="AK65" s="50"/>
    </row>
    <row r="66" spans="1:41" x14ac:dyDescent="0.25">
      <c r="A66" s="54" t="s">
        <v>66</v>
      </c>
      <c r="B66" s="65">
        <v>44</v>
      </c>
      <c r="C66" s="65">
        <v>44</v>
      </c>
      <c r="D66" s="65">
        <v>44</v>
      </c>
      <c r="E66" s="65">
        <v>44</v>
      </c>
      <c r="F66" s="65">
        <v>44</v>
      </c>
      <c r="G66" s="65">
        <v>44</v>
      </c>
      <c r="H66" s="65">
        <v>44</v>
      </c>
      <c r="I66" s="65">
        <v>44</v>
      </c>
      <c r="J66" s="65">
        <v>44</v>
      </c>
      <c r="K66" s="65">
        <v>44</v>
      </c>
      <c r="L66" s="65">
        <v>44</v>
      </c>
      <c r="M66" s="65">
        <v>44.3</v>
      </c>
      <c r="N66" s="65">
        <v>44.3</v>
      </c>
      <c r="O66" s="65">
        <v>44</v>
      </c>
      <c r="P66" s="65">
        <v>44</v>
      </c>
      <c r="Q66" s="65">
        <v>44</v>
      </c>
      <c r="R66" s="65">
        <v>44</v>
      </c>
      <c r="S66" s="65">
        <v>43.3</v>
      </c>
      <c r="T66" s="65">
        <v>43.3</v>
      </c>
      <c r="U66" s="65">
        <v>43.3</v>
      </c>
      <c r="V66" s="65">
        <v>43.3</v>
      </c>
      <c r="W66" s="65">
        <v>43.3</v>
      </c>
      <c r="X66" s="65">
        <v>43.3</v>
      </c>
      <c r="Y66" s="45">
        <v>43.3</v>
      </c>
      <c r="Z66" s="45">
        <v>43.3</v>
      </c>
      <c r="AA66" s="45">
        <v>43.3</v>
      </c>
      <c r="AB66" s="45">
        <v>43.3</v>
      </c>
      <c r="AC66" s="45">
        <v>43.3</v>
      </c>
      <c r="AD66" s="45">
        <v>43.3</v>
      </c>
      <c r="AE66" s="45">
        <v>47.1</v>
      </c>
      <c r="AF66" s="45">
        <v>47.1</v>
      </c>
      <c r="AG66" s="55">
        <v>60</v>
      </c>
      <c r="AH66" s="47">
        <f t="shared" si="2"/>
        <v>47.1</v>
      </c>
      <c r="AI66" s="48">
        <f t="shared" si="3"/>
        <v>43.3</v>
      </c>
      <c r="AK66" s="50"/>
    </row>
    <row r="67" spans="1:41" x14ac:dyDescent="0.25">
      <c r="A67" s="54" t="s">
        <v>67</v>
      </c>
      <c r="B67" s="65">
        <v>0</v>
      </c>
      <c r="C67" s="65">
        <v>0</v>
      </c>
      <c r="D67" s="65">
        <v>0</v>
      </c>
      <c r="E67" s="65">
        <v>0</v>
      </c>
      <c r="F67" s="65">
        <v>0</v>
      </c>
      <c r="G67" s="65">
        <v>0</v>
      </c>
      <c r="H67" s="65">
        <v>0</v>
      </c>
      <c r="I67" s="65">
        <v>0</v>
      </c>
      <c r="J67" s="65">
        <v>15</v>
      </c>
      <c r="K67" s="65">
        <v>30</v>
      </c>
      <c r="L67" s="65">
        <v>30</v>
      </c>
      <c r="M67" s="65">
        <v>28.5</v>
      </c>
      <c r="N67" s="65">
        <v>22</v>
      </c>
      <c r="O67" s="65">
        <v>15</v>
      </c>
      <c r="P67" s="65">
        <v>15</v>
      </c>
      <c r="Q67" s="65">
        <v>15</v>
      </c>
      <c r="R67" s="65">
        <v>15</v>
      </c>
      <c r="S67" s="65">
        <v>15</v>
      </c>
      <c r="T67" s="65">
        <v>15</v>
      </c>
      <c r="U67" s="65">
        <v>0</v>
      </c>
      <c r="V67" s="65">
        <v>0</v>
      </c>
      <c r="W67" s="65">
        <v>10</v>
      </c>
      <c r="X67" s="65">
        <v>10</v>
      </c>
      <c r="Y67" s="45">
        <v>28</v>
      </c>
      <c r="Z67" s="45">
        <v>28</v>
      </c>
      <c r="AA67" s="45">
        <v>28</v>
      </c>
      <c r="AB67" s="45">
        <v>10</v>
      </c>
      <c r="AC67" s="45">
        <v>10</v>
      </c>
      <c r="AD67" s="45">
        <v>10</v>
      </c>
      <c r="AE67" s="45">
        <v>10</v>
      </c>
      <c r="AF67" s="45">
        <v>0</v>
      </c>
      <c r="AG67" s="55">
        <v>30</v>
      </c>
      <c r="AH67" s="47">
        <f t="shared" si="2"/>
        <v>30</v>
      </c>
      <c r="AI67" s="48">
        <f t="shared" si="3"/>
        <v>0</v>
      </c>
      <c r="AK67" s="50"/>
    </row>
    <row r="68" spans="1:41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</v>
      </c>
      <c r="M68" s="65">
        <v>1.7</v>
      </c>
      <c r="N68" s="65">
        <v>1.7</v>
      </c>
      <c r="O68" s="65">
        <v>1.7</v>
      </c>
      <c r="P68" s="65">
        <v>1.7</v>
      </c>
      <c r="Q68" s="65">
        <v>1.7</v>
      </c>
      <c r="R68" s="65">
        <v>1.7</v>
      </c>
      <c r="S68" s="65">
        <v>12.3</v>
      </c>
      <c r="T68" s="65">
        <v>9.1</v>
      </c>
      <c r="U68" s="65">
        <v>6.3</v>
      </c>
      <c r="V68" s="65">
        <v>0.9</v>
      </c>
      <c r="W68" s="65">
        <v>0</v>
      </c>
      <c r="X68" s="65">
        <v>0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55">
        <v>25</v>
      </c>
      <c r="AH68" s="47">
        <f t="shared" si="2"/>
        <v>12.3</v>
      </c>
      <c r="AI68" s="48">
        <f t="shared" si="3"/>
        <v>0</v>
      </c>
      <c r="AK68" s="50"/>
    </row>
    <row r="69" spans="1:41" x14ac:dyDescent="0.25">
      <c r="A69" s="54" t="s">
        <v>69</v>
      </c>
      <c r="B69" s="65">
        <v>15</v>
      </c>
      <c r="C69" s="65">
        <v>15</v>
      </c>
      <c r="D69" s="65">
        <v>15</v>
      </c>
      <c r="E69" s="65">
        <v>15</v>
      </c>
      <c r="F69" s="65">
        <v>15</v>
      </c>
      <c r="G69" s="65">
        <v>15</v>
      </c>
      <c r="H69" s="65">
        <v>15</v>
      </c>
      <c r="I69" s="65">
        <v>15</v>
      </c>
      <c r="J69" s="65">
        <v>15</v>
      </c>
      <c r="K69" s="65">
        <v>15</v>
      </c>
      <c r="L69" s="65">
        <v>15</v>
      </c>
      <c r="M69" s="65">
        <v>15</v>
      </c>
      <c r="N69" s="65">
        <v>15</v>
      </c>
      <c r="O69" s="65">
        <v>15</v>
      </c>
      <c r="P69" s="65">
        <v>15</v>
      </c>
      <c r="Q69" s="65">
        <v>15</v>
      </c>
      <c r="R69" s="65">
        <v>15</v>
      </c>
      <c r="S69" s="65">
        <v>15</v>
      </c>
      <c r="T69" s="65">
        <v>15</v>
      </c>
      <c r="U69" s="65">
        <v>15</v>
      </c>
      <c r="V69" s="65">
        <v>15</v>
      </c>
      <c r="W69" s="65">
        <v>15</v>
      </c>
      <c r="X69" s="65">
        <v>15</v>
      </c>
      <c r="Y69" s="65">
        <v>15</v>
      </c>
      <c r="Z69" s="65">
        <v>15</v>
      </c>
      <c r="AA69" s="65">
        <v>15</v>
      </c>
      <c r="AB69" s="65">
        <v>15</v>
      </c>
      <c r="AC69" s="65">
        <v>15</v>
      </c>
      <c r="AD69" s="65">
        <v>15</v>
      </c>
      <c r="AE69" s="65">
        <v>15</v>
      </c>
      <c r="AF69" s="65">
        <v>15</v>
      </c>
      <c r="AG69" s="55">
        <v>24</v>
      </c>
      <c r="AH69" s="47">
        <f t="shared" si="2"/>
        <v>15</v>
      </c>
      <c r="AI69" s="48">
        <f t="shared" si="3"/>
        <v>15</v>
      </c>
      <c r="AK69" s="50"/>
    </row>
    <row r="70" spans="1:41" x14ac:dyDescent="0.25">
      <c r="A70" s="54" t="s">
        <v>70</v>
      </c>
      <c r="B70" s="65">
        <v>4.4000000000000004</v>
      </c>
      <c r="C70" s="65">
        <v>4.4000000000000004</v>
      </c>
      <c r="D70" s="65">
        <v>4.4000000000000004</v>
      </c>
      <c r="E70" s="65">
        <v>4.4000000000000004</v>
      </c>
      <c r="F70" s="65">
        <v>4.4000000000000004</v>
      </c>
      <c r="G70" s="65">
        <v>4.4000000000000004</v>
      </c>
      <c r="H70" s="65">
        <v>4.4000000000000004</v>
      </c>
      <c r="I70" s="65">
        <v>4.4000000000000004</v>
      </c>
      <c r="J70" s="65">
        <v>4.4000000000000004</v>
      </c>
      <c r="K70" s="65">
        <v>4.4000000000000004</v>
      </c>
      <c r="L70" s="65">
        <v>4.4000000000000004</v>
      </c>
      <c r="M70" s="65">
        <v>4.4000000000000004</v>
      </c>
      <c r="N70" s="65">
        <v>4.4000000000000004</v>
      </c>
      <c r="O70" s="65">
        <v>4.4000000000000004</v>
      </c>
      <c r="P70" s="65">
        <v>4.4000000000000004</v>
      </c>
      <c r="Q70" s="65">
        <v>4.4000000000000004</v>
      </c>
      <c r="R70" s="65">
        <v>4.4000000000000004</v>
      </c>
      <c r="S70" s="65">
        <v>4.4000000000000004</v>
      </c>
      <c r="T70" s="65">
        <v>4.4000000000000004</v>
      </c>
      <c r="U70" s="65">
        <v>4.4000000000000004</v>
      </c>
      <c r="V70" s="65">
        <v>4.4000000000000004</v>
      </c>
      <c r="W70" s="65">
        <v>4.4000000000000004</v>
      </c>
      <c r="X70" s="65">
        <v>4.4000000000000004</v>
      </c>
      <c r="Y70" s="65">
        <v>4.4000000000000004</v>
      </c>
      <c r="Z70" s="65">
        <v>4.4000000000000004</v>
      </c>
      <c r="AA70" s="65">
        <v>4.4000000000000004</v>
      </c>
      <c r="AB70" s="65">
        <v>4.4000000000000004</v>
      </c>
      <c r="AC70" s="65">
        <v>4.4000000000000004</v>
      </c>
      <c r="AD70" s="65">
        <v>4.4000000000000004</v>
      </c>
      <c r="AE70" s="65">
        <v>4.4000000000000004</v>
      </c>
      <c r="AF70" s="65">
        <v>4.4000000000000004</v>
      </c>
      <c r="AG70" s="55">
        <v>15</v>
      </c>
      <c r="AH70" s="47">
        <f t="shared" si="2"/>
        <v>4.4000000000000004</v>
      </c>
      <c r="AI70" s="48">
        <f t="shared" si="3"/>
        <v>4.4000000000000004</v>
      </c>
      <c r="AK70" s="50"/>
      <c r="AL70" s="70"/>
      <c r="AO70" s="70"/>
    </row>
    <row r="71" spans="1:41" s="70" customFormat="1" x14ac:dyDescent="0.25">
      <c r="A71" s="54" t="s">
        <v>71</v>
      </c>
      <c r="B71" s="65">
        <v>10.5</v>
      </c>
      <c r="C71" s="65">
        <v>10.5</v>
      </c>
      <c r="D71" s="65">
        <v>10.5</v>
      </c>
      <c r="E71" s="65">
        <v>10.5</v>
      </c>
      <c r="F71" s="65">
        <v>10.5</v>
      </c>
      <c r="G71" s="65">
        <v>10.5</v>
      </c>
      <c r="H71" s="65">
        <v>10.5</v>
      </c>
      <c r="I71" s="65">
        <v>10.5</v>
      </c>
      <c r="J71" s="65">
        <v>10.5</v>
      </c>
      <c r="K71" s="65">
        <v>10.5</v>
      </c>
      <c r="L71" s="65">
        <v>10.5</v>
      </c>
      <c r="M71" s="65">
        <v>9</v>
      </c>
      <c r="N71" s="65">
        <v>9</v>
      </c>
      <c r="O71" s="65">
        <v>9</v>
      </c>
      <c r="P71" s="65">
        <v>9</v>
      </c>
      <c r="Q71" s="65">
        <v>9</v>
      </c>
      <c r="R71" s="65">
        <v>9</v>
      </c>
      <c r="S71" s="65">
        <v>9</v>
      </c>
      <c r="T71" s="65">
        <v>9</v>
      </c>
      <c r="U71" s="65">
        <v>9</v>
      </c>
      <c r="V71" s="65">
        <v>9</v>
      </c>
      <c r="W71" s="65">
        <v>9</v>
      </c>
      <c r="X71" s="65">
        <v>9</v>
      </c>
      <c r="Y71" s="65">
        <v>9</v>
      </c>
      <c r="Z71" s="65">
        <v>9</v>
      </c>
      <c r="AA71" s="65">
        <v>9</v>
      </c>
      <c r="AB71" s="65">
        <v>9</v>
      </c>
      <c r="AC71" s="65">
        <v>9</v>
      </c>
      <c r="AD71" s="65">
        <v>9</v>
      </c>
      <c r="AE71" s="65">
        <v>9</v>
      </c>
      <c r="AF71" s="65">
        <v>9</v>
      </c>
      <c r="AG71" s="55">
        <v>14.1</v>
      </c>
      <c r="AH71" s="47">
        <f t="shared" si="2"/>
        <v>10.5</v>
      </c>
      <c r="AI71" s="48">
        <f t="shared" si="3"/>
        <v>9</v>
      </c>
      <c r="AJ71" s="1"/>
      <c r="AK71" s="50"/>
      <c r="AL71" s="1"/>
      <c r="AM71" s="1"/>
      <c r="AN71" s="1"/>
      <c r="AO71" s="1"/>
    </row>
    <row r="72" spans="1:41" x14ac:dyDescent="0.25">
      <c r="A72" s="71" t="s">
        <v>72</v>
      </c>
      <c r="B72" s="65">
        <v>3.3</v>
      </c>
      <c r="C72" s="65">
        <v>3.3</v>
      </c>
      <c r="D72" s="65">
        <v>3.3</v>
      </c>
      <c r="E72" s="65">
        <v>3.3</v>
      </c>
      <c r="F72" s="65">
        <v>3.3</v>
      </c>
      <c r="G72" s="65">
        <v>3.3</v>
      </c>
      <c r="H72" s="65">
        <v>3.3</v>
      </c>
      <c r="I72" s="65">
        <v>3.3</v>
      </c>
      <c r="J72" s="65">
        <v>3.3</v>
      </c>
      <c r="K72" s="65">
        <v>3.3</v>
      </c>
      <c r="L72" s="65">
        <v>3.3</v>
      </c>
      <c r="M72" s="65">
        <v>4.9000000000000004</v>
      </c>
      <c r="N72" s="65">
        <v>4.9000000000000004</v>
      </c>
      <c r="O72" s="65">
        <v>4.9000000000000004</v>
      </c>
      <c r="P72" s="65">
        <v>4.9000000000000004</v>
      </c>
      <c r="Q72" s="65">
        <v>4.9000000000000004</v>
      </c>
      <c r="R72" s="65">
        <v>4.9000000000000004</v>
      </c>
      <c r="S72" s="65">
        <v>4.9000000000000004</v>
      </c>
      <c r="T72" s="65">
        <v>4.9000000000000004</v>
      </c>
      <c r="U72" s="65">
        <v>4.9000000000000004</v>
      </c>
      <c r="V72" s="65">
        <v>4.9000000000000004</v>
      </c>
      <c r="W72" s="65">
        <v>4.9000000000000004</v>
      </c>
      <c r="X72" s="65">
        <v>4.9000000000000004</v>
      </c>
      <c r="Y72" s="65">
        <v>4.9000000000000004</v>
      </c>
      <c r="Z72" s="65">
        <v>4.9000000000000004</v>
      </c>
      <c r="AA72" s="65">
        <v>4.9000000000000004</v>
      </c>
      <c r="AB72" s="65">
        <v>4.9000000000000004</v>
      </c>
      <c r="AC72" s="65">
        <v>4.9000000000000004</v>
      </c>
      <c r="AD72" s="65">
        <v>4.9000000000000004</v>
      </c>
      <c r="AE72" s="65">
        <v>4.9000000000000004</v>
      </c>
      <c r="AF72" s="65">
        <v>4.9000000000000004</v>
      </c>
      <c r="AG72" s="55">
        <v>14</v>
      </c>
      <c r="AH72" s="47">
        <f t="shared" si="2"/>
        <v>4.9000000000000004</v>
      </c>
      <c r="AI72" s="48">
        <f t="shared" si="3"/>
        <v>3.3</v>
      </c>
      <c r="AK72" s="50"/>
    </row>
    <row r="73" spans="1:41" x14ac:dyDescent="0.25">
      <c r="A73" s="54" t="s">
        <v>73</v>
      </c>
      <c r="B73" s="65">
        <v>4.5</v>
      </c>
      <c r="C73" s="65">
        <v>4.5</v>
      </c>
      <c r="D73" s="65">
        <v>4.5</v>
      </c>
      <c r="E73" s="65">
        <v>4.5</v>
      </c>
      <c r="F73" s="65">
        <v>4.5</v>
      </c>
      <c r="G73" s="65">
        <v>4.5</v>
      </c>
      <c r="H73" s="65">
        <v>4.5</v>
      </c>
      <c r="I73" s="65">
        <v>4.5</v>
      </c>
      <c r="J73" s="65">
        <v>4.5</v>
      </c>
      <c r="K73" s="65">
        <v>4.5</v>
      </c>
      <c r="L73" s="65">
        <v>4.5</v>
      </c>
      <c r="M73" s="65">
        <v>4.5</v>
      </c>
      <c r="N73" s="65">
        <v>4.5</v>
      </c>
      <c r="O73" s="65">
        <v>4.5</v>
      </c>
      <c r="P73" s="65">
        <v>4.5</v>
      </c>
      <c r="Q73" s="65">
        <v>4.5</v>
      </c>
      <c r="R73" s="65">
        <v>4.5</v>
      </c>
      <c r="S73" s="65">
        <v>4.5</v>
      </c>
      <c r="T73" s="65">
        <v>4.5</v>
      </c>
      <c r="U73" s="65">
        <v>4.5</v>
      </c>
      <c r="V73" s="65">
        <v>4.5</v>
      </c>
      <c r="W73" s="65">
        <v>4.5</v>
      </c>
      <c r="X73" s="65">
        <v>4.5</v>
      </c>
      <c r="Y73" s="65">
        <v>4.5</v>
      </c>
      <c r="Z73" s="65">
        <v>4.5</v>
      </c>
      <c r="AA73" s="65">
        <v>4.5</v>
      </c>
      <c r="AB73" s="65">
        <v>4.5</v>
      </c>
      <c r="AC73" s="65">
        <v>4.5</v>
      </c>
      <c r="AD73" s="65">
        <v>4.5</v>
      </c>
      <c r="AE73" s="65">
        <v>4.5</v>
      </c>
      <c r="AF73" s="65">
        <v>4.5</v>
      </c>
      <c r="AG73" s="55">
        <v>10.050000000000001</v>
      </c>
      <c r="AH73" s="47">
        <f t="shared" si="2"/>
        <v>4.5</v>
      </c>
      <c r="AI73" s="48">
        <f t="shared" si="3"/>
        <v>4.5</v>
      </c>
      <c r="AK73" s="50"/>
    </row>
    <row r="74" spans="1:41" x14ac:dyDescent="0.25">
      <c r="A74" s="54" t="s">
        <v>74</v>
      </c>
      <c r="B74" s="65">
        <v>2</v>
      </c>
      <c r="C74" s="65">
        <v>2</v>
      </c>
      <c r="D74" s="65">
        <v>2</v>
      </c>
      <c r="E74" s="65">
        <v>2</v>
      </c>
      <c r="F74" s="65">
        <v>2</v>
      </c>
      <c r="G74" s="65">
        <v>2</v>
      </c>
      <c r="H74" s="65">
        <v>2</v>
      </c>
      <c r="I74" s="65">
        <v>2</v>
      </c>
      <c r="J74" s="65">
        <v>2</v>
      </c>
      <c r="K74" s="65">
        <v>2</v>
      </c>
      <c r="L74" s="65">
        <v>2</v>
      </c>
      <c r="M74" s="65">
        <v>2</v>
      </c>
      <c r="N74" s="65">
        <v>2</v>
      </c>
      <c r="O74" s="65">
        <v>2</v>
      </c>
      <c r="P74" s="65">
        <v>2</v>
      </c>
      <c r="Q74" s="65">
        <v>2</v>
      </c>
      <c r="R74" s="65">
        <v>2</v>
      </c>
      <c r="S74" s="65">
        <v>2</v>
      </c>
      <c r="T74" s="65">
        <v>2</v>
      </c>
      <c r="U74" s="65">
        <v>2</v>
      </c>
      <c r="V74" s="65">
        <v>2</v>
      </c>
      <c r="W74" s="65">
        <v>2</v>
      </c>
      <c r="X74" s="65">
        <v>2</v>
      </c>
      <c r="Y74" s="65">
        <v>2</v>
      </c>
      <c r="Z74" s="65">
        <v>2</v>
      </c>
      <c r="AA74" s="65">
        <v>2</v>
      </c>
      <c r="AB74" s="65">
        <v>2</v>
      </c>
      <c r="AC74" s="65">
        <v>2</v>
      </c>
      <c r="AD74" s="65">
        <v>2</v>
      </c>
      <c r="AE74" s="65">
        <v>2</v>
      </c>
      <c r="AF74" s="65">
        <v>2</v>
      </c>
      <c r="AG74" s="55">
        <v>6.2</v>
      </c>
      <c r="AH74" s="47">
        <f t="shared" si="2"/>
        <v>2</v>
      </c>
      <c r="AI74" s="48">
        <f t="shared" si="3"/>
        <v>2</v>
      </c>
      <c r="AK74" s="50"/>
    </row>
    <row r="75" spans="1:41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3.54</v>
      </c>
      <c r="Z75" s="72">
        <v>3.54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2"/>
        <v>3.54</v>
      </c>
      <c r="AI75" s="48">
        <f t="shared" si="3"/>
        <v>3.54</v>
      </c>
      <c r="AK75" s="50"/>
    </row>
    <row r="76" spans="1:41" ht="15.75" thickBot="1" x14ac:dyDescent="0.3">
      <c r="A76" s="74" t="s">
        <v>76</v>
      </c>
      <c r="B76" s="60">
        <f t="shared" ref="B76:AG76" si="22">SUM(B63:B75)</f>
        <v>87.240000000000009</v>
      </c>
      <c r="C76" s="60">
        <f t="shared" si="22"/>
        <v>87.240000000000009</v>
      </c>
      <c r="D76" s="60">
        <f t="shared" si="22"/>
        <v>87.240000000000009</v>
      </c>
      <c r="E76" s="60">
        <f t="shared" ref="E76:G76" si="23">SUM(E63:E75)</f>
        <v>87.240000000000009</v>
      </c>
      <c r="F76" s="60">
        <f t="shared" si="23"/>
        <v>87.240000000000009</v>
      </c>
      <c r="G76" s="60">
        <f t="shared" si="23"/>
        <v>87.240000000000009</v>
      </c>
      <c r="H76" s="60">
        <f t="shared" ref="H76:I76" si="24">SUM(H63:H75)</f>
        <v>171.24</v>
      </c>
      <c r="I76" s="60">
        <f t="shared" si="24"/>
        <v>224.24</v>
      </c>
      <c r="J76" s="60">
        <f t="shared" ref="J76:K76" si="25">SUM(J63:J75)</f>
        <v>260.24000000000007</v>
      </c>
      <c r="K76" s="60">
        <f t="shared" si="25"/>
        <v>344.74</v>
      </c>
      <c r="L76" s="60">
        <f t="shared" ref="L76" si="26">SUM(L63:L75)</f>
        <v>344.74</v>
      </c>
      <c r="M76" s="60">
        <f t="shared" si="22"/>
        <v>346.53999999999996</v>
      </c>
      <c r="N76" s="60">
        <f t="shared" si="22"/>
        <v>342.43999999999994</v>
      </c>
      <c r="O76" s="60">
        <f t="shared" si="22"/>
        <v>335.93999999999994</v>
      </c>
      <c r="P76" s="60">
        <f t="shared" si="22"/>
        <v>335.93999999999994</v>
      </c>
      <c r="Q76" s="60">
        <f t="shared" si="22"/>
        <v>302.03999999999996</v>
      </c>
      <c r="R76" s="60">
        <f t="shared" si="22"/>
        <v>201.04</v>
      </c>
      <c r="S76" s="60">
        <f t="shared" ref="S76:T76" si="27">SUM(S63:S75)</f>
        <v>154.83999999999997</v>
      </c>
      <c r="T76" s="60">
        <f t="shared" si="27"/>
        <v>140.84</v>
      </c>
      <c r="U76" s="60">
        <f t="shared" ref="U76:V76" si="28">SUM(U63:U75)</f>
        <v>177.74</v>
      </c>
      <c r="V76" s="60">
        <f t="shared" si="28"/>
        <v>298.04000000000002</v>
      </c>
      <c r="W76" s="60">
        <f t="shared" ref="W76:Y76" si="29">SUM(W63:W75)</f>
        <v>359.14</v>
      </c>
      <c r="X76" s="60">
        <f t="shared" si="29"/>
        <v>371.53999999999996</v>
      </c>
      <c r="Y76" s="60">
        <f t="shared" si="29"/>
        <v>389.53999999999996</v>
      </c>
      <c r="Z76" s="60">
        <f t="shared" ref="Z76:AA76" si="30">SUM(Z63:Z75)</f>
        <v>389.53999999999996</v>
      </c>
      <c r="AA76" s="60">
        <f t="shared" si="30"/>
        <v>388.53999999999996</v>
      </c>
      <c r="AB76" s="60">
        <f t="shared" si="22"/>
        <v>368.03999999999996</v>
      </c>
      <c r="AC76" s="60">
        <f t="shared" si="22"/>
        <v>334.34</v>
      </c>
      <c r="AD76" s="60">
        <f t="shared" si="22"/>
        <v>257.44000000000005</v>
      </c>
      <c r="AE76" s="60">
        <f t="shared" si="22"/>
        <v>251.64</v>
      </c>
      <c r="AF76" s="60">
        <f t="shared" si="22"/>
        <v>90.440000000000012</v>
      </c>
      <c r="AG76" s="61">
        <f t="shared" si="22"/>
        <v>489.91</v>
      </c>
      <c r="AH76" s="47">
        <f t="shared" si="2"/>
        <v>389.53999999999996</v>
      </c>
      <c r="AI76" s="48">
        <f t="shared" si="3"/>
        <v>87.240000000000009</v>
      </c>
      <c r="AK76" s="50"/>
    </row>
    <row r="77" spans="1:41" x14ac:dyDescent="0.25">
      <c r="A77" s="44" t="s">
        <v>77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>
        <v>30.6</v>
      </c>
      <c r="R77" s="45">
        <v>10</v>
      </c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30.3</v>
      </c>
      <c r="Z77" s="45">
        <v>30.3</v>
      </c>
      <c r="AA77" s="45">
        <v>30.3</v>
      </c>
      <c r="AB77" s="45">
        <v>30.5</v>
      </c>
      <c r="AC77" s="45">
        <v>30.5</v>
      </c>
      <c r="AD77" s="45">
        <v>30.5</v>
      </c>
      <c r="AE77" s="45">
        <v>50</v>
      </c>
      <c r="AF77" s="45">
        <v>0</v>
      </c>
      <c r="AG77" s="52">
        <v>60</v>
      </c>
      <c r="AH77" s="47">
        <f t="shared" si="2"/>
        <v>50</v>
      </c>
      <c r="AI77" s="48">
        <f t="shared" si="3"/>
        <v>0</v>
      </c>
      <c r="AK77" s="50"/>
    </row>
    <row r="78" spans="1:41" x14ac:dyDescent="0.25">
      <c r="A78" s="54" t="s">
        <v>78</v>
      </c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>
        <v>14.6</v>
      </c>
      <c r="R78" s="65">
        <v>5</v>
      </c>
      <c r="S78" s="65">
        <v>0</v>
      </c>
      <c r="T78" s="65">
        <v>0</v>
      </c>
      <c r="U78" s="65">
        <v>0</v>
      </c>
      <c r="V78" s="65">
        <v>0</v>
      </c>
      <c r="W78" s="65">
        <v>0</v>
      </c>
      <c r="X78" s="65">
        <v>0</v>
      </c>
      <c r="Y78" s="65">
        <v>11.9</v>
      </c>
      <c r="Z78" s="65">
        <v>11.9</v>
      </c>
      <c r="AA78" s="65">
        <v>11.9</v>
      </c>
      <c r="AB78" s="65">
        <v>14.8</v>
      </c>
      <c r="AC78" s="65">
        <v>14.8</v>
      </c>
      <c r="AD78" s="65">
        <v>14.7</v>
      </c>
      <c r="AE78" s="65">
        <v>20.3</v>
      </c>
      <c r="AF78" s="65">
        <v>5.5</v>
      </c>
      <c r="AG78" s="55">
        <v>32</v>
      </c>
      <c r="AH78" s="47">
        <f t="shared" si="2"/>
        <v>20.3</v>
      </c>
      <c r="AI78" s="48">
        <f t="shared" si="3"/>
        <v>0</v>
      </c>
      <c r="AK78" s="50"/>
    </row>
    <row r="79" spans="1:41" ht="15.75" thickBot="1" x14ac:dyDescent="0.3">
      <c r="A79" s="71" t="s">
        <v>79</v>
      </c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>
        <v>5.3</v>
      </c>
      <c r="R79" s="67">
        <v>2</v>
      </c>
      <c r="S79" s="67">
        <v>0</v>
      </c>
      <c r="T79" s="67">
        <v>0</v>
      </c>
      <c r="U79" s="67">
        <v>0</v>
      </c>
      <c r="V79" s="67">
        <v>0</v>
      </c>
      <c r="W79" s="67">
        <v>0</v>
      </c>
      <c r="X79" s="67">
        <v>0</v>
      </c>
      <c r="Y79" s="67">
        <v>4.4000000000000004</v>
      </c>
      <c r="Z79" s="67">
        <v>4.4000000000000004</v>
      </c>
      <c r="AA79" s="67">
        <v>4.4000000000000004</v>
      </c>
      <c r="AB79" s="67">
        <v>5.4</v>
      </c>
      <c r="AC79" s="67">
        <v>5.4</v>
      </c>
      <c r="AD79" s="67">
        <v>5.4</v>
      </c>
      <c r="AE79" s="67">
        <v>7.4</v>
      </c>
      <c r="AF79" s="67">
        <v>2</v>
      </c>
      <c r="AG79" s="68">
        <v>14</v>
      </c>
      <c r="AH79" s="47">
        <f t="shared" si="2"/>
        <v>7.4</v>
      </c>
      <c r="AI79" s="48">
        <f t="shared" si="3"/>
        <v>0</v>
      </c>
      <c r="AK79" s="50"/>
    </row>
    <row r="80" spans="1:41" ht="15.75" thickBot="1" x14ac:dyDescent="0.3">
      <c r="A80" s="74" t="s">
        <v>80</v>
      </c>
      <c r="B80" s="60">
        <f t="shared" ref="B80:AF80" si="31">B77+B78+B79</f>
        <v>0</v>
      </c>
      <c r="C80" s="60">
        <f t="shared" si="31"/>
        <v>0</v>
      </c>
      <c r="D80" s="60">
        <f t="shared" si="31"/>
        <v>0</v>
      </c>
      <c r="E80" s="60">
        <f t="shared" ref="E80:G80" si="32">E77+E78+E79</f>
        <v>0</v>
      </c>
      <c r="F80" s="60">
        <f t="shared" si="32"/>
        <v>0</v>
      </c>
      <c r="G80" s="60">
        <f t="shared" si="32"/>
        <v>0</v>
      </c>
      <c r="H80" s="60">
        <f t="shared" ref="H80:I80" si="33">H77+H78+H79</f>
        <v>0</v>
      </c>
      <c r="I80" s="60">
        <f t="shared" si="33"/>
        <v>0</v>
      </c>
      <c r="J80" s="60">
        <f t="shared" ref="J80:K80" si="34">J77+J78+J79</f>
        <v>0</v>
      </c>
      <c r="K80" s="60">
        <f t="shared" si="34"/>
        <v>0</v>
      </c>
      <c r="L80" s="60">
        <f t="shared" ref="L80" si="35">L77+L78+L79</f>
        <v>0</v>
      </c>
      <c r="M80" s="60">
        <f t="shared" si="31"/>
        <v>0</v>
      </c>
      <c r="N80" s="60">
        <f t="shared" si="31"/>
        <v>0</v>
      </c>
      <c r="O80" s="60">
        <f t="shared" si="31"/>
        <v>0</v>
      </c>
      <c r="P80" s="60">
        <f t="shared" si="31"/>
        <v>0</v>
      </c>
      <c r="Q80" s="60">
        <f t="shared" si="31"/>
        <v>50.5</v>
      </c>
      <c r="R80" s="60">
        <f t="shared" si="31"/>
        <v>17</v>
      </c>
      <c r="S80" s="60">
        <f t="shared" ref="S80:T80" si="36">S77+S78+S79</f>
        <v>0</v>
      </c>
      <c r="T80" s="60">
        <f t="shared" si="36"/>
        <v>0</v>
      </c>
      <c r="U80" s="60">
        <f t="shared" ref="U80:V80" si="37">U77+U78+U79</f>
        <v>0</v>
      </c>
      <c r="V80" s="60">
        <f t="shared" si="37"/>
        <v>0</v>
      </c>
      <c r="W80" s="60">
        <f t="shared" ref="W80:Y80" si="38">W77+W78+W79</f>
        <v>0</v>
      </c>
      <c r="X80" s="60">
        <f t="shared" si="38"/>
        <v>0</v>
      </c>
      <c r="Y80" s="60">
        <f t="shared" si="38"/>
        <v>46.6</v>
      </c>
      <c r="Z80" s="60">
        <f t="shared" ref="Z80:AA80" si="39">Z77+Z78+Z79</f>
        <v>46.6</v>
      </c>
      <c r="AA80" s="60">
        <f t="shared" si="39"/>
        <v>46.6</v>
      </c>
      <c r="AB80" s="60">
        <f t="shared" si="31"/>
        <v>50.699999999999996</v>
      </c>
      <c r="AC80" s="60">
        <f t="shared" si="31"/>
        <v>50.699999999999996</v>
      </c>
      <c r="AD80" s="60">
        <f t="shared" si="31"/>
        <v>50.6</v>
      </c>
      <c r="AE80" s="60">
        <f t="shared" si="31"/>
        <v>77.7</v>
      </c>
      <c r="AF80" s="60">
        <f t="shared" si="31"/>
        <v>7.5</v>
      </c>
      <c r="AG80" s="61">
        <f>SUM(AG77:AG79)</f>
        <v>106</v>
      </c>
      <c r="AH80" s="47">
        <f t="shared" si="2"/>
        <v>77.7</v>
      </c>
      <c r="AI80" s="48">
        <f t="shared" si="3"/>
        <v>0</v>
      </c>
      <c r="AK80" s="50"/>
    </row>
    <row r="81" spans="1:40" x14ac:dyDescent="0.25">
      <c r="A81" s="44" t="s">
        <v>81</v>
      </c>
      <c r="B81" s="45">
        <v>56</v>
      </c>
      <c r="C81" s="45">
        <v>61.7</v>
      </c>
      <c r="D81" s="45">
        <v>62.5</v>
      </c>
      <c r="E81" s="45">
        <v>53</v>
      </c>
      <c r="F81" s="45">
        <v>60</v>
      </c>
      <c r="G81" s="45">
        <v>61</v>
      </c>
      <c r="H81" s="45">
        <v>61.3</v>
      </c>
      <c r="I81" s="45">
        <v>68</v>
      </c>
      <c r="J81" s="45">
        <v>69</v>
      </c>
      <c r="K81" s="45">
        <v>62</v>
      </c>
      <c r="L81" s="45">
        <v>72</v>
      </c>
      <c r="M81" s="45">
        <v>58.9</v>
      </c>
      <c r="N81" s="45">
        <v>56.7</v>
      </c>
      <c r="O81" s="45">
        <v>65.599999999999994</v>
      </c>
      <c r="P81" s="45">
        <v>70</v>
      </c>
      <c r="Q81" s="45">
        <v>65</v>
      </c>
      <c r="R81" s="45">
        <v>63.4</v>
      </c>
      <c r="S81" s="45">
        <v>55.74</v>
      </c>
      <c r="T81" s="45">
        <v>66.599999999999994</v>
      </c>
      <c r="U81" s="45">
        <v>62</v>
      </c>
      <c r="V81" s="45">
        <v>59.9</v>
      </c>
      <c r="W81" s="45">
        <v>51.9</v>
      </c>
      <c r="X81" s="45">
        <v>52</v>
      </c>
      <c r="Y81" s="45">
        <v>64.5</v>
      </c>
      <c r="Z81" s="45">
        <v>68</v>
      </c>
      <c r="AA81" s="45">
        <v>67</v>
      </c>
      <c r="AB81" s="45">
        <v>62.5</v>
      </c>
      <c r="AC81" s="45">
        <v>56.2</v>
      </c>
      <c r="AD81" s="45">
        <v>59.8</v>
      </c>
      <c r="AE81" s="45">
        <v>60.3</v>
      </c>
      <c r="AF81" s="45">
        <v>60.1</v>
      </c>
      <c r="AG81" s="52"/>
      <c r="AH81" s="47">
        <f t="shared" si="2"/>
        <v>72</v>
      </c>
      <c r="AI81" s="48">
        <f t="shared" si="3"/>
        <v>51.9</v>
      </c>
      <c r="AK81" s="50"/>
    </row>
    <row r="82" spans="1:40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>
        <v>0</v>
      </c>
      <c r="AC82" s="65">
        <v>0</v>
      </c>
      <c r="AD82" s="65">
        <v>0</v>
      </c>
      <c r="AE82" s="65">
        <v>0</v>
      </c>
      <c r="AF82" s="65">
        <v>0</v>
      </c>
      <c r="AG82" s="55"/>
      <c r="AH82" s="47">
        <f t="shared" si="2"/>
        <v>0</v>
      </c>
      <c r="AI82" s="48">
        <f t="shared" si="3"/>
        <v>0</v>
      </c>
      <c r="AK82" s="50"/>
    </row>
    <row r="83" spans="1:40" x14ac:dyDescent="0.25">
      <c r="A83" s="54" t="s">
        <v>83</v>
      </c>
      <c r="B83" s="65">
        <v>371</v>
      </c>
      <c r="C83" s="65">
        <v>389</v>
      </c>
      <c r="D83" s="65">
        <v>382</v>
      </c>
      <c r="E83" s="65">
        <v>380</v>
      </c>
      <c r="F83" s="65">
        <v>375</v>
      </c>
      <c r="G83" s="65">
        <v>355</v>
      </c>
      <c r="H83" s="65">
        <v>370</v>
      </c>
      <c r="I83" s="65">
        <v>376</v>
      </c>
      <c r="J83" s="65">
        <v>400</v>
      </c>
      <c r="K83" s="65">
        <v>334</v>
      </c>
      <c r="L83" s="65">
        <v>141</v>
      </c>
      <c r="M83" s="65">
        <v>125</v>
      </c>
      <c r="N83" s="65">
        <v>129</v>
      </c>
      <c r="O83" s="65">
        <v>132</v>
      </c>
      <c r="P83" s="65">
        <v>275</v>
      </c>
      <c r="Q83" s="65">
        <v>356</v>
      </c>
      <c r="R83" s="65">
        <v>427</v>
      </c>
      <c r="S83" s="65">
        <v>453</v>
      </c>
      <c r="T83" s="65">
        <v>389</v>
      </c>
      <c r="U83" s="65">
        <v>426.8</v>
      </c>
      <c r="V83" s="65">
        <v>222</v>
      </c>
      <c r="W83" s="65">
        <v>220</v>
      </c>
      <c r="X83" s="65">
        <v>214.6</v>
      </c>
      <c r="Y83" s="65">
        <v>259.89999999999998</v>
      </c>
      <c r="Z83" s="65">
        <v>247.1</v>
      </c>
      <c r="AA83" s="65">
        <v>300.10000000000002</v>
      </c>
      <c r="AB83" s="65">
        <v>362.8</v>
      </c>
      <c r="AC83" s="65">
        <v>341.5</v>
      </c>
      <c r="AD83" s="65">
        <v>319.89999999999998</v>
      </c>
      <c r="AE83" s="65">
        <v>407.6</v>
      </c>
      <c r="AF83" s="65">
        <v>378.2</v>
      </c>
      <c r="AG83" s="75"/>
      <c r="AH83" s="47">
        <f t="shared" si="2"/>
        <v>453</v>
      </c>
      <c r="AI83" s="48">
        <f t="shared" si="3"/>
        <v>125</v>
      </c>
      <c r="AK83" s="50"/>
    </row>
    <row r="84" spans="1:40" x14ac:dyDescent="0.25">
      <c r="A84" s="54" t="s">
        <v>84</v>
      </c>
      <c r="B84" s="65">
        <v>6</v>
      </c>
      <c r="C84" s="65">
        <v>39.5</v>
      </c>
      <c r="D84" s="65">
        <v>46.4</v>
      </c>
      <c r="E84" s="65">
        <v>43</v>
      </c>
      <c r="F84" s="65">
        <v>43</v>
      </c>
      <c r="G84" s="65">
        <v>45</v>
      </c>
      <c r="H84" s="65">
        <v>39</v>
      </c>
      <c r="I84" s="65">
        <v>38</v>
      </c>
      <c r="J84" s="65">
        <v>35</v>
      </c>
      <c r="K84" s="65">
        <v>32</v>
      </c>
      <c r="L84" s="65">
        <v>24</v>
      </c>
      <c r="M84" s="76">
        <v>31.63</v>
      </c>
      <c r="N84" s="76">
        <v>29</v>
      </c>
      <c r="O84" s="76">
        <v>29</v>
      </c>
      <c r="P84" s="76">
        <v>34</v>
      </c>
      <c r="Q84" s="76">
        <v>49</v>
      </c>
      <c r="R84" s="76">
        <v>41</v>
      </c>
      <c r="S84" s="76">
        <v>46.3</v>
      </c>
      <c r="T84" s="76">
        <v>47.2</v>
      </c>
      <c r="U84" s="76">
        <v>43.8</v>
      </c>
      <c r="V84" s="76">
        <v>30.1</v>
      </c>
      <c r="W84" s="76">
        <v>24.4</v>
      </c>
      <c r="X84" s="76">
        <v>26.7</v>
      </c>
      <c r="Y84" s="76">
        <v>28.9</v>
      </c>
      <c r="Z84" s="76">
        <v>27.6</v>
      </c>
      <c r="AA84" s="76">
        <v>26.5</v>
      </c>
      <c r="AB84" s="76">
        <v>0</v>
      </c>
      <c r="AC84" s="76">
        <v>0</v>
      </c>
      <c r="AD84" s="65">
        <v>0</v>
      </c>
      <c r="AE84" s="76">
        <v>0</v>
      </c>
      <c r="AF84" s="76">
        <v>0</v>
      </c>
      <c r="AG84" s="75"/>
      <c r="AH84" s="47">
        <f t="shared" si="2"/>
        <v>49</v>
      </c>
      <c r="AI84" s="48">
        <f t="shared" si="3"/>
        <v>0</v>
      </c>
      <c r="AK84" s="50"/>
    </row>
    <row r="85" spans="1:40" x14ac:dyDescent="0.25">
      <c r="A85" s="54" t="s">
        <v>85</v>
      </c>
      <c r="B85" s="45">
        <v>122</v>
      </c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>
        <v>21</v>
      </c>
      <c r="Q85" s="45">
        <v>22.3</v>
      </c>
      <c r="R85" s="45">
        <v>106</v>
      </c>
      <c r="S85" s="45">
        <f>42.6*2</f>
        <v>85.2</v>
      </c>
      <c r="T85" s="45">
        <f>45.3*2</f>
        <v>90.6</v>
      </c>
      <c r="U85" s="45">
        <f>51.2*2</f>
        <v>102.4</v>
      </c>
      <c r="V85" s="45">
        <f>27.2*2</f>
        <v>54.4</v>
      </c>
      <c r="W85" s="45">
        <f>27.5*2</f>
        <v>55</v>
      </c>
      <c r="X85" s="45">
        <f>27.5*2</f>
        <v>55</v>
      </c>
      <c r="Y85" s="45">
        <f>29.4*2</f>
        <v>58.8</v>
      </c>
      <c r="Z85" s="45">
        <f>26.6*2</f>
        <v>53.2</v>
      </c>
      <c r="AA85" s="45">
        <f>24.8*2</f>
        <v>49.6</v>
      </c>
      <c r="AB85" s="45">
        <v>45</v>
      </c>
      <c r="AC85" s="45">
        <v>42</v>
      </c>
      <c r="AD85" s="45">
        <v>43</v>
      </c>
      <c r="AE85" s="45">
        <v>0</v>
      </c>
      <c r="AF85" s="45">
        <v>90</v>
      </c>
      <c r="AG85" s="75"/>
      <c r="AH85" s="47">
        <f t="shared" ref="AH85:AH130" si="40">MAX(B85:AF85)</f>
        <v>122</v>
      </c>
      <c r="AI85" s="48">
        <f t="shared" ref="AI85:AI130" si="41">MIN(B85:AF85)</f>
        <v>0</v>
      </c>
      <c r="AK85" s="50"/>
    </row>
    <row r="86" spans="1:40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/>
      <c r="AH86" s="47">
        <f t="shared" si="40"/>
        <v>0</v>
      </c>
      <c r="AI86" s="48">
        <f t="shared" si="41"/>
        <v>0</v>
      </c>
      <c r="AK86" s="50"/>
    </row>
    <row r="87" spans="1:40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>
        <v>0</v>
      </c>
      <c r="AC87" s="77">
        <v>0</v>
      </c>
      <c r="AD87" s="77">
        <v>0</v>
      </c>
      <c r="AE87" s="77">
        <v>0</v>
      </c>
      <c r="AF87" s="77">
        <v>0</v>
      </c>
      <c r="AG87" s="75"/>
      <c r="AH87" s="47">
        <f t="shared" si="40"/>
        <v>0</v>
      </c>
      <c r="AI87" s="48">
        <f t="shared" si="41"/>
        <v>0</v>
      </c>
      <c r="AK87" s="50"/>
      <c r="AL87" s="78" t="s">
        <v>88</v>
      </c>
      <c r="AM87" s="78"/>
    </row>
    <row r="88" spans="1:40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>
        <v>0</v>
      </c>
      <c r="AC88" s="77">
        <v>0</v>
      </c>
      <c r="AD88" s="77">
        <v>0</v>
      </c>
      <c r="AE88" s="77">
        <v>0</v>
      </c>
      <c r="AF88" s="77">
        <v>0</v>
      </c>
      <c r="AG88" s="75"/>
      <c r="AH88" s="47">
        <f t="shared" si="40"/>
        <v>0</v>
      </c>
      <c r="AI88" s="48">
        <f t="shared" si="41"/>
        <v>0</v>
      </c>
      <c r="AK88" s="79"/>
      <c r="AL88" s="80"/>
      <c r="AM88" s="80"/>
      <c r="AN88" s="81"/>
    </row>
    <row r="89" spans="1:40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>
        <v>0</v>
      </c>
      <c r="AC89" s="77">
        <v>0</v>
      </c>
      <c r="AD89" s="77">
        <v>0</v>
      </c>
      <c r="AE89" s="77">
        <v>0</v>
      </c>
      <c r="AF89" s="77">
        <v>0</v>
      </c>
      <c r="AG89" s="75"/>
      <c r="AH89" s="47">
        <f t="shared" si="40"/>
        <v>0</v>
      </c>
      <c r="AI89" s="48">
        <f t="shared" si="41"/>
        <v>0</v>
      </c>
      <c r="AK89" s="82" t="s">
        <v>91</v>
      </c>
      <c r="AL89" s="65"/>
      <c r="AM89" s="76"/>
      <c r="AN89" s="83"/>
    </row>
    <row r="90" spans="1:40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>
        <v>0</v>
      </c>
      <c r="AC90" s="77">
        <v>0</v>
      </c>
      <c r="AD90" s="77">
        <v>0</v>
      </c>
      <c r="AE90" s="77">
        <v>0</v>
      </c>
      <c r="AF90" s="77">
        <v>0</v>
      </c>
      <c r="AG90" s="85"/>
      <c r="AH90" s="47">
        <f t="shared" si="40"/>
        <v>0</v>
      </c>
      <c r="AI90" s="48">
        <f t="shared" si="41"/>
        <v>0</v>
      </c>
      <c r="AK90" s="82" t="s">
        <v>93</v>
      </c>
      <c r="AL90" s="76"/>
      <c r="AM90" s="76"/>
      <c r="AN90" s="83"/>
    </row>
    <row r="91" spans="1:40" ht="15.75" thickBot="1" x14ac:dyDescent="0.3">
      <c r="A91" s="84" t="s">
        <v>421</v>
      </c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>
        <v>0</v>
      </c>
      <c r="AC91" s="77">
        <v>0</v>
      </c>
      <c r="AD91" s="77">
        <v>0</v>
      </c>
      <c r="AE91" s="77">
        <v>0</v>
      </c>
      <c r="AF91" s="77">
        <v>0</v>
      </c>
      <c r="AG91" s="85"/>
      <c r="AH91" s="47">
        <f t="shared" si="40"/>
        <v>0</v>
      </c>
      <c r="AI91" s="48">
        <f t="shared" si="41"/>
        <v>0</v>
      </c>
      <c r="AK91" s="86"/>
      <c r="AL91" s="45"/>
      <c r="AM91" s="45"/>
      <c r="AN91" s="87"/>
    </row>
    <row r="92" spans="1:40" ht="15.75" thickBot="1" x14ac:dyDescent="0.3">
      <c r="A92" s="74" t="s">
        <v>95</v>
      </c>
      <c r="B92" s="60">
        <f t="shared" ref="B92:AF92" si="42">SUMIF(B81:B91,"&gt;0")</f>
        <v>555</v>
      </c>
      <c r="C92" s="60">
        <f t="shared" si="42"/>
        <v>490.2</v>
      </c>
      <c r="D92" s="60">
        <f t="shared" si="42"/>
        <v>490.9</v>
      </c>
      <c r="E92" s="60">
        <f t="shared" ref="E92:G92" si="43">SUMIF(E81:E91,"&gt;0")</f>
        <v>476</v>
      </c>
      <c r="F92" s="60">
        <f t="shared" si="43"/>
        <v>478</v>
      </c>
      <c r="G92" s="60">
        <f t="shared" si="43"/>
        <v>461</v>
      </c>
      <c r="H92" s="60">
        <f t="shared" ref="H92:I92" si="44">SUMIF(H81:H91,"&gt;0")</f>
        <v>470.3</v>
      </c>
      <c r="I92" s="60">
        <f t="shared" si="44"/>
        <v>482</v>
      </c>
      <c r="J92" s="60">
        <f t="shared" ref="J92:K92" si="45">SUMIF(J81:J91,"&gt;0")</f>
        <v>504</v>
      </c>
      <c r="K92" s="60">
        <f t="shared" si="45"/>
        <v>428</v>
      </c>
      <c r="L92" s="60">
        <f t="shared" ref="L92" si="46">SUMIF(L81:L91,"&gt;0")</f>
        <v>237</v>
      </c>
      <c r="M92" s="60">
        <f t="shared" si="42"/>
        <v>215.53</v>
      </c>
      <c r="N92" s="60">
        <f t="shared" si="42"/>
        <v>214.7</v>
      </c>
      <c r="O92" s="60">
        <f t="shared" si="42"/>
        <v>226.6</v>
      </c>
      <c r="P92" s="60">
        <f t="shared" si="42"/>
        <v>400</v>
      </c>
      <c r="Q92" s="60">
        <f t="shared" si="42"/>
        <v>492.3</v>
      </c>
      <c r="R92" s="60">
        <f t="shared" si="42"/>
        <v>637.4</v>
      </c>
      <c r="S92" s="60">
        <f t="shared" ref="S92:T92" si="47">SUMIF(S81:S91,"&gt;0")</f>
        <v>640.24</v>
      </c>
      <c r="T92" s="60">
        <f t="shared" si="47"/>
        <v>593.4</v>
      </c>
      <c r="U92" s="60">
        <f t="shared" ref="U92:V92" si="48">SUMIF(U81:U91,"&gt;0")</f>
        <v>635</v>
      </c>
      <c r="V92" s="60">
        <f t="shared" si="48"/>
        <v>366.4</v>
      </c>
      <c r="W92" s="60">
        <f t="shared" ref="W92:Y92" si="49">SUMIF(W81:W91,"&gt;0")</f>
        <v>351.29999999999995</v>
      </c>
      <c r="X92" s="60">
        <f t="shared" si="49"/>
        <v>348.3</v>
      </c>
      <c r="Y92" s="60">
        <f t="shared" si="49"/>
        <v>412.09999999999997</v>
      </c>
      <c r="Z92" s="60">
        <f t="shared" ref="Z92:AA92" si="50">SUMIF(Z81:Z91,"&gt;0")</f>
        <v>395.90000000000003</v>
      </c>
      <c r="AA92" s="60">
        <f t="shared" si="50"/>
        <v>443.20000000000005</v>
      </c>
      <c r="AB92" s="60">
        <f t="shared" si="42"/>
        <v>470.3</v>
      </c>
      <c r="AC92" s="60">
        <f t="shared" si="42"/>
        <v>439.7</v>
      </c>
      <c r="AD92" s="60">
        <f t="shared" si="42"/>
        <v>422.7</v>
      </c>
      <c r="AE92" s="60">
        <f t="shared" si="42"/>
        <v>467.90000000000003</v>
      </c>
      <c r="AF92" s="60">
        <f t="shared" si="42"/>
        <v>528.29999999999995</v>
      </c>
      <c r="AG92" s="88">
        <f>SUM(AG81:AG91)</f>
        <v>0</v>
      </c>
      <c r="AH92" s="47">
        <f t="shared" si="40"/>
        <v>640.24</v>
      </c>
      <c r="AI92" s="48">
        <f t="shared" si="41"/>
        <v>214.7</v>
      </c>
      <c r="AK92" s="86"/>
      <c r="AL92" s="77"/>
      <c r="AM92" s="89"/>
      <c r="AN92" s="255"/>
    </row>
    <row r="93" spans="1:40" x14ac:dyDescent="0.25">
      <c r="A93" s="44" t="s">
        <v>96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40"/>
        <v>0</v>
      </c>
      <c r="AI93" s="48">
        <f t="shared" si="41"/>
        <v>0</v>
      </c>
      <c r="AK93" s="86"/>
      <c r="AL93" s="77"/>
      <c r="AM93" s="77"/>
      <c r="AN93" s="256"/>
    </row>
    <row r="94" spans="1:40" ht="15.75" thickBot="1" x14ac:dyDescent="0.3">
      <c r="A94" s="54" t="s">
        <v>97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40"/>
        <v>0</v>
      </c>
      <c r="AI94" s="48">
        <f t="shared" si="41"/>
        <v>0</v>
      </c>
      <c r="AK94" s="91"/>
      <c r="AL94" s="92"/>
      <c r="AM94" s="92"/>
      <c r="AN94" s="93"/>
    </row>
    <row r="95" spans="1:40" ht="15.75" thickBot="1" x14ac:dyDescent="0.3">
      <c r="A95" s="84" t="s">
        <v>98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40"/>
        <v>0</v>
      </c>
      <c r="AI95" s="48">
        <f t="shared" si="41"/>
        <v>0</v>
      </c>
    </row>
    <row r="96" spans="1:40" ht="15.75" thickBot="1" x14ac:dyDescent="0.3">
      <c r="A96" s="74" t="s">
        <v>99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40"/>
        <v>0</v>
      </c>
      <c r="AI96" s="48">
        <f t="shared" si="41"/>
        <v>0</v>
      </c>
    </row>
    <row r="97" spans="1:37" ht="15.75" thickBot="1" x14ac:dyDescent="0.3">
      <c r="A97" s="74" t="s">
        <v>100</v>
      </c>
      <c r="B97" s="95">
        <f t="shared" ref="B97:AG97" si="51">B58+B62+B80+B76+B92+B96</f>
        <v>1232.6399999999999</v>
      </c>
      <c r="C97" s="95">
        <f t="shared" si="51"/>
        <v>1167.8399999999999</v>
      </c>
      <c r="D97" s="95">
        <f t="shared" si="51"/>
        <v>1168.54</v>
      </c>
      <c r="E97" s="95">
        <f t="shared" ref="E97:G97" si="52">E58+E62+E80+E76+E92+E96</f>
        <v>1153.6399999999999</v>
      </c>
      <c r="F97" s="95">
        <f t="shared" si="52"/>
        <v>1155.6399999999999</v>
      </c>
      <c r="G97" s="95">
        <f t="shared" si="52"/>
        <v>1138.6399999999999</v>
      </c>
      <c r="H97" s="95">
        <f t="shared" ref="H97:I97" si="53">H58+H62+H80+H76+H92+H96</f>
        <v>1231.94</v>
      </c>
      <c r="I97" s="95">
        <f t="shared" si="53"/>
        <v>1296.6399999999999</v>
      </c>
      <c r="J97" s="95">
        <f t="shared" ref="J97:K97" si="54">J58+J62+J80+J76+J92+J96</f>
        <v>1354.64</v>
      </c>
      <c r="K97" s="95">
        <f t="shared" si="54"/>
        <v>1363.1399999999999</v>
      </c>
      <c r="L97" s="95">
        <f t="shared" ref="L97" si="55">L58+L62+L80+L76+L92+L96</f>
        <v>1452.1399999999999</v>
      </c>
      <c r="M97" s="95">
        <f t="shared" si="51"/>
        <v>1539.87</v>
      </c>
      <c r="N97" s="95">
        <f t="shared" si="51"/>
        <v>1514.64</v>
      </c>
      <c r="O97" s="95">
        <f t="shared" si="51"/>
        <v>1483.54</v>
      </c>
      <c r="P97" s="95">
        <f t="shared" si="51"/>
        <v>1656.94</v>
      </c>
      <c r="Q97" s="95">
        <f t="shared" si="51"/>
        <v>1496.04</v>
      </c>
      <c r="R97" s="95">
        <f t="shared" si="51"/>
        <v>1506.6399999999999</v>
      </c>
      <c r="S97" s="95">
        <f t="shared" ref="S97:T97" si="56">S58+S62+S80+S76+S92+S96</f>
        <v>1356.28</v>
      </c>
      <c r="T97" s="95">
        <f t="shared" si="56"/>
        <v>1295.44</v>
      </c>
      <c r="U97" s="95">
        <f t="shared" ref="U97:V97" si="57">U58+U62+U80+U76+U92+U96</f>
        <v>1373.94</v>
      </c>
      <c r="V97" s="95">
        <f t="shared" si="57"/>
        <v>1285.6399999999999</v>
      </c>
      <c r="W97" s="95">
        <f t="shared" ref="W97:Y97" si="58">W58+W62+W80+W76+W92+W96</f>
        <v>1391.64</v>
      </c>
      <c r="X97" s="95">
        <f t="shared" si="58"/>
        <v>1571.04</v>
      </c>
      <c r="Y97" s="95">
        <f t="shared" si="58"/>
        <v>1724.44</v>
      </c>
      <c r="Z97" s="95">
        <f t="shared" ref="Z97:AA97" si="59">Z58+Z62+Z80+Z76+Z92+Z96</f>
        <v>1668.2400000000002</v>
      </c>
      <c r="AA97" s="95">
        <f t="shared" si="59"/>
        <v>1614.5400000000002</v>
      </c>
      <c r="AB97" s="95">
        <f t="shared" si="51"/>
        <v>1565.24</v>
      </c>
      <c r="AC97" s="95">
        <f t="shared" si="51"/>
        <v>1501.04</v>
      </c>
      <c r="AD97" s="95">
        <f t="shared" si="51"/>
        <v>1407.04</v>
      </c>
      <c r="AE97" s="95">
        <f t="shared" si="51"/>
        <v>1416.74</v>
      </c>
      <c r="AF97" s="95">
        <f t="shared" si="51"/>
        <v>1205.74</v>
      </c>
      <c r="AG97" s="61">
        <f t="shared" si="51"/>
        <v>2231.81</v>
      </c>
      <c r="AH97" s="47">
        <f t="shared" si="40"/>
        <v>1724.44</v>
      </c>
      <c r="AI97" s="48">
        <f t="shared" si="41"/>
        <v>1138.6399999999999</v>
      </c>
    </row>
    <row r="98" spans="1:37" ht="15.75" thickBot="1" x14ac:dyDescent="0.3">
      <c r="A98" s="96" t="s">
        <v>101</v>
      </c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>
        <v>210</v>
      </c>
      <c r="Z98" s="97">
        <v>210</v>
      </c>
      <c r="AA98" s="97">
        <v>210</v>
      </c>
      <c r="AB98" s="97">
        <v>200</v>
      </c>
      <c r="AC98" s="97">
        <v>200</v>
      </c>
      <c r="AD98" s="97">
        <v>200</v>
      </c>
      <c r="AE98" s="97"/>
      <c r="AF98" s="97"/>
      <c r="AG98" s="88"/>
      <c r="AH98" s="47">
        <f t="shared" si="40"/>
        <v>210</v>
      </c>
      <c r="AI98" s="48">
        <f t="shared" si="41"/>
        <v>200</v>
      </c>
    </row>
    <row r="99" spans="1:37" ht="15.75" thickBot="1" x14ac:dyDescent="0.3">
      <c r="A99" s="74" t="s">
        <v>102</v>
      </c>
      <c r="B99" s="95">
        <f t="shared" ref="B99:AF99" si="60">B97+B98</f>
        <v>1232.6399999999999</v>
      </c>
      <c r="C99" s="95">
        <f t="shared" si="60"/>
        <v>1167.8399999999999</v>
      </c>
      <c r="D99" s="95">
        <f t="shared" si="60"/>
        <v>1168.54</v>
      </c>
      <c r="E99" s="95">
        <f t="shared" ref="E99:G99" si="61">E97+E98</f>
        <v>1153.6399999999999</v>
      </c>
      <c r="F99" s="95">
        <f t="shared" si="61"/>
        <v>1155.6399999999999</v>
      </c>
      <c r="G99" s="95">
        <f t="shared" si="61"/>
        <v>1138.6399999999999</v>
      </c>
      <c r="H99" s="95">
        <f t="shared" ref="H99:I99" si="62">H97+H98</f>
        <v>1231.94</v>
      </c>
      <c r="I99" s="95">
        <f t="shared" si="62"/>
        <v>1296.6399999999999</v>
      </c>
      <c r="J99" s="95">
        <f t="shared" ref="J99:K99" si="63">J97+J98</f>
        <v>1354.64</v>
      </c>
      <c r="K99" s="95">
        <f t="shared" si="63"/>
        <v>1363.1399999999999</v>
      </c>
      <c r="L99" s="95">
        <f t="shared" ref="L99" si="64">L97+L98</f>
        <v>1452.1399999999999</v>
      </c>
      <c r="M99" s="95">
        <f t="shared" si="60"/>
        <v>1539.87</v>
      </c>
      <c r="N99" s="95">
        <f t="shared" si="60"/>
        <v>1514.64</v>
      </c>
      <c r="O99" s="95">
        <f t="shared" si="60"/>
        <v>1483.54</v>
      </c>
      <c r="P99" s="95">
        <f t="shared" si="60"/>
        <v>1656.94</v>
      </c>
      <c r="Q99" s="95">
        <f t="shared" si="60"/>
        <v>1496.04</v>
      </c>
      <c r="R99" s="95">
        <f t="shared" si="60"/>
        <v>1506.6399999999999</v>
      </c>
      <c r="S99" s="95">
        <f t="shared" ref="S99:T99" si="65">S97+S98</f>
        <v>1356.28</v>
      </c>
      <c r="T99" s="95">
        <f t="shared" si="65"/>
        <v>1295.44</v>
      </c>
      <c r="U99" s="95">
        <f t="shared" ref="U99:V99" si="66">U97+U98</f>
        <v>1373.94</v>
      </c>
      <c r="V99" s="95">
        <f t="shared" si="66"/>
        <v>1285.6399999999999</v>
      </c>
      <c r="W99" s="95">
        <f t="shared" ref="W99:Y99" si="67">W97+W98</f>
        <v>1391.64</v>
      </c>
      <c r="X99" s="95">
        <f t="shared" si="67"/>
        <v>1571.04</v>
      </c>
      <c r="Y99" s="95">
        <f t="shared" si="67"/>
        <v>1934.44</v>
      </c>
      <c r="Z99" s="95">
        <f t="shared" ref="Z99:AA99" si="68">Z97+Z98</f>
        <v>1878.2400000000002</v>
      </c>
      <c r="AA99" s="95">
        <f t="shared" si="68"/>
        <v>1824.5400000000002</v>
      </c>
      <c r="AB99" s="95">
        <f t="shared" si="60"/>
        <v>1765.24</v>
      </c>
      <c r="AC99" s="95">
        <f t="shared" si="60"/>
        <v>1701.04</v>
      </c>
      <c r="AD99" s="95">
        <f t="shared" si="60"/>
        <v>1607.04</v>
      </c>
      <c r="AE99" s="95">
        <f t="shared" si="60"/>
        <v>1416.74</v>
      </c>
      <c r="AF99" s="95">
        <f t="shared" si="60"/>
        <v>1205.74</v>
      </c>
      <c r="AG99" s="88">
        <f>AG96+AG92+AG80+AG76+AG58+AG98</f>
        <v>1693.71</v>
      </c>
      <c r="AH99" s="47">
        <f t="shared" si="40"/>
        <v>1934.44</v>
      </c>
      <c r="AI99" s="48">
        <f t="shared" si="41"/>
        <v>1138.6399999999999</v>
      </c>
    </row>
    <row r="100" spans="1:37" ht="15.75" thickBot="1" x14ac:dyDescent="0.3">
      <c r="A100" s="74" t="s">
        <v>103</v>
      </c>
      <c r="B100" s="95">
        <f t="shared" ref="B100:M100" si="69">B99-(B107)</f>
        <v>1232.6399999999999</v>
      </c>
      <c r="C100" s="95">
        <f t="shared" si="69"/>
        <v>1167.8399999999999</v>
      </c>
      <c r="D100" s="95">
        <f t="shared" si="69"/>
        <v>1168.54</v>
      </c>
      <c r="E100" s="95">
        <f t="shared" ref="E100:G100" si="70">E99-(E107)</f>
        <v>1152.6399999999999</v>
      </c>
      <c r="F100" s="95">
        <f t="shared" si="70"/>
        <v>1153.6399999999999</v>
      </c>
      <c r="G100" s="95">
        <f t="shared" si="70"/>
        <v>1135.6399999999999</v>
      </c>
      <c r="H100" s="95">
        <f t="shared" ref="H100:I100" si="71">H99-(H107)</f>
        <v>1227.94</v>
      </c>
      <c r="I100" s="95">
        <f t="shared" si="71"/>
        <v>1291.6399999999999</v>
      </c>
      <c r="J100" s="95">
        <f t="shared" ref="J100:K100" si="72">J99-(J107)</f>
        <v>1348.64</v>
      </c>
      <c r="K100" s="95">
        <f t="shared" si="72"/>
        <v>1356.1399999999999</v>
      </c>
      <c r="L100" s="95">
        <f t="shared" ref="L100" si="73">L99-(L107)</f>
        <v>1444.1399999999999</v>
      </c>
      <c r="M100" s="95">
        <f t="shared" si="69"/>
        <v>1539.87</v>
      </c>
      <c r="N100" s="95">
        <f>N99-(N107)</f>
        <v>1514.64</v>
      </c>
      <c r="O100" s="95">
        <f t="shared" ref="O100:AF100" si="74">O99-(O107)</f>
        <v>1483.54</v>
      </c>
      <c r="P100" s="95">
        <f t="shared" si="74"/>
        <v>1656.94</v>
      </c>
      <c r="Q100" s="95">
        <f t="shared" si="74"/>
        <v>1496.04</v>
      </c>
      <c r="R100" s="95">
        <f t="shared" si="74"/>
        <v>1506.6399999999999</v>
      </c>
      <c r="S100" s="95">
        <f t="shared" ref="S100:T100" si="75">S99-(S107)</f>
        <v>1356.28</v>
      </c>
      <c r="T100" s="95">
        <f t="shared" si="75"/>
        <v>1295.44</v>
      </c>
      <c r="U100" s="95">
        <f t="shared" ref="U100:V100" si="76">U99-(U107)</f>
        <v>1373.94</v>
      </c>
      <c r="V100" s="95">
        <f t="shared" si="76"/>
        <v>1285.6399999999999</v>
      </c>
      <c r="W100" s="95">
        <f t="shared" ref="W100:Y100" si="77">W99-(W107)</f>
        <v>1391.64</v>
      </c>
      <c r="X100" s="95">
        <f t="shared" si="77"/>
        <v>1570.04</v>
      </c>
      <c r="Y100" s="95">
        <f t="shared" si="77"/>
        <v>1934.44</v>
      </c>
      <c r="Z100" s="95">
        <f t="shared" ref="Z100:AA100" si="78">Z99-(Z107)</f>
        <v>1878.2400000000002</v>
      </c>
      <c r="AA100" s="95">
        <f t="shared" si="78"/>
        <v>1824.5400000000002</v>
      </c>
      <c r="AB100" s="95">
        <f t="shared" si="74"/>
        <v>1765.24</v>
      </c>
      <c r="AC100" s="95">
        <f t="shared" si="74"/>
        <v>1701.04</v>
      </c>
      <c r="AD100" s="95">
        <f t="shared" si="74"/>
        <v>1607.04</v>
      </c>
      <c r="AE100" s="95">
        <f t="shared" si="74"/>
        <v>1416.74</v>
      </c>
      <c r="AF100" s="95">
        <f t="shared" si="74"/>
        <v>1205.74</v>
      </c>
      <c r="AG100" s="88"/>
      <c r="AH100" s="47">
        <f t="shared" si="40"/>
        <v>1934.44</v>
      </c>
      <c r="AI100" s="48">
        <f t="shared" si="41"/>
        <v>1135.6399999999999</v>
      </c>
    </row>
    <row r="101" spans="1:37" x14ac:dyDescent="0.25">
      <c r="A101" s="44" t="s">
        <v>84</v>
      </c>
      <c r="B101" s="76">
        <f>IF(B84&lt;0,B84*-1,0)</f>
        <v>0</v>
      </c>
      <c r="C101" s="76">
        <f t="shared" ref="C101:AF101" si="79">IF(C84&lt;0,C84*-1,0)</f>
        <v>0</v>
      </c>
      <c r="D101" s="76">
        <f t="shared" si="79"/>
        <v>0</v>
      </c>
      <c r="E101" s="76">
        <f t="shared" ref="E101:G101" si="80">IF(E84&lt;0,E84*-1,0)</f>
        <v>0</v>
      </c>
      <c r="F101" s="76">
        <f t="shared" si="80"/>
        <v>0</v>
      </c>
      <c r="G101" s="76">
        <f t="shared" si="80"/>
        <v>0</v>
      </c>
      <c r="H101" s="76">
        <f t="shared" ref="H101:I101" si="81">IF(H84&lt;0,H84*-1,0)</f>
        <v>0</v>
      </c>
      <c r="I101" s="76">
        <f t="shared" si="81"/>
        <v>0</v>
      </c>
      <c r="J101" s="76">
        <f t="shared" ref="J101:K101" si="82">IF(J84&lt;0,J84*-1,0)</f>
        <v>0</v>
      </c>
      <c r="K101" s="76">
        <f t="shared" si="82"/>
        <v>0</v>
      </c>
      <c r="L101" s="76">
        <f t="shared" ref="L101" si="83">IF(L84&lt;0,L84*-1,0)</f>
        <v>0</v>
      </c>
      <c r="M101" s="76">
        <f t="shared" si="79"/>
        <v>0</v>
      </c>
      <c r="N101" s="76">
        <f t="shared" si="79"/>
        <v>0</v>
      </c>
      <c r="O101" s="76">
        <f t="shared" si="79"/>
        <v>0</v>
      </c>
      <c r="P101" s="76">
        <f t="shared" si="79"/>
        <v>0</v>
      </c>
      <c r="Q101" s="76">
        <f t="shared" si="79"/>
        <v>0</v>
      </c>
      <c r="R101" s="76">
        <f t="shared" si="79"/>
        <v>0</v>
      </c>
      <c r="S101" s="76">
        <f t="shared" ref="S101:T101" si="84">IF(S84&lt;0,S84*-1,0)</f>
        <v>0</v>
      </c>
      <c r="T101" s="76">
        <f t="shared" si="84"/>
        <v>0</v>
      </c>
      <c r="U101" s="76">
        <f t="shared" ref="U101:V101" si="85">IF(U84&lt;0,U84*-1,0)</f>
        <v>0</v>
      </c>
      <c r="V101" s="76">
        <f t="shared" si="85"/>
        <v>0</v>
      </c>
      <c r="W101" s="76">
        <f t="shared" ref="W101:Y101" si="86">IF(W84&lt;0,W84*-1,0)</f>
        <v>0</v>
      </c>
      <c r="X101" s="76">
        <f t="shared" si="86"/>
        <v>0</v>
      </c>
      <c r="Y101" s="76">
        <f t="shared" si="86"/>
        <v>0</v>
      </c>
      <c r="Z101" s="76">
        <f t="shared" ref="Z101:AA101" si="87">IF(Z84&lt;0,Z84*-1,0)</f>
        <v>0</v>
      </c>
      <c r="AA101" s="76">
        <f t="shared" si="87"/>
        <v>0</v>
      </c>
      <c r="AB101" s="76">
        <f t="shared" si="79"/>
        <v>0</v>
      </c>
      <c r="AC101" s="76">
        <f t="shared" si="79"/>
        <v>0</v>
      </c>
      <c r="AD101" s="76">
        <f t="shared" si="79"/>
        <v>0</v>
      </c>
      <c r="AE101" s="76">
        <f t="shared" si="79"/>
        <v>0</v>
      </c>
      <c r="AF101" s="76">
        <f t="shared" si="79"/>
        <v>0</v>
      </c>
      <c r="AG101" s="52"/>
      <c r="AH101" s="47">
        <f t="shared" si="40"/>
        <v>0</v>
      </c>
      <c r="AI101" s="48">
        <f t="shared" si="41"/>
        <v>0</v>
      </c>
    </row>
    <row r="102" spans="1:37" x14ac:dyDescent="0.25">
      <c r="A102" s="54" t="s">
        <v>82</v>
      </c>
      <c r="B102" s="76">
        <f>IF(B82&lt;0,B82*-1,0)</f>
        <v>0</v>
      </c>
      <c r="C102" s="76">
        <f t="shared" ref="C102:AF102" si="88">IF(C82&lt;0,C82*-1,0)</f>
        <v>0</v>
      </c>
      <c r="D102" s="76">
        <f t="shared" si="88"/>
        <v>0</v>
      </c>
      <c r="E102" s="76">
        <f t="shared" ref="E102:G102" si="89">IF(E82&lt;0,E82*-1,0)</f>
        <v>0</v>
      </c>
      <c r="F102" s="76">
        <f t="shared" si="89"/>
        <v>0</v>
      </c>
      <c r="G102" s="76">
        <f t="shared" si="89"/>
        <v>0</v>
      </c>
      <c r="H102" s="76">
        <f t="shared" ref="H102:I102" si="90">IF(H82&lt;0,H82*-1,0)</f>
        <v>0</v>
      </c>
      <c r="I102" s="76">
        <f t="shared" si="90"/>
        <v>0</v>
      </c>
      <c r="J102" s="76">
        <f t="shared" ref="J102:K102" si="91">IF(J82&lt;0,J82*-1,0)</f>
        <v>0</v>
      </c>
      <c r="K102" s="76">
        <f t="shared" si="91"/>
        <v>0</v>
      </c>
      <c r="L102" s="76">
        <f t="shared" ref="L102" si="92">IF(L82&lt;0,L82*-1,0)</f>
        <v>0</v>
      </c>
      <c r="M102" s="76">
        <f t="shared" si="88"/>
        <v>0</v>
      </c>
      <c r="N102" s="76">
        <f t="shared" si="88"/>
        <v>0</v>
      </c>
      <c r="O102" s="76">
        <f t="shared" si="88"/>
        <v>0</v>
      </c>
      <c r="P102" s="76">
        <f t="shared" si="88"/>
        <v>0</v>
      </c>
      <c r="Q102" s="76">
        <f t="shared" si="88"/>
        <v>0</v>
      </c>
      <c r="R102" s="76">
        <f t="shared" si="88"/>
        <v>0</v>
      </c>
      <c r="S102" s="76">
        <f t="shared" ref="S102:T102" si="93">IF(S82&lt;0,S82*-1,0)</f>
        <v>0</v>
      </c>
      <c r="T102" s="76">
        <f t="shared" si="93"/>
        <v>0</v>
      </c>
      <c r="U102" s="76">
        <f t="shared" ref="U102:V102" si="94">IF(U82&lt;0,U82*-1,0)</f>
        <v>0</v>
      </c>
      <c r="V102" s="76">
        <f t="shared" si="94"/>
        <v>0</v>
      </c>
      <c r="W102" s="76">
        <f t="shared" ref="W102:Y102" si="95">IF(W82&lt;0,W82*-1,0)</f>
        <v>0</v>
      </c>
      <c r="X102" s="76">
        <f t="shared" si="95"/>
        <v>0</v>
      </c>
      <c r="Y102" s="76">
        <f t="shared" si="95"/>
        <v>0</v>
      </c>
      <c r="Z102" s="76">
        <f t="shared" ref="Z102:AA102" si="96">IF(Z82&lt;0,Z82*-1,0)</f>
        <v>0</v>
      </c>
      <c r="AA102" s="76">
        <f t="shared" si="96"/>
        <v>0</v>
      </c>
      <c r="AB102" s="76">
        <f t="shared" si="88"/>
        <v>0</v>
      </c>
      <c r="AC102" s="76">
        <f t="shared" si="88"/>
        <v>0</v>
      </c>
      <c r="AD102" s="76">
        <f t="shared" si="88"/>
        <v>0</v>
      </c>
      <c r="AE102" s="76">
        <f t="shared" si="88"/>
        <v>0</v>
      </c>
      <c r="AF102" s="76">
        <f t="shared" si="88"/>
        <v>0</v>
      </c>
      <c r="AG102" s="55"/>
      <c r="AH102" s="47">
        <f t="shared" si="40"/>
        <v>0</v>
      </c>
      <c r="AI102" s="48">
        <f t="shared" si="41"/>
        <v>0</v>
      </c>
    </row>
    <row r="103" spans="1:37" x14ac:dyDescent="0.25">
      <c r="A103" s="84" t="s">
        <v>104</v>
      </c>
      <c r="B103" s="76">
        <f>IF(B85&lt;0,B85*-1,0)</f>
        <v>0</v>
      </c>
      <c r="C103" s="76">
        <f t="shared" ref="C103:AF103" si="97">IF(C85&lt;0,C85*-1,0)</f>
        <v>0</v>
      </c>
      <c r="D103" s="76">
        <f t="shared" si="97"/>
        <v>0</v>
      </c>
      <c r="E103" s="76">
        <f t="shared" ref="E103:G103" si="98">IF(E85&lt;0,E85*-1,0)</f>
        <v>0</v>
      </c>
      <c r="F103" s="76">
        <f t="shared" si="98"/>
        <v>0</v>
      </c>
      <c r="G103" s="76">
        <f t="shared" si="98"/>
        <v>0</v>
      </c>
      <c r="H103" s="76">
        <f t="shared" ref="H103:I103" si="99">IF(H85&lt;0,H85*-1,0)</f>
        <v>0</v>
      </c>
      <c r="I103" s="76">
        <f t="shared" si="99"/>
        <v>0</v>
      </c>
      <c r="J103" s="76">
        <f t="shared" ref="J103:K103" si="100">IF(J85&lt;0,J85*-1,0)</f>
        <v>0</v>
      </c>
      <c r="K103" s="76">
        <f t="shared" si="100"/>
        <v>0</v>
      </c>
      <c r="L103" s="76">
        <f t="shared" ref="L103" si="101">IF(L85&lt;0,L85*-1,0)</f>
        <v>0</v>
      </c>
      <c r="M103" s="76">
        <f t="shared" si="97"/>
        <v>0</v>
      </c>
      <c r="N103" s="76">
        <f t="shared" si="97"/>
        <v>0</v>
      </c>
      <c r="O103" s="76">
        <f t="shared" si="97"/>
        <v>0</v>
      </c>
      <c r="P103" s="76">
        <f t="shared" si="97"/>
        <v>0</v>
      </c>
      <c r="Q103" s="76">
        <f t="shared" si="97"/>
        <v>0</v>
      </c>
      <c r="R103" s="76">
        <f t="shared" si="97"/>
        <v>0</v>
      </c>
      <c r="S103" s="76">
        <f t="shared" ref="S103:T103" si="102">IF(S85&lt;0,S85*-1,0)</f>
        <v>0</v>
      </c>
      <c r="T103" s="76">
        <f t="shared" si="102"/>
        <v>0</v>
      </c>
      <c r="U103" s="76">
        <f t="shared" ref="U103:V103" si="103">IF(U85&lt;0,U85*-1,0)</f>
        <v>0</v>
      </c>
      <c r="V103" s="76">
        <f t="shared" si="103"/>
        <v>0</v>
      </c>
      <c r="W103" s="76">
        <f t="shared" ref="W103:Y103" si="104">IF(W85&lt;0,W85*-1,0)</f>
        <v>0</v>
      </c>
      <c r="X103" s="76">
        <f t="shared" si="104"/>
        <v>0</v>
      </c>
      <c r="Y103" s="76">
        <f t="shared" si="104"/>
        <v>0</v>
      </c>
      <c r="Z103" s="76">
        <f t="shared" ref="Z103:AA103" si="105">IF(Z85&lt;0,Z85*-1,0)</f>
        <v>0</v>
      </c>
      <c r="AA103" s="76">
        <f t="shared" si="105"/>
        <v>0</v>
      </c>
      <c r="AB103" s="76">
        <f t="shared" si="97"/>
        <v>0</v>
      </c>
      <c r="AC103" s="76">
        <f t="shared" si="97"/>
        <v>0</v>
      </c>
      <c r="AD103" s="76">
        <f t="shared" si="97"/>
        <v>0</v>
      </c>
      <c r="AE103" s="76">
        <f t="shared" si="97"/>
        <v>0</v>
      </c>
      <c r="AF103" s="76">
        <f t="shared" si="97"/>
        <v>0</v>
      </c>
      <c r="AG103" s="98"/>
      <c r="AH103" s="47">
        <f t="shared" si="40"/>
        <v>0</v>
      </c>
      <c r="AI103" s="48">
        <f t="shared" si="41"/>
        <v>0</v>
      </c>
    </row>
    <row r="104" spans="1:37" x14ac:dyDescent="0.25">
      <c r="A104" s="84" t="s">
        <v>105</v>
      </c>
      <c r="B104" s="76">
        <f>IF(B83&lt;0,B83*-1,0)</f>
        <v>0</v>
      </c>
      <c r="C104" s="76">
        <f t="shared" ref="C104:AF104" si="106">IF(C83&lt;0,C83*-1,0)</f>
        <v>0</v>
      </c>
      <c r="D104" s="76">
        <f t="shared" si="106"/>
        <v>0</v>
      </c>
      <c r="E104" s="76">
        <f t="shared" ref="E104:G104" si="107">IF(E83&lt;0,E83*-1,0)</f>
        <v>0</v>
      </c>
      <c r="F104" s="76">
        <f t="shared" si="107"/>
        <v>0</v>
      </c>
      <c r="G104" s="76">
        <f t="shared" si="107"/>
        <v>0</v>
      </c>
      <c r="H104" s="76">
        <f t="shared" ref="H104:I104" si="108">IF(H83&lt;0,H83*-1,0)</f>
        <v>0</v>
      </c>
      <c r="I104" s="76">
        <f t="shared" si="108"/>
        <v>0</v>
      </c>
      <c r="J104" s="76">
        <f t="shared" ref="J104:K104" si="109">IF(J83&lt;0,J83*-1,0)</f>
        <v>0</v>
      </c>
      <c r="K104" s="76">
        <f t="shared" si="109"/>
        <v>0</v>
      </c>
      <c r="L104" s="76">
        <f t="shared" ref="L104" si="110">IF(L83&lt;0,L83*-1,0)</f>
        <v>0</v>
      </c>
      <c r="M104" s="76">
        <f t="shared" si="106"/>
        <v>0</v>
      </c>
      <c r="N104" s="76">
        <f t="shared" si="106"/>
        <v>0</v>
      </c>
      <c r="O104" s="76">
        <f t="shared" si="106"/>
        <v>0</v>
      </c>
      <c r="P104" s="76">
        <f t="shared" si="106"/>
        <v>0</v>
      </c>
      <c r="Q104" s="76">
        <f t="shared" si="106"/>
        <v>0</v>
      </c>
      <c r="R104" s="76">
        <f t="shared" si="106"/>
        <v>0</v>
      </c>
      <c r="S104" s="76">
        <f t="shared" ref="S104:T104" si="111">IF(S83&lt;0,S83*-1,0)</f>
        <v>0</v>
      </c>
      <c r="T104" s="76">
        <f t="shared" si="111"/>
        <v>0</v>
      </c>
      <c r="U104" s="76">
        <f t="shared" ref="U104:V104" si="112">IF(U83&lt;0,U83*-1,0)</f>
        <v>0</v>
      </c>
      <c r="V104" s="76">
        <f t="shared" si="112"/>
        <v>0</v>
      </c>
      <c r="W104" s="76">
        <f t="shared" ref="W104:Y104" si="113">IF(W83&lt;0,W83*-1,0)</f>
        <v>0</v>
      </c>
      <c r="X104" s="76">
        <f t="shared" si="113"/>
        <v>0</v>
      </c>
      <c r="Y104" s="76">
        <f t="shared" si="113"/>
        <v>0</v>
      </c>
      <c r="Z104" s="76">
        <f t="shared" ref="Z104:AA104" si="114">IF(Z83&lt;0,Z83*-1,0)</f>
        <v>0</v>
      </c>
      <c r="AA104" s="76">
        <f t="shared" si="114"/>
        <v>0</v>
      </c>
      <c r="AB104" s="76">
        <f t="shared" si="106"/>
        <v>0</v>
      </c>
      <c r="AC104" s="76">
        <f t="shared" si="106"/>
        <v>0</v>
      </c>
      <c r="AD104" s="76">
        <f t="shared" si="106"/>
        <v>0</v>
      </c>
      <c r="AE104" s="76">
        <f t="shared" si="106"/>
        <v>0</v>
      </c>
      <c r="AF104" s="76">
        <f t="shared" si="106"/>
        <v>0</v>
      </c>
      <c r="AG104" s="98"/>
      <c r="AH104" s="47">
        <f t="shared" si="40"/>
        <v>0</v>
      </c>
      <c r="AI104" s="48">
        <f t="shared" si="41"/>
        <v>0</v>
      </c>
    </row>
    <row r="105" spans="1:37" x14ac:dyDescent="0.25">
      <c r="A105" s="84" t="s">
        <v>81</v>
      </c>
      <c r="B105" s="76">
        <f>IF(B81&lt;0,B81*-1,0)</f>
        <v>0</v>
      </c>
      <c r="C105" s="76">
        <f t="shared" ref="C105:AF105" si="115">IF(C81&lt;0,C81*-1,0)</f>
        <v>0</v>
      </c>
      <c r="D105" s="76">
        <f t="shared" si="115"/>
        <v>0</v>
      </c>
      <c r="E105" s="76">
        <f t="shared" ref="E105:G105" si="116">IF(E81&lt;0,E81*-1,0)</f>
        <v>0</v>
      </c>
      <c r="F105" s="76">
        <f t="shared" si="116"/>
        <v>0</v>
      </c>
      <c r="G105" s="76">
        <f t="shared" si="116"/>
        <v>0</v>
      </c>
      <c r="H105" s="76">
        <f t="shared" ref="H105:I105" si="117">IF(H81&lt;0,H81*-1,0)</f>
        <v>0</v>
      </c>
      <c r="I105" s="76">
        <f t="shared" si="117"/>
        <v>0</v>
      </c>
      <c r="J105" s="76">
        <f t="shared" ref="J105:K105" si="118">IF(J81&lt;0,J81*-1,0)</f>
        <v>0</v>
      </c>
      <c r="K105" s="76">
        <f t="shared" si="118"/>
        <v>0</v>
      </c>
      <c r="L105" s="76">
        <f t="shared" ref="L105" si="119">IF(L81&lt;0,L81*-1,0)</f>
        <v>0</v>
      </c>
      <c r="M105" s="76">
        <f t="shared" si="115"/>
        <v>0</v>
      </c>
      <c r="N105" s="76">
        <f t="shared" si="115"/>
        <v>0</v>
      </c>
      <c r="O105" s="76">
        <f t="shared" si="115"/>
        <v>0</v>
      </c>
      <c r="P105" s="76">
        <f t="shared" si="115"/>
        <v>0</v>
      </c>
      <c r="Q105" s="76">
        <f t="shared" si="115"/>
        <v>0</v>
      </c>
      <c r="R105" s="76">
        <f t="shared" si="115"/>
        <v>0</v>
      </c>
      <c r="S105" s="76">
        <f t="shared" ref="S105:T105" si="120">IF(S81&lt;0,S81*-1,0)</f>
        <v>0</v>
      </c>
      <c r="T105" s="76">
        <f t="shared" si="120"/>
        <v>0</v>
      </c>
      <c r="U105" s="76">
        <f t="shared" ref="U105:V105" si="121">IF(U81&lt;0,U81*-1,0)</f>
        <v>0</v>
      </c>
      <c r="V105" s="76">
        <f t="shared" si="121"/>
        <v>0</v>
      </c>
      <c r="W105" s="76">
        <f t="shared" ref="W105:Y105" si="122">IF(W81&lt;0,W81*-1,0)</f>
        <v>0</v>
      </c>
      <c r="X105" s="76">
        <f t="shared" si="122"/>
        <v>0</v>
      </c>
      <c r="Y105" s="76">
        <f t="shared" si="122"/>
        <v>0</v>
      </c>
      <c r="Z105" s="76">
        <f t="shared" ref="Z105:AA105" si="123">IF(Z81&lt;0,Z81*-1,0)</f>
        <v>0</v>
      </c>
      <c r="AA105" s="76">
        <f t="shared" si="123"/>
        <v>0</v>
      </c>
      <c r="AB105" s="76">
        <f t="shared" si="115"/>
        <v>0</v>
      </c>
      <c r="AC105" s="76">
        <f t="shared" si="115"/>
        <v>0</v>
      </c>
      <c r="AD105" s="76">
        <f t="shared" si="115"/>
        <v>0</v>
      </c>
      <c r="AE105" s="76">
        <f t="shared" si="115"/>
        <v>0</v>
      </c>
      <c r="AF105" s="76">
        <f t="shared" si="115"/>
        <v>0</v>
      </c>
      <c r="AG105" s="98"/>
      <c r="AH105" s="47">
        <f t="shared" si="40"/>
        <v>0</v>
      </c>
      <c r="AI105" s="48">
        <f t="shared" si="41"/>
        <v>0</v>
      </c>
    </row>
    <row r="106" spans="1:37" ht="15.75" thickBot="1" x14ac:dyDescent="0.3">
      <c r="A106" s="84" t="s">
        <v>106</v>
      </c>
      <c r="B106" s="94">
        <v>0</v>
      </c>
      <c r="C106" s="94">
        <v>0</v>
      </c>
      <c r="D106" s="94">
        <v>0</v>
      </c>
      <c r="E106" s="94">
        <v>1</v>
      </c>
      <c r="F106" s="94">
        <v>2</v>
      </c>
      <c r="G106" s="94">
        <v>3</v>
      </c>
      <c r="H106" s="94">
        <v>4</v>
      </c>
      <c r="I106" s="94">
        <v>5</v>
      </c>
      <c r="J106" s="94">
        <v>6</v>
      </c>
      <c r="K106" s="94">
        <v>7</v>
      </c>
      <c r="L106" s="94">
        <v>8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1</v>
      </c>
      <c r="Y106" s="94">
        <v>1</v>
      </c>
      <c r="Z106" s="94">
        <v>1</v>
      </c>
      <c r="AA106" s="94">
        <v>1</v>
      </c>
      <c r="AB106" s="94">
        <v>0</v>
      </c>
      <c r="AC106" s="94">
        <v>0</v>
      </c>
      <c r="AD106" s="94">
        <v>0</v>
      </c>
      <c r="AE106" s="94">
        <v>0</v>
      </c>
      <c r="AF106" s="94">
        <v>0</v>
      </c>
      <c r="AG106" s="85"/>
      <c r="AH106" s="47">
        <f t="shared" si="40"/>
        <v>8</v>
      </c>
      <c r="AI106" s="48">
        <f t="shared" si="41"/>
        <v>0</v>
      </c>
    </row>
    <row r="107" spans="1:37" ht="15.75" thickBot="1" x14ac:dyDescent="0.3">
      <c r="A107" s="99" t="s">
        <v>107</v>
      </c>
      <c r="B107" s="60">
        <f>SUM(B101:B106)</f>
        <v>0</v>
      </c>
      <c r="C107" s="60">
        <f t="shared" ref="C107:AF107" si="124">SUM(C101:C106)</f>
        <v>0</v>
      </c>
      <c r="D107" s="60">
        <f t="shared" si="124"/>
        <v>0</v>
      </c>
      <c r="E107" s="60">
        <f t="shared" ref="E107:G107" si="125">SUM(E101:E106)</f>
        <v>1</v>
      </c>
      <c r="F107" s="60">
        <f t="shared" si="125"/>
        <v>2</v>
      </c>
      <c r="G107" s="60">
        <f t="shared" si="125"/>
        <v>3</v>
      </c>
      <c r="H107" s="60">
        <f t="shared" ref="H107:I107" si="126">SUM(H101:H106)</f>
        <v>4</v>
      </c>
      <c r="I107" s="60">
        <f t="shared" si="126"/>
        <v>5</v>
      </c>
      <c r="J107" s="60">
        <f t="shared" ref="J107:K107" si="127">SUM(J101:J106)</f>
        <v>6</v>
      </c>
      <c r="K107" s="60">
        <f t="shared" si="127"/>
        <v>7</v>
      </c>
      <c r="L107" s="60">
        <f t="shared" ref="L107" si="128">SUM(L101:L106)</f>
        <v>8</v>
      </c>
      <c r="M107" s="60">
        <f t="shared" si="124"/>
        <v>0</v>
      </c>
      <c r="N107" s="60">
        <f t="shared" si="124"/>
        <v>0</v>
      </c>
      <c r="O107" s="60">
        <f t="shared" si="124"/>
        <v>0</v>
      </c>
      <c r="P107" s="60">
        <f t="shared" si="124"/>
        <v>0</v>
      </c>
      <c r="Q107" s="60">
        <f t="shared" si="124"/>
        <v>0</v>
      </c>
      <c r="R107" s="60">
        <f t="shared" si="124"/>
        <v>0</v>
      </c>
      <c r="S107" s="60">
        <f t="shared" ref="S107:T107" si="129">SUM(S101:S106)</f>
        <v>0</v>
      </c>
      <c r="T107" s="60">
        <f t="shared" si="129"/>
        <v>0</v>
      </c>
      <c r="U107" s="60">
        <f t="shared" ref="U107:W107" si="130">SUM(U101:U106)</f>
        <v>0</v>
      </c>
      <c r="V107" s="60">
        <f t="shared" si="130"/>
        <v>0</v>
      </c>
      <c r="W107" s="60">
        <f t="shared" si="130"/>
        <v>0</v>
      </c>
      <c r="X107" s="60">
        <f t="shared" ref="X107" si="131">SUM(X101:X106)</f>
        <v>1</v>
      </c>
      <c r="Y107" s="60">
        <v>0</v>
      </c>
      <c r="Z107" s="60">
        <v>0</v>
      </c>
      <c r="AA107" s="60">
        <v>0</v>
      </c>
      <c r="AB107" s="60">
        <f t="shared" si="124"/>
        <v>0</v>
      </c>
      <c r="AC107" s="60">
        <f t="shared" si="124"/>
        <v>0</v>
      </c>
      <c r="AD107" s="60">
        <f t="shared" si="124"/>
        <v>0</v>
      </c>
      <c r="AE107" s="60">
        <f t="shared" si="124"/>
        <v>0</v>
      </c>
      <c r="AF107" s="60">
        <f t="shared" si="124"/>
        <v>0</v>
      </c>
      <c r="AG107" s="88"/>
      <c r="AH107" s="47">
        <f t="shared" si="40"/>
        <v>8</v>
      </c>
      <c r="AI107" s="48">
        <f t="shared" si="41"/>
        <v>0</v>
      </c>
      <c r="AK107" s="50"/>
    </row>
    <row r="108" spans="1:37" ht="15.75" thickBot="1" x14ac:dyDescent="0.3">
      <c r="A108" s="74" t="s">
        <v>108</v>
      </c>
      <c r="B108" s="60">
        <f t="shared" ref="B108:AF108" si="132">B92-B107</f>
        <v>555</v>
      </c>
      <c r="C108" s="60">
        <f t="shared" si="132"/>
        <v>490.2</v>
      </c>
      <c r="D108" s="60">
        <f t="shared" si="132"/>
        <v>490.9</v>
      </c>
      <c r="E108" s="60">
        <f t="shared" ref="E108:G108" si="133">E92-E107</f>
        <v>475</v>
      </c>
      <c r="F108" s="60">
        <f t="shared" si="133"/>
        <v>476</v>
      </c>
      <c r="G108" s="60">
        <f t="shared" si="133"/>
        <v>458</v>
      </c>
      <c r="H108" s="60">
        <f t="shared" ref="H108:I108" si="134">H92-H107</f>
        <v>466.3</v>
      </c>
      <c r="I108" s="60">
        <f t="shared" si="134"/>
        <v>477</v>
      </c>
      <c r="J108" s="60">
        <f t="shared" ref="J108:K108" si="135">J92-J107</f>
        <v>498</v>
      </c>
      <c r="K108" s="60">
        <f t="shared" si="135"/>
        <v>421</v>
      </c>
      <c r="L108" s="60">
        <f t="shared" ref="L108" si="136">L92-L107</f>
        <v>229</v>
      </c>
      <c r="M108" s="60">
        <f t="shared" si="132"/>
        <v>215.53</v>
      </c>
      <c r="N108" s="60">
        <f t="shared" si="132"/>
        <v>214.7</v>
      </c>
      <c r="O108" s="60">
        <f t="shared" si="132"/>
        <v>226.6</v>
      </c>
      <c r="P108" s="60">
        <f t="shared" si="132"/>
        <v>400</v>
      </c>
      <c r="Q108" s="60">
        <f t="shared" si="132"/>
        <v>492.3</v>
      </c>
      <c r="R108" s="60">
        <f t="shared" si="132"/>
        <v>637.4</v>
      </c>
      <c r="S108" s="60">
        <f t="shared" ref="S108:T108" si="137">S92-S107</f>
        <v>640.24</v>
      </c>
      <c r="T108" s="60">
        <f t="shared" si="137"/>
        <v>593.4</v>
      </c>
      <c r="U108" s="60">
        <f t="shared" ref="U108:V108" si="138">U92-U107</f>
        <v>635</v>
      </c>
      <c r="V108" s="60">
        <f t="shared" si="138"/>
        <v>366.4</v>
      </c>
      <c r="W108" s="60">
        <f t="shared" ref="W108:Y108" si="139">W92-W107</f>
        <v>351.29999999999995</v>
      </c>
      <c r="X108" s="60">
        <f t="shared" si="139"/>
        <v>347.3</v>
      </c>
      <c r="Y108" s="60">
        <f t="shared" si="139"/>
        <v>412.09999999999997</v>
      </c>
      <c r="Z108" s="60">
        <f t="shared" ref="Z108:AA108" si="140">Z92-Z107</f>
        <v>395.90000000000003</v>
      </c>
      <c r="AA108" s="60">
        <f t="shared" si="140"/>
        <v>443.20000000000005</v>
      </c>
      <c r="AB108" s="60">
        <f t="shared" si="132"/>
        <v>470.3</v>
      </c>
      <c r="AC108" s="60">
        <f t="shared" si="132"/>
        <v>439.7</v>
      </c>
      <c r="AD108" s="60">
        <f t="shared" si="132"/>
        <v>422.7</v>
      </c>
      <c r="AE108" s="60">
        <f t="shared" si="132"/>
        <v>467.90000000000003</v>
      </c>
      <c r="AF108" s="60">
        <f t="shared" si="132"/>
        <v>528.29999999999995</v>
      </c>
      <c r="AG108" s="88"/>
      <c r="AH108" s="47">
        <f t="shared" si="40"/>
        <v>640.24</v>
      </c>
      <c r="AI108" s="48">
        <f t="shared" si="41"/>
        <v>214.7</v>
      </c>
    </row>
    <row r="109" spans="1:37" x14ac:dyDescent="0.25">
      <c r="A109" s="100" t="s">
        <v>109</v>
      </c>
      <c r="B109" s="101">
        <v>50.064</v>
      </c>
      <c r="C109" s="101">
        <v>49.991</v>
      </c>
      <c r="D109" s="101">
        <v>49.988</v>
      </c>
      <c r="E109" s="101">
        <v>50.08</v>
      </c>
      <c r="F109" s="101">
        <v>50.04</v>
      </c>
      <c r="G109" s="101">
        <v>50.03</v>
      </c>
      <c r="H109" s="101">
        <v>50.07</v>
      </c>
      <c r="I109" s="101">
        <v>50.09</v>
      </c>
      <c r="J109" s="101">
        <v>50.09</v>
      </c>
      <c r="K109" s="101">
        <v>49.93</v>
      </c>
      <c r="L109" s="101">
        <v>49.66</v>
      </c>
      <c r="M109" s="101">
        <v>50.058999999999997</v>
      </c>
      <c r="N109" s="101">
        <v>49.97</v>
      </c>
      <c r="O109" s="101">
        <v>49.981000000000002</v>
      </c>
      <c r="P109" s="101">
        <v>50.06</v>
      </c>
      <c r="Q109" s="101">
        <v>50.034999999999997</v>
      </c>
      <c r="R109" s="101">
        <v>50.052</v>
      </c>
      <c r="S109" s="101">
        <v>50</v>
      </c>
      <c r="T109" s="101">
        <v>49.77</v>
      </c>
      <c r="U109" s="101">
        <v>49.9</v>
      </c>
      <c r="V109" s="101">
        <v>50.02</v>
      </c>
      <c r="W109" s="101">
        <v>50.055999999999997</v>
      </c>
      <c r="X109" s="101">
        <v>50.04</v>
      </c>
      <c r="Y109" s="101">
        <v>50</v>
      </c>
      <c r="Z109" s="101">
        <v>50</v>
      </c>
      <c r="AA109" s="101">
        <v>50</v>
      </c>
      <c r="AB109" s="101">
        <v>50.069000000000003</v>
      </c>
      <c r="AC109" s="101">
        <v>50.014000000000003</v>
      </c>
      <c r="AD109" s="101">
        <v>50.069000000000003</v>
      </c>
      <c r="AE109" s="101">
        <v>50.078000000000003</v>
      </c>
      <c r="AF109" s="101">
        <v>49.902999999999999</v>
      </c>
      <c r="AG109" s="102"/>
      <c r="AH109" s="47">
        <f t="shared" si="40"/>
        <v>50.09</v>
      </c>
      <c r="AI109" s="48">
        <f t="shared" si="41"/>
        <v>49.66</v>
      </c>
    </row>
    <row r="110" spans="1:37" x14ac:dyDescent="0.25">
      <c r="A110" s="103" t="s">
        <v>110</v>
      </c>
      <c r="B110" s="65">
        <v>129.5</v>
      </c>
      <c r="C110" s="65">
        <v>127</v>
      </c>
      <c r="D110" s="65">
        <v>128.69999999999999</v>
      </c>
      <c r="E110" s="65">
        <v>130</v>
      </c>
      <c r="F110" s="65">
        <v>130</v>
      </c>
      <c r="G110" s="65">
        <v>130</v>
      </c>
      <c r="H110" s="65">
        <v>128</v>
      </c>
      <c r="I110" s="65">
        <v>128</v>
      </c>
      <c r="J110" s="65">
        <v>128</v>
      </c>
      <c r="K110" s="65">
        <v>127</v>
      </c>
      <c r="L110" s="65">
        <v>126</v>
      </c>
      <c r="M110" s="65">
        <v>124.4</v>
      </c>
      <c r="N110" s="65">
        <v>124.9</v>
      </c>
      <c r="O110" s="65">
        <v>125.1</v>
      </c>
      <c r="P110" s="65">
        <v>125.9</v>
      </c>
      <c r="Q110" s="65">
        <v>126.2</v>
      </c>
      <c r="R110" s="65">
        <v>125.9</v>
      </c>
      <c r="S110" s="65">
        <v>125.6</v>
      </c>
      <c r="T110" s="65">
        <v>125.1</v>
      </c>
      <c r="U110" s="65">
        <v>126.4</v>
      </c>
      <c r="V110" s="65">
        <v>130</v>
      </c>
      <c r="W110" s="65">
        <v>128.6</v>
      </c>
      <c r="X110" s="65">
        <v>128.6</v>
      </c>
      <c r="Y110" s="65">
        <v>127.4</v>
      </c>
      <c r="Z110" s="65">
        <v>128</v>
      </c>
      <c r="AA110" s="65">
        <v>128.80000000000001</v>
      </c>
      <c r="AB110" s="65">
        <v>129.9</v>
      </c>
      <c r="AC110" s="65">
        <v>129.9</v>
      </c>
      <c r="AD110" s="65">
        <v>131</v>
      </c>
      <c r="AE110" s="65">
        <v>128.6</v>
      </c>
      <c r="AF110" s="65">
        <v>129.9</v>
      </c>
      <c r="AG110" s="104"/>
      <c r="AH110" s="47">
        <f t="shared" si="40"/>
        <v>131</v>
      </c>
      <c r="AI110" s="48">
        <f t="shared" si="41"/>
        <v>124.4</v>
      </c>
    </row>
    <row r="111" spans="1:37" x14ac:dyDescent="0.25">
      <c r="A111" s="103" t="s">
        <v>111</v>
      </c>
      <c r="B111" s="65">
        <v>132.5</v>
      </c>
      <c r="C111" s="65">
        <v>131.19999999999999</v>
      </c>
      <c r="D111" s="65">
        <v>132.69999999999999</v>
      </c>
      <c r="E111" s="65">
        <v>133.6</v>
      </c>
      <c r="F111" s="65">
        <v>133.6</v>
      </c>
      <c r="G111" s="65">
        <v>133.6</v>
      </c>
      <c r="H111" s="65">
        <v>131</v>
      </c>
      <c r="I111" s="65">
        <v>131.6</v>
      </c>
      <c r="J111" s="65">
        <v>131.6</v>
      </c>
      <c r="K111" s="65">
        <v>129</v>
      </c>
      <c r="L111" s="65">
        <v>127</v>
      </c>
      <c r="M111" s="65">
        <v>125.6</v>
      </c>
      <c r="N111" s="65">
        <v>126</v>
      </c>
      <c r="O111" s="65">
        <v>126.5</v>
      </c>
      <c r="P111" s="65">
        <v>127.8</v>
      </c>
      <c r="Q111" s="65">
        <v>128.69999999999999</v>
      </c>
      <c r="R111" s="65">
        <v>128.69999999999999</v>
      </c>
      <c r="S111" s="65">
        <v>128.19999999999999</v>
      </c>
      <c r="T111" s="65">
        <v>128.19999999999999</v>
      </c>
      <c r="U111" s="65">
        <v>128.9</v>
      </c>
      <c r="V111" s="65">
        <v>131.5</v>
      </c>
      <c r="W111" s="65">
        <v>130</v>
      </c>
      <c r="X111" s="65">
        <v>130</v>
      </c>
      <c r="Y111" s="65">
        <v>128.80000000000001</v>
      </c>
      <c r="Z111" s="65">
        <v>129.19999999999999</v>
      </c>
      <c r="AA111" s="65">
        <v>129.4</v>
      </c>
      <c r="AB111" s="65">
        <v>130.1</v>
      </c>
      <c r="AC111" s="65">
        <v>130.80000000000001</v>
      </c>
      <c r="AD111" s="65">
        <v>130.6</v>
      </c>
      <c r="AE111" s="65">
        <v>131.80000000000001</v>
      </c>
      <c r="AF111" s="65">
        <v>132.69999999999999</v>
      </c>
      <c r="AG111" s="104"/>
      <c r="AH111" s="47">
        <f t="shared" si="40"/>
        <v>133.6</v>
      </c>
      <c r="AI111" s="48">
        <f t="shared" si="41"/>
        <v>125.6</v>
      </c>
    </row>
    <row r="112" spans="1:37" x14ac:dyDescent="0.25">
      <c r="A112" s="103" t="s">
        <v>112</v>
      </c>
      <c r="B112" s="65">
        <v>133.19999999999999</v>
      </c>
      <c r="C112" s="65">
        <v>129.30000000000001</v>
      </c>
      <c r="D112" s="65">
        <v>131.1</v>
      </c>
      <c r="E112" s="65">
        <v>131</v>
      </c>
      <c r="F112" s="65">
        <v>131</v>
      </c>
      <c r="G112" s="65">
        <v>131</v>
      </c>
      <c r="H112" s="65">
        <v>126</v>
      </c>
      <c r="I112" s="65">
        <v>129.5</v>
      </c>
      <c r="J112" s="65">
        <v>129.5</v>
      </c>
      <c r="K112" s="65">
        <v>126</v>
      </c>
      <c r="L112" s="65">
        <v>126</v>
      </c>
      <c r="M112" s="65">
        <v>127</v>
      </c>
      <c r="N112" s="65">
        <v>125.6</v>
      </c>
      <c r="O112" s="65">
        <v>126.2</v>
      </c>
      <c r="P112" s="65">
        <v>126.6</v>
      </c>
      <c r="Q112" s="65">
        <v>127.7</v>
      </c>
      <c r="R112" s="65">
        <v>128.32</v>
      </c>
      <c r="S112" s="65">
        <v>128.69999999999999</v>
      </c>
      <c r="T112" s="65">
        <v>128.69999999999999</v>
      </c>
      <c r="U112" s="65">
        <v>128.19999999999999</v>
      </c>
      <c r="V112" s="65">
        <v>130.69999999999999</v>
      </c>
      <c r="W112" s="65">
        <v>125.2</v>
      </c>
      <c r="X112" s="65">
        <v>125.2</v>
      </c>
      <c r="Y112" s="65">
        <v>130.4</v>
      </c>
      <c r="Z112" s="65">
        <v>131.9</v>
      </c>
      <c r="AA112" s="65">
        <v>128.1</v>
      </c>
      <c r="AB112" s="65">
        <v>130</v>
      </c>
      <c r="AC112" s="65">
        <v>132.1</v>
      </c>
      <c r="AD112" s="65">
        <v>130.6</v>
      </c>
      <c r="AE112" s="65">
        <v>128.80000000000001</v>
      </c>
      <c r="AF112" s="65">
        <v>131.80000000000001</v>
      </c>
      <c r="AG112" s="104"/>
      <c r="AH112" s="47">
        <f t="shared" si="40"/>
        <v>133.19999999999999</v>
      </c>
      <c r="AI112" s="48">
        <f t="shared" si="41"/>
        <v>125.2</v>
      </c>
    </row>
    <row r="113" spans="1:35" x14ac:dyDescent="0.25">
      <c r="A113" s="105" t="s">
        <v>113</v>
      </c>
      <c r="B113" s="65">
        <v>135.5</v>
      </c>
      <c r="C113" s="65">
        <v>132</v>
      </c>
      <c r="D113" s="65">
        <v>131.80000000000001</v>
      </c>
      <c r="E113" s="65">
        <v>132</v>
      </c>
      <c r="F113" s="65">
        <v>132</v>
      </c>
      <c r="G113" s="65">
        <v>132</v>
      </c>
      <c r="H113" s="65">
        <v>128</v>
      </c>
      <c r="I113" s="65">
        <v>131</v>
      </c>
      <c r="J113" s="65">
        <v>131</v>
      </c>
      <c r="K113" s="65">
        <v>130</v>
      </c>
      <c r="L113" s="65">
        <v>127</v>
      </c>
      <c r="M113" s="65">
        <v>131.6</v>
      </c>
      <c r="N113" s="65">
        <v>129.19999999999999</v>
      </c>
      <c r="O113" s="65">
        <v>129.9</v>
      </c>
      <c r="P113" s="65">
        <v>132</v>
      </c>
      <c r="Q113" s="65">
        <v>132.6</v>
      </c>
      <c r="R113" s="65">
        <v>133.4</v>
      </c>
      <c r="S113" s="65">
        <v>134</v>
      </c>
      <c r="T113" s="65">
        <v>134</v>
      </c>
      <c r="U113" s="65">
        <v>132.80000000000001</v>
      </c>
      <c r="V113" s="65">
        <v>131.80000000000001</v>
      </c>
      <c r="W113" s="65">
        <v>127.7</v>
      </c>
      <c r="X113" s="65">
        <v>127.7</v>
      </c>
      <c r="Y113" s="65">
        <v>130.4</v>
      </c>
      <c r="Z113" s="65">
        <v>130.4</v>
      </c>
      <c r="AA113" s="65">
        <v>130.19999999999999</v>
      </c>
      <c r="AB113" s="65">
        <v>132.9</v>
      </c>
      <c r="AC113" s="65">
        <v>134.80000000000001</v>
      </c>
      <c r="AD113" s="65">
        <v>131.80000000000001</v>
      </c>
      <c r="AE113" s="65">
        <v>131.6</v>
      </c>
      <c r="AF113" s="65">
        <v>134.69999999999999</v>
      </c>
      <c r="AG113" s="104"/>
      <c r="AH113" s="47">
        <f t="shared" si="40"/>
        <v>135.5</v>
      </c>
      <c r="AI113" s="48">
        <f t="shared" si="41"/>
        <v>127</v>
      </c>
    </row>
    <row r="114" spans="1:35" x14ac:dyDescent="0.25">
      <c r="A114" s="105" t="s">
        <v>114</v>
      </c>
      <c r="B114" s="106">
        <v>131.5</v>
      </c>
      <c r="C114" s="106">
        <v>133.30000000000001</v>
      </c>
      <c r="D114" s="106">
        <v>131.6</v>
      </c>
      <c r="E114" s="106">
        <v>133.6</v>
      </c>
      <c r="F114" s="106">
        <v>133.6</v>
      </c>
      <c r="G114" s="106">
        <v>133.6</v>
      </c>
      <c r="H114" s="106">
        <v>132</v>
      </c>
      <c r="I114" s="106">
        <v>132.6</v>
      </c>
      <c r="J114" s="106">
        <v>132.6</v>
      </c>
      <c r="K114" s="106">
        <v>132</v>
      </c>
      <c r="L114" s="106">
        <v>130.5</v>
      </c>
      <c r="M114" s="106">
        <v>132.19999999999999</v>
      </c>
      <c r="N114" s="106">
        <v>130.19999999999999</v>
      </c>
      <c r="O114" s="106">
        <v>130.4</v>
      </c>
      <c r="P114" s="106">
        <v>133</v>
      </c>
      <c r="Q114" s="106">
        <v>132.30000000000001</v>
      </c>
      <c r="R114" s="106">
        <v>132.9</v>
      </c>
      <c r="S114" s="106">
        <v>132.4</v>
      </c>
      <c r="T114" s="106">
        <v>128.5</v>
      </c>
      <c r="U114" s="106">
        <v>133.30000000000001</v>
      </c>
      <c r="V114" s="106">
        <v>132.1</v>
      </c>
      <c r="W114" s="106">
        <v>133.9</v>
      </c>
      <c r="X114" s="106">
        <v>133.9</v>
      </c>
      <c r="Y114" s="106">
        <v>132</v>
      </c>
      <c r="Z114" s="106">
        <v>132</v>
      </c>
      <c r="AA114" s="106">
        <v>135</v>
      </c>
      <c r="AB114" s="106">
        <v>137.4</v>
      </c>
      <c r="AC114" s="106">
        <v>133</v>
      </c>
      <c r="AD114" s="106">
        <v>136.4</v>
      </c>
      <c r="AE114" s="106">
        <v>134.1</v>
      </c>
      <c r="AF114" s="106">
        <v>133.6</v>
      </c>
      <c r="AG114" s="107"/>
      <c r="AH114" s="47">
        <f t="shared" si="40"/>
        <v>137.4</v>
      </c>
      <c r="AI114" s="48">
        <f t="shared" si="41"/>
        <v>128.5</v>
      </c>
    </row>
    <row r="115" spans="1:35" x14ac:dyDescent="0.25">
      <c r="A115" s="103" t="s">
        <v>115</v>
      </c>
      <c r="B115" s="65">
        <v>134.30000000000001</v>
      </c>
      <c r="C115" s="65">
        <v>137.4</v>
      </c>
      <c r="D115" s="65">
        <v>135.9</v>
      </c>
      <c r="E115" s="65">
        <v>128</v>
      </c>
      <c r="F115" s="65">
        <v>128</v>
      </c>
      <c r="G115" s="65">
        <v>128</v>
      </c>
      <c r="H115" s="65">
        <v>131</v>
      </c>
      <c r="I115" s="65">
        <v>131</v>
      </c>
      <c r="J115" s="65">
        <v>131</v>
      </c>
      <c r="K115" s="65">
        <v>131.63</v>
      </c>
      <c r="L115" s="65">
        <v>130</v>
      </c>
      <c r="M115" s="65">
        <v>129.69999999999999</v>
      </c>
      <c r="N115" s="65">
        <v>132.19999999999999</v>
      </c>
      <c r="O115" s="65">
        <v>133.69999999999999</v>
      </c>
      <c r="P115" s="65">
        <v>128.6</v>
      </c>
      <c r="Q115" s="65">
        <v>131.1</v>
      </c>
      <c r="R115" s="65">
        <v>130.1</v>
      </c>
      <c r="S115" s="65">
        <v>129.80000000000001</v>
      </c>
      <c r="T115" s="65">
        <v>129.80000000000001</v>
      </c>
      <c r="U115" s="65">
        <v>133.69999999999999</v>
      </c>
      <c r="V115" s="65">
        <v>134.4</v>
      </c>
      <c r="W115" s="65">
        <v>130.30000000000001</v>
      </c>
      <c r="X115" s="65">
        <v>130.30000000000001</v>
      </c>
      <c r="Y115" s="65">
        <v>129</v>
      </c>
      <c r="Z115" s="65">
        <v>130.6</v>
      </c>
      <c r="AA115" s="65">
        <v>129.30000000000001</v>
      </c>
      <c r="AB115" s="65">
        <v>134.9</v>
      </c>
      <c r="AC115" s="65">
        <v>131.6</v>
      </c>
      <c r="AD115" s="65">
        <v>129.1</v>
      </c>
      <c r="AE115" s="65">
        <v>129.30000000000001</v>
      </c>
      <c r="AF115" s="65">
        <v>125.4</v>
      </c>
      <c r="AG115" s="104"/>
      <c r="AH115" s="47">
        <f t="shared" si="40"/>
        <v>137.4</v>
      </c>
      <c r="AI115" s="48">
        <f t="shared" si="41"/>
        <v>125.4</v>
      </c>
    </row>
    <row r="116" spans="1:35" ht="15.75" thickBot="1" x14ac:dyDescent="0.3">
      <c r="A116" s="103" t="s">
        <v>116</v>
      </c>
      <c r="B116" s="92">
        <v>66.7</v>
      </c>
      <c r="C116" s="92">
        <v>66.8</v>
      </c>
      <c r="D116" s="92">
        <v>66.599999999999994</v>
      </c>
      <c r="E116" s="92">
        <v>67.400000000000006</v>
      </c>
      <c r="F116" s="92">
        <v>67.400000000000006</v>
      </c>
      <c r="G116" s="92">
        <v>67.400000000000006</v>
      </c>
      <c r="H116" s="92">
        <v>66</v>
      </c>
      <c r="I116" s="92">
        <v>65.900000000000006</v>
      </c>
      <c r="J116" s="92">
        <v>65.900000000000006</v>
      </c>
      <c r="K116" s="92">
        <v>64.5</v>
      </c>
      <c r="L116" s="92">
        <v>63.1</v>
      </c>
      <c r="M116" s="92">
        <v>62.6</v>
      </c>
      <c r="N116" s="92">
        <v>62.9</v>
      </c>
      <c r="O116" s="92">
        <v>63.1</v>
      </c>
      <c r="P116" s="92">
        <v>64</v>
      </c>
      <c r="Q116" s="92">
        <v>65.099999999999994</v>
      </c>
      <c r="R116" s="92">
        <v>64.7</v>
      </c>
      <c r="S116" s="92">
        <v>64.2</v>
      </c>
      <c r="T116" s="92">
        <v>64.2</v>
      </c>
      <c r="U116" s="92">
        <v>64.7</v>
      </c>
      <c r="V116" s="92">
        <v>65.7</v>
      </c>
      <c r="W116" s="92">
        <v>64.7</v>
      </c>
      <c r="X116" s="92">
        <v>64.7</v>
      </c>
      <c r="Y116" s="92">
        <v>64.400000000000006</v>
      </c>
      <c r="Z116" s="92">
        <v>64.599999999999994</v>
      </c>
      <c r="AA116" s="92">
        <v>65</v>
      </c>
      <c r="AB116" s="92">
        <v>65.3</v>
      </c>
      <c r="AC116" s="92">
        <v>65.599999999999994</v>
      </c>
      <c r="AD116" s="92">
        <v>65.8</v>
      </c>
      <c r="AE116" s="92">
        <v>66.2</v>
      </c>
      <c r="AF116" s="92">
        <v>66.7</v>
      </c>
      <c r="AG116" s="108"/>
      <c r="AH116" s="47">
        <f t="shared" si="40"/>
        <v>67.400000000000006</v>
      </c>
      <c r="AI116" s="48">
        <f t="shared" si="41"/>
        <v>62.6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40"/>
        <v>0</v>
      </c>
      <c r="AI117" s="48">
        <f t="shared" si="41"/>
        <v>0</v>
      </c>
    </row>
    <row r="118" spans="1:35" ht="15.75" thickBot="1" x14ac:dyDescent="0.3">
      <c r="A118" s="110" t="s">
        <v>118</v>
      </c>
      <c r="B118" s="111">
        <f t="shared" ref="B118:O118" si="141">SUM(B22,B28,B31:B32,B66,B68:B69,B71,B73,B119:B123,B155,B161,B167,B176,B178,B190,B197,B200:B201,B208,B210,B212,B216:B218,B220:B222,B227,B233:B234,B236:B238,B246,B251)</f>
        <v>166.34</v>
      </c>
      <c r="C118" s="111">
        <f t="shared" si="141"/>
        <v>148.83999999999997</v>
      </c>
      <c r="D118" s="111">
        <f t="shared" si="141"/>
        <v>141.34</v>
      </c>
      <c r="E118" s="111">
        <f t="shared" ref="E118:G118" si="142">SUM(E22,E28,E31:E32,E66,E68:E69,E71,E73,E119:E123,E155,E161,E167,E176,E178,E190,E197,E200:E201,E208,E210,E212,E216:E218,E220:E222,E227,E233:E234,E236:E238,E246,E251)</f>
        <v>128.63999999999999</v>
      </c>
      <c r="F118" s="111">
        <f t="shared" si="142"/>
        <v>128.63999999999999</v>
      </c>
      <c r="G118" s="111">
        <f t="shared" si="142"/>
        <v>119.14</v>
      </c>
      <c r="H118" s="111">
        <f t="shared" ref="H118:I118" si="143">SUM(H22,H28,H31:H32,H66,H68:H69,H71,H73,H119:H123,H155,H161,H167,H176,H178,H190,H197,H200:H201,H208,H210,H212,H216:H218,H220:H222,H227,H233:H234,H236:H238,H246,H251)</f>
        <v>179.14</v>
      </c>
      <c r="I118" s="111">
        <f t="shared" si="143"/>
        <v>196.14</v>
      </c>
      <c r="J118" s="111">
        <f t="shared" ref="J118:K118" si="144">SUM(J22,J28,J31:J32,J66,J68:J69,J71,J73,J119:J123,J155,J161,J167,J176,J178,J190,J197,J200:J201,J208,J210,J212,J216:J218,J220:J222,J227,J233:J234,J236:J238,J246,J251)</f>
        <v>228.14</v>
      </c>
      <c r="K118" s="111">
        <f t="shared" si="144"/>
        <v>287.14</v>
      </c>
      <c r="L118" s="111">
        <f t="shared" ref="L118" si="145">SUM(L22,L28,L31:L32,L66,L68:L69,L71,L73,L119:L123,L155,L161,L167,L176,L178,L190,L197,L200:L201,L208,L210,L212,L216:L218,L220:L222,L227,L233:L234,L236:L238,L246,L251)</f>
        <v>340.14</v>
      </c>
      <c r="M118" s="111">
        <f t="shared" si="141"/>
        <v>338.84000000000003</v>
      </c>
      <c r="N118" s="111">
        <f t="shared" si="141"/>
        <v>391.34</v>
      </c>
      <c r="O118" s="111">
        <f t="shared" si="141"/>
        <v>378.64</v>
      </c>
      <c r="P118" s="111">
        <v>42</v>
      </c>
      <c r="Q118" s="111">
        <f t="shared" ref="Q118:AC118" si="146">SUM(Q22,Q28,Q31:Q32,Q66,Q68:Q69,Q71,Q73,Q119:Q123,Q155,Q161,Q167,Q176,Q178,Q190,Q197,Q200:Q201,Q208,Q210,Q212,Q216:Q218,Q220:Q222,Q227,Q233:Q234,Q236:Q238,Q246,Q251)</f>
        <v>285.74799999999999</v>
      </c>
      <c r="R118" s="111">
        <f t="shared" si="146"/>
        <v>266.94</v>
      </c>
      <c r="S118" s="111">
        <f t="shared" ref="S118:T118" si="147">SUM(S22,S28,S31:S32,S66,S68:S69,S71,S73,S119:S123,S155,S161,S167,S176,S178,S190,S197,S200:S201,S208,S210,S212,S216:S218,S220:S222,S227,S233:S234,S236:S238,S246,S251)</f>
        <v>248.94</v>
      </c>
      <c r="T118" s="111">
        <f t="shared" si="147"/>
        <v>247.22</v>
      </c>
      <c r="U118" s="111">
        <f t="shared" ref="U118:V118" si="148">SUM(U22,U28,U31:U32,U66,U68:U69,U71,U73,U119:U123,U155,U161,U167,U176,U178,U190,U197,U200:U201,U208,U210,U212,U216:U218,U220:U222,U227,U233:U234,U236:U238,U246,U251)</f>
        <v>338.46</v>
      </c>
      <c r="V118" s="111">
        <f t="shared" si="148"/>
        <v>279.74</v>
      </c>
      <c r="W118" s="111">
        <f t="shared" ref="W118:Y118" si="149">SUM(W22,W28,W31:W32,W66,W68:W69,W71,W73,W119:W123,W155,W161,W167,W176,W178,W190,W197,W200:W201,W208,W210,W212,W216:W218,W220:W222,W227,W233:W234,W236:W238,W246,W251)</f>
        <v>309.36</v>
      </c>
      <c r="X118" s="111">
        <f t="shared" si="149"/>
        <v>366.40000000000003</v>
      </c>
      <c r="Y118" s="111">
        <f t="shared" si="149"/>
        <v>402.94</v>
      </c>
      <c r="Z118" s="111">
        <f t="shared" ref="Z118:AA118" si="150">SUM(Z22,Z28,Z31:Z32,Z66,Z68:Z69,Z71,Z73,Z119:Z123,Z155,Z161,Z167,Z176,Z178,Z190,Z197,Z200:Z201,Z208,Z210,Z212,Z216:Z218,Z220:Z222,Z227,Z233:Z234,Z236:Z238,Z246,Z251)</f>
        <v>349.44</v>
      </c>
      <c r="AA118" s="111">
        <f t="shared" si="150"/>
        <v>397.2</v>
      </c>
      <c r="AB118" s="111">
        <f t="shared" si="146"/>
        <v>414.50700000000001</v>
      </c>
      <c r="AC118" s="111">
        <f t="shared" si="146"/>
        <v>390.73999999999995</v>
      </c>
      <c r="AD118" s="111"/>
      <c r="AE118" s="111">
        <f>SUM(AE22,AE28,AE31:AE32,AE66,AE68:AE69,AE71,AE73,AE119:AE123,AE155,AE161,AE167,AE176,AE178,AE190,AE197,AE200:AE201,AE208,AE210,AE212,AE216:AE218,AE220:AE222,AE227,AE233:AE234,AE236:AE238,AE246,AE251)</f>
        <v>249.084</v>
      </c>
      <c r="AF118" s="111">
        <f>SUM(AF22,AF28,AF31:AF32,AF66,AF68:AF69,AF71,AF73,AF119:AF123,AF155,AF161,AF167,AF176,AF178,AF190,AF197,AF200:AF201,AF208,AF210,AF212,AF216:AF218,AF220:AF222,AF227,AF233:AF234,AF236:AF238,AF246,AF251)</f>
        <v>195.839</v>
      </c>
      <c r="AG118" s="112"/>
      <c r="AH118" s="47">
        <f t="shared" si="40"/>
        <v>414.50700000000001</v>
      </c>
      <c r="AI118" s="48">
        <f t="shared" si="41"/>
        <v>42</v>
      </c>
    </row>
    <row r="119" spans="1:35" x14ac:dyDescent="0.25">
      <c r="A119" s="172" t="s">
        <v>119</v>
      </c>
      <c r="B119" s="113">
        <v>-10</v>
      </c>
      <c r="C119" s="113">
        <v>0.1</v>
      </c>
      <c r="D119" s="113">
        <v>0.7</v>
      </c>
      <c r="E119" s="113">
        <v>0</v>
      </c>
      <c r="F119" s="113">
        <v>0</v>
      </c>
      <c r="G119" s="113">
        <v>0</v>
      </c>
      <c r="H119" s="113">
        <v>15</v>
      </c>
      <c r="I119" s="113">
        <v>27</v>
      </c>
      <c r="J119" s="113">
        <v>29</v>
      </c>
      <c r="K119" s="113">
        <v>47</v>
      </c>
      <c r="L119" s="113">
        <v>44</v>
      </c>
      <c r="M119" s="113">
        <v>31.3</v>
      </c>
      <c r="N119" s="113">
        <v>33.200000000000003</v>
      </c>
      <c r="O119" s="113">
        <v>31.9</v>
      </c>
      <c r="P119" s="113">
        <v>21.9</v>
      </c>
      <c r="Q119" s="113">
        <v>20.9</v>
      </c>
      <c r="R119" s="113">
        <v>-2</v>
      </c>
      <c r="S119" s="113">
        <v>-4</v>
      </c>
      <c r="T119" s="113">
        <v>-1.5</v>
      </c>
      <c r="U119" s="113">
        <v>2</v>
      </c>
      <c r="V119" s="113">
        <v>34.5</v>
      </c>
      <c r="W119" s="113">
        <v>39.1</v>
      </c>
      <c r="X119" s="113">
        <v>40</v>
      </c>
      <c r="Y119" s="113">
        <v>37.700000000000003</v>
      </c>
      <c r="Z119" s="113">
        <v>38.799999999999997</v>
      </c>
      <c r="AA119" s="113">
        <v>40.6</v>
      </c>
      <c r="AB119" s="113">
        <v>36.4</v>
      </c>
      <c r="AC119" s="113">
        <v>28.2</v>
      </c>
      <c r="AD119" s="113">
        <v>19.5</v>
      </c>
      <c r="AE119" s="113">
        <v>13.3</v>
      </c>
      <c r="AF119" s="113">
        <v>-12.9</v>
      </c>
      <c r="AG119" s="114">
        <v>75</v>
      </c>
      <c r="AH119" s="47">
        <f t="shared" si="40"/>
        <v>47</v>
      </c>
      <c r="AI119" s="48">
        <f t="shared" si="41"/>
        <v>-12.9</v>
      </c>
    </row>
    <row r="120" spans="1:35" x14ac:dyDescent="0.25">
      <c r="A120" s="173" t="s">
        <v>120</v>
      </c>
      <c r="B120" s="115">
        <v>-14</v>
      </c>
      <c r="C120" s="115">
        <v>1.6</v>
      </c>
      <c r="D120" s="115">
        <v>2.8</v>
      </c>
      <c r="E120" s="115">
        <v>0</v>
      </c>
      <c r="F120" s="115">
        <v>0</v>
      </c>
      <c r="G120" s="115">
        <v>0</v>
      </c>
      <c r="H120" s="115">
        <v>11</v>
      </c>
      <c r="I120" s="115">
        <v>22</v>
      </c>
      <c r="J120" s="115">
        <v>22</v>
      </c>
      <c r="K120" s="115">
        <v>37</v>
      </c>
      <c r="L120" s="115">
        <v>36</v>
      </c>
      <c r="M120" s="115">
        <v>36.9</v>
      </c>
      <c r="N120" s="115">
        <v>46.2</v>
      </c>
      <c r="O120" s="115">
        <v>44.1</v>
      </c>
      <c r="P120" s="115">
        <v>34</v>
      </c>
      <c r="Q120" s="115">
        <v>33.799999999999997</v>
      </c>
      <c r="R120" s="115">
        <v>0.3</v>
      </c>
      <c r="S120" s="115">
        <v>-2.5</v>
      </c>
      <c r="T120" s="115">
        <v>-0.5</v>
      </c>
      <c r="U120" s="115">
        <v>3.7</v>
      </c>
      <c r="V120" s="115">
        <v>49.4</v>
      </c>
      <c r="W120" s="115">
        <v>54.4</v>
      </c>
      <c r="X120" s="115">
        <v>54</v>
      </c>
      <c r="Y120" s="115">
        <v>50</v>
      </c>
      <c r="Z120" s="115">
        <v>51.5</v>
      </c>
      <c r="AA120" s="115">
        <v>54.1</v>
      </c>
      <c r="AB120" s="115">
        <v>48.5</v>
      </c>
      <c r="AC120" s="115">
        <v>36.5</v>
      </c>
      <c r="AD120" s="115">
        <v>25.5</v>
      </c>
      <c r="AE120" s="115">
        <v>19.899999999999999</v>
      </c>
      <c r="AF120" s="115">
        <v>-20.5</v>
      </c>
      <c r="AG120" s="114">
        <v>240</v>
      </c>
      <c r="AH120" s="47">
        <f t="shared" si="40"/>
        <v>54.4</v>
      </c>
      <c r="AI120" s="48">
        <f t="shared" si="41"/>
        <v>-20.5</v>
      </c>
    </row>
    <row r="121" spans="1:35" x14ac:dyDescent="0.25">
      <c r="A121" s="173" t="s">
        <v>121</v>
      </c>
      <c r="B121" s="115">
        <v>-8</v>
      </c>
      <c r="C121" s="115">
        <v>-45</v>
      </c>
      <c r="D121" s="115">
        <v>-45</v>
      </c>
      <c r="E121" s="115">
        <v>-47</v>
      </c>
      <c r="F121" s="115">
        <v>-47</v>
      </c>
      <c r="G121" s="115">
        <v>-42</v>
      </c>
      <c r="H121" s="115">
        <v>-20</v>
      </c>
      <c r="I121" s="115">
        <v>-30</v>
      </c>
      <c r="J121" s="115">
        <v>-17</v>
      </c>
      <c r="K121" s="115">
        <v>5</v>
      </c>
      <c r="L121" s="115">
        <v>33</v>
      </c>
      <c r="M121" s="115">
        <v>47.4</v>
      </c>
      <c r="N121" s="115">
        <v>32</v>
      </c>
      <c r="O121" s="115">
        <v>34</v>
      </c>
      <c r="P121" s="115">
        <v>24</v>
      </c>
      <c r="Q121" s="115">
        <v>-16.3</v>
      </c>
      <c r="R121" s="115">
        <v>24</v>
      </c>
      <c r="S121" s="115">
        <v>1</v>
      </c>
      <c r="T121" s="115">
        <v>1</v>
      </c>
      <c r="U121" s="115">
        <v>1</v>
      </c>
      <c r="V121" s="115">
        <v>0</v>
      </c>
      <c r="W121" s="115">
        <v>0.5</v>
      </c>
      <c r="X121" s="115">
        <v>0.5</v>
      </c>
      <c r="Y121" s="115">
        <v>17</v>
      </c>
      <c r="Z121" s="115">
        <v>18</v>
      </c>
      <c r="AA121" s="115">
        <v>20</v>
      </c>
      <c r="AB121" s="115">
        <v>50</v>
      </c>
      <c r="AC121" s="115">
        <v>47</v>
      </c>
      <c r="AD121" s="115">
        <v>35</v>
      </c>
      <c r="AE121" s="115">
        <v>-36</v>
      </c>
      <c r="AF121" s="115">
        <v>2.2000000000000002</v>
      </c>
      <c r="AG121" s="114">
        <v>240</v>
      </c>
      <c r="AH121" s="47">
        <f t="shared" si="40"/>
        <v>50</v>
      </c>
      <c r="AI121" s="48">
        <f t="shared" si="41"/>
        <v>-47</v>
      </c>
    </row>
    <row r="122" spans="1:35" ht="15.75" thickBot="1" x14ac:dyDescent="0.3">
      <c r="A122" s="173" t="s">
        <v>122</v>
      </c>
      <c r="B122" s="115">
        <v>-2</v>
      </c>
      <c r="C122" s="115">
        <v>-5</v>
      </c>
      <c r="D122" s="115">
        <v>-10.3</v>
      </c>
      <c r="E122" s="115">
        <v>-10.5</v>
      </c>
      <c r="F122" s="115">
        <v>-10.5</v>
      </c>
      <c r="G122" s="115">
        <v>-15</v>
      </c>
      <c r="H122" s="115">
        <v>-13</v>
      </c>
      <c r="I122" s="115">
        <v>-10</v>
      </c>
      <c r="J122" s="115">
        <v>3</v>
      </c>
      <c r="K122" s="115">
        <v>2</v>
      </c>
      <c r="L122" s="115">
        <v>6</v>
      </c>
      <c r="M122" s="115">
        <v>12.3</v>
      </c>
      <c r="N122" s="115">
        <v>13</v>
      </c>
      <c r="O122" s="115">
        <v>12</v>
      </c>
      <c r="P122" s="115">
        <v>11</v>
      </c>
      <c r="Q122" s="115">
        <v>27.3</v>
      </c>
      <c r="R122" s="115">
        <v>13</v>
      </c>
      <c r="S122" s="115">
        <v>7.7</v>
      </c>
      <c r="T122" s="115">
        <v>8.1999999999999993</v>
      </c>
      <c r="U122" s="115">
        <f>83.2*1.6</f>
        <v>133.12</v>
      </c>
      <c r="V122" s="115">
        <v>18.899999999999999</v>
      </c>
      <c r="W122" s="115">
        <v>19.8</v>
      </c>
      <c r="X122" s="115">
        <v>26.9</v>
      </c>
      <c r="Y122" s="115">
        <v>48.1</v>
      </c>
      <c r="Z122" s="115">
        <v>48.2</v>
      </c>
      <c r="AA122" s="115">
        <v>48.2</v>
      </c>
      <c r="AB122" s="115">
        <v>46.9</v>
      </c>
      <c r="AC122" s="115">
        <v>45.1</v>
      </c>
      <c r="AD122" s="115">
        <v>41.5</v>
      </c>
      <c r="AE122" s="115">
        <v>26.9</v>
      </c>
      <c r="AF122" s="115">
        <v>7.9</v>
      </c>
      <c r="AG122" s="114">
        <v>60</v>
      </c>
      <c r="AH122" s="47">
        <f t="shared" si="40"/>
        <v>133.12</v>
      </c>
      <c r="AI122" s="48">
        <f t="shared" si="41"/>
        <v>-15</v>
      </c>
    </row>
    <row r="123" spans="1:35" x14ac:dyDescent="0.25">
      <c r="A123" s="172" t="s">
        <v>260</v>
      </c>
      <c r="B123" s="117">
        <f>62*1.6</f>
        <v>99.2</v>
      </c>
      <c r="C123" s="117">
        <f>60*1.6</f>
        <v>96</v>
      </c>
      <c r="D123" s="117">
        <f>57.5*1.6</f>
        <v>92</v>
      </c>
      <c r="E123" s="117">
        <v>85</v>
      </c>
      <c r="F123" s="117">
        <v>85</v>
      </c>
      <c r="G123" s="117">
        <v>75</v>
      </c>
      <c r="H123" s="117">
        <v>85</v>
      </c>
      <c r="I123" s="117">
        <v>86</v>
      </c>
      <c r="J123" s="117">
        <v>90</v>
      </c>
      <c r="K123" s="117">
        <v>95</v>
      </c>
      <c r="L123" s="117">
        <v>120</v>
      </c>
      <c r="M123" s="117">
        <v>109</v>
      </c>
      <c r="N123" s="117">
        <v>165</v>
      </c>
      <c r="O123" s="117">
        <v>155</v>
      </c>
      <c r="P123" s="117">
        <v>150</v>
      </c>
      <c r="Q123" s="117">
        <f>1.64*72.2</f>
        <v>118.408</v>
      </c>
      <c r="R123" s="117">
        <v>130</v>
      </c>
      <c r="S123" s="117">
        <f>84.5*1.6</f>
        <v>135.20000000000002</v>
      </c>
      <c r="T123" s="117">
        <f>82.3*1.6</f>
        <v>131.68</v>
      </c>
      <c r="U123" s="117">
        <v>93.1</v>
      </c>
      <c r="V123" s="117">
        <f>48*1.6</f>
        <v>76.800000000000011</v>
      </c>
      <c r="W123" s="117">
        <f>60.2*1.6</f>
        <v>96.320000000000007</v>
      </c>
      <c r="X123" s="117">
        <f>91.1*1.6</f>
        <v>145.76</v>
      </c>
      <c r="Y123" s="117">
        <f>94.5*1.6</f>
        <v>151.20000000000002</v>
      </c>
      <c r="Z123" s="117">
        <v>94</v>
      </c>
      <c r="AA123" s="117">
        <f>84.6*1.6</f>
        <v>135.35999999999999</v>
      </c>
      <c r="AB123" s="117">
        <f>80.1*1.67</f>
        <v>133.767</v>
      </c>
      <c r="AC123" s="117">
        <v>135</v>
      </c>
      <c r="AD123" s="117">
        <f>74.9*1.67</f>
        <v>125.083</v>
      </c>
      <c r="AE123" s="117">
        <f>73.2*1.67</f>
        <v>122.244</v>
      </c>
      <c r="AF123" s="117">
        <f>69.7*1.67</f>
        <v>116.399</v>
      </c>
      <c r="AG123" s="118">
        <v>120</v>
      </c>
      <c r="AH123" s="47">
        <f t="shared" si="40"/>
        <v>165</v>
      </c>
      <c r="AI123" s="48">
        <f t="shared" si="41"/>
        <v>75</v>
      </c>
    </row>
    <row r="124" spans="1:35" x14ac:dyDescent="0.25">
      <c r="A124" s="173" t="s">
        <v>259</v>
      </c>
      <c r="B124" s="117">
        <v>79</v>
      </c>
      <c r="C124" s="117">
        <v>78</v>
      </c>
      <c r="D124" s="117">
        <v>76</v>
      </c>
      <c r="E124" s="117">
        <v>75</v>
      </c>
      <c r="F124" s="117">
        <v>75</v>
      </c>
      <c r="G124" s="117">
        <v>144</v>
      </c>
      <c r="H124" s="117">
        <v>78</v>
      </c>
      <c r="I124" s="117">
        <v>79</v>
      </c>
      <c r="J124" s="117">
        <v>81</v>
      </c>
      <c r="K124" s="117">
        <v>82</v>
      </c>
      <c r="L124" s="117">
        <v>98</v>
      </c>
      <c r="M124" s="117">
        <v>114.2</v>
      </c>
      <c r="N124" s="117">
        <v>103</v>
      </c>
      <c r="O124" s="117">
        <v>103</v>
      </c>
      <c r="P124" s="117">
        <v>101</v>
      </c>
      <c r="Q124" s="117">
        <v>85.8</v>
      </c>
      <c r="R124" s="117">
        <v>92</v>
      </c>
      <c r="S124" s="117">
        <v>96.2</v>
      </c>
      <c r="T124" s="117">
        <v>92.5</v>
      </c>
      <c r="U124" s="117">
        <v>93.7</v>
      </c>
      <c r="V124" s="117">
        <v>64.900000000000006</v>
      </c>
      <c r="W124" s="117">
        <v>75.099999999999994</v>
      </c>
      <c r="X124" s="117">
        <v>100.4</v>
      </c>
      <c r="Y124" s="117">
        <v>103</v>
      </c>
      <c r="Z124" s="117">
        <f>94.1*1.6</f>
        <v>150.56</v>
      </c>
      <c r="AA124" s="117">
        <v>94.3</v>
      </c>
      <c r="AB124" s="117">
        <v>93.4</v>
      </c>
      <c r="AC124" s="117">
        <v>94.8</v>
      </c>
      <c r="AD124" s="117">
        <v>88.6</v>
      </c>
      <c r="AE124" s="117">
        <v>85.4</v>
      </c>
      <c r="AF124" s="117">
        <v>85.4</v>
      </c>
      <c r="AG124" s="118"/>
      <c r="AH124" s="47"/>
      <c r="AI124" s="48"/>
    </row>
    <row r="125" spans="1:35" x14ac:dyDescent="0.25">
      <c r="A125" s="173" t="s">
        <v>256</v>
      </c>
      <c r="B125" s="117">
        <v>58</v>
      </c>
      <c r="C125" s="117">
        <v>62</v>
      </c>
      <c r="D125" s="117">
        <v>67</v>
      </c>
      <c r="E125" s="117">
        <v>67</v>
      </c>
      <c r="F125" s="117">
        <v>67</v>
      </c>
      <c r="G125" s="117">
        <v>55</v>
      </c>
      <c r="H125" s="117">
        <v>45</v>
      </c>
      <c r="I125" s="117">
        <v>28</v>
      </c>
      <c r="J125" s="117">
        <v>13</v>
      </c>
      <c r="K125" s="117">
        <v>-16</v>
      </c>
      <c r="L125" s="117">
        <v>-15</v>
      </c>
      <c r="M125" s="117">
        <v>-4.5</v>
      </c>
      <c r="N125" s="117">
        <v>-14</v>
      </c>
      <c r="O125" s="117">
        <v>-9</v>
      </c>
      <c r="P125" s="117">
        <v>9</v>
      </c>
      <c r="Q125" s="117">
        <v>8</v>
      </c>
      <c r="R125" s="117">
        <v>28</v>
      </c>
      <c r="S125" s="117">
        <v>38.6</v>
      </c>
      <c r="T125" s="117">
        <v>35.799999999999997</v>
      </c>
      <c r="U125" s="117">
        <v>26.5</v>
      </c>
      <c r="V125" s="117">
        <v>-47.4</v>
      </c>
      <c r="W125" s="117">
        <v>-50.6</v>
      </c>
      <c r="X125" s="117">
        <v>-47.6</v>
      </c>
      <c r="Y125" s="117">
        <v>-56.4</v>
      </c>
      <c r="Z125" s="117">
        <v>-58.8</v>
      </c>
      <c r="AA125" s="117">
        <v>-61.8</v>
      </c>
      <c r="AB125" s="117">
        <v>-54.4</v>
      </c>
      <c r="AC125" s="117">
        <v>-43.2</v>
      </c>
      <c r="AD125" s="117">
        <v>-28.6</v>
      </c>
      <c r="AE125" s="117">
        <v>12.3</v>
      </c>
      <c r="AF125" s="117">
        <v>53</v>
      </c>
      <c r="AG125" s="118"/>
      <c r="AH125" s="47"/>
      <c r="AI125" s="48"/>
    </row>
    <row r="126" spans="1:35" ht="15.75" thickBot="1" x14ac:dyDescent="0.3">
      <c r="A126" s="173" t="s">
        <v>255</v>
      </c>
      <c r="B126" s="117">
        <v>79</v>
      </c>
      <c r="C126" s="117">
        <v>94</v>
      </c>
      <c r="D126" s="117">
        <v>95</v>
      </c>
      <c r="E126" s="117">
        <v>99</v>
      </c>
      <c r="F126" s="117">
        <v>99</v>
      </c>
      <c r="G126" s="117">
        <v>99.5</v>
      </c>
      <c r="H126" s="117">
        <v>98</v>
      </c>
      <c r="I126" s="117">
        <v>97</v>
      </c>
      <c r="J126" s="117">
        <v>92</v>
      </c>
      <c r="K126" s="117">
        <v>82</v>
      </c>
      <c r="L126" s="117">
        <v>87</v>
      </c>
      <c r="M126" s="117">
        <v>106</v>
      </c>
      <c r="N126" s="117">
        <v>92</v>
      </c>
      <c r="O126" s="117">
        <v>88.9</v>
      </c>
      <c r="P126" s="117">
        <v>98</v>
      </c>
      <c r="Q126" s="117">
        <v>84.5</v>
      </c>
      <c r="R126" s="117">
        <v>93</v>
      </c>
      <c r="S126" s="117">
        <v>100</v>
      </c>
      <c r="T126" s="117">
        <v>93.5</v>
      </c>
      <c r="U126" s="117">
        <v>98.9</v>
      </c>
      <c r="V126" s="117">
        <v>48</v>
      </c>
      <c r="W126" s="117">
        <v>51.4</v>
      </c>
      <c r="X126" s="117">
        <v>76.8</v>
      </c>
      <c r="Y126" s="117">
        <v>80.900000000000006</v>
      </c>
      <c r="Z126" s="117">
        <v>81.5</v>
      </c>
      <c r="AA126" s="117">
        <v>75.2</v>
      </c>
      <c r="AB126" s="117">
        <v>76.8</v>
      </c>
      <c r="AC126" s="117">
        <v>81.5</v>
      </c>
      <c r="AD126" s="117">
        <v>75.3</v>
      </c>
      <c r="AE126" s="117">
        <v>98.5</v>
      </c>
      <c r="AF126" s="117">
        <v>88.6</v>
      </c>
      <c r="AG126" s="114"/>
      <c r="AH126" s="47">
        <f t="shared" si="40"/>
        <v>106</v>
      </c>
      <c r="AI126" s="48">
        <f t="shared" si="41"/>
        <v>48</v>
      </c>
    </row>
    <row r="127" spans="1:35" x14ac:dyDescent="0.25">
      <c r="A127" s="172" t="s">
        <v>257</v>
      </c>
      <c r="B127" s="117">
        <v>65.099999999999994</v>
      </c>
      <c r="C127" s="117">
        <v>30</v>
      </c>
      <c r="D127" s="117">
        <v>29</v>
      </c>
      <c r="E127" s="117">
        <v>31</v>
      </c>
      <c r="F127" s="117">
        <v>31</v>
      </c>
      <c r="G127" s="117">
        <v>29</v>
      </c>
      <c r="H127" s="117">
        <v>28</v>
      </c>
      <c r="I127" s="117">
        <v>22</v>
      </c>
      <c r="J127" s="117">
        <v>21</v>
      </c>
      <c r="K127" s="117">
        <v>14</v>
      </c>
      <c r="L127" s="117">
        <v>14.5</v>
      </c>
      <c r="M127" s="117">
        <v>24.3</v>
      </c>
      <c r="N127" s="117">
        <v>24</v>
      </c>
      <c r="O127" s="117">
        <v>26.5</v>
      </c>
      <c r="P127" s="117">
        <v>25</v>
      </c>
      <c r="Q127" s="117">
        <v>24.7</v>
      </c>
      <c r="R127" s="117">
        <v>34</v>
      </c>
      <c r="S127" s="117">
        <v>41</v>
      </c>
      <c r="T127" s="117">
        <v>41.3</v>
      </c>
      <c r="U127" s="117">
        <v>41.4</v>
      </c>
      <c r="V127" s="117">
        <v>13</v>
      </c>
      <c r="W127" s="117">
        <v>16.3</v>
      </c>
      <c r="X127" s="117">
        <v>11</v>
      </c>
      <c r="Y127" s="117">
        <v>18.2</v>
      </c>
      <c r="Z127" s="117">
        <v>20.6</v>
      </c>
      <c r="AA127" s="117">
        <v>25</v>
      </c>
      <c r="AB127" s="117">
        <v>41</v>
      </c>
      <c r="AC127" s="117">
        <v>44.7</v>
      </c>
      <c r="AD127" s="117">
        <v>44.1</v>
      </c>
      <c r="AE127" s="117">
        <v>53.9</v>
      </c>
      <c r="AF127" s="106">
        <v>79.3</v>
      </c>
      <c r="AG127" s="114"/>
      <c r="AH127" s="47">
        <f t="shared" si="40"/>
        <v>79.3</v>
      </c>
      <c r="AI127" s="48">
        <f t="shared" si="41"/>
        <v>11</v>
      </c>
    </row>
    <row r="128" spans="1:35" x14ac:dyDescent="0.25">
      <c r="A128" s="173" t="s">
        <v>124</v>
      </c>
      <c r="B128" s="106">
        <v>-3.7</v>
      </c>
      <c r="C128" s="106">
        <v>0.8</v>
      </c>
      <c r="D128" s="106">
        <v>2</v>
      </c>
      <c r="E128" s="106">
        <v>2</v>
      </c>
      <c r="F128" s="106">
        <v>2</v>
      </c>
      <c r="G128" s="106">
        <v>0</v>
      </c>
      <c r="H128" s="106">
        <v>-6</v>
      </c>
      <c r="I128" s="106">
        <v>-12</v>
      </c>
      <c r="J128" s="106">
        <v>-20</v>
      </c>
      <c r="K128" s="106">
        <v>-27</v>
      </c>
      <c r="L128" s="106">
        <v>-29</v>
      </c>
      <c r="M128" s="106">
        <v>-22.2</v>
      </c>
      <c r="N128" s="106">
        <v>-21</v>
      </c>
      <c r="O128" s="106">
        <v>-22</v>
      </c>
      <c r="P128" s="106">
        <v>-14</v>
      </c>
      <c r="Q128" s="106">
        <v>-14.2</v>
      </c>
      <c r="R128" s="106">
        <v>-8.5</v>
      </c>
      <c r="S128" s="106">
        <v>-8.1</v>
      </c>
      <c r="T128" s="106">
        <v>0</v>
      </c>
      <c r="U128" s="106">
        <v>-1.4</v>
      </c>
      <c r="V128" s="106">
        <v>-24.3</v>
      </c>
      <c r="W128" s="106">
        <v>-30.7</v>
      </c>
      <c r="X128" s="106">
        <v>-49.7</v>
      </c>
      <c r="Y128" s="106">
        <v>-44.6</v>
      </c>
      <c r="Z128" s="106">
        <v>-38.299999999999997</v>
      </c>
      <c r="AA128" s="106">
        <v>-32.299999999999997</v>
      </c>
      <c r="AB128" s="106">
        <v>-27.7</v>
      </c>
      <c r="AC128" s="106">
        <v>-26.2</v>
      </c>
      <c r="AD128" s="106">
        <v>-21.2</v>
      </c>
      <c r="AE128" s="106">
        <v>-7.9</v>
      </c>
      <c r="AF128" s="106">
        <v>-2</v>
      </c>
      <c r="AG128" s="114"/>
      <c r="AH128" s="47">
        <f t="shared" si="40"/>
        <v>2</v>
      </c>
      <c r="AI128" s="48">
        <f t="shared" si="41"/>
        <v>-49.7</v>
      </c>
    </row>
    <row r="129" spans="1:37" x14ac:dyDescent="0.25">
      <c r="A129" s="173" t="s">
        <v>261</v>
      </c>
      <c r="B129" s="106">
        <v>-23.4</v>
      </c>
      <c r="C129" s="106">
        <v>15</v>
      </c>
      <c r="D129" s="106">
        <v>17</v>
      </c>
      <c r="E129" s="106">
        <v>17</v>
      </c>
      <c r="F129" s="106">
        <v>17</v>
      </c>
      <c r="G129" s="106">
        <v>15</v>
      </c>
      <c r="H129" s="106">
        <v>14</v>
      </c>
      <c r="I129" s="106">
        <v>13</v>
      </c>
      <c r="J129" s="106">
        <v>15</v>
      </c>
      <c r="K129" s="106">
        <v>9</v>
      </c>
      <c r="L129" s="106">
        <v>-20</v>
      </c>
      <c r="M129" s="106">
        <v>-34.700000000000003</v>
      </c>
      <c r="N129" s="106">
        <v>-22</v>
      </c>
      <c r="O129" s="106">
        <v>-22</v>
      </c>
      <c r="P129" s="106">
        <v>-19</v>
      </c>
      <c r="Q129" s="106">
        <v>8</v>
      </c>
      <c r="R129" s="106">
        <v>-31</v>
      </c>
      <c r="S129" s="106">
        <v>-38.700000000000003</v>
      </c>
      <c r="T129" s="106">
        <v>-39.9</v>
      </c>
      <c r="U129" s="106">
        <v>-35</v>
      </c>
      <c r="V129" s="106">
        <v>-9.6</v>
      </c>
      <c r="W129" s="106">
        <v>-17.600000000000001</v>
      </c>
      <c r="X129" s="106">
        <v>-35.5</v>
      </c>
      <c r="Y129" s="106">
        <v>-36.5</v>
      </c>
      <c r="Z129" s="106">
        <v>-36.4</v>
      </c>
      <c r="AA129" s="106">
        <v>-35.799999999999997</v>
      </c>
      <c r="AB129" s="106">
        <v>-37.700000000000003</v>
      </c>
      <c r="AC129" s="106">
        <v>-39.299999999999997</v>
      </c>
      <c r="AD129" s="106">
        <v>-33.6</v>
      </c>
      <c r="AE129" s="106">
        <v>16.600000000000001</v>
      </c>
      <c r="AF129" s="106">
        <v>-31.8</v>
      </c>
      <c r="AG129" s="114"/>
      <c r="AH129" s="47">
        <f t="shared" si="40"/>
        <v>17</v>
      </c>
      <c r="AI129" s="48">
        <f t="shared" si="41"/>
        <v>-39.9</v>
      </c>
    </row>
    <row r="130" spans="1:37" ht="15.75" thickBot="1" x14ac:dyDescent="0.3">
      <c r="A130" s="173" t="s">
        <v>258</v>
      </c>
      <c r="B130" s="106">
        <v>86</v>
      </c>
      <c r="C130" s="106">
        <v>87.3</v>
      </c>
      <c r="D130" s="106">
        <v>79.099999999999994</v>
      </c>
      <c r="E130" s="106">
        <v>76</v>
      </c>
      <c r="F130" s="106">
        <v>76</v>
      </c>
      <c r="G130" s="106">
        <v>68</v>
      </c>
      <c r="H130" s="106">
        <v>77</v>
      </c>
      <c r="I130" s="106">
        <v>79</v>
      </c>
      <c r="J130" s="106">
        <v>83</v>
      </c>
      <c r="K130" s="106">
        <v>91</v>
      </c>
      <c r="L130" s="106">
        <v>91</v>
      </c>
      <c r="M130" s="106">
        <v>97.8</v>
      </c>
      <c r="N130" s="106">
        <v>106</v>
      </c>
      <c r="O130" s="106">
        <v>106.8</v>
      </c>
      <c r="P130" s="106">
        <v>104</v>
      </c>
      <c r="Q130" s="106">
        <v>102.7</v>
      </c>
      <c r="R130" s="106">
        <v>94</v>
      </c>
      <c r="S130" s="106">
        <v>89.5</v>
      </c>
      <c r="T130" s="106">
        <v>75.3</v>
      </c>
      <c r="U130" s="106">
        <v>78.599999999999994</v>
      </c>
      <c r="V130" s="106">
        <v>76.099999999999994</v>
      </c>
      <c r="W130" s="106">
        <v>86.7</v>
      </c>
      <c r="X130" s="106">
        <v>112.6</v>
      </c>
      <c r="Y130" s="106">
        <v>109.9</v>
      </c>
      <c r="Z130" s="106">
        <v>103.1</v>
      </c>
      <c r="AA130" s="106">
        <v>101.3</v>
      </c>
      <c r="AB130" s="106">
        <v>99.6</v>
      </c>
      <c r="AC130" s="106">
        <v>92.2</v>
      </c>
      <c r="AD130" s="106">
        <v>90.2</v>
      </c>
      <c r="AE130" s="106">
        <v>88.4</v>
      </c>
      <c r="AF130" s="106">
        <v>78.3</v>
      </c>
      <c r="AG130" s="114"/>
      <c r="AH130" s="47">
        <f t="shared" si="40"/>
        <v>112.6</v>
      </c>
      <c r="AI130" s="48">
        <f t="shared" si="41"/>
        <v>68</v>
      </c>
    </row>
    <row r="131" spans="1:37" x14ac:dyDescent="0.25">
      <c r="A131" s="144" t="s">
        <v>238</v>
      </c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6"/>
      <c r="AG131" s="43"/>
      <c r="AH131" s="47"/>
      <c r="AI131" s="48"/>
    </row>
    <row r="132" spans="1:37" x14ac:dyDescent="0.25">
      <c r="A132" s="189" t="s">
        <v>368</v>
      </c>
      <c r="B132" s="117">
        <v>1984.22</v>
      </c>
      <c r="C132" s="117">
        <v>1984.52</v>
      </c>
      <c r="D132" s="117">
        <v>1984.78</v>
      </c>
      <c r="E132" s="117"/>
      <c r="F132" s="117">
        <v>1985.29</v>
      </c>
      <c r="G132" s="117"/>
      <c r="H132" s="117"/>
      <c r="I132" s="117"/>
      <c r="J132" s="117"/>
      <c r="K132" s="117"/>
      <c r="L132" s="117">
        <v>1985.92</v>
      </c>
      <c r="M132" s="117">
        <v>1985.5</v>
      </c>
      <c r="N132" s="117">
        <v>1984.65</v>
      </c>
      <c r="O132" s="117">
        <v>1983.9</v>
      </c>
      <c r="P132" s="117">
        <v>1982.8</v>
      </c>
      <c r="Q132" s="117">
        <v>1982.5</v>
      </c>
      <c r="R132" s="117">
        <v>1982.61</v>
      </c>
      <c r="S132" s="204">
        <v>1982.95</v>
      </c>
      <c r="T132" s="204">
        <v>1983.22</v>
      </c>
      <c r="U132" s="204">
        <v>1983.55</v>
      </c>
      <c r="V132" s="204">
        <v>1983.71</v>
      </c>
      <c r="W132" s="204">
        <v>1983.72</v>
      </c>
      <c r="X132" s="204">
        <v>1983.6</v>
      </c>
      <c r="Y132" s="204"/>
      <c r="Z132" s="204"/>
      <c r="AA132" s="204"/>
      <c r="AB132" s="117">
        <v>1982.5</v>
      </c>
      <c r="AC132" s="117"/>
      <c r="AD132" s="117">
        <v>1982.52</v>
      </c>
      <c r="AE132" s="117">
        <v>1982.58</v>
      </c>
      <c r="AF132" s="117">
        <v>1982.9</v>
      </c>
      <c r="AG132" s="149"/>
      <c r="AH132" s="47"/>
      <c r="AI132" s="48"/>
    </row>
    <row r="133" spans="1:37" x14ac:dyDescent="0.25">
      <c r="A133" s="189" t="s">
        <v>239</v>
      </c>
      <c r="B133" s="117">
        <v>520.39</v>
      </c>
      <c r="C133" s="117">
        <v>520.79</v>
      </c>
      <c r="D133" s="117">
        <v>521.16</v>
      </c>
      <c r="E133" s="117"/>
      <c r="F133" s="117">
        <v>521.88</v>
      </c>
      <c r="G133" s="117">
        <v>522.23</v>
      </c>
      <c r="H133" s="117"/>
      <c r="I133" s="117"/>
      <c r="J133" s="117"/>
      <c r="K133" s="117"/>
      <c r="L133" s="117">
        <v>522.41999999999996</v>
      </c>
      <c r="M133" s="117">
        <v>522.28</v>
      </c>
      <c r="N133" s="117">
        <v>522.08000000000004</v>
      </c>
      <c r="O133" s="117">
        <v>521.89</v>
      </c>
      <c r="P133" s="117">
        <v>521.67999999999995</v>
      </c>
      <c r="Q133" s="117">
        <v>521.48</v>
      </c>
      <c r="R133" s="117">
        <v>521.30999999999995</v>
      </c>
      <c r="S133" s="204">
        <v>521.38</v>
      </c>
      <c r="T133" s="204">
        <v>521.52</v>
      </c>
      <c r="U133" s="204">
        <v>521.65</v>
      </c>
      <c r="V133" s="204">
        <v>521.52</v>
      </c>
      <c r="W133" s="204"/>
      <c r="X133" s="204"/>
      <c r="Y133" s="204"/>
      <c r="Z133" s="204"/>
      <c r="AA133" s="204"/>
      <c r="AB133" s="117">
        <v>519.86</v>
      </c>
      <c r="AC133" s="117"/>
      <c r="AD133" s="117">
        <v>519.38</v>
      </c>
      <c r="AE133" s="117">
        <v>519.29999999999995</v>
      </c>
      <c r="AF133" s="117">
        <v>519.25</v>
      </c>
      <c r="AG133" s="149"/>
      <c r="AH133" s="47"/>
      <c r="AI133" s="48"/>
    </row>
    <row r="134" spans="1:37" x14ac:dyDescent="0.25">
      <c r="A134" s="189" t="s">
        <v>240</v>
      </c>
      <c r="B134" s="106"/>
      <c r="C134" s="106">
        <v>623.15</v>
      </c>
      <c r="D134" s="106">
        <v>623.6</v>
      </c>
      <c r="E134" s="106">
        <v>623.95000000000005</v>
      </c>
      <c r="F134" s="106">
        <v>624.4</v>
      </c>
      <c r="G134" s="106">
        <v>624.72</v>
      </c>
      <c r="H134" s="106">
        <v>624.87</v>
      </c>
      <c r="I134" s="106">
        <v>624.91</v>
      </c>
      <c r="J134" s="106">
        <v>624.82000000000005</v>
      </c>
      <c r="K134" s="106"/>
      <c r="L134" s="106">
        <v>624.5</v>
      </c>
      <c r="M134" s="106">
        <v>624.13</v>
      </c>
      <c r="N134" s="106">
        <v>623.76</v>
      </c>
      <c r="O134" s="106">
        <v>623.22</v>
      </c>
      <c r="P134" s="106">
        <v>622.51</v>
      </c>
      <c r="Q134" s="106">
        <v>621</v>
      </c>
      <c r="R134" s="106">
        <v>622</v>
      </c>
      <c r="S134" s="190">
        <v>622.45000000000005</v>
      </c>
      <c r="T134" s="190">
        <v>623.07000000000005</v>
      </c>
      <c r="U134" s="190">
        <v>623.46</v>
      </c>
      <c r="V134" s="190">
        <v>623.76</v>
      </c>
      <c r="W134" s="190"/>
      <c r="X134" s="190"/>
      <c r="Y134" s="190"/>
      <c r="Z134" s="190"/>
      <c r="AA134" s="190"/>
      <c r="AB134" s="106">
        <v>622.11</v>
      </c>
      <c r="AC134" s="106"/>
      <c r="AD134" s="106">
        <v>621.59</v>
      </c>
      <c r="AE134" s="106">
        <v>621.62</v>
      </c>
      <c r="AF134" s="106">
        <v>621.91999999999996</v>
      </c>
      <c r="AG134" s="149"/>
      <c r="AH134" s="47"/>
      <c r="AI134" s="48"/>
    </row>
    <row r="135" spans="1:37" x14ac:dyDescent="0.25">
      <c r="A135" s="189" t="s">
        <v>241</v>
      </c>
      <c r="B135" s="106">
        <v>334.33</v>
      </c>
      <c r="C135" s="106">
        <v>334.98</v>
      </c>
      <c r="D135" s="106">
        <v>335.58</v>
      </c>
      <c r="E135" s="106"/>
      <c r="F135" s="106">
        <v>336.4</v>
      </c>
      <c r="G135" s="106"/>
      <c r="H135" s="106"/>
      <c r="I135" s="106"/>
      <c r="J135" s="106"/>
      <c r="K135" s="106"/>
      <c r="L135" s="106">
        <v>336.09</v>
      </c>
      <c r="M135" s="106">
        <v>335.5</v>
      </c>
      <c r="N135" s="106">
        <v>334.92</v>
      </c>
      <c r="O135" s="106">
        <v>334.15</v>
      </c>
      <c r="P135" s="106">
        <v>333.86</v>
      </c>
      <c r="Q135" s="106">
        <v>333.75</v>
      </c>
      <c r="R135" s="106">
        <v>334.14</v>
      </c>
      <c r="S135" s="190">
        <v>335.05</v>
      </c>
      <c r="T135" s="190">
        <v>335.71</v>
      </c>
      <c r="U135" s="190">
        <v>336.09</v>
      </c>
      <c r="V135" s="190">
        <v>336.37</v>
      </c>
      <c r="W135" s="190"/>
      <c r="X135" s="190"/>
      <c r="Y135" s="190"/>
      <c r="Z135" s="190"/>
      <c r="AA135" s="190"/>
      <c r="AB135" s="106">
        <v>335.44</v>
      </c>
      <c r="AC135" s="106"/>
      <c r="AD135" s="106">
        <v>334.97</v>
      </c>
      <c r="AE135" s="106">
        <v>334.5</v>
      </c>
      <c r="AF135" s="106">
        <v>334.38</v>
      </c>
      <c r="AG135" s="149"/>
      <c r="AH135" s="47"/>
      <c r="AI135" s="48"/>
    </row>
    <row r="136" spans="1:37" x14ac:dyDescent="0.25">
      <c r="A136" s="189" t="s">
        <v>407</v>
      </c>
      <c r="B136" s="117">
        <v>883.2</v>
      </c>
      <c r="C136" s="117">
        <v>884.2</v>
      </c>
      <c r="D136" s="117">
        <v>884.9</v>
      </c>
      <c r="E136" s="117"/>
      <c r="F136" s="117"/>
      <c r="G136" s="117">
        <v>886.8</v>
      </c>
      <c r="H136" s="117"/>
      <c r="I136" s="117"/>
      <c r="J136" s="117"/>
      <c r="K136" s="117"/>
      <c r="L136" s="117"/>
      <c r="M136" s="117">
        <v>885.2</v>
      </c>
      <c r="N136" s="117">
        <v>884.3</v>
      </c>
      <c r="O136" s="117">
        <v>883.2</v>
      </c>
      <c r="P136" s="117">
        <v>883.2</v>
      </c>
      <c r="Q136" s="117">
        <v>884.2</v>
      </c>
      <c r="R136" s="117">
        <v>884.1</v>
      </c>
      <c r="S136" s="204">
        <v>884</v>
      </c>
      <c r="T136" s="204">
        <v>884</v>
      </c>
      <c r="U136" s="204">
        <v>884.7</v>
      </c>
      <c r="V136" s="204">
        <v>885.4</v>
      </c>
      <c r="W136" s="204"/>
      <c r="X136" s="204"/>
      <c r="Y136" s="204"/>
      <c r="Z136" s="204"/>
      <c r="AA136" s="204"/>
      <c r="AB136" s="117">
        <v>882.1</v>
      </c>
      <c r="AC136" s="117"/>
      <c r="AD136" s="117">
        <v>882.1</v>
      </c>
      <c r="AE136" s="117">
        <v>882.1</v>
      </c>
      <c r="AF136" s="117">
        <v>882.5</v>
      </c>
      <c r="AG136" s="149"/>
      <c r="AH136" s="47"/>
      <c r="AI136" s="48"/>
    </row>
    <row r="137" spans="1:37" x14ac:dyDescent="0.25">
      <c r="A137" s="189" t="s">
        <v>242</v>
      </c>
      <c r="B137" s="117">
        <v>1519.7</v>
      </c>
      <c r="C137" s="117"/>
      <c r="D137" s="117">
        <v>1519.7</v>
      </c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204"/>
      <c r="T137" s="117"/>
      <c r="U137" s="117"/>
      <c r="V137" s="117"/>
      <c r="W137" s="117"/>
      <c r="X137" s="117"/>
      <c r="Y137" s="117"/>
      <c r="Z137" s="117"/>
      <c r="AA137" s="117"/>
      <c r="AB137" s="117">
        <v>1519.69</v>
      </c>
      <c r="AC137" s="117"/>
      <c r="AD137" s="117"/>
      <c r="AE137" s="117"/>
      <c r="AF137" s="117"/>
      <c r="AG137" s="149"/>
      <c r="AH137" s="47"/>
      <c r="AI137" s="48"/>
    </row>
    <row r="138" spans="1:37" ht="15.75" thickBot="1" x14ac:dyDescent="0.3">
      <c r="A138" s="120" t="s">
        <v>125</v>
      </c>
      <c r="B138" s="121"/>
      <c r="C138" s="121"/>
      <c r="D138" s="121"/>
      <c r="E138" s="121"/>
      <c r="F138" s="170" t="s">
        <v>254</v>
      </c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74"/>
      <c r="AH138" s="47"/>
      <c r="AI138" s="48"/>
      <c r="AK138" s="50"/>
    </row>
    <row r="139" spans="1:37" x14ac:dyDescent="0.25">
      <c r="A139" s="122" t="s">
        <v>126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5">
        <v>9.94</v>
      </c>
      <c r="AH139" s="47"/>
      <c r="AI139" s="48"/>
      <c r="AK139" s="50"/>
    </row>
    <row r="140" spans="1:37" x14ac:dyDescent="0.25">
      <c r="A140" s="103" t="s">
        <v>127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5"/>
      <c r="AH140" s="47"/>
      <c r="AI140" s="48"/>
      <c r="AK140" s="50"/>
    </row>
    <row r="141" spans="1:37" x14ac:dyDescent="0.25">
      <c r="A141" s="103" t="s">
        <v>128</v>
      </c>
      <c r="B141" s="123"/>
      <c r="C141" s="124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5"/>
      <c r="AH141" s="47"/>
      <c r="AI141" s="48"/>
      <c r="AK141" s="50"/>
    </row>
    <row r="142" spans="1:37" x14ac:dyDescent="0.25">
      <c r="A142" s="103" t="s">
        <v>129</v>
      </c>
      <c r="B142" s="123"/>
      <c r="C142" s="124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5"/>
      <c r="AH142" s="47"/>
      <c r="AI142" s="48"/>
      <c r="AK142" s="50"/>
    </row>
    <row r="143" spans="1:37" x14ac:dyDescent="0.25">
      <c r="A143" s="103" t="s">
        <v>130</v>
      </c>
      <c r="B143" s="123"/>
      <c r="C143" s="124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5"/>
      <c r="AH143" s="47"/>
      <c r="AI143" s="48"/>
      <c r="AK143" s="50"/>
    </row>
    <row r="144" spans="1:37" x14ac:dyDescent="0.25">
      <c r="A144" s="103" t="s">
        <v>131</v>
      </c>
      <c r="B144" s="123"/>
      <c r="C144" s="124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5"/>
      <c r="AH144" s="47"/>
      <c r="AI144" s="48"/>
      <c r="AK144" s="50"/>
    </row>
    <row r="145" spans="1:37" x14ac:dyDescent="0.25">
      <c r="A145" s="103" t="s">
        <v>132</v>
      </c>
      <c r="B145" s="123"/>
      <c r="C145" s="124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5"/>
      <c r="AH145" s="47"/>
      <c r="AI145" s="48"/>
      <c r="AK145" s="50"/>
    </row>
    <row r="146" spans="1:37" x14ac:dyDescent="0.25">
      <c r="A146" s="103" t="s">
        <v>133</v>
      </c>
      <c r="B146" s="123"/>
      <c r="C146" s="124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5"/>
      <c r="AH146" s="47"/>
      <c r="AI146" s="48"/>
      <c r="AK146" s="50"/>
    </row>
    <row r="147" spans="1:37" x14ac:dyDescent="0.25">
      <c r="A147" s="103" t="s">
        <v>134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5"/>
      <c r="AH147" s="47"/>
      <c r="AI147" s="48"/>
      <c r="AK147" s="50"/>
    </row>
    <row r="148" spans="1:37" x14ac:dyDescent="0.25">
      <c r="A148" s="103" t="s">
        <v>135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5"/>
      <c r="AH148" s="47"/>
      <c r="AI148" s="48"/>
      <c r="AK148" s="50"/>
    </row>
    <row r="149" spans="1:37" x14ac:dyDescent="0.25">
      <c r="A149" s="103" t="s">
        <v>136</v>
      </c>
      <c r="B149" s="123"/>
      <c r="C149" s="124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5"/>
      <c r="AH149" s="47"/>
      <c r="AI149" s="48"/>
      <c r="AK149" s="50"/>
    </row>
    <row r="150" spans="1:37" x14ac:dyDescent="0.25">
      <c r="A150" s="103" t="s">
        <v>137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5"/>
      <c r="AH150" s="47"/>
      <c r="AI150" s="48"/>
      <c r="AK150" s="50"/>
    </row>
    <row r="151" spans="1:37" x14ac:dyDescent="0.25">
      <c r="A151" s="103" t="s">
        <v>138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5"/>
      <c r="AH151" s="47"/>
      <c r="AI151" s="48"/>
      <c r="AK151" s="50"/>
    </row>
    <row r="152" spans="1:37" x14ac:dyDescent="0.25">
      <c r="A152" s="103" t="s">
        <v>139</v>
      </c>
      <c r="B152" s="123"/>
      <c r="C152" s="124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5"/>
      <c r="AH152" s="47"/>
      <c r="AI152" s="48"/>
      <c r="AK152" s="50"/>
    </row>
    <row r="153" spans="1:37" x14ac:dyDescent="0.25">
      <c r="A153" s="103" t="s">
        <v>140</v>
      </c>
      <c r="B153" s="123"/>
      <c r="C153" s="124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5"/>
      <c r="AH153" s="47"/>
      <c r="AI153" s="48"/>
      <c r="AK153" s="50"/>
    </row>
    <row r="154" spans="1:37" x14ac:dyDescent="0.25">
      <c r="A154" s="103" t="s">
        <v>141</v>
      </c>
      <c r="B154" s="123"/>
      <c r="C154" s="124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5"/>
      <c r="AH154" s="47"/>
      <c r="AI154" s="48"/>
      <c r="AK154" s="50"/>
    </row>
    <row r="155" spans="1:37" x14ac:dyDescent="0.25">
      <c r="A155" s="103" t="s">
        <v>142</v>
      </c>
      <c r="B155" s="126"/>
      <c r="C155" s="127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8">
        <v>9.9</v>
      </c>
      <c r="AH155" s="47"/>
      <c r="AI155" s="48"/>
      <c r="AK155" s="50"/>
    </row>
    <row r="156" spans="1:37" x14ac:dyDescent="0.25">
      <c r="A156" s="116" t="s">
        <v>143</v>
      </c>
      <c r="B156" s="126"/>
      <c r="C156" s="127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9">
        <v>9.6579999999999995</v>
      </c>
      <c r="AH156" s="47"/>
      <c r="AI156" s="48"/>
      <c r="AK156" s="50"/>
    </row>
    <row r="157" spans="1:37" x14ac:dyDescent="0.25">
      <c r="A157" s="116" t="s">
        <v>144</v>
      </c>
      <c r="B157" s="126"/>
      <c r="C157" s="127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9">
        <v>9.6</v>
      </c>
      <c r="AH157" s="47"/>
      <c r="AI157" s="48"/>
      <c r="AK157" s="50"/>
    </row>
    <row r="158" spans="1:37" x14ac:dyDescent="0.25">
      <c r="A158" s="116" t="s">
        <v>145</v>
      </c>
      <c r="B158" s="126"/>
      <c r="C158" s="127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9">
        <v>9.51</v>
      </c>
      <c r="AH158" s="47"/>
      <c r="AI158" s="48"/>
      <c r="AK158" s="50"/>
    </row>
    <row r="159" spans="1:37" x14ac:dyDescent="0.25">
      <c r="A159" s="116" t="s">
        <v>146</v>
      </c>
      <c r="B159" s="126"/>
      <c r="C159" s="127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9">
        <v>9.4</v>
      </c>
      <c r="AH159" s="47"/>
      <c r="AI159" s="48"/>
      <c r="AK159" s="50"/>
    </row>
    <row r="160" spans="1:37" x14ac:dyDescent="0.25">
      <c r="A160" s="116" t="s">
        <v>147</v>
      </c>
      <c r="B160" s="126"/>
      <c r="C160" s="127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9">
        <v>8.8000000000000007</v>
      </c>
      <c r="AH160" s="47"/>
      <c r="AI160" s="48"/>
      <c r="AK160" s="50"/>
    </row>
    <row r="161" spans="1:37" x14ac:dyDescent="0.25">
      <c r="A161" s="116" t="s">
        <v>148</v>
      </c>
      <c r="B161" s="126"/>
      <c r="C161" s="127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9">
        <v>8.5</v>
      </c>
      <c r="AH161" s="47"/>
      <c r="AI161" s="48"/>
      <c r="AK161" s="50"/>
    </row>
    <row r="162" spans="1:37" x14ac:dyDescent="0.25">
      <c r="A162" s="116" t="s">
        <v>149</v>
      </c>
      <c r="B162" s="126"/>
      <c r="C162" s="127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9">
        <v>8.5</v>
      </c>
      <c r="AH162" s="47"/>
      <c r="AI162" s="48"/>
      <c r="AK162" s="50"/>
    </row>
    <row r="163" spans="1:37" x14ac:dyDescent="0.25">
      <c r="A163" s="116" t="s">
        <v>150</v>
      </c>
      <c r="B163" s="126"/>
      <c r="C163" s="127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9">
        <v>8.4</v>
      </c>
      <c r="AH163" s="47"/>
      <c r="AI163" s="48"/>
      <c r="AK163" s="50"/>
    </row>
    <row r="164" spans="1:37" ht="13.5" customHeight="1" x14ac:dyDescent="0.25">
      <c r="A164" s="116" t="s">
        <v>151</v>
      </c>
      <c r="B164" s="126"/>
      <c r="C164" s="127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9">
        <v>8</v>
      </c>
      <c r="AH164" s="47"/>
      <c r="AI164" s="48"/>
      <c r="AK164" s="50"/>
    </row>
    <row r="165" spans="1:37" x14ac:dyDescent="0.25">
      <c r="A165" s="116" t="s">
        <v>152</v>
      </c>
      <c r="B165" s="126"/>
      <c r="C165" s="127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9">
        <v>8</v>
      </c>
      <c r="AH165" s="47"/>
      <c r="AI165" s="48"/>
      <c r="AK165" s="50"/>
    </row>
    <row r="166" spans="1:37" x14ac:dyDescent="0.25">
      <c r="A166" s="116" t="s">
        <v>153</v>
      </c>
      <c r="B166" s="126"/>
      <c r="C166" s="127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9">
        <v>8</v>
      </c>
      <c r="AH166" s="47"/>
      <c r="AI166" s="48"/>
      <c r="AK166" s="50"/>
    </row>
    <row r="167" spans="1:37" x14ac:dyDescent="0.25">
      <c r="A167" s="116" t="s">
        <v>154</v>
      </c>
      <c r="B167" s="126"/>
      <c r="C167" s="127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9">
        <v>7.8</v>
      </c>
      <c r="AH167" s="47"/>
      <c r="AI167" s="48"/>
      <c r="AK167" s="50"/>
    </row>
    <row r="168" spans="1:37" x14ac:dyDescent="0.25">
      <c r="A168" s="116" t="s">
        <v>155</v>
      </c>
      <c r="B168" s="126"/>
      <c r="C168" s="127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9">
        <v>7.6</v>
      </c>
      <c r="AH168" s="47"/>
      <c r="AI168" s="48"/>
      <c r="AK168" s="50"/>
    </row>
    <row r="169" spans="1:37" x14ac:dyDescent="0.25">
      <c r="A169" s="116" t="s">
        <v>156</v>
      </c>
      <c r="B169" s="126"/>
      <c r="C169" s="127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9">
        <v>7.5</v>
      </c>
      <c r="AH169" s="47"/>
      <c r="AI169" s="48"/>
      <c r="AK169" s="50"/>
    </row>
    <row r="170" spans="1:37" x14ac:dyDescent="0.25">
      <c r="A170" s="116" t="s">
        <v>157</v>
      </c>
      <c r="B170" s="126"/>
      <c r="C170" s="127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9">
        <v>7.5</v>
      </c>
      <c r="AH170" s="47"/>
      <c r="AI170" s="48"/>
      <c r="AK170" s="50"/>
    </row>
    <row r="171" spans="1:37" x14ac:dyDescent="0.25">
      <c r="A171" s="116" t="s">
        <v>158</v>
      </c>
      <c r="B171" s="126"/>
      <c r="C171" s="127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9">
        <v>7</v>
      </c>
      <c r="AH171" s="47"/>
      <c r="AI171" s="48"/>
      <c r="AK171" s="50"/>
    </row>
    <row r="172" spans="1:37" x14ac:dyDescent="0.25">
      <c r="A172" s="116" t="s">
        <v>159</v>
      </c>
      <c r="B172" s="126"/>
      <c r="C172" s="127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9">
        <v>7</v>
      </c>
      <c r="AH172" s="47"/>
      <c r="AI172" s="48"/>
      <c r="AK172" s="50"/>
    </row>
    <row r="173" spans="1:37" x14ac:dyDescent="0.25">
      <c r="A173" s="116" t="s">
        <v>160</v>
      </c>
      <c r="B173" s="126"/>
      <c r="C173" s="127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9">
        <v>7</v>
      </c>
      <c r="AH173" s="47"/>
      <c r="AI173" s="48"/>
      <c r="AK173" s="50"/>
    </row>
    <row r="174" spans="1:37" x14ac:dyDescent="0.25">
      <c r="A174" s="116" t="s">
        <v>161</v>
      </c>
      <c r="B174" s="126"/>
      <c r="C174" s="127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9">
        <v>7</v>
      </c>
      <c r="AH174" s="47"/>
      <c r="AI174" s="48"/>
      <c r="AK174" s="50"/>
    </row>
    <row r="175" spans="1:37" x14ac:dyDescent="0.25">
      <c r="A175" s="116" t="s">
        <v>162</v>
      </c>
      <c r="B175" s="126"/>
      <c r="C175" s="127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9">
        <v>6.6</v>
      </c>
      <c r="AH175" s="47"/>
      <c r="AI175" s="48"/>
      <c r="AK175" s="50"/>
    </row>
    <row r="176" spans="1:37" x14ac:dyDescent="0.25">
      <c r="A176" s="116" t="s">
        <v>163</v>
      </c>
      <c r="B176" s="126"/>
      <c r="C176" s="127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9">
        <v>6.6</v>
      </c>
      <c r="AH176" s="47"/>
      <c r="AI176" s="48"/>
      <c r="AK176" s="50"/>
    </row>
    <row r="177" spans="1:37" x14ac:dyDescent="0.25">
      <c r="A177" s="116" t="s">
        <v>164</v>
      </c>
      <c r="B177" s="126"/>
      <c r="C177" s="127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9">
        <v>6.4</v>
      </c>
      <c r="AH177" s="47"/>
      <c r="AI177" s="48"/>
      <c r="AK177" s="50"/>
    </row>
    <row r="178" spans="1:37" x14ac:dyDescent="0.25">
      <c r="A178" s="116" t="s">
        <v>165</v>
      </c>
      <c r="B178" s="126"/>
      <c r="C178" s="127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9">
        <v>6</v>
      </c>
      <c r="AH178" s="47"/>
      <c r="AI178" s="48"/>
      <c r="AK178" s="50"/>
    </row>
    <row r="179" spans="1:37" x14ac:dyDescent="0.25">
      <c r="A179" s="116" t="s">
        <v>166</v>
      </c>
      <c r="B179" s="126"/>
      <c r="C179" s="127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9">
        <v>5.0999999999999996</v>
      </c>
      <c r="AH179" s="47"/>
      <c r="AI179" s="48"/>
      <c r="AK179" s="50"/>
    </row>
    <row r="180" spans="1:37" x14ac:dyDescent="0.25">
      <c r="A180" s="116" t="s">
        <v>167</v>
      </c>
      <c r="B180" s="126"/>
      <c r="C180" s="127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9">
        <v>5</v>
      </c>
      <c r="AH180" s="47"/>
      <c r="AI180" s="48"/>
      <c r="AK180" s="50"/>
    </row>
    <row r="181" spans="1:37" x14ac:dyDescent="0.25">
      <c r="A181" s="103" t="s">
        <v>168</v>
      </c>
      <c r="B181" s="126"/>
      <c r="C181" s="127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8">
        <v>5</v>
      </c>
      <c r="AH181" s="47"/>
      <c r="AI181" s="48"/>
      <c r="AK181" s="50"/>
    </row>
    <row r="182" spans="1:37" x14ac:dyDescent="0.25">
      <c r="A182" s="116" t="s">
        <v>169</v>
      </c>
      <c r="B182" s="126"/>
      <c r="C182" s="127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9">
        <v>5</v>
      </c>
      <c r="AH182" s="47"/>
      <c r="AI182" s="48"/>
      <c r="AK182" s="50"/>
    </row>
    <row r="183" spans="1:37" x14ac:dyDescent="0.25">
      <c r="A183" s="116" t="s">
        <v>170</v>
      </c>
      <c r="B183" s="126"/>
      <c r="C183" s="127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9">
        <v>5</v>
      </c>
      <c r="AH183" s="47"/>
      <c r="AI183" s="48"/>
      <c r="AK183" s="50"/>
    </row>
    <row r="184" spans="1:37" x14ac:dyDescent="0.25">
      <c r="A184" s="116" t="s">
        <v>171</v>
      </c>
      <c r="B184" s="126"/>
      <c r="C184" s="127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9">
        <v>5</v>
      </c>
      <c r="AH184" s="47"/>
      <c r="AI184" s="48"/>
      <c r="AK184" s="50"/>
    </row>
    <row r="185" spans="1:37" x14ac:dyDescent="0.25">
      <c r="A185" s="116" t="s">
        <v>172</v>
      </c>
      <c r="B185" s="126"/>
      <c r="C185" s="127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9">
        <v>5</v>
      </c>
      <c r="AH185" s="47"/>
      <c r="AI185" s="48"/>
      <c r="AK185" s="50"/>
    </row>
    <row r="186" spans="1:37" x14ac:dyDescent="0.25">
      <c r="A186" s="116" t="s">
        <v>173</v>
      </c>
      <c r="B186" s="126"/>
      <c r="C186" s="127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9">
        <v>5</v>
      </c>
      <c r="AH186" s="47"/>
      <c r="AI186" s="48"/>
      <c r="AK186" s="50"/>
    </row>
    <row r="187" spans="1:37" x14ac:dyDescent="0.25">
      <c r="A187" s="116" t="s">
        <v>174</v>
      </c>
      <c r="B187" s="126"/>
      <c r="C187" s="127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9">
        <v>4.9930000000000003</v>
      </c>
      <c r="AH187" s="47"/>
      <c r="AI187" s="48"/>
      <c r="AK187" s="50"/>
    </row>
    <row r="188" spans="1:37" x14ac:dyDescent="0.25">
      <c r="A188" s="116" t="s">
        <v>175</v>
      </c>
      <c r="B188" s="126"/>
      <c r="C188" s="127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9">
        <v>4.9800000000000004</v>
      </c>
      <c r="AH188" s="47"/>
      <c r="AI188" s="48"/>
      <c r="AK188" s="50"/>
    </row>
    <row r="189" spans="1:37" x14ac:dyDescent="0.25">
      <c r="A189" s="116" t="s">
        <v>176</v>
      </c>
      <c r="B189" s="126"/>
      <c r="C189" s="127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9">
        <v>4.95</v>
      </c>
      <c r="AH189" s="47"/>
      <c r="AI189" s="48"/>
      <c r="AK189" s="50"/>
    </row>
    <row r="190" spans="1:37" x14ac:dyDescent="0.25">
      <c r="A190" s="116" t="s">
        <v>177</v>
      </c>
      <c r="B190" s="126"/>
      <c r="C190" s="127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9">
        <v>4.95</v>
      </c>
      <c r="AH190" s="47"/>
      <c r="AI190" s="48"/>
      <c r="AK190" s="50"/>
    </row>
    <row r="191" spans="1:37" x14ac:dyDescent="0.25">
      <c r="A191" s="116" t="s">
        <v>178</v>
      </c>
      <c r="B191" s="126"/>
      <c r="C191" s="127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9">
        <v>4.8</v>
      </c>
      <c r="AH191" s="47"/>
      <c r="AI191" s="48"/>
      <c r="AK191" s="50"/>
    </row>
    <row r="192" spans="1:37" x14ac:dyDescent="0.25">
      <c r="A192" s="116" t="s">
        <v>179</v>
      </c>
      <c r="B192" s="126"/>
      <c r="C192" s="127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9">
        <v>4.8</v>
      </c>
      <c r="AH192" s="47"/>
      <c r="AI192" s="48"/>
      <c r="AK192" s="50"/>
    </row>
    <row r="193" spans="1:37" x14ac:dyDescent="0.25">
      <c r="A193" s="116" t="s">
        <v>180</v>
      </c>
      <c r="B193" s="126"/>
      <c r="C193" s="127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9">
        <v>4.8</v>
      </c>
      <c r="AH193" s="47"/>
      <c r="AI193" s="48"/>
      <c r="AK193" s="50"/>
    </row>
    <row r="194" spans="1:37" x14ac:dyDescent="0.25">
      <c r="A194" s="116" t="s">
        <v>181</v>
      </c>
      <c r="B194" s="126"/>
      <c r="C194" s="127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9">
        <v>4.5</v>
      </c>
      <c r="AH194" s="47"/>
      <c r="AI194" s="48"/>
      <c r="AK194" s="50"/>
    </row>
    <row r="195" spans="1:37" x14ac:dyDescent="0.25">
      <c r="A195" s="116" t="s">
        <v>182</v>
      </c>
      <c r="B195" s="126"/>
      <c r="C195" s="127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9">
        <v>4.5</v>
      </c>
      <c r="AH195" s="47"/>
      <c r="AI195" s="48"/>
      <c r="AK195" s="50"/>
    </row>
    <row r="196" spans="1:37" x14ac:dyDescent="0.25">
      <c r="A196" s="116" t="s">
        <v>183</v>
      </c>
      <c r="B196" s="126"/>
      <c r="C196" s="127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9">
        <v>4.4550000000000001</v>
      </c>
      <c r="AH196" s="47"/>
      <c r="AI196" s="48"/>
      <c r="AK196" s="50"/>
    </row>
    <row r="197" spans="1:37" x14ac:dyDescent="0.25">
      <c r="A197" s="116" t="s">
        <v>184</v>
      </c>
      <c r="B197" s="126"/>
      <c r="C197" s="127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9">
        <v>4.41</v>
      </c>
      <c r="AH197" s="47"/>
      <c r="AI197" s="48"/>
      <c r="AK197" s="50"/>
    </row>
    <row r="198" spans="1:37" x14ac:dyDescent="0.25">
      <c r="A198" s="116" t="s">
        <v>185</v>
      </c>
      <c r="B198" s="126"/>
      <c r="C198" s="127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9">
        <v>4.4000000000000004</v>
      </c>
      <c r="AH198" s="47"/>
      <c r="AI198" s="48"/>
      <c r="AK198" s="50"/>
    </row>
    <row r="199" spans="1:37" x14ac:dyDescent="0.25">
      <c r="A199" s="116" t="s">
        <v>186</v>
      </c>
      <c r="B199" s="126"/>
      <c r="C199" s="127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9">
        <v>4.3600000000000003</v>
      </c>
      <c r="AH199" s="47"/>
      <c r="AI199" s="48"/>
      <c r="AK199" s="50"/>
    </row>
    <row r="200" spans="1:37" x14ac:dyDescent="0.25">
      <c r="A200" s="116" t="s">
        <v>187</v>
      </c>
      <c r="B200" s="126"/>
      <c r="C200" s="127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9">
        <v>4.2</v>
      </c>
      <c r="AH200" s="47"/>
      <c r="AI200" s="48"/>
      <c r="AK200" s="50"/>
    </row>
    <row r="201" spans="1:37" x14ac:dyDescent="0.25">
      <c r="A201" s="116" t="s">
        <v>188</v>
      </c>
      <c r="B201" s="126"/>
      <c r="C201" s="127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9">
        <v>4</v>
      </c>
      <c r="AH201" s="47"/>
      <c r="AI201" s="48"/>
      <c r="AK201" s="50"/>
    </row>
    <row r="202" spans="1:37" x14ac:dyDescent="0.25">
      <c r="A202" s="116" t="s">
        <v>189</v>
      </c>
      <c r="B202" s="126"/>
      <c r="C202" s="127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9">
        <v>4</v>
      </c>
      <c r="AH202" s="47"/>
      <c r="AI202" s="48"/>
      <c r="AK202" s="50"/>
    </row>
    <row r="203" spans="1:37" x14ac:dyDescent="0.25">
      <c r="A203" s="116" t="s">
        <v>190</v>
      </c>
      <c r="B203" s="126"/>
      <c r="C203" s="127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9">
        <v>4</v>
      </c>
      <c r="AH203" s="47"/>
      <c r="AI203" s="48"/>
      <c r="AK203" s="50"/>
    </row>
    <row r="204" spans="1:37" x14ac:dyDescent="0.25">
      <c r="A204" s="116" t="s">
        <v>191</v>
      </c>
      <c r="B204" s="126"/>
      <c r="C204" s="127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9">
        <v>4</v>
      </c>
      <c r="AH204" s="47"/>
      <c r="AI204" s="48"/>
      <c r="AK204" s="50"/>
    </row>
    <row r="205" spans="1:37" x14ac:dyDescent="0.25">
      <c r="A205" s="116" t="s">
        <v>192</v>
      </c>
      <c r="B205" s="126"/>
      <c r="C205" s="127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9">
        <v>4</v>
      </c>
      <c r="AH205" s="47"/>
      <c r="AI205" s="48"/>
      <c r="AK205" s="50"/>
    </row>
    <row r="206" spans="1:37" x14ac:dyDescent="0.25">
      <c r="A206" s="116" t="s">
        <v>193</v>
      </c>
      <c r="B206" s="126"/>
      <c r="C206" s="127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9">
        <v>4</v>
      </c>
      <c r="AH206" s="47"/>
      <c r="AI206" s="48"/>
      <c r="AK206" s="50"/>
    </row>
    <row r="207" spans="1:37" x14ac:dyDescent="0.25">
      <c r="A207" s="116" t="s">
        <v>194</v>
      </c>
      <c r="B207" s="126"/>
      <c r="C207" s="127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9">
        <v>4</v>
      </c>
      <c r="AH207" s="47"/>
      <c r="AI207" s="48"/>
      <c r="AK207" s="50"/>
    </row>
    <row r="208" spans="1:37" x14ac:dyDescent="0.25">
      <c r="A208" s="116" t="s">
        <v>195</v>
      </c>
      <c r="B208" s="126"/>
      <c r="C208" s="127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9">
        <v>4</v>
      </c>
      <c r="AH208" s="47"/>
      <c r="AI208" s="48"/>
      <c r="AK208" s="50"/>
    </row>
    <row r="209" spans="1:37" x14ac:dyDescent="0.25">
      <c r="A209" s="116" t="s">
        <v>196</v>
      </c>
      <c r="B209" s="126"/>
      <c r="C209" s="127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9">
        <v>3.75</v>
      </c>
      <c r="AH209" s="47"/>
      <c r="AI209" s="48"/>
      <c r="AK209" s="50"/>
    </row>
    <row r="210" spans="1:37" x14ac:dyDescent="0.25">
      <c r="A210" s="116" t="s">
        <v>197</v>
      </c>
      <c r="B210" s="126"/>
      <c r="C210" s="127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9">
        <v>3.52</v>
      </c>
      <c r="AH210" s="47"/>
      <c r="AI210" s="48"/>
      <c r="AK210" s="50"/>
    </row>
    <row r="211" spans="1:37" x14ac:dyDescent="0.25">
      <c r="A211" s="116" t="s">
        <v>198</v>
      </c>
      <c r="B211" s="126"/>
      <c r="C211" s="127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9">
        <v>3.33</v>
      </c>
      <c r="AH211" s="47"/>
      <c r="AI211" s="48"/>
      <c r="AK211" s="50"/>
    </row>
    <row r="212" spans="1:37" x14ac:dyDescent="0.25">
      <c r="A212" s="116" t="s">
        <v>199</v>
      </c>
      <c r="B212" s="126"/>
      <c r="C212" s="127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9">
        <v>3.2</v>
      </c>
      <c r="AH212" s="47"/>
      <c r="AI212" s="48"/>
      <c r="AK212" s="50"/>
    </row>
    <row r="213" spans="1:37" x14ac:dyDescent="0.25">
      <c r="A213" s="116" t="s">
        <v>200</v>
      </c>
      <c r="B213" s="126"/>
      <c r="C213" s="127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9">
        <v>3</v>
      </c>
      <c r="AH213" s="47"/>
      <c r="AI213" s="48"/>
      <c r="AK213" s="50"/>
    </row>
    <row r="214" spans="1:37" x14ac:dyDescent="0.25">
      <c r="A214" s="116" t="s">
        <v>201</v>
      </c>
      <c r="B214" s="126"/>
      <c r="C214" s="127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9">
        <v>3</v>
      </c>
      <c r="AH214" s="47"/>
      <c r="AI214" s="48"/>
      <c r="AK214" s="50"/>
    </row>
    <row r="215" spans="1:37" x14ac:dyDescent="0.25">
      <c r="A215" s="116" t="s">
        <v>202</v>
      </c>
      <c r="B215" s="126"/>
      <c r="C215" s="127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9">
        <v>3</v>
      </c>
      <c r="AH215" s="47"/>
      <c r="AI215" s="48"/>
      <c r="AK215" s="50"/>
    </row>
    <row r="216" spans="1:37" x14ac:dyDescent="0.25">
      <c r="A216" s="116" t="s">
        <v>203</v>
      </c>
      <c r="B216" s="126"/>
      <c r="C216" s="127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9">
        <v>3</v>
      </c>
      <c r="AH216" s="47"/>
      <c r="AI216" s="48"/>
      <c r="AK216" s="50"/>
    </row>
    <row r="217" spans="1:37" x14ac:dyDescent="0.25">
      <c r="A217" s="116" t="s">
        <v>204</v>
      </c>
      <c r="B217" s="126"/>
      <c r="C217" s="127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9">
        <v>3</v>
      </c>
      <c r="AH217" s="47"/>
      <c r="AI217" s="48"/>
      <c r="AK217" s="50"/>
    </row>
    <row r="218" spans="1:37" x14ac:dyDescent="0.25">
      <c r="A218" s="116" t="s">
        <v>205</v>
      </c>
      <c r="B218" s="126"/>
      <c r="C218" s="127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9">
        <v>3</v>
      </c>
      <c r="AH218" s="47"/>
      <c r="AI218" s="48"/>
      <c r="AK218" s="50"/>
    </row>
    <row r="219" spans="1:37" x14ac:dyDescent="0.25">
      <c r="A219" s="116" t="s">
        <v>206</v>
      </c>
      <c r="B219" s="126"/>
      <c r="C219" s="127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9">
        <v>3</v>
      </c>
      <c r="AH219" s="47"/>
      <c r="AI219" s="48"/>
      <c r="AK219" s="50"/>
    </row>
    <row r="220" spans="1:37" x14ac:dyDescent="0.25">
      <c r="A220" s="116" t="s">
        <v>207</v>
      </c>
      <c r="B220" s="126"/>
      <c r="C220" s="127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9">
        <v>3</v>
      </c>
      <c r="AH220" s="47"/>
      <c r="AI220" s="48"/>
      <c r="AK220" s="50"/>
    </row>
    <row r="221" spans="1:37" x14ac:dyDescent="0.25">
      <c r="A221" s="116" t="s">
        <v>208</v>
      </c>
      <c r="B221" s="126"/>
      <c r="C221" s="127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9">
        <v>2.83</v>
      </c>
      <c r="AH221" s="47"/>
      <c r="AI221" s="48"/>
      <c r="AK221" s="50"/>
    </row>
    <row r="222" spans="1:37" x14ac:dyDescent="0.25">
      <c r="A222" s="116" t="s">
        <v>209</v>
      </c>
      <c r="B222" s="126"/>
      <c r="C222" s="127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9">
        <v>2.5</v>
      </c>
      <c r="AH222" s="47"/>
      <c r="AI222" s="48"/>
      <c r="AK222" s="50"/>
    </row>
    <row r="223" spans="1:37" x14ac:dyDescent="0.25">
      <c r="A223" s="116" t="s">
        <v>210</v>
      </c>
      <c r="B223" s="126"/>
      <c r="C223" s="127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9">
        <v>2.5</v>
      </c>
      <c r="AH223" s="47"/>
      <c r="AI223" s="48"/>
      <c r="AK223" s="50"/>
    </row>
    <row r="224" spans="1:37" x14ac:dyDescent="0.25">
      <c r="A224" s="116" t="s">
        <v>211</v>
      </c>
      <c r="B224" s="126"/>
      <c r="C224" s="127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9">
        <v>2.4</v>
      </c>
      <c r="AH224" s="47"/>
      <c r="AI224" s="48"/>
      <c r="AK224" s="50"/>
    </row>
    <row r="225" spans="1:37" x14ac:dyDescent="0.25">
      <c r="A225" s="116" t="s">
        <v>212</v>
      </c>
      <c r="B225" s="126"/>
      <c r="C225" s="127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9">
        <v>2.4</v>
      </c>
      <c r="AH225" s="47"/>
      <c r="AI225" s="48"/>
      <c r="AK225" s="50"/>
    </row>
    <row r="226" spans="1:37" x14ac:dyDescent="0.25">
      <c r="A226" s="116" t="s">
        <v>213</v>
      </c>
      <c r="B226" s="126"/>
      <c r="C226" s="127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9">
        <v>2.2000000000000002</v>
      </c>
      <c r="AH226" s="47"/>
      <c r="AI226" s="48"/>
      <c r="AK226" s="50"/>
    </row>
    <row r="227" spans="1:37" x14ac:dyDescent="0.25">
      <c r="A227" s="116" t="s">
        <v>214</v>
      </c>
      <c r="B227" s="126"/>
      <c r="C227" s="127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9">
        <v>2</v>
      </c>
      <c r="AH227" s="47"/>
      <c r="AI227" s="48"/>
      <c r="AK227" s="50"/>
    </row>
    <row r="228" spans="1:37" x14ac:dyDescent="0.25">
      <c r="A228" s="116" t="s">
        <v>215</v>
      </c>
      <c r="B228" s="126"/>
      <c r="C228" s="127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9">
        <v>2</v>
      </c>
      <c r="AH228" s="47"/>
      <c r="AI228" s="48"/>
      <c r="AK228" s="50"/>
    </row>
    <row r="229" spans="1:37" x14ac:dyDescent="0.25">
      <c r="A229" s="116" t="s">
        <v>216</v>
      </c>
      <c r="B229" s="126"/>
      <c r="C229" s="127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9">
        <v>2</v>
      </c>
      <c r="AH229" s="47"/>
      <c r="AI229" s="48"/>
      <c r="AK229" s="50"/>
    </row>
    <row r="230" spans="1:37" x14ac:dyDescent="0.25">
      <c r="A230" s="116" t="s">
        <v>217</v>
      </c>
      <c r="B230" s="126"/>
      <c r="C230" s="127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9">
        <v>1.8</v>
      </c>
      <c r="AH230" s="47"/>
      <c r="AI230" s="48"/>
      <c r="AK230" s="50"/>
    </row>
    <row r="231" spans="1:37" x14ac:dyDescent="0.25">
      <c r="A231" s="116" t="s">
        <v>218</v>
      </c>
      <c r="B231" s="126"/>
      <c r="C231" s="127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9">
        <v>1.8</v>
      </c>
      <c r="AH231" s="47"/>
      <c r="AI231" s="48"/>
      <c r="AK231" s="50"/>
    </row>
    <row r="232" spans="1:37" x14ac:dyDescent="0.25">
      <c r="A232" s="116" t="s">
        <v>219</v>
      </c>
      <c r="B232" s="126"/>
      <c r="C232" s="127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9">
        <v>1.65</v>
      </c>
      <c r="AH232" s="47"/>
      <c r="AI232" s="48"/>
      <c r="AK232" s="50"/>
    </row>
    <row r="233" spans="1:37" x14ac:dyDescent="0.25">
      <c r="A233" s="116" t="s">
        <v>220</v>
      </c>
      <c r="B233" s="126"/>
      <c r="C233" s="127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9">
        <v>1.5</v>
      </c>
      <c r="AH233" s="47"/>
      <c r="AI233" s="48"/>
      <c r="AK233" s="50"/>
    </row>
    <row r="234" spans="1:37" x14ac:dyDescent="0.25">
      <c r="A234" s="116" t="s">
        <v>221</v>
      </c>
      <c r="B234" s="126"/>
      <c r="C234" s="127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9">
        <v>0.998</v>
      </c>
      <c r="AH234" s="47"/>
      <c r="AI234" s="48"/>
      <c r="AK234" s="50"/>
    </row>
    <row r="235" spans="1:37" x14ac:dyDescent="0.25">
      <c r="A235" s="116" t="s">
        <v>222</v>
      </c>
      <c r="B235" s="126"/>
      <c r="C235" s="127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9">
        <v>0.997</v>
      </c>
      <c r="AH235" s="47"/>
      <c r="AI235" s="48"/>
      <c r="AK235" s="50"/>
    </row>
    <row r="236" spans="1:37" x14ac:dyDescent="0.25">
      <c r="A236" s="116" t="s">
        <v>223</v>
      </c>
      <c r="B236" s="126"/>
      <c r="C236" s="127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9">
        <v>0.997</v>
      </c>
      <c r="AH236" s="47"/>
      <c r="AI236" s="48"/>
      <c r="AK236" s="50"/>
    </row>
    <row r="237" spans="1:37" x14ac:dyDescent="0.25">
      <c r="A237" s="116" t="s">
        <v>224</v>
      </c>
      <c r="B237" s="126"/>
      <c r="C237" s="127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9">
        <v>0.996</v>
      </c>
      <c r="AH237" s="47"/>
      <c r="AI237" s="48"/>
      <c r="AK237" s="50"/>
    </row>
    <row r="238" spans="1:37" x14ac:dyDescent="0.25">
      <c r="A238" s="116" t="s">
        <v>225</v>
      </c>
      <c r="B238" s="126"/>
      <c r="C238" s="127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9">
        <v>0.996</v>
      </c>
      <c r="AH238" s="47"/>
      <c r="AI238" s="48"/>
      <c r="AK238" s="50"/>
    </row>
    <row r="239" spans="1:37" x14ac:dyDescent="0.25">
      <c r="A239" s="116" t="s">
        <v>226</v>
      </c>
      <c r="B239" s="126"/>
      <c r="C239" s="127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9">
        <v>0.996</v>
      </c>
      <c r="AH239" s="47"/>
      <c r="AI239" s="48"/>
      <c r="AK239" s="50"/>
    </row>
    <row r="240" spans="1:37" x14ac:dyDescent="0.25">
      <c r="A240" s="116" t="s">
        <v>227</v>
      </c>
      <c r="B240" s="126"/>
      <c r="C240" s="127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9">
        <v>0.995</v>
      </c>
      <c r="AH240" s="47"/>
      <c r="AI240" s="48"/>
      <c r="AK240" s="50"/>
    </row>
    <row r="241" spans="1:37" x14ac:dyDescent="0.25">
      <c r="A241" s="116" t="s">
        <v>228</v>
      </c>
      <c r="B241" s="126"/>
      <c r="C241" s="127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9">
        <v>0.99299999999999999</v>
      </c>
      <c r="AH241" s="47"/>
      <c r="AI241" s="48"/>
      <c r="AK241" s="50"/>
    </row>
    <row r="242" spans="1:37" x14ac:dyDescent="0.25">
      <c r="A242" s="116" t="s">
        <v>229</v>
      </c>
      <c r="B242" s="126"/>
      <c r="C242" s="124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9">
        <v>0.99</v>
      </c>
      <c r="AH242" s="47"/>
      <c r="AI242" s="48"/>
      <c r="AK242" s="50"/>
    </row>
    <row r="243" spans="1:37" ht="15.75" thickBot="1" x14ac:dyDescent="0.3">
      <c r="A243" s="116" t="s">
        <v>230</v>
      </c>
      <c r="B243" s="130"/>
      <c r="C243" s="131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29">
        <v>0.97899999999999998</v>
      </c>
      <c r="AH243" s="47"/>
      <c r="AI243" s="48"/>
      <c r="AK243" s="50"/>
    </row>
    <row r="244" spans="1:37" ht="15.75" thickBot="1" x14ac:dyDescent="0.3">
      <c r="A244" s="132" t="s">
        <v>231</v>
      </c>
      <c r="B244" s="133">
        <f t="shared" ref="B244:AG244" si="151">SUM(B139:B243)</f>
        <v>0</v>
      </c>
      <c r="C244" s="134">
        <f t="shared" si="151"/>
        <v>0</v>
      </c>
      <c r="D244" s="134">
        <f t="shared" si="151"/>
        <v>0</v>
      </c>
      <c r="E244" s="134">
        <f t="shared" si="151"/>
        <v>0</v>
      </c>
      <c r="F244" s="134">
        <f t="shared" si="151"/>
        <v>0</v>
      </c>
      <c r="G244" s="134">
        <f t="shared" si="151"/>
        <v>0</v>
      </c>
      <c r="H244" s="134">
        <f t="shared" si="151"/>
        <v>0</v>
      </c>
      <c r="I244" s="134">
        <f t="shared" si="151"/>
        <v>0</v>
      </c>
      <c r="J244" s="134">
        <f t="shared" si="151"/>
        <v>0</v>
      </c>
      <c r="K244" s="134">
        <f t="shared" si="151"/>
        <v>0</v>
      </c>
      <c r="L244" s="134">
        <f t="shared" si="151"/>
        <v>0</v>
      </c>
      <c r="M244" s="134">
        <f t="shared" si="151"/>
        <v>0</v>
      </c>
      <c r="N244" s="134">
        <f t="shared" si="151"/>
        <v>0</v>
      </c>
      <c r="O244" s="134">
        <f t="shared" si="151"/>
        <v>0</v>
      </c>
      <c r="P244" s="134">
        <f t="shared" si="151"/>
        <v>0</v>
      </c>
      <c r="Q244" s="134">
        <f t="shared" si="151"/>
        <v>0</v>
      </c>
      <c r="R244" s="134">
        <f t="shared" si="151"/>
        <v>0</v>
      </c>
      <c r="S244" s="134">
        <f t="shared" si="151"/>
        <v>0</v>
      </c>
      <c r="T244" s="134">
        <f t="shared" si="151"/>
        <v>0</v>
      </c>
      <c r="U244" s="134">
        <f t="shared" si="151"/>
        <v>0</v>
      </c>
      <c r="V244" s="134">
        <f t="shared" si="151"/>
        <v>0</v>
      </c>
      <c r="W244" s="134">
        <f t="shared" si="151"/>
        <v>0</v>
      </c>
      <c r="X244" s="134">
        <f t="shared" si="151"/>
        <v>0</v>
      </c>
      <c r="Y244" s="134">
        <f t="shared" si="151"/>
        <v>0</v>
      </c>
      <c r="Z244" s="134">
        <f t="shared" si="151"/>
        <v>0</v>
      </c>
      <c r="AA244" s="134">
        <f t="shared" si="151"/>
        <v>0</v>
      </c>
      <c r="AB244" s="134">
        <f t="shared" si="151"/>
        <v>0</v>
      </c>
      <c r="AC244" s="134">
        <f t="shared" si="151"/>
        <v>0</v>
      </c>
      <c r="AD244" s="134">
        <f t="shared" si="151"/>
        <v>0</v>
      </c>
      <c r="AE244" s="134">
        <f t="shared" si="151"/>
        <v>0</v>
      </c>
      <c r="AF244" s="135">
        <f t="shared" si="151"/>
        <v>0</v>
      </c>
      <c r="AG244" s="136">
        <f t="shared" si="151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19"/>
      <c r="AH245" s="47"/>
      <c r="AI245" s="48"/>
      <c r="AK245" s="50"/>
    </row>
    <row r="246" spans="1:37" x14ac:dyDescent="0.25">
      <c r="A246" s="100" t="s">
        <v>232</v>
      </c>
      <c r="B246" s="138">
        <f t="shared" ref="B246:B251" si="152">AF246</f>
        <v>0.3</v>
      </c>
      <c r="C246" s="138">
        <v>0.3</v>
      </c>
      <c r="D246" s="138">
        <f t="shared" ref="D246:S251" si="153">C246</f>
        <v>0.3</v>
      </c>
      <c r="E246" s="138">
        <f t="shared" si="153"/>
        <v>0.3</v>
      </c>
      <c r="F246" s="138">
        <f t="shared" si="153"/>
        <v>0.3</v>
      </c>
      <c r="G246" s="138">
        <f t="shared" si="153"/>
        <v>0.3</v>
      </c>
      <c r="H246" s="138">
        <f t="shared" si="153"/>
        <v>0.3</v>
      </c>
      <c r="I246" s="138">
        <f t="shared" si="153"/>
        <v>0.3</v>
      </c>
      <c r="J246" s="138">
        <f t="shared" si="153"/>
        <v>0.3</v>
      </c>
      <c r="K246" s="138">
        <f t="shared" si="153"/>
        <v>0.3</v>
      </c>
      <c r="L246" s="138">
        <f t="shared" si="153"/>
        <v>0.3</v>
      </c>
      <c r="M246" s="138">
        <f t="shared" si="153"/>
        <v>0.3</v>
      </c>
      <c r="N246" s="138">
        <f t="shared" si="153"/>
        <v>0.3</v>
      </c>
      <c r="O246" s="138">
        <f t="shared" si="153"/>
        <v>0.3</v>
      </c>
      <c r="P246" s="138">
        <f t="shared" si="153"/>
        <v>0.3</v>
      </c>
      <c r="Q246" s="138">
        <f t="shared" si="153"/>
        <v>0.3</v>
      </c>
      <c r="R246" s="138">
        <f t="shared" si="153"/>
        <v>0.3</v>
      </c>
      <c r="S246" s="138">
        <f t="shared" si="153"/>
        <v>0.3</v>
      </c>
      <c r="T246" s="138">
        <f t="shared" ref="T246:AF251" si="154">S246</f>
        <v>0.3</v>
      </c>
      <c r="U246" s="138">
        <f t="shared" si="154"/>
        <v>0.3</v>
      </c>
      <c r="V246" s="138">
        <f t="shared" si="154"/>
        <v>0.3</v>
      </c>
      <c r="W246" s="138">
        <f t="shared" si="154"/>
        <v>0.3</v>
      </c>
      <c r="X246" s="138">
        <f t="shared" si="154"/>
        <v>0.3</v>
      </c>
      <c r="Y246" s="138">
        <f t="shared" si="154"/>
        <v>0.3</v>
      </c>
      <c r="Z246" s="138">
        <f t="shared" si="154"/>
        <v>0.3</v>
      </c>
      <c r="AA246" s="138">
        <f t="shared" si="154"/>
        <v>0.3</v>
      </c>
      <c r="AB246" s="138">
        <f t="shared" si="154"/>
        <v>0.3</v>
      </c>
      <c r="AC246" s="138">
        <f t="shared" si="154"/>
        <v>0.3</v>
      </c>
      <c r="AD246" s="138">
        <f t="shared" si="154"/>
        <v>0.3</v>
      </c>
      <c r="AE246" s="138">
        <f t="shared" si="154"/>
        <v>0.3</v>
      </c>
      <c r="AF246" s="138">
        <f t="shared" si="154"/>
        <v>0.3</v>
      </c>
      <c r="AG246" s="139">
        <v>2.4</v>
      </c>
      <c r="AH246" s="47"/>
      <c r="AI246" s="48"/>
      <c r="AK246" s="50"/>
    </row>
    <row r="247" spans="1:37" x14ac:dyDescent="0.25">
      <c r="A247" s="103" t="s">
        <v>233</v>
      </c>
      <c r="B247" s="126">
        <f t="shared" si="152"/>
        <v>0.4</v>
      </c>
      <c r="C247" s="126">
        <v>0.4</v>
      </c>
      <c r="D247" s="126">
        <f t="shared" si="153"/>
        <v>0.4</v>
      </c>
      <c r="E247" s="126">
        <f t="shared" si="153"/>
        <v>0.4</v>
      </c>
      <c r="F247" s="126">
        <f t="shared" si="153"/>
        <v>0.4</v>
      </c>
      <c r="G247" s="126">
        <f t="shared" si="153"/>
        <v>0.4</v>
      </c>
      <c r="H247" s="126">
        <f t="shared" si="153"/>
        <v>0.4</v>
      </c>
      <c r="I247" s="126">
        <f t="shared" si="153"/>
        <v>0.4</v>
      </c>
      <c r="J247" s="126">
        <f t="shared" si="153"/>
        <v>0.4</v>
      </c>
      <c r="K247" s="126">
        <f t="shared" si="153"/>
        <v>0.4</v>
      </c>
      <c r="L247" s="126">
        <f t="shared" si="153"/>
        <v>0.4</v>
      </c>
      <c r="M247" s="126">
        <f t="shared" si="153"/>
        <v>0.4</v>
      </c>
      <c r="N247" s="126">
        <f t="shared" si="153"/>
        <v>0.4</v>
      </c>
      <c r="O247" s="126">
        <f t="shared" si="153"/>
        <v>0.4</v>
      </c>
      <c r="P247" s="126">
        <f t="shared" si="153"/>
        <v>0.4</v>
      </c>
      <c r="Q247" s="126">
        <f t="shared" si="153"/>
        <v>0.4</v>
      </c>
      <c r="R247" s="126">
        <f t="shared" si="153"/>
        <v>0.4</v>
      </c>
      <c r="S247" s="126">
        <f t="shared" si="153"/>
        <v>0.4</v>
      </c>
      <c r="T247" s="126">
        <f t="shared" si="154"/>
        <v>0.4</v>
      </c>
      <c r="U247" s="126">
        <f t="shared" si="154"/>
        <v>0.4</v>
      </c>
      <c r="V247" s="126">
        <f t="shared" si="154"/>
        <v>0.4</v>
      </c>
      <c r="W247" s="126">
        <f t="shared" si="154"/>
        <v>0.4</v>
      </c>
      <c r="X247" s="126">
        <f t="shared" si="154"/>
        <v>0.4</v>
      </c>
      <c r="Y247" s="126">
        <f t="shared" si="154"/>
        <v>0.4</v>
      </c>
      <c r="Z247" s="126">
        <f t="shared" si="154"/>
        <v>0.4</v>
      </c>
      <c r="AA247" s="126">
        <f t="shared" si="154"/>
        <v>0.4</v>
      </c>
      <c r="AB247" s="126">
        <f t="shared" si="154"/>
        <v>0.4</v>
      </c>
      <c r="AC247" s="126">
        <f t="shared" si="154"/>
        <v>0.4</v>
      </c>
      <c r="AD247" s="126">
        <f t="shared" si="154"/>
        <v>0.4</v>
      </c>
      <c r="AE247" s="126">
        <f t="shared" si="154"/>
        <v>0.4</v>
      </c>
      <c r="AF247" s="126">
        <f t="shared" si="154"/>
        <v>0.4</v>
      </c>
      <c r="AG247" s="140">
        <v>2</v>
      </c>
      <c r="AH247" s="47"/>
      <c r="AI247" s="48"/>
      <c r="AK247" s="50"/>
    </row>
    <row r="248" spans="1:37" x14ac:dyDescent="0.25">
      <c r="A248" s="103" t="s">
        <v>234</v>
      </c>
      <c r="B248" s="126">
        <f t="shared" si="152"/>
        <v>1.5</v>
      </c>
      <c r="C248" s="126">
        <v>1.5</v>
      </c>
      <c r="D248" s="126">
        <f t="shared" si="153"/>
        <v>1.5</v>
      </c>
      <c r="E248" s="126">
        <f t="shared" si="153"/>
        <v>1.5</v>
      </c>
      <c r="F248" s="126">
        <f t="shared" si="153"/>
        <v>1.5</v>
      </c>
      <c r="G248" s="126">
        <f t="shared" si="153"/>
        <v>1.5</v>
      </c>
      <c r="H248" s="126">
        <f t="shared" si="153"/>
        <v>1.5</v>
      </c>
      <c r="I248" s="126">
        <f t="shared" si="153"/>
        <v>1.5</v>
      </c>
      <c r="J248" s="126">
        <f t="shared" si="153"/>
        <v>1.5</v>
      </c>
      <c r="K248" s="126">
        <f t="shared" si="153"/>
        <v>1.5</v>
      </c>
      <c r="L248" s="126">
        <f t="shared" si="153"/>
        <v>1.5</v>
      </c>
      <c r="M248" s="126">
        <f t="shared" si="153"/>
        <v>1.5</v>
      </c>
      <c r="N248" s="126">
        <f t="shared" si="153"/>
        <v>1.5</v>
      </c>
      <c r="O248" s="126">
        <f t="shared" si="153"/>
        <v>1.5</v>
      </c>
      <c r="P248" s="126">
        <f t="shared" si="153"/>
        <v>1.5</v>
      </c>
      <c r="Q248" s="126">
        <f t="shared" si="153"/>
        <v>1.5</v>
      </c>
      <c r="R248" s="126">
        <f t="shared" si="153"/>
        <v>1.5</v>
      </c>
      <c r="S248" s="126">
        <f t="shared" si="153"/>
        <v>1.5</v>
      </c>
      <c r="T248" s="126">
        <f t="shared" si="154"/>
        <v>1.5</v>
      </c>
      <c r="U248" s="126">
        <f t="shared" si="154"/>
        <v>1.5</v>
      </c>
      <c r="V248" s="126">
        <f t="shared" si="154"/>
        <v>1.5</v>
      </c>
      <c r="W248" s="126">
        <f t="shared" si="154"/>
        <v>1.5</v>
      </c>
      <c r="X248" s="126">
        <f t="shared" si="154"/>
        <v>1.5</v>
      </c>
      <c r="Y248" s="126">
        <f t="shared" si="154"/>
        <v>1.5</v>
      </c>
      <c r="Z248" s="126">
        <f t="shared" si="154"/>
        <v>1.5</v>
      </c>
      <c r="AA248" s="126">
        <f t="shared" si="154"/>
        <v>1.5</v>
      </c>
      <c r="AB248" s="126">
        <f t="shared" si="154"/>
        <v>1.5</v>
      </c>
      <c r="AC248" s="126">
        <f t="shared" si="154"/>
        <v>1.5</v>
      </c>
      <c r="AD248" s="126">
        <f t="shared" si="154"/>
        <v>1.5</v>
      </c>
      <c r="AE248" s="126">
        <f t="shared" si="154"/>
        <v>1.5</v>
      </c>
      <c r="AF248" s="126">
        <f t="shared" si="154"/>
        <v>1.5</v>
      </c>
      <c r="AG248" s="140">
        <v>1.5</v>
      </c>
      <c r="AH248" s="47"/>
      <c r="AI248" s="48"/>
      <c r="AK248" s="50"/>
    </row>
    <row r="249" spans="1:37" x14ac:dyDescent="0.25">
      <c r="A249" s="103" t="s">
        <v>235</v>
      </c>
      <c r="B249" s="126">
        <f t="shared" si="152"/>
        <v>0.3</v>
      </c>
      <c r="C249" s="126">
        <v>0.3</v>
      </c>
      <c r="D249" s="126">
        <f t="shared" si="153"/>
        <v>0.3</v>
      </c>
      <c r="E249" s="126">
        <f t="shared" si="153"/>
        <v>0.3</v>
      </c>
      <c r="F249" s="126">
        <f t="shared" si="153"/>
        <v>0.3</v>
      </c>
      <c r="G249" s="126">
        <f t="shared" si="153"/>
        <v>0.3</v>
      </c>
      <c r="H249" s="126">
        <f t="shared" si="153"/>
        <v>0.3</v>
      </c>
      <c r="I249" s="126">
        <f t="shared" si="153"/>
        <v>0.3</v>
      </c>
      <c r="J249" s="126">
        <f t="shared" si="153"/>
        <v>0.3</v>
      </c>
      <c r="K249" s="126">
        <f t="shared" si="153"/>
        <v>0.3</v>
      </c>
      <c r="L249" s="126">
        <f t="shared" si="153"/>
        <v>0.3</v>
      </c>
      <c r="M249" s="126">
        <f t="shared" si="153"/>
        <v>0.3</v>
      </c>
      <c r="N249" s="126">
        <f t="shared" si="153"/>
        <v>0.3</v>
      </c>
      <c r="O249" s="126">
        <f t="shared" si="153"/>
        <v>0.3</v>
      </c>
      <c r="P249" s="126">
        <f t="shared" si="153"/>
        <v>0.3</v>
      </c>
      <c r="Q249" s="126">
        <f t="shared" si="153"/>
        <v>0.3</v>
      </c>
      <c r="R249" s="126">
        <f t="shared" si="153"/>
        <v>0.3</v>
      </c>
      <c r="S249" s="126">
        <f t="shared" si="153"/>
        <v>0.3</v>
      </c>
      <c r="T249" s="126">
        <f t="shared" si="154"/>
        <v>0.3</v>
      </c>
      <c r="U249" s="126">
        <f t="shared" si="154"/>
        <v>0.3</v>
      </c>
      <c r="V249" s="126">
        <f t="shared" si="154"/>
        <v>0.3</v>
      </c>
      <c r="W249" s="126">
        <f t="shared" si="154"/>
        <v>0.3</v>
      </c>
      <c r="X249" s="126">
        <f t="shared" si="154"/>
        <v>0.3</v>
      </c>
      <c r="Y249" s="126">
        <f t="shared" si="154"/>
        <v>0.3</v>
      </c>
      <c r="Z249" s="126">
        <f t="shared" si="154"/>
        <v>0.3</v>
      </c>
      <c r="AA249" s="126">
        <f t="shared" si="154"/>
        <v>0.3</v>
      </c>
      <c r="AB249" s="126">
        <f t="shared" si="154"/>
        <v>0.3</v>
      </c>
      <c r="AC249" s="126">
        <f t="shared" si="154"/>
        <v>0.3</v>
      </c>
      <c r="AD249" s="126">
        <f t="shared" si="154"/>
        <v>0.3</v>
      </c>
      <c r="AE249" s="126">
        <f t="shared" si="154"/>
        <v>0.3</v>
      </c>
      <c r="AF249" s="126">
        <f t="shared" si="154"/>
        <v>0.3</v>
      </c>
      <c r="AG249" s="140">
        <v>1</v>
      </c>
      <c r="AH249" s="47"/>
      <c r="AI249" s="48"/>
      <c r="AK249" s="50"/>
    </row>
    <row r="250" spans="1:37" x14ac:dyDescent="0.25">
      <c r="A250" s="103" t="s">
        <v>236</v>
      </c>
      <c r="B250" s="126">
        <f t="shared" si="152"/>
        <v>0.4</v>
      </c>
      <c r="C250" s="126">
        <v>0.4</v>
      </c>
      <c r="D250" s="126">
        <f t="shared" si="153"/>
        <v>0.4</v>
      </c>
      <c r="E250" s="126">
        <f t="shared" si="153"/>
        <v>0.4</v>
      </c>
      <c r="F250" s="126">
        <f t="shared" si="153"/>
        <v>0.4</v>
      </c>
      <c r="G250" s="126">
        <f t="shared" si="153"/>
        <v>0.4</v>
      </c>
      <c r="H250" s="126">
        <f t="shared" si="153"/>
        <v>0.4</v>
      </c>
      <c r="I250" s="126">
        <f t="shared" si="153"/>
        <v>0.4</v>
      </c>
      <c r="J250" s="126">
        <f t="shared" si="153"/>
        <v>0.4</v>
      </c>
      <c r="K250" s="126">
        <f t="shared" si="153"/>
        <v>0.4</v>
      </c>
      <c r="L250" s="126">
        <f t="shared" si="153"/>
        <v>0.4</v>
      </c>
      <c r="M250" s="126">
        <f t="shared" si="153"/>
        <v>0.4</v>
      </c>
      <c r="N250" s="126">
        <f t="shared" si="153"/>
        <v>0.4</v>
      </c>
      <c r="O250" s="126">
        <f t="shared" si="153"/>
        <v>0.4</v>
      </c>
      <c r="P250" s="126">
        <f t="shared" si="153"/>
        <v>0.4</v>
      </c>
      <c r="Q250" s="126">
        <f t="shared" si="153"/>
        <v>0.4</v>
      </c>
      <c r="R250" s="126">
        <f t="shared" si="153"/>
        <v>0.4</v>
      </c>
      <c r="S250" s="126">
        <f t="shared" si="153"/>
        <v>0.4</v>
      </c>
      <c r="T250" s="126">
        <f t="shared" si="154"/>
        <v>0.4</v>
      </c>
      <c r="U250" s="126">
        <f t="shared" si="154"/>
        <v>0.4</v>
      </c>
      <c r="V250" s="126">
        <f t="shared" si="154"/>
        <v>0.4</v>
      </c>
      <c r="W250" s="126">
        <f t="shared" si="154"/>
        <v>0.4</v>
      </c>
      <c r="X250" s="126">
        <f t="shared" si="154"/>
        <v>0.4</v>
      </c>
      <c r="Y250" s="126">
        <f t="shared" si="154"/>
        <v>0.4</v>
      </c>
      <c r="Z250" s="126">
        <f t="shared" si="154"/>
        <v>0.4</v>
      </c>
      <c r="AA250" s="126">
        <f t="shared" si="154"/>
        <v>0.4</v>
      </c>
      <c r="AB250" s="126">
        <f t="shared" si="154"/>
        <v>0.4</v>
      </c>
      <c r="AC250" s="126">
        <f t="shared" si="154"/>
        <v>0.4</v>
      </c>
      <c r="AD250" s="126">
        <f t="shared" si="154"/>
        <v>0.4</v>
      </c>
      <c r="AE250" s="126">
        <f t="shared" si="154"/>
        <v>0.4</v>
      </c>
      <c r="AF250" s="126">
        <f t="shared" si="154"/>
        <v>0.4</v>
      </c>
      <c r="AG250" s="140">
        <v>1</v>
      </c>
      <c r="AH250" s="47"/>
      <c r="AI250" s="48"/>
      <c r="AK250" s="50"/>
    </row>
    <row r="251" spans="1:37" ht="15.75" thickBot="1" x14ac:dyDescent="0.3">
      <c r="A251" s="116" t="s">
        <v>237</v>
      </c>
      <c r="B251" s="130">
        <f t="shared" si="152"/>
        <v>0.64</v>
      </c>
      <c r="C251" s="130">
        <v>0.64</v>
      </c>
      <c r="D251" s="130">
        <f t="shared" si="153"/>
        <v>0.64</v>
      </c>
      <c r="E251" s="130">
        <f t="shared" si="153"/>
        <v>0.64</v>
      </c>
      <c r="F251" s="130">
        <f t="shared" si="153"/>
        <v>0.64</v>
      </c>
      <c r="G251" s="130">
        <f t="shared" si="153"/>
        <v>0.64</v>
      </c>
      <c r="H251" s="130">
        <f t="shared" si="153"/>
        <v>0.64</v>
      </c>
      <c r="I251" s="130">
        <f t="shared" si="153"/>
        <v>0.64</v>
      </c>
      <c r="J251" s="130">
        <f t="shared" si="153"/>
        <v>0.64</v>
      </c>
      <c r="K251" s="130">
        <f t="shared" si="153"/>
        <v>0.64</v>
      </c>
      <c r="L251" s="130">
        <f t="shared" si="153"/>
        <v>0.64</v>
      </c>
      <c r="M251" s="130">
        <f t="shared" si="153"/>
        <v>0.64</v>
      </c>
      <c r="N251" s="130">
        <f t="shared" si="153"/>
        <v>0.64</v>
      </c>
      <c r="O251" s="130">
        <f t="shared" si="153"/>
        <v>0.64</v>
      </c>
      <c r="P251" s="130">
        <f t="shared" si="153"/>
        <v>0.64</v>
      </c>
      <c r="Q251" s="130">
        <f t="shared" si="153"/>
        <v>0.64</v>
      </c>
      <c r="R251" s="130">
        <f t="shared" si="153"/>
        <v>0.64</v>
      </c>
      <c r="S251" s="130">
        <f t="shared" si="153"/>
        <v>0.64</v>
      </c>
      <c r="T251" s="130">
        <f t="shared" si="154"/>
        <v>0.64</v>
      </c>
      <c r="U251" s="130">
        <f t="shared" si="154"/>
        <v>0.64</v>
      </c>
      <c r="V251" s="130">
        <f t="shared" si="154"/>
        <v>0.64</v>
      </c>
      <c r="W251" s="130">
        <f t="shared" si="154"/>
        <v>0.64</v>
      </c>
      <c r="X251" s="130">
        <f t="shared" si="154"/>
        <v>0.64</v>
      </c>
      <c r="Y251" s="130">
        <f t="shared" si="154"/>
        <v>0.64</v>
      </c>
      <c r="Z251" s="130">
        <f t="shared" si="154"/>
        <v>0.64</v>
      </c>
      <c r="AA251" s="130">
        <f t="shared" si="154"/>
        <v>0.64</v>
      </c>
      <c r="AB251" s="130">
        <f t="shared" si="154"/>
        <v>0.64</v>
      </c>
      <c r="AC251" s="130">
        <f t="shared" si="154"/>
        <v>0.64</v>
      </c>
      <c r="AD251" s="130">
        <f t="shared" si="154"/>
        <v>0.64</v>
      </c>
      <c r="AE251" s="130">
        <f t="shared" si="154"/>
        <v>0.64</v>
      </c>
      <c r="AF251" s="130">
        <f t="shared" si="154"/>
        <v>0.64</v>
      </c>
      <c r="AG251" s="141">
        <v>0.66</v>
      </c>
      <c r="AH251" s="47"/>
      <c r="AI251" s="48"/>
    </row>
    <row r="252" spans="1:37" ht="15.75" thickBot="1" x14ac:dyDescent="0.3">
      <c r="A252" s="142" t="s">
        <v>75</v>
      </c>
      <c r="B252" s="134">
        <f t="shared" ref="B252:AG252" si="155">SUM(B246:B251)</f>
        <v>3.54</v>
      </c>
      <c r="C252" s="134">
        <f t="shared" si="155"/>
        <v>3.54</v>
      </c>
      <c r="D252" s="134">
        <f t="shared" si="155"/>
        <v>3.54</v>
      </c>
      <c r="E252" s="134">
        <f t="shared" si="155"/>
        <v>3.54</v>
      </c>
      <c r="F252" s="134">
        <f t="shared" si="155"/>
        <v>3.54</v>
      </c>
      <c r="G252" s="134">
        <f t="shared" si="155"/>
        <v>3.54</v>
      </c>
      <c r="H252" s="134">
        <f t="shared" si="155"/>
        <v>3.54</v>
      </c>
      <c r="I252" s="134">
        <f t="shared" si="155"/>
        <v>3.54</v>
      </c>
      <c r="J252" s="134">
        <f t="shared" si="155"/>
        <v>3.54</v>
      </c>
      <c r="K252" s="134">
        <f t="shared" si="155"/>
        <v>3.54</v>
      </c>
      <c r="L252" s="134">
        <f t="shared" si="155"/>
        <v>3.54</v>
      </c>
      <c r="M252" s="134">
        <f t="shared" si="155"/>
        <v>3.54</v>
      </c>
      <c r="N252" s="134">
        <f t="shared" si="155"/>
        <v>3.54</v>
      </c>
      <c r="O252" s="134">
        <f t="shared" si="155"/>
        <v>3.54</v>
      </c>
      <c r="P252" s="134">
        <f t="shared" si="155"/>
        <v>3.54</v>
      </c>
      <c r="Q252" s="134">
        <f t="shared" si="155"/>
        <v>3.54</v>
      </c>
      <c r="R252" s="134">
        <f t="shared" si="155"/>
        <v>3.54</v>
      </c>
      <c r="S252" s="134">
        <f t="shared" si="155"/>
        <v>3.54</v>
      </c>
      <c r="T252" s="134">
        <f t="shared" si="155"/>
        <v>3.54</v>
      </c>
      <c r="U252" s="134">
        <f t="shared" si="155"/>
        <v>3.54</v>
      </c>
      <c r="V252" s="134">
        <f t="shared" si="155"/>
        <v>3.54</v>
      </c>
      <c r="W252" s="134">
        <f t="shared" si="155"/>
        <v>3.54</v>
      </c>
      <c r="X252" s="134">
        <f t="shared" si="155"/>
        <v>3.54</v>
      </c>
      <c r="Y252" s="134">
        <f t="shared" si="155"/>
        <v>3.54</v>
      </c>
      <c r="Z252" s="134">
        <f t="shared" si="155"/>
        <v>3.54</v>
      </c>
      <c r="AA252" s="134">
        <f t="shared" si="155"/>
        <v>3.54</v>
      </c>
      <c r="AB252" s="134">
        <f t="shared" si="155"/>
        <v>3.54</v>
      </c>
      <c r="AC252" s="134">
        <f t="shared" si="155"/>
        <v>3.54</v>
      </c>
      <c r="AD252" s="134">
        <f t="shared" si="155"/>
        <v>3.54</v>
      </c>
      <c r="AE252" s="134">
        <f t="shared" si="155"/>
        <v>3.54</v>
      </c>
      <c r="AF252" s="134">
        <f t="shared" si="155"/>
        <v>3.54</v>
      </c>
      <c r="AG252" s="143">
        <f t="shared" si="155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37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54" t="s">
        <v>243</v>
      </c>
      <c r="B256" s="155">
        <f>MAX(G99:N99)</f>
        <v>1539.87</v>
      </c>
      <c r="C256" s="156">
        <f>INDEX(G9:N9,1,MATCH(MAX(G99:N99),G99:N99,0))</f>
        <v>0.33333333333333331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50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157" t="str">
        <f ca="1">MID(CELL("filename",C7),FIND("]",CELL("filename",C7))+1,600)</f>
        <v>13</v>
      </c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50" x14ac:dyDescent="0.25">
      <c r="A258" s="257" t="s">
        <v>244</v>
      </c>
      <c r="B258" s="257"/>
      <c r="C258" s="43"/>
      <c r="D258" s="157" t="str">
        <f ca="1">"Pie Chart of Daily Peak Demand(Inclusive of Export) of Nepal ("&amp;A4&amp;" "&amp;B4&amp;")"</f>
        <v>Pie Chart of Daily Peak Demand(Inclusive of Export) of Nepal (Nepali Date: 2080/10/13)</v>
      </c>
      <c r="E258" s="43"/>
      <c r="F258" s="43"/>
      <c r="G258" s="157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157" t="str">
        <f ca="1">"Daily Load Curve(Excluding of Export) of Nepal ("&amp;A4&amp;" "&amp;B4&amp;")"</f>
        <v>Daily Load Curve(Excluding of Export) of Nepal (Nepali Date: 2080/10/13)</v>
      </c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50" ht="12.75" customHeight="1" thickBot="1" x14ac:dyDescent="0.3">
      <c r="A259" s="158" t="s">
        <v>7</v>
      </c>
      <c r="B259" s="159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50" ht="15.75" thickTop="1" x14ac:dyDescent="0.25">
      <c r="A260" s="158" t="s">
        <v>245</v>
      </c>
      <c r="B260" s="15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160" t="s">
        <v>246</v>
      </c>
      <c r="T260" s="161">
        <v>0</v>
      </c>
      <c r="U260" s="162">
        <v>4.1666666666666664E-2</v>
      </c>
      <c r="V260" s="163">
        <v>8.3333333333333301E-2</v>
      </c>
      <c r="W260" s="163">
        <v>0.125</v>
      </c>
      <c r="X260" s="163">
        <v>0.16666666666666699</v>
      </c>
      <c r="Y260" s="163">
        <v>0.20833333333333301</v>
      </c>
      <c r="Z260" s="163">
        <v>0.22916666666666666</v>
      </c>
      <c r="AA260" s="163">
        <v>0.25</v>
      </c>
      <c r="AB260" s="163">
        <v>0.27083333333333331</v>
      </c>
      <c r="AC260" s="163">
        <v>0.29166666666666669</v>
      </c>
      <c r="AD260" s="163">
        <v>0.3125</v>
      </c>
      <c r="AE260" s="164">
        <v>0.33333333333333331</v>
      </c>
      <c r="AF260" s="164">
        <v>0.375</v>
      </c>
      <c r="AG260" s="164">
        <v>0.41666666666666702</v>
      </c>
      <c r="AH260" s="164">
        <v>0.45833333333333298</v>
      </c>
      <c r="AI260" s="164">
        <v>0.5</v>
      </c>
      <c r="AJ260" s="164">
        <v>0.54166666666666696</v>
      </c>
      <c r="AK260" s="164">
        <v>0.58333333333333304</v>
      </c>
      <c r="AL260" s="164">
        <v>0.625</v>
      </c>
      <c r="AM260" s="164">
        <v>0.66666666666666696</v>
      </c>
      <c r="AN260" s="164">
        <v>0.70833333333333304</v>
      </c>
      <c r="AO260" s="164">
        <v>0.72916666666666663</v>
      </c>
      <c r="AP260" s="164">
        <v>0.75</v>
      </c>
      <c r="AQ260" s="164">
        <v>0.77083333333333337</v>
      </c>
      <c r="AR260" s="164">
        <v>0.79166666666666663</v>
      </c>
      <c r="AS260" s="164">
        <v>0.8125</v>
      </c>
      <c r="AT260" s="163">
        <v>0.83333333333333337</v>
      </c>
      <c r="AU260" s="163">
        <v>0.85416666666666663</v>
      </c>
      <c r="AV260" s="163">
        <v>0.875</v>
      </c>
      <c r="AW260" s="163">
        <v>0.91666666666666696</v>
      </c>
      <c r="AX260" s="163">
        <v>0.95833333333333304</v>
      </c>
    </row>
    <row r="261" spans="1:50" x14ac:dyDescent="0.25">
      <c r="A261" s="158" t="s">
        <v>247</v>
      </c>
      <c r="B261" s="15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 t="s">
        <v>248</v>
      </c>
      <c r="T261" s="165">
        <f t="shared" ref="T261:AX261" si="156">B99</f>
        <v>1232.6399999999999</v>
      </c>
      <c r="U261" s="165">
        <f t="shared" si="156"/>
        <v>1167.8399999999999</v>
      </c>
      <c r="V261" s="165">
        <f t="shared" si="156"/>
        <v>1168.54</v>
      </c>
      <c r="W261" s="165">
        <f t="shared" si="156"/>
        <v>1153.6399999999999</v>
      </c>
      <c r="X261" s="165">
        <f t="shared" si="156"/>
        <v>1155.6399999999999</v>
      </c>
      <c r="Y261" s="165">
        <f t="shared" si="156"/>
        <v>1138.6399999999999</v>
      </c>
      <c r="Z261" s="165">
        <f t="shared" si="156"/>
        <v>1231.94</v>
      </c>
      <c r="AA261" s="165">
        <f t="shared" si="156"/>
        <v>1296.6399999999999</v>
      </c>
      <c r="AB261" s="165">
        <f t="shared" si="156"/>
        <v>1354.64</v>
      </c>
      <c r="AC261" s="165">
        <f t="shared" si="156"/>
        <v>1363.1399999999999</v>
      </c>
      <c r="AD261" s="165">
        <f t="shared" si="156"/>
        <v>1452.1399999999999</v>
      </c>
      <c r="AE261" s="165">
        <f t="shared" si="156"/>
        <v>1539.87</v>
      </c>
      <c r="AF261" s="165">
        <f t="shared" si="156"/>
        <v>1514.64</v>
      </c>
      <c r="AG261" s="165">
        <f t="shared" si="156"/>
        <v>1483.54</v>
      </c>
      <c r="AH261" s="165">
        <f t="shared" si="156"/>
        <v>1656.94</v>
      </c>
      <c r="AI261" s="165">
        <f t="shared" si="156"/>
        <v>1496.04</v>
      </c>
      <c r="AJ261" s="165">
        <f t="shared" si="156"/>
        <v>1506.6399999999999</v>
      </c>
      <c r="AK261" s="165">
        <f t="shared" si="156"/>
        <v>1356.28</v>
      </c>
      <c r="AL261" s="165">
        <f t="shared" si="156"/>
        <v>1295.44</v>
      </c>
      <c r="AM261" s="165">
        <f t="shared" si="156"/>
        <v>1373.94</v>
      </c>
      <c r="AN261" s="165">
        <f t="shared" si="156"/>
        <v>1285.6399999999999</v>
      </c>
      <c r="AO261" s="165">
        <f t="shared" si="156"/>
        <v>1391.64</v>
      </c>
      <c r="AP261" s="165">
        <f t="shared" si="156"/>
        <v>1571.04</v>
      </c>
      <c r="AQ261" s="165">
        <f t="shared" si="156"/>
        <v>1934.44</v>
      </c>
      <c r="AR261" s="165">
        <f t="shared" si="156"/>
        <v>1878.2400000000002</v>
      </c>
      <c r="AS261" s="165">
        <f t="shared" si="156"/>
        <v>1824.5400000000002</v>
      </c>
      <c r="AT261" s="165">
        <f t="shared" si="156"/>
        <v>1765.24</v>
      </c>
      <c r="AU261" s="165">
        <f t="shared" si="156"/>
        <v>1701.04</v>
      </c>
      <c r="AV261" s="165">
        <f t="shared" si="156"/>
        <v>1607.04</v>
      </c>
      <c r="AW261" s="165">
        <f t="shared" si="156"/>
        <v>1416.74</v>
      </c>
      <c r="AX261" s="165">
        <f t="shared" si="156"/>
        <v>1205.74</v>
      </c>
    </row>
    <row r="262" spans="1:50" x14ac:dyDescent="0.25">
      <c r="A262" s="158" t="s">
        <v>249</v>
      </c>
      <c r="B262" s="15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50" x14ac:dyDescent="0.25">
      <c r="A263" s="158" t="s">
        <v>250</v>
      </c>
      <c r="B263" s="15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50" x14ac:dyDescent="0.25">
      <c r="A264" s="158" t="s">
        <v>251</v>
      </c>
      <c r="B264" s="15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50" x14ac:dyDescent="0.25">
      <c r="A265" s="158" t="s">
        <v>252</v>
      </c>
      <c r="B265" s="166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50" x14ac:dyDescent="0.25">
      <c r="A266" s="158" t="s">
        <v>253</v>
      </c>
      <c r="B266" s="15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50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50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50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50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50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50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1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1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1:34" x14ac:dyDescent="0.25">
      <c r="A282" s="167" t="s">
        <v>238</v>
      </c>
      <c r="B282" s="168">
        <f t="shared" ref="B282:AE282" si="157">C251</f>
        <v>0.64</v>
      </c>
      <c r="C282" s="168">
        <f t="shared" si="157"/>
        <v>0.64</v>
      </c>
      <c r="D282" s="168">
        <f t="shared" si="157"/>
        <v>0.64</v>
      </c>
      <c r="E282" s="168">
        <f t="shared" si="157"/>
        <v>0.64</v>
      </c>
      <c r="F282" s="168">
        <f t="shared" si="157"/>
        <v>0.64</v>
      </c>
      <c r="G282" s="168">
        <f t="shared" si="157"/>
        <v>0.64</v>
      </c>
      <c r="H282" s="168">
        <f t="shared" si="157"/>
        <v>0.64</v>
      </c>
      <c r="I282" s="168">
        <f t="shared" si="157"/>
        <v>0.64</v>
      </c>
      <c r="J282" s="168">
        <f t="shared" si="157"/>
        <v>0.64</v>
      </c>
      <c r="K282" s="168">
        <f t="shared" si="157"/>
        <v>0.64</v>
      </c>
      <c r="L282" s="168">
        <f t="shared" si="157"/>
        <v>0.64</v>
      </c>
      <c r="M282" s="168">
        <f t="shared" si="157"/>
        <v>0.64</v>
      </c>
      <c r="N282" s="168">
        <f t="shared" si="157"/>
        <v>0.64</v>
      </c>
      <c r="O282" s="168">
        <f t="shared" si="157"/>
        <v>0.64</v>
      </c>
      <c r="P282" s="168">
        <f t="shared" si="157"/>
        <v>0.64</v>
      </c>
      <c r="Q282" s="168">
        <f t="shared" si="157"/>
        <v>0.64</v>
      </c>
      <c r="R282" s="168">
        <f t="shared" si="157"/>
        <v>0.64</v>
      </c>
      <c r="S282" s="168">
        <f t="shared" si="157"/>
        <v>0.64</v>
      </c>
      <c r="T282" s="168">
        <f t="shared" si="157"/>
        <v>0.64</v>
      </c>
      <c r="U282" s="168">
        <f t="shared" si="157"/>
        <v>0.64</v>
      </c>
      <c r="V282" s="168">
        <f t="shared" si="157"/>
        <v>0.64</v>
      </c>
      <c r="W282" s="168">
        <f t="shared" si="157"/>
        <v>0.64</v>
      </c>
      <c r="X282" s="168">
        <f t="shared" si="157"/>
        <v>0.64</v>
      </c>
      <c r="Y282" s="168">
        <f t="shared" si="157"/>
        <v>0.64</v>
      </c>
      <c r="Z282" s="168">
        <f t="shared" si="157"/>
        <v>0.64</v>
      </c>
      <c r="AA282" s="168">
        <f t="shared" si="157"/>
        <v>0.64</v>
      </c>
      <c r="AB282" s="168">
        <f t="shared" si="157"/>
        <v>0.64</v>
      </c>
      <c r="AC282" s="168">
        <f t="shared" si="157"/>
        <v>0.64</v>
      </c>
      <c r="AD282" s="168">
        <f t="shared" si="157"/>
        <v>0.64</v>
      </c>
      <c r="AE282" s="168">
        <f t="shared" si="157"/>
        <v>0.64</v>
      </c>
      <c r="AF282" s="168">
        <f>B251</f>
        <v>0.64</v>
      </c>
      <c r="AG282" s="43"/>
      <c r="AH282" s="43"/>
    </row>
    <row r="283" spans="1:34" x14ac:dyDescent="0.25">
      <c r="A283" s="169" t="e">
        <f>#REF!</f>
        <v>#REF!</v>
      </c>
      <c r="B283" s="169" t="e">
        <f>IF(#REF!&lt;100,"",#REF!-520)</f>
        <v>#REF!</v>
      </c>
      <c r="C283" s="169" t="e">
        <f>IF(#REF!&lt;100,"",#REF!-520)</f>
        <v>#REF!</v>
      </c>
      <c r="D283" s="169" t="e">
        <f>IF(#REF!&lt;100,"",#REF!-520)</f>
        <v>#REF!</v>
      </c>
      <c r="E283" s="169" t="e">
        <f>IF(#REF!&lt;100,"",#REF!-520)</f>
        <v>#REF!</v>
      </c>
      <c r="F283" s="169" t="e">
        <f>IF(#REF!&lt;100,"",#REF!-520)</f>
        <v>#REF!</v>
      </c>
      <c r="G283" s="169" t="e">
        <f>IF(#REF!&lt;100,"",#REF!-520)</f>
        <v>#REF!</v>
      </c>
      <c r="H283" s="169" t="e">
        <f>IF(#REF!&lt;100,"",#REF!-520)</f>
        <v>#REF!</v>
      </c>
      <c r="I283" s="169" t="e">
        <f>IF(#REF!&lt;100,"",#REF!-520)</f>
        <v>#REF!</v>
      </c>
      <c r="J283" s="169" t="e">
        <f>IF(#REF!&lt;100,"",#REF!-520)</f>
        <v>#REF!</v>
      </c>
      <c r="K283" s="169" t="e">
        <f>IF(#REF!&lt;100,"",#REF!-520)</f>
        <v>#REF!</v>
      </c>
      <c r="L283" s="169" t="e">
        <f>IF(#REF!&lt;100,"",#REF!-520)</f>
        <v>#REF!</v>
      </c>
      <c r="M283" s="169" t="e">
        <f>IF(#REF!&lt;100,"",#REF!-520)</f>
        <v>#REF!</v>
      </c>
      <c r="N283" s="169" t="e">
        <f>IF(#REF!&lt;100,"",#REF!-520)</f>
        <v>#REF!</v>
      </c>
      <c r="O283" s="169" t="e">
        <f>IF(#REF!&lt;100,"",#REF!-520)</f>
        <v>#REF!</v>
      </c>
      <c r="P283" s="169" t="e">
        <f>IF(#REF!&lt;100,"",#REF!-520)</f>
        <v>#REF!</v>
      </c>
      <c r="Q283" s="169" t="e">
        <f>IF(#REF!&lt;100,"",#REF!-520)</f>
        <v>#REF!</v>
      </c>
      <c r="R283" s="169" t="e">
        <f>IF(#REF!&lt;100,"",#REF!-520)</f>
        <v>#REF!</v>
      </c>
      <c r="S283" s="169" t="e">
        <f>IF(#REF!&lt;100,"",#REF!-520)</f>
        <v>#REF!</v>
      </c>
      <c r="T283" s="169" t="e">
        <f>IF(#REF!&lt;100,"",#REF!-520)</f>
        <v>#REF!</v>
      </c>
      <c r="U283" s="169" t="e">
        <f>IF(#REF!&lt;100,"",#REF!-520)</f>
        <v>#REF!</v>
      </c>
      <c r="V283" s="169" t="e">
        <f>IF(#REF!&lt;100,"",#REF!-520)</f>
        <v>#REF!</v>
      </c>
      <c r="W283" s="169" t="e">
        <f>IF(#REF!&lt;100,"",#REF!-520)</f>
        <v>#REF!</v>
      </c>
      <c r="X283" s="169" t="e">
        <f>IF(#REF!&lt;100,"",#REF!-520)</f>
        <v>#REF!</v>
      </c>
      <c r="Y283" s="169" t="e">
        <f>IF(#REF!&lt;100,"",#REF!-520)</f>
        <v>#REF!</v>
      </c>
      <c r="Z283" s="169" t="e">
        <f>IF(#REF!&lt;100,"",#REF!-520)</f>
        <v>#REF!</v>
      </c>
      <c r="AA283" s="169" t="e">
        <f>IF(#REF!&lt;100,"",#REF!-520)</f>
        <v>#REF!</v>
      </c>
      <c r="AB283" s="169" t="e">
        <f>IF(#REF!&lt;100,"",#REF!-520)</f>
        <v>#REF!</v>
      </c>
      <c r="AC283" s="169" t="e">
        <f>IF(#REF!&lt;100,"",#REF!-520)</f>
        <v>#REF!</v>
      </c>
      <c r="AD283" s="169" t="e">
        <f>IF(#REF!&lt;100,"",#REF!-520)</f>
        <v>#REF!</v>
      </c>
      <c r="AE283" s="169" t="e">
        <f>IF(#REF!&lt;100,"",#REF!-520)</f>
        <v>#REF!</v>
      </c>
      <c r="AF283" s="169" t="e">
        <f>IF(#REF!&lt;100,"",#REF!-520)</f>
        <v>#REF!</v>
      </c>
      <c r="AG283" s="43"/>
      <c r="AH283" s="43"/>
    </row>
    <row r="284" spans="1:34" x14ac:dyDescent="0.25">
      <c r="A284" s="169" t="e">
        <f>#REF!</f>
        <v>#REF!</v>
      </c>
      <c r="B284" s="169" t="e">
        <f>IF(#REF!&lt;100,"",#REF!-620)</f>
        <v>#REF!</v>
      </c>
      <c r="C284" s="169" t="e">
        <f>IF(#REF!&lt;100,"",#REF!-620)</f>
        <v>#REF!</v>
      </c>
      <c r="D284" s="169" t="e">
        <f>IF(#REF!&lt;100,"",#REF!-620)</f>
        <v>#REF!</v>
      </c>
      <c r="E284" s="169" t="e">
        <f>IF(#REF!&lt;100,"",#REF!-620)</f>
        <v>#REF!</v>
      </c>
      <c r="F284" s="169" t="e">
        <f>IF(#REF!&lt;100,"",#REF!-620)</f>
        <v>#REF!</v>
      </c>
      <c r="G284" s="169" t="e">
        <f>IF(#REF!&lt;100,"",#REF!-620)</f>
        <v>#REF!</v>
      </c>
      <c r="H284" s="169" t="e">
        <f>IF(#REF!&lt;100,"",#REF!-620)</f>
        <v>#REF!</v>
      </c>
      <c r="I284" s="169" t="e">
        <f>IF(#REF!&lt;100,"",#REF!-620)</f>
        <v>#REF!</v>
      </c>
      <c r="J284" s="169" t="e">
        <f>IF(#REF!&lt;100,"",#REF!-620)</f>
        <v>#REF!</v>
      </c>
      <c r="K284" s="169" t="e">
        <f>IF(#REF!&lt;100,"",#REF!-620)</f>
        <v>#REF!</v>
      </c>
      <c r="L284" s="169" t="e">
        <f>IF(#REF!&lt;100,"",#REF!-620)</f>
        <v>#REF!</v>
      </c>
      <c r="M284" s="169" t="e">
        <f>IF(#REF!&lt;100,"",#REF!-620)</f>
        <v>#REF!</v>
      </c>
      <c r="N284" s="169" t="e">
        <f>IF(#REF!&lt;100,"",#REF!-620)</f>
        <v>#REF!</v>
      </c>
      <c r="O284" s="169" t="e">
        <f>IF(#REF!&lt;100,"",#REF!-620)</f>
        <v>#REF!</v>
      </c>
      <c r="P284" s="169" t="e">
        <f>IF(#REF!&lt;100,"",#REF!-620)</f>
        <v>#REF!</v>
      </c>
      <c r="Q284" s="169" t="e">
        <f>IF(#REF!&lt;100,"",#REF!-620)</f>
        <v>#REF!</v>
      </c>
      <c r="R284" s="169" t="e">
        <f>IF(#REF!&lt;100,"",#REF!-620)</f>
        <v>#REF!</v>
      </c>
      <c r="S284" s="169" t="e">
        <f>IF(#REF!&lt;100,"",#REF!-620)</f>
        <v>#REF!</v>
      </c>
      <c r="T284" s="169" t="e">
        <f>IF(#REF!&lt;100,"",#REF!-620)</f>
        <v>#REF!</v>
      </c>
      <c r="U284" s="169" t="e">
        <f>IF(#REF!&lt;100,"",#REF!-620)</f>
        <v>#REF!</v>
      </c>
      <c r="V284" s="169" t="e">
        <f>IF(#REF!&lt;100,"",#REF!-620)</f>
        <v>#REF!</v>
      </c>
      <c r="W284" s="169" t="e">
        <f>IF(#REF!&lt;100,"",#REF!-620)</f>
        <v>#REF!</v>
      </c>
      <c r="X284" s="169" t="e">
        <f>IF(#REF!&lt;100,"",#REF!-620)</f>
        <v>#REF!</v>
      </c>
      <c r="Y284" s="169" t="e">
        <f>IF(#REF!&lt;100,"",#REF!-620)</f>
        <v>#REF!</v>
      </c>
      <c r="Z284" s="169" t="e">
        <f>IF(#REF!&lt;100,"",#REF!-620)</f>
        <v>#REF!</v>
      </c>
      <c r="AA284" s="169" t="e">
        <f>IF(#REF!&lt;100,"",#REF!-620)</f>
        <v>#REF!</v>
      </c>
      <c r="AB284" s="169" t="e">
        <f>IF(#REF!&lt;100,"",#REF!-620)</f>
        <v>#REF!</v>
      </c>
      <c r="AC284" s="169" t="e">
        <f>IF(#REF!&lt;100,"",#REF!-620)</f>
        <v>#REF!</v>
      </c>
      <c r="AD284" s="169" t="e">
        <f>IF(#REF!&lt;100,"",#REF!-620)</f>
        <v>#REF!</v>
      </c>
      <c r="AE284" s="169" t="e">
        <f>IF(#REF!&lt;100,"",#REF!-620)</f>
        <v>#REF!</v>
      </c>
      <c r="AF284" s="169" t="e">
        <f>IF(#REF!&lt;100,"",#REF!-620)</f>
        <v>#REF!</v>
      </c>
      <c r="AG284" s="43"/>
      <c r="AH284" s="43"/>
    </row>
    <row r="285" spans="1:34" x14ac:dyDescent="0.25">
      <c r="A285" s="169" t="e">
        <f>#REF!</f>
        <v>#REF!</v>
      </c>
      <c r="B285" s="169" t="e">
        <f>IF(#REF!&lt;100,"",#REF!-330)</f>
        <v>#REF!</v>
      </c>
      <c r="C285" s="169" t="e">
        <f>IF(#REF!&lt;100,"",#REF!-330)</f>
        <v>#REF!</v>
      </c>
      <c r="D285" s="169" t="e">
        <f>IF(#REF!&lt;100,"",#REF!-330)</f>
        <v>#REF!</v>
      </c>
      <c r="E285" s="169" t="e">
        <f>IF(#REF!&lt;100,"",#REF!-330)</f>
        <v>#REF!</v>
      </c>
      <c r="F285" s="169" t="e">
        <f>IF(#REF!&lt;100,"",#REF!-330)</f>
        <v>#REF!</v>
      </c>
      <c r="G285" s="169" t="e">
        <f>IF(#REF!&lt;100,"",#REF!-330)</f>
        <v>#REF!</v>
      </c>
      <c r="H285" s="169" t="e">
        <f>IF(#REF!&lt;100,"",#REF!-330)</f>
        <v>#REF!</v>
      </c>
      <c r="I285" s="169" t="e">
        <f>IF(#REF!&lt;100,"",#REF!-330)</f>
        <v>#REF!</v>
      </c>
      <c r="J285" s="169" t="e">
        <f>IF(#REF!&lt;100,"",#REF!-330)</f>
        <v>#REF!</v>
      </c>
      <c r="K285" s="169" t="e">
        <f>IF(#REF!&lt;100,"",#REF!-330)</f>
        <v>#REF!</v>
      </c>
      <c r="L285" s="169" t="e">
        <f>IF(#REF!&lt;100,"",#REF!-330)</f>
        <v>#REF!</v>
      </c>
      <c r="M285" s="169" t="e">
        <f>IF(#REF!&lt;100,"",#REF!-330)</f>
        <v>#REF!</v>
      </c>
      <c r="N285" s="169" t="e">
        <f>IF(#REF!&lt;100,"",#REF!-330)</f>
        <v>#REF!</v>
      </c>
      <c r="O285" s="169" t="e">
        <f>IF(#REF!&lt;100,"",#REF!-330)</f>
        <v>#REF!</v>
      </c>
      <c r="P285" s="169" t="e">
        <f>IF(#REF!&lt;100,"",#REF!-330)</f>
        <v>#REF!</v>
      </c>
      <c r="Q285" s="169" t="e">
        <f>IF(#REF!&lt;100,"",#REF!-330)</f>
        <v>#REF!</v>
      </c>
      <c r="R285" s="169" t="e">
        <f>IF(#REF!&lt;100,"",#REF!-330)</f>
        <v>#REF!</v>
      </c>
      <c r="S285" s="169" t="e">
        <f>IF(#REF!&lt;100,"",#REF!-330)</f>
        <v>#REF!</v>
      </c>
      <c r="T285" s="169" t="e">
        <f>IF(#REF!&lt;100,"",#REF!-330)</f>
        <v>#REF!</v>
      </c>
      <c r="U285" s="169" t="e">
        <f>IF(#REF!&lt;100,"",#REF!-330)</f>
        <v>#REF!</v>
      </c>
      <c r="V285" s="169" t="e">
        <f>IF(#REF!&lt;100,"",#REF!-330)</f>
        <v>#REF!</v>
      </c>
      <c r="W285" s="169" t="e">
        <f>IF(#REF!&lt;100,"",#REF!-330)</f>
        <v>#REF!</v>
      </c>
      <c r="X285" s="169" t="e">
        <f>IF(#REF!&lt;100,"",#REF!-330)</f>
        <v>#REF!</v>
      </c>
      <c r="Y285" s="169" t="e">
        <f>IF(#REF!&lt;100,"",#REF!-330)</f>
        <v>#REF!</v>
      </c>
      <c r="Z285" s="169" t="e">
        <f>IF(#REF!&lt;100,"",#REF!-330)</f>
        <v>#REF!</v>
      </c>
      <c r="AA285" s="169" t="e">
        <f>IF(#REF!&lt;100,"",#REF!-330)</f>
        <v>#REF!</v>
      </c>
      <c r="AB285" s="169" t="e">
        <f>IF(#REF!&lt;100,"",#REF!-330)</f>
        <v>#REF!</v>
      </c>
      <c r="AC285" s="169" t="e">
        <f>IF(#REF!&lt;100,"",#REF!-330)</f>
        <v>#REF!</v>
      </c>
      <c r="AD285" s="169" t="e">
        <f>IF(#REF!&lt;100,"",#REF!-330)</f>
        <v>#REF!</v>
      </c>
      <c r="AE285" s="169" t="e">
        <f>IF(#REF!&lt;100,"",#REF!-330)</f>
        <v>#REF!</v>
      </c>
      <c r="AF285" s="169" t="e">
        <f>IF(#REF!&lt;100,"",#REF!-330)</f>
        <v>#REF!</v>
      </c>
      <c r="AG285" s="43"/>
      <c r="AH285" s="43"/>
    </row>
    <row r="286" spans="1:34" x14ac:dyDescent="0.25">
      <c r="A286" s="169" t="e">
        <f>#REF!</f>
        <v>#REF!</v>
      </c>
      <c r="B286" s="169" t="e">
        <f>IF(#REF!&lt;100,"",#REF!-1500)</f>
        <v>#REF!</v>
      </c>
      <c r="C286" s="169" t="e">
        <f>IF(#REF!&lt;100,"",#REF!-1500)</f>
        <v>#REF!</v>
      </c>
      <c r="D286" s="169" t="e">
        <f>IF(#REF!&lt;100,"",#REF!-1500)</f>
        <v>#REF!</v>
      </c>
      <c r="E286" s="169" t="e">
        <f>IF(#REF!&lt;100,"",#REF!-1500)</f>
        <v>#REF!</v>
      </c>
      <c r="F286" s="169" t="e">
        <f>IF(#REF!&lt;100,"",#REF!-1500)</f>
        <v>#REF!</v>
      </c>
      <c r="G286" s="169" t="e">
        <f>IF(#REF!&lt;100,"",#REF!-1500)</f>
        <v>#REF!</v>
      </c>
      <c r="H286" s="169" t="e">
        <f>IF(#REF!&lt;100,"",#REF!-1500)</f>
        <v>#REF!</v>
      </c>
      <c r="I286" s="169" t="e">
        <f>IF(#REF!&lt;100,"",#REF!-1500)</f>
        <v>#REF!</v>
      </c>
      <c r="J286" s="169" t="e">
        <f>IF(#REF!&lt;100,"",#REF!-1500)</f>
        <v>#REF!</v>
      </c>
      <c r="K286" s="169" t="e">
        <f>IF(#REF!&lt;100,"",#REF!-1500)</f>
        <v>#REF!</v>
      </c>
      <c r="L286" s="169" t="e">
        <f>IF(#REF!&lt;100,"",#REF!-1500)</f>
        <v>#REF!</v>
      </c>
      <c r="M286" s="169" t="e">
        <f>IF(#REF!&lt;100,"",#REF!-1500)</f>
        <v>#REF!</v>
      </c>
      <c r="N286" s="169" t="e">
        <f>IF(#REF!&lt;100,"",#REF!-1500)</f>
        <v>#REF!</v>
      </c>
      <c r="O286" s="169" t="e">
        <f>IF(#REF!&lt;100,"",#REF!-1500)</f>
        <v>#REF!</v>
      </c>
      <c r="P286" s="169" t="e">
        <f>IF(#REF!&lt;100,"",#REF!-1500)</f>
        <v>#REF!</v>
      </c>
      <c r="Q286" s="169" t="e">
        <f>IF(#REF!&lt;100,"",#REF!-1500)</f>
        <v>#REF!</v>
      </c>
      <c r="R286" s="169" t="e">
        <f>IF(#REF!&lt;100,"",#REF!-1500)</f>
        <v>#REF!</v>
      </c>
      <c r="S286" s="169" t="e">
        <f>IF(#REF!&lt;100,"",#REF!-1500)</f>
        <v>#REF!</v>
      </c>
      <c r="T286" s="169" t="e">
        <f>IF(#REF!&lt;100,"",#REF!-1500)</f>
        <v>#REF!</v>
      </c>
      <c r="U286" s="169" t="e">
        <f>IF(#REF!&lt;100,"",#REF!-1500)</f>
        <v>#REF!</v>
      </c>
      <c r="V286" s="169" t="e">
        <f>IF(#REF!&lt;100,"",#REF!-1500)</f>
        <v>#REF!</v>
      </c>
      <c r="W286" s="169" t="e">
        <f>IF(#REF!&lt;100,"",#REF!-1500)</f>
        <v>#REF!</v>
      </c>
      <c r="X286" s="169" t="e">
        <f>IF(#REF!&lt;100,"",#REF!-1500)</f>
        <v>#REF!</v>
      </c>
      <c r="Y286" s="169" t="e">
        <f>IF(#REF!&lt;100,"",#REF!-1500)</f>
        <v>#REF!</v>
      </c>
      <c r="Z286" s="169" t="e">
        <f>IF(#REF!&lt;100,"",#REF!-1500)</f>
        <v>#REF!</v>
      </c>
      <c r="AA286" s="169" t="e">
        <f>IF(#REF!&lt;100,"",#REF!-1500)</f>
        <v>#REF!</v>
      </c>
      <c r="AB286" s="169" t="e">
        <f>IF(#REF!&lt;100,"",#REF!-1500)</f>
        <v>#REF!</v>
      </c>
      <c r="AC286" s="169" t="e">
        <f>IF(#REF!&lt;100,"",#REF!-1500)</f>
        <v>#REF!</v>
      </c>
      <c r="AD286" s="169" t="e">
        <f>IF(#REF!&lt;100,"",#REF!-1500)</f>
        <v>#REF!</v>
      </c>
      <c r="AE286" s="169" t="e">
        <f>IF(#REF!&lt;100,"",#REF!-1500)</f>
        <v>#REF!</v>
      </c>
      <c r="AF286" s="169" t="e">
        <f>IF(#REF!&lt;100,"",#REF!-1500)</f>
        <v>#REF!</v>
      </c>
      <c r="AG286" s="43"/>
      <c r="AH286" s="43"/>
    </row>
    <row r="287" spans="1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1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2:34" x14ac:dyDescent="0.25"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2:34" x14ac:dyDescent="0.25"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2:34" x14ac:dyDescent="0.25"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2:34" x14ac:dyDescent="0.25"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2:34" x14ac:dyDescent="0.25"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1546" priority="1">
      <formula>$AH11=0</formula>
    </cfRule>
  </conditionalFormatting>
  <conditionalFormatting sqref="A132:A253">
    <cfRule type="expression" dxfId="1545" priority="6">
      <formula>$AH132=0</formula>
    </cfRule>
  </conditionalFormatting>
  <conditionalFormatting sqref="B8 M8 S8 AB8">
    <cfRule type="expression" dxfId="1544" priority="116">
      <formula>C$9&lt;8/24</formula>
    </cfRule>
    <cfRule type="expression" dxfId="1543" priority="115">
      <formula>AND(C$9&gt;=8/24,C$9&lt;14/24)</formula>
    </cfRule>
    <cfRule type="expression" dxfId="1542" priority="114">
      <formula>AND(C$9&gt;=14/24,C$9&lt;20/24)</formula>
    </cfRule>
  </conditionalFormatting>
  <conditionalFormatting sqref="B11:X54">
    <cfRule type="expression" dxfId="1541" priority="15">
      <formula>B11&gt;$AG11</formula>
    </cfRule>
  </conditionalFormatting>
  <conditionalFormatting sqref="B53:X54">
    <cfRule type="expression" dxfId="1540" priority="14">
      <formula>B$9&lt;8/24</formula>
    </cfRule>
  </conditionalFormatting>
  <conditionalFormatting sqref="B55:X55">
    <cfRule type="expression" dxfId="1539" priority="35">
      <formula>B55&gt;$AG55</formula>
    </cfRule>
  </conditionalFormatting>
  <conditionalFormatting sqref="B55:X57">
    <cfRule type="expression" dxfId="1538" priority="34">
      <formula>B$9&lt;8/24</formula>
    </cfRule>
  </conditionalFormatting>
  <conditionalFormatting sqref="B9:AF52">
    <cfRule type="expression" dxfId="1537" priority="26">
      <formula>B$9&gt;=20/24</formula>
    </cfRule>
    <cfRule type="expression" dxfId="1536" priority="27">
      <formula>AND(B$9&gt;=14/24,B$9&lt;20/24)</formula>
    </cfRule>
    <cfRule type="expression" dxfId="1535" priority="28">
      <formula>AND(B$9&gt;=8/24,B$9&lt;14/24)</formula>
    </cfRule>
    <cfRule type="expression" dxfId="1534" priority="29">
      <formula>B$9&lt;8/24</formula>
    </cfRule>
  </conditionalFormatting>
  <conditionalFormatting sqref="B53:AF54">
    <cfRule type="expression" dxfId="1533" priority="11">
      <formula>B$9&gt;=20/24</formula>
    </cfRule>
    <cfRule type="expression" dxfId="1532" priority="12">
      <formula>AND(B$9&gt;=14/24,B$9&lt;20/24)</formula>
    </cfRule>
    <cfRule type="expression" dxfId="1531" priority="13">
      <formula>AND(B$9&gt;=8/24,B$9&lt;14/24)</formula>
    </cfRule>
  </conditionalFormatting>
  <conditionalFormatting sqref="B55:AF57">
    <cfRule type="expression" dxfId="1530" priority="31">
      <formula>B$9&gt;=20/24</formula>
    </cfRule>
    <cfRule type="expression" dxfId="1529" priority="32">
      <formula>AND(B$9&gt;=14/24,B$9&lt;20/24)</formula>
    </cfRule>
    <cfRule type="expression" dxfId="1528" priority="33">
      <formula>AND(B$9&gt;=8/24,B$9&lt;14/24)</formula>
    </cfRule>
  </conditionalFormatting>
  <conditionalFormatting sqref="B56:AF61">
    <cfRule type="expression" dxfId="1527" priority="30">
      <formula>B56&gt;$AG56</formula>
    </cfRule>
  </conditionalFormatting>
  <conditionalFormatting sqref="B59:AF61">
    <cfRule type="expression" dxfId="1526" priority="44">
      <formula>B$9&lt;8/24</formula>
    </cfRule>
    <cfRule type="expression" dxfId="1525" priority="43">
      <formula>AND(B$9&gt;=8/24,B$9&lt;14/24)</formula>
    </cfRule>
    <cfRule type="expression" dxfId="1524" priority="42">
      <formula>AND(B$9&gt;=14/24,B$9&lt;20/24)</formula>
    </cfRule>
    <cfRule type="expression" dxfId="1523" priority="41">
      <formula>B$9&gt;=20/24</formula>
    </cfRule>
  </conditionalFormatting>
  <conditionalFormatting sqref="B63:AF74">
    <cfRule type="expression" dxfId="1522" priority="20">
      <formula>B63&gt;$AG63</formula>
    </cfRule>
    <cfRule type="expression" dxfId="1521" priority="21">
      <formula>B$9&gt;=20/24</formula>
    </cfRule>
    <cfRule type="expression" dxfId="1520" priority="22">
      <formula>AND(B$9&gt;=14/24,B$9&lt;20/24)</formula>
    </cfRule>
    <cfRule type="expression" dxfId="1519" priority="23">
      <formula>AND(B$9&gt;=8/24,B$9&lt;14/24)</formula>
    </cfRule>
    <cfRule type="expression" dxfId="1518" priority="24">
      <formula>B$9&lt;8/24</formula>
    </cfRule>
  </conditionalFormatting>
  <conditionalFormatting sqref="B77:AF79">
    <cfRule type="expression" dxfId="1517" priority="48">
      <formula>AND(B$9&gt;=8/24,B$9&lt;14/24)</formula>
    </cfRule>
    <cfRule type="expression" dxfId="1516" priority="47">
      <formula>AND(B$9&gt;=14/24,B$9&lt;20/24)</formula>
    </cfRule>
    <cfRule type="expression" dxfId="1515" priority="49">
      <formula>B$9&lt;8/24</formula>
    </cfRule>
    <cfRule type="expression" dxfId="1514" priority="46">
      <formula>B$9&gt;=20/24</formula>
    </cfRule>
    <cfRule type="expression" dxfId="1513" priority="45">
      <formula>B77&gt;$AG77</formula>
    </cfRule>
  </conditionalFormatting>
  <conditionalFormatting sqref="B81:AF99">
    <cfRule type="expression" dxfId="1512" priority="18">
      <formula>AND(B$9&gt;=8/24,B$9&lt;14/24)</formula>
    </cfRule>
    <cfRule type="expression" dxfId="1511" priority="19">
      <formula>B$9&lt;8/24</formula>
    </cfRule>
    <cfRule type="expression" dxfId="1510" priority="16">
      <formula>B$9&gt;=20/24</formula>
    </cfRule>
    <cfRule type="expression" dxfId="1509" priority="17">
      <formula>AND(B$9&gt;=14/24,B$9&lt;20/24)</formula>
    </cfRule>
  </conditionalFormatting>
  <conditionalFormatting sqref="B101:AF117">
    <cfRule type="expression" dxfId="1508" priority="10">
      <formula>B$9&lt;8/24</formula>
    </cfRule>
    <cfRule type="expression" dxfId="1507" priority="9">
      <formula>AND(B$9&gt;=8/24,B$9&lt;14/24)</formula>
    </cfRule>
    <cfRule type="expression" dxfId="1506" priority="8">
      <formula>AND(B$9&gt;=14/24,B$9&lt;20/24)</formula>
    </cfRule>
    <cfRule type="expression" dxfId="1505" priority="7">
      <formula>B$9&gt;=20/24</formula>
    </cfRule>
  </conditionalFormatting>
  <conditionalFormatting sqref="B119:AF137">
    <cfRule type="expression" dxfId="1504" priority="2">
      <formula>B$9&gt;=20/24</formula>
    </cfRule>
    <cfRule type="expression" dxfId="1503" priority="3">
      <formula>AND(B$9&gt;=14/24,B$9&lt;20/24)</formula>
    </cfRule>
    <cfRule type="expression" dxfId="1502" priority="5">
      <formula>B$9&lt;8/24</formula>
    </cfRule>
    <cfRule type="expression" dxfId="1501" priority="4">
      <formula>AND(B$9&gt;=8/24,B$9&lt;14/24)</formula>
    </cfRule>
  </conditionalFormatting>
  <conditionalFormatting sqref="B244:AF244 B246:B252 D246:AF252 U260:AF260">
    <cfRule type="expression" dxfId="1500" priority="109">
      <formula>AND(B$9&gt;=8/24,B$9&lt;14/24)</formula>
    </cfRule>
    <cfRule type="expression" dxfId="1499" priority="108">
      <formula>AND(B$9&gt;=14/24,B$9&lt;20/24)</formula>
    </cfRule>
    <cfRule type="expression" dxfId="1498" priority="107">
      <formula>B$9&gt;=20/24</formula>
    </cfRule>
    <cfRule type="expression" dxfId="1497" priority="110">
      <formula>B$9&lt;8/24</formula>
    </cfRule>
  </conditionalFormatting>
  <conditionalFormatting sqref="B62:AG62">
    <cfRule type="expression" dxfId="1496" priority="50">
      <formula>B62&gt;$AG62</formula>
    </cfRule>
    <cfRule type="expression" dxfId="1495" priority="51">
      <formula>B$9&gt;=20/24</formula>
    </cfRule>
    <cfRule type="expression" dxfId="1494" priority="52">
      <formula>AND(B$9&gt;=14/24,B$9&lt;20/24)</formula>
    </cfRule>
    <cfRule type="expression" dxfId="1493" priority="53">
      <formula>AND(B$9&gt;=8/24,B$9&lt;14/24)</formula>
    </cfRule>
    <cfRule type="expression" dxfId="1492" priority="54">
      <formula>B$9&lt;8/24</formula>
    </cfRule>
  </conditionalFormatting>
  <conditionalFormatting sqref="B75:AG76 B80:AG80">
    <cfRule type="expression" dxfId="1491" priority="36">
      <formula>B75&gt;$AG75</formula>
    </cfRule>
  </conditionalFormatting>
  <conditionalFormatting sqref="B80:AG80">
    <cfRule type="expression" dxfId="1490" priority="39">
      <formula>AND(B$9&gt;=8/24,B$9&lt;14/24)</formula>
    </cfRule>
    <cfRule type="expression" dxfId="1489" priority="38">
      <formula>AND(B$9&gt;=14/24,B$9&lt;20/24)</formula>
    </cfRule>
    <cfRule type="expression" dxfId="1488" priority="37">
      <formula>B$9&gt;=20/24</formula>
    </cfRule>
    <cfRule type="expression" dxfId="1487" priority="40">
      <formula>B$9&lt;8/24</formula>
    </cfRule>
  </conditionalFormatting>
  <conditionalFormatting sqref="O3:P3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1486" priority="113">
      <formula>C$9&gt;=20/24</formula>
    </cfRule>
  </conditionalFormatting>
  <conditionalFormatting sqref="S8">
    <cfRule type="expression" dxfId="1485" priority="100">
      <formula>U$9&gt;=20/24</formula>
    </cfRule>
    <cfRule type="expression" dxfId="1484" priority="101">
      <formula>AND(U$9&gt;=14/24,U$9&lt;20/24)</formula>
    </cfRule>
    <cfRule type="expression" dxfId="1483" priority="102">
      <formula>AND(U$9&gt;=8/24,U$9&lt;14/24)</formula>
    </cfRule>
    <cfRule type="expression" dxfId="1482" priority="103">
      <formula>U$9&lt;8/24</formula>
    </cfRule>
  </conditionalFormatting>
  <conditionalFormatting sqref="T260">
    <cfRule type="expression" dxfId="1481" priority="128">
      <formula>AX$9&lt;8/24</formula>
    </cfRule>
    <cfRule type="expression" dxfId="1480" priority="125">
      <formula>AX$9&gt;=20/24</formula>
    </cfRule>
    <cfRule type="expression" dxfId="1479" priority="126">
      <formula>AND(AX$9&gt;=14/24,AX$9&lt;20/24)</formula>
    </cfRule>
    <cfRule type="expression" dxfId="1478" priority="127">
      <formula>AND(AX$9&gt;=8/24,AX$9&lt;14/24)</formula>
    </cfRule>
  </conditionalFormatting>
  <conditionalFormatting sqref="V3 AB3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Y11:AF52">
    <cfRule type="expression" dxfId="1477" priority="25">
      <formula>Y11&gt;$AG11</formula>
    </cfRule>
  </conditionalFormatting>
  <conditionalFormatting sqref="Y53:AF55">
    <cfRule type="expression" dxfId="1476" priority="64">
      <formula>Y53&gt;$AG53</formula>
    </cfRule>
  </conditionalFormatting>
  <conditionalFormatting sqref="Y53:AF57">
    <cfRule type="expression" dxfId="1475" priority="63">
      <formula>Y$9&lt;8/24</formula>
    </cfRule>
  </conditionalFormatting>
  <conditionalFormatting sqref="AB8">
    <cfRule type="expression" dxfId="1474" priority="96">
      <formula>AD$9&gt;=20/24</formula>
    </cfRule>
    <cfRule type="expression" dxfId="1473" priority="97">
      <formula>AND(AD$9&gt;=14/24,AD$9&lt;20/24)</formula>
    </cfRule>
    <cfRule type="expression" dxfId="1472" priority="98">
      <formula>AND(AD$9&gt;=8/24,AD$9&lt;14/24)</formula>
    </cfRule>
    <cfRule type="expression" dxfId="1471" priority="99">
      <formula>AD$9&lt;8/24</formula>
    </cfRule>
  </conditionalFormatting>
  <conditionalFormatting sqref="AG58">
    <cfRule type="expression" dxfId="1470" priority="83">
      <formula>AG58&gt;$AG58</formula>
    </cfRule>
  </conditionalFormatting>
  <conditionalFormatting sqref="AG97">
    <cfRule type="expression" dxfId="1469" priority="84">
      <formula>AG$9&gt;=20/24</formula>
    </cfRule>
    <cfRule type="expression" dxfId="1468" priority="85">
      <formula>AND(AG$9&gt;=14/24,AG$9&lt;20/24)</formula>
    </cfRule>
    <cfRule type="expression" dxfId="1467" priority="86">
      <formula>AND(AG$9&gt;=8/24,AG$9&lt;14/24)</formula>
    </cfRule>
    <cfRule type="expression" dxfId="1466" priority="87">
      <formula>AG$9&lt;8/24</formula>
    </cfRule>
  </conditionalFormatting>
  <conditionalFormatting sqref="AG260">
    <cfRule type="expression" dxfId="1465" priority="117">
      <formula>B$9&gt;=20/24</formula>
    </cfRule>
    <cfRule type="expression" dxfId="1464" priority="120">
      <formula>B$9&lt;8/24</formula>
    </cfRule>
    <cfRule type="expression" dxfId="1463" priority="119">
      <formula>AND(B$9&gt;=8/24,B$9&lt;14/24)</formula>
    </cfRule>
    <cfRule type="expression" dxfId="1462" priority="118">
      <formula>AND(B$9&gt;=14/24,B$9&lt;20/24)</formula>
    </cfRule>
  </conditionalFormatting>
  <conditionalFormatting sqref="AH260:AX260">
    <cfRule type="expression" dxfId="1461" priority="122">
      <formula>AND(AG$9&gt;=14/24,AG$9&lt;20/24)</formula>
    </cfRule>
    <cfRule type="expression" dxfId="1460" priority="121">
      <formula>AG$9&gt;=20/24</formula>
    </cfRule>
    <cfRule type="expression" dxfId="1459" priority="123">
      <formula>AND(AG$9&gt;=8/24,AG$9&lt;14/24)</formula>
    </cfRule>
    <cfRule type="expression" dxfId="1458" priority="124">
      <formula>AG$9&lt;8/24</formula>
    </cfRule>
  </conditionalFormatting>
  <conditionalFormatting sqref="AL4:AL6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19:AL20">
    <cfRule type="iconSet" priority="71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8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70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8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82">
      <iconSet iconSet="3TrafficLights2" reverse="1">
        <cfvo type="percent" val="0"/>
        <cfvo type="num" val="1"/>
        <cfvo type="num" val="1"/>
      </iconSet>
    </cfRule>
  </conditionalFormatting>
  <conditionalFormatting sqref="AL48 AL45:AL46 AL21:AL24 AL7:AL18 AL26:AL37 AL39:AL43 AL54:AL55">
    <cfRule type="iconSet" priority="129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04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69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1457" priority="133">
      <formula>AJ$9&lt;8/24</formula>
    </cfRule>
    <cfRule type="expression" dxfId="1456" priority="130">
      <formula>AJ$9&gt;=20/24</formula>
    </cfRule>
    <cfRule type="expression" dxfId="1455" priority="131">
      <formula>AND(AJ$9&gt;=14/24,AJ$9&lt;20/24)</formula>
    </cfRule>
    <cfRule type="expression" dxfId="1454" priority="132">
      <formula>AND(AJ$9&gt;=8/24,AJ$9&lt;14/24)</formula>
    </cfRule>
  </conditionalFormatting>
  <conditionalFormatting sqref="AL88:AN88 AL94:AN94">
    <cfRule type="expression" dxfId="1453" priority="76">
      <formula>AL$9&gt;=20/24</formula>
    </cfRule>
    <cfRule type="expression" dxfId="1452" priority="79">
      <formula>AL$9&lt;8/24</formula>
    </cfRule>
    <cfRule type="expression" dxfId="1451" priority="78">
      <formula>AND(AL$9&gt;=8/24,AL$9&lt;14/24)</formula>
    </cfRule>
    <cfRule type="expression" dxfId="1450" priority="77">
      <formula>AND(AL$9&gt;=14/24,AL$9&lt;20/24)</formula>
    </cfRule>
  </conditionalFormatting>
  <conditionalFormatting sqref="AN89:AN92">
    <cfRule type="expression" dxfId="1449" priority="72">
      <formula>AN$9&gt;=20/24</formula>
    </cfRule>
    <cfRule type="expression" dxfId="1448" priority="73">
      <formula>AND(AN$9&gt;=14/24,AN$9&lt;20/24)</formula>
    </cfRule>
    <cfRule type="expression" dxfId="1447" priority="75">
      <formula>AN$9&lt;8/24</formula>
    </cfRule>
    <cfRule type="expression" dxfId="1446" priority="74">
      <formula>AND(AN$9&gt;=8/24,AN$9&lt;14/24)</formula>
    </cfRule>
  </conditionalFormatting>
  <pageMargins left="0.7" right="0.7" top="0.75" bottom="0.75" header="0.3" footer="0.3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6BA90-0688-45E8-B890-ABF8EB836131}">
  <sheetPr codeName="Sheet33"/>
  <dimension ref="A1:CJ293"/>
  <sheetViews>
    <sheetView zoomScale="106" workbookViewId="0">
      <pane xSplit="1" ySplit="10" topLeftCell="B126" activePane="bottomRight" state="frozen"/>
      <selection activeCell="M136" sqref="M136"/>
      <selection pane="topRight" activeCell="M136" sqref="M136"/>
      <selection pane="bottomLeft" activeCell="M136" sqref="M136"/>
      <selection pane="bottomRight" activeCell="M136" sqref="M136"/>
    </sheetView>
  </sheetViews>
  <sheetFormatPr defaultColWidth="9.140625" defaultRowHeight="15" x14ac:dyDescent="0.25"/>
  <cols>
    <col min="1" max="1" width="35.28515625" style="1" bestFit="1" customWidth="1"/>
    <col min="2" max="2" width="7.42578125" style="1" bestFit="1" customWidth="1"/>
    <col min="3" max="3" width="7.42578125" style="1" customWidth="1"/>
    <col min="4" max="4" width="7" style="1" customWidth="1"/>
    <col min="5" max="7" width="7.42578125" style="1" bestFit="1" customWidth="1"/>
    <col min="8" max="8" width="6.42578125" style="1" bestFit="1" customWidth="1"/>
    <col min="9" max="9" width="7.42578125" style="1" bestFit="1" customWidth="1"/>
    <col min="10" max="10" width="6.28515625" style="1" bestFit="1" customWidth="1"/>
    <col min="11" max="11" width="7.42578125" style="1" bestFit="1" customWidth="1"/>
    <col min="12" max="12" width="6" style="1" bestFit="1" customWidth="1"/>
    <col min="13" max="13" width="6.42578125" style="1" bestFit="1" customWidth="1"/>
    <col min="14" max="16" width="7.42578125" style="1" bestFit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hidden="1" customHeight="1" thickBot="1" x14ac:dyDescent="0.3">
      <c r="A1" s="275" t="s">
        <v>0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  <c r="AD1" s="275"/>
      <c r="AE1" s="275"/>
      <c r="AF1" s="275"/>
      <c r="AG1" s="276" t="s">
        <v>1</v>
      </c>
      <c r="AH1" s="276"/>
      <c r="AI1" s="276"/>
      <c r="AL1" s="2"/>
    </row>
    <row r="2" spans="1:88" ht="20.25" hidden="1" x14ac:dyDescent="0.25">
      <c r="A2" s="3"/>
      <c r="B2" s="277" t="s">
        <v>2</v>
      </c>
      <c r="C2" s="4"/>
      <c r="D2" s="279" t="s">
        <v>3</v>
      </c>
      <c r="E2" s="4"/>
      <c r="F2" s="279" t="s">
        <v>4</v>
      </c>
      <c r="G2" s="4"/>
      <c r="H2" s="279" t="s">
        <v>5</v>
      </c>
      <c r="I2" s="5"/>
      <c r="J2" s="281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78"/>
      <c r="C3" s="16"/>
      <c r="D3" s="280"/>
      <c r="E3" s="16"/>
      <c r="F3" s="280"/>
      <c r="G3" s="16"/>
      <c r="H3" s="280"/>
      <c r="I3" s="17"/>
      <c r="J3" s="281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70" t="str">
        <f ca="1">"2080/"&amp;"10/"&amp;INT(MID(CELL("filename",D6),FIND("]",CELL("filename",D6))+1,200))</f>
        <v>2080/10/14</v>
      </c>
      <c r="C4" s="270"/>
      <c r="D4" s="270"/>
      <c r="E4" s="271" t="str">
        <f ca="1">"2080/"&amp;"10/"&amp;INT(MID(CELL("filename",G6),FIND("]",CELL("filename",G6))+1,200))</f>
        <v>2080/10/14</v>
      </c>
      <c r="F4" s="271"/>
      <c r="G4" s="271"/>
      <c r="H4" s="271" t="str">
        <f ca="1">TEXT(E4,"dddd")</f>
        <v>Monday</v>
      </c>
      <c r="I4" s="271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C92</f>
        <v>447.9</v>
      </c>
      <c r="C5" s="30">
        <f t="shared" si="0"/>
        <v>468.1</v>
      </c>
      <c r="D5" s="30">
        <f t="shared" si="0"/>
        <v>455.2</v>
      </c>
      <c r="E5" s="30">
        <f t="shared" si="0"/>
        <v>455.5</v>
      </c>
      <c r="F5" s="30">
        <f t="shared" si="0"/>
        <v>467.70000000000005</v>
      </c>
      <c r="G5" s="30">
        <f t="shared" si="0"/>
        <v>491.1</v>
      </c>
      <c r="H5" s="30">
        <f t="shared" si="0"/>
        <v>496.09999999999997</v>
      </c>
      <c r="I5" s="30">
        <f t="shared" si="0"/>
        <v>513</v>
      </c>
      <c r="J5" s="30">
        <f t="shared" si="0"/>
        <v>503.7</v>
      </c>
      <c r="K5" s="30">
        <f t="shared" si="0"/>
        <v>468</v>
      </c>
      <c r="L5" s="30">
        <f t="shared" si="0"/>
        <v>131</v>
      </c>
      <c r="M5" s="30">
        <f t="shared" si="0"/>
        <v>330.9</v>
      </c>
      <c r="N5" s="30">
        <f t="shared" si="0"/>
        <v>367</v>
      </c>
      <c r="O5" s="30">
        <f t="shared" si="0"/>
        <v>566.1</v>
      </c>
      <c r="P5" s="30">
        <f t="shared" si="0"/>
        <v>600.5</v>
      </c>
      <c r="Q5" s="30">
        <f t="shared" si="0"/>
        <v>607.29999999999995</v>
      </c>
      <c r="R5" s="30">
        <f t="shared" si="0"/>
        <v>720</v>
      </c>
      <c r="S5" s="30">
        <f t="shared" si="0"/>
        <v>662.5</v>
      </c>
      <c r="T5" s="30">
        <f t="shared" si="0"/>
        <v>645.9</v>
      </c>
      <c r="U5" s="30">
        <f t="shared" si="0"/>
        <v>558.79999999999995</v>
      </c>
      <c r="V5" s="30">
        <f t="shared" si="0"/>
        <v>552.29999999999995</v>
      </c>
      <c r="W5" s="30">
        <f t="shared" si="0"/>
        <v>420.09999999999997</v>
      </c>
      <c r="X5" s="30">
        <f t="shared" si="0"/>
        <v>427.6</v>
      </c>
      <c r="Y5" s="30">
        <f t="shared" si="0"/>
        <v>416.6</v>
      </c>
      <c r="Z5" s="30">
        <f t="shared" si="0"/>
        <v>391.3</v>
      </c>
      <c r="AA5" s="30">
        <f t="shared" si="0"/>
        <v>441.6</v>
      </c>
      <c r="AB5" s="30">
        <f t="shared" si="0"/>
        <v>517</v>
      </c>
      <c r="AC5" s="30">
        <f t="shared" si="0"/>
        <v>517</v>
      </c>
      <c r="AD5" s="30">
        <f t="shared" si="0"/>
        <v>636</v>
      </c>
      <c r="AE5" s="30">
        <f t="shared" si="0"/>
        <v>612</v>
      </c>
      <c r="AF5" s="30">
        <f>B92</f>
        <v>515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1765MW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Load=1111</v>
      </c>
      <c r="B7" s="35">
        <f>B100</f>
        <v>1181.74</v>
      </c>
      <c r="C7" s="35">
        <f t="shared" ref="C7:AF7" si="1">C100</f>
        <v>1110.8399999999999</v>
      </c>
      <c r="D7" s="35">
        <f t="shared" si="1"/>
        <v>1132.3400000000001</v>
      </c>
      <c r="E7" s="35">
        <f t="shared" si="1"/>
        <v>1118.54</v>
      </c>
      <c r="F7" s="35">
        <f t="shared" si="1"/>
        <v>1135.54</v>
      </c>
      <c r="G7" s="35">
        <f t="shared" si="1"/>
        <v>1209.94</v>
      </c>
      <c r="H7" s="35">
        <f t="shared" si="1"/>
        <v>1271.8400000000001</v>
      </c>
      <c r="I7" s="35">
        <f t="shared" si="1"/>
        <v>1360.24</v>
      </c>
      <c r="J7" s="35">
        <f t="shared" si="1"/>
        <v>1468.04</v>
      </c>
      <c r="K7" s="35">
        <f t="shared" si="1"/>
        <v>1473.04</v>
      </c>
      <c r="L7" s="35">
        <f t="shared" si="1"/>
        <v>1690.54</v>
      </c>
      <c r="M7" s="35">
        <f t="shared" si="1"/>
        <v>1765.04</v>
      </c>
      <c r="N7" s="35">
        <f t="shared" si="1"/>
        <v>1732.3400000000001</v>
      </c>
      <c r="O7" s="35">
        <f t="shared" si="1"/>
        <v>1664.74</v>
      </c>
      <c r="P7" s="35">
        <f t="shared" si="1"/>
        <v>1651.3400000000001</v>
      </c>
      <c r="Q7" s="35">
        <f t="shared" si="1"/>
        <v>1530.24</v>
      </c>
      <c r="R7" s="35">
        <f t="shared" si="1"/>
        <v>1484.64</v>
      </c>
      <c r="S7" s="35">
        <f t="shared" si="1"/>
        <v>1552.3400000000001</v>
      </c>
      <c r="T7" s="35">
        <f t="shared" si="1"/>
        <v>1541.8400000000001</v>
      </c>
      <c r="U7" s="35">
        <f t="shared" si="1"/>
        <v>1593.54</v>
      </c>
      <c r="V7" s="35">
        <f t="shared" si="1"/>
        <v>1540.14</v>
      </c>
      <c r="W7" s="35">
        <f t="shared" si="1"/>
        <v>1788.74</v>
      </c>
      <c r="X7" s="35">
        <f t="shared" si="1"/>
        <v>1950.74</v>
      </c>
      <c r="Y7" s="35">
        <f t="shared" si="1"/>
        <v>1990.6399999999999</v>
      </c>
      <c r="Z7" s="35">
        <f t="shared" si="1"/>
        <v>1949.04</v>
      </c>
      <c r="AA7" s="35">
        <f t="shared" si="1"/>
        <v>1907.04</v>
      </c>
      <c r="AB7" s="35">
        <f t="shared" si="1"/>
        <v>1944.1399999999999</v>
      </c>
      <c r="AC7" s="35">
        <f t="shared" si="1"/>
        <v>1851.64</v>
      </c>
      <c r="AD7" s="35">
        <f t="shared" si="1"/>
        <v>1720.24</v>
      </c>
      <c r="AE7" s="35">
        <f t="shared" si="1"/>
        <v>1405.74</v>
      </c>
      <c r="AF7" s="35">
        <f t="shared" si="1"/>
        <v>1304.6399999999999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72" t="s">
        <v>14</v>
      </c>
      <c r="C8" s="273"/>
      <c r="D8" s="273"/>
      <c r="E8" s="273"/>
      <c r="F8" s="273"/>
      <c r="G8" s="273"/>
      <c r="H8" s="273"/>
      <c r="I8" s="273"/>
      <c r="J8" s="273"/>
      <c r="K8" s="273"/>
      <c r="L8" s="274"/>
      <c r="M8" s="265" t="s">
        <v>15</v>
      </c>
      <c r="N8" s="266"/>
      <c r="O8" s="266"/>
      <c r="P8" s="266"/>
      <c r="Q8" s="266"/>
      <c r="R8" s="267"/>
      <c r="S8" s="265" t="s">
        <v>16</v>
      </c>
      <c r="T8" s="266"/>
      <c r="U8" s="266"/>
      <c r="V8" s="266"/>
      <c r="W8" s="266"/>
      <c r="X8" s="266"/>
      <c r="Y8" s="266"/>
      <c r="Z8" s="266"/>
      <c r="AA8" s="267"/>
      <c r="AB8" s="265" t="s">
        <v>17</v>
      </c>
      <c r="AC8" s="266"/>
      <c r="AD8" s="266"/>
      <c r="AE8" s="266"/>
      <c r="AF8" s="267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68" t="s">
        <v>18</v>
      </c>
      <c r="B9" s="264">
        <v>0</v>
      </c>
      <c r="C9" s="264">
        <v>4.1666666666666664E-2</v>
      </c>
      <c r="D9" s="264">
        <v>8.3333333333333301E-2</v>
      </c>
      <c r="E9" s="264">
        <v>0.125</v>
      </c>
      <c r="F9" s="264">
        <v>0.16666666666666699</v>
      </c>
      <c r="G9" s="264">
        <v>0.20833333333333301</v>
      </c>
      <c r="H9" s="264">
        <v>0.22916666666666666</v>
      </c>
      <c r="I9" s="264">
        <v>0.25</v>
      </c>
      <c r="J9" s="264">
        <v>0.27083333333333331</v>
      </c>
      <c r="K9" s="264">
        <v>0.29166666666666669</v>
      </c>
      <c r="L9" s="264">
        <v>0.3125</v>
      </c>
      <c r="M9" s="262">
        <v>0.33333333333333331</v>
      </c>
      <c r="N9" s="262">
        <v>0.375</v>
      </c>
      <c r="O9" s="262">
        <v>0.41666666666666702</v>
      </c>
      <c r="P9" s="262">
        <v>0.45833333333333298</v>
      </c>
      <c r="Q9" s="262">
        <v>0.5</v>
      </c>
      <c r="R9" s="262">
        <v>0.54166666666666696</v>
      </c>
      <c r="S9" s="258">
        <v>0.58333333333333304</v>
      </c>
      <c r="T9" s="258">
        <v>0.625</v>
      </c>
      <c r="U9" s="258">
        <v>0.66666666666666696</v>
      </c>
      <c r="V9" s="258">
        <v>0.70833333333333304</v>
      </c>
      <c r="W9" s="258">
        <v>0.72916666666666663</v>
      </c>
      <c r="X9" s="258">
        <v>0.75</v>
      </c>
      <c r="Y9" s="258">
        <v>0.77083333333333337</v>
      </c>
      <c r="Z9" s="258">
        <v>0.79166666666666663</v>
      </c>
      <c r="AA9" s="258">
        <v>0.8125</v>
      </c>
      <c r="AB9" s="258">
        <v>0.83333333333333337</v>
      </c>
      <c r="AC9" s="258">
        <v>0.85416666666666663</v>
      </c>
      <c r="AD9" s="258">
        <v>0.875</v>
      </c>
      <c r="AE9" s="258">
        <v>0.91666666666666696</v>
      </c>
      <c r="AF9" s="258">
        <v>0.95833333333333304</v>
      </c>
      <c r="AG9" s="260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69"/>
      <c r="B10" s="259"/>
      <c r="C10" s="259"/>
      <c r="D10" s="259"/>
      <c r="E10" s="259"/>
      <c r="F10" s="259"/>
      <c r="G10" s="259"/>
      <c r="H10" s="259"/>
      <c r="I10" s="259"/>
      <c r="J10" s="259"/>
      <c r="K10" s="259"/>
      <c r="L10" s="259"/>
      <c r="M10" s="263"/>
      <c r="N10" s="263"/>
      <c r="O10" s="263"/>
      <c r="P10" s="263"/>
      <c r="Q10" s="263"/>
      <c r="R10" s="263"/>
      <c r="S10" s="259"/>
      <c r="T10" s="259"/>
      <c r="U10" s="259"/>
      <c r="V10" s="259"/>
      <c r="W10" s="259"/>
      <c r="X10" s="259"/>
      <c r="Y10" s="259"/>
      <c r="Z10" s="259"/>
      <c r="AA10" s="259"/>
      <c r="AB10" s="259"/>
      <c r="AC10" s="259"/>
      <c r="AD10" s="259"/>
      <c r="AE10" s="259"/>
      <c r="AF10" s="259"/>
      <c r="AG10" s="261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28.3</v>
      </c>
      <c r="C11" s="45">
        <v>28.3</v>
      </c>
      <c r="D11" s="45">
        <v>29.8</v>
      </c>
      <c r="E11" s="45">
        <v>29.8</v>
      </c>
      <c r="F11" s="45">
        <v>29.8</v>
      </c>
      <c r="G11" s="45">
        <v>30.4</v>
      </c>
      <c r="H11" s="45">
        <v>30.4</v>
      </c>
      <c r="I11" s="45">
        <v>30.4</v>
      </c>
      <c r="J11" s="45">
        <v>30.4</v>
      </c>
      <c r="K11" s="45">
        <v>30.4</v>
      </c>
      <c r="L11" s="45">
        <v>30.4</v>
      </c>
      <c r="M11" s="45">
        <v>30.4</v>
      </c>
      <c r="N11" s="45">
        <v>29.5</v>
      </c>
      <c r="O11" s="45">
        <v>29.5</v>
      </c>
      <c r="P11" s="45">
        <v>29.6</v>
      </c>
      <c r="Q11" s="45">
        <v>29.6</v>
      </c>
      <c r="R11" s="45">
        <v>35.799999999999997</v>
      </c>
      <c r="S11" s="45">
        <v>35.799999999999997</v>
      </c>
      <c r="T11" s="45">
        <v>35.799999999999997</v>
      </c>
      <c r="U11" s="45">
        <v>35.799999999999997</v>
      </c>
      <c r="V11" s="45">
        <v>35.799999999999997</v>
      </c>
      <c r="W11" s="45">
        <v>35.799999999999997</v>
      </c>
      <c r="X11" s="45">
        <v>35.799999999999997</v>
      </c>
      <c r="Y11" s="45">
        <v>35.799999999999997</v>
      </c>
      <c r="Z11" s="45">
        <v>35.799999999999997</v>
      </c>
      <c r="AA11" s="45">
        <v>35.799999999999997</v>
      </c>
      <c r="AB11" s="45">
        <v>40.299999999999997</v>
      </c>
      <c r="AC11" s="45">
        <v>39.700000000000003</v>
      </c>
      <c r="AD11" s="45">
        <v>39.700000000000003</v>
      </c>
      <c r="AE11" s="45">
        <v>39.700000000000003</v>
      </c>
      <c r="AF11" s="45">
        <v>39.700000000000003</v>
      </c>
      <c r="AG11" s="46">
        <v>86</v>
      </c>
      <c r="AH11" s="47">
        <f t="shared" ref="AH11:AH84" si="2">MAX(B11:AF11)</f>
        <v>40.299999999999997</v>
      </c>
      <c r="AI11" s="48">
        <f t="shared" ref="AI11:AI84" si="3">MIN(B11:AF11)</f>
        <v>28.3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262</v>
      </c>
      <c r="B12" s="45">
        <v>10</v>
      </c>
      <c r="C12" s="45">
        <v>10</v>
      </c>
      <c r="D12" s="45">
        <v>10</v>
      </c>
      <c r="E12" s="45">
        <v>10</v>
      </c>
      <c r="F12" s="45">
        <v>10</v>
      </c>
      <c r="G12" s="45">
        <v>10</v>
      </c>
      <c r="H12" s="45">
        <v>10</v>
      </c>
      <c r="I12" s="45">
        <v>10</v>
      </c>
      <c r="J12" s="45">
        <v>10</v>
      </c>
      <c r="K12" s="45">
        <v>10</v>
      </c>
      <c r="L12" s="45">
        <v>10</v>
      </c>
      <c r="M12" s="45">
        <v>10</v>
      </c>
      <c r="N12" s="45">
        <v>10</v>
      </c>
      <c r="O12" s="45">
        <v>10</v>
      </c>
      <c r="P12" s="45">
        <v>10</v>
      </c>
      <c r="Q12" s="45">
        <v>10</v>
      </c>
      <c r="R12" s="45">
        <v>10</v>
      </c>
      <c r="S12" s="45">
        <v>10</v>
      </c>
      <c r="T12" s="45">
        <v>10</v>
      </c>
      <c r="U12" s="45">
        <v>10</v>
      </c>
      <c r="V12" s="45">
        <v>10</v>
      </c>
      <c r="W12" s="45">
        <v>10</v>
      </c>
      <c r="X12" s="45">
        <v>10</v>
      </c>
      <c r="Y12" s="45">
        <v>10</v>
      </c>
      <c r="Z12" s="45">
        <v>10</v>
      </c>
      <c r="AA12" s="45">
        <v>10</v>
      </c>
      <c r="AB12" s="45">
        <v>10</v>
      </c>
      <c r="AC12" s="45">
        <v>10</v>
      </c>
      <c r="AD12" s="45">
        <v>10</v>
      </c>
      <c r="AE12" s="45">
        <v>10</v>
      </c>
      <c r="AF12" s="45">
        <v>10</v>
      </c>
      <c r="AG12" s="49">
        <v>54</v>
      </c>
      <c r="AH12" s="47">
        <f t="shared" si="2"/>
        <v>10</v>
      </c>
      <c r="AI12" s="48">
        <f t="shared" si="3"/>
        <v>10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15.5</v>
      </c>
      <c r="C13" s="45">
        <v>15.5</v>
      </c>
      <c r="D13" s="45">
        <v>15.5</v>
      </c>
      <c r="E13" s="45">
        <v>15.5</v>
      </c>
      <c r="F13" s="45">
        <v>15.5</v>
      </c>
      <c r="G13" s="45">
        <v>15.5</v>
      </c>
      <c r="H13" s="45">
        <v>15.5</v>
      </c>
      <c r="I13" s="45">
        <v>15.5</v>
      </c>
      <c r="J13" s="45">
        <v>15.5</v>
      </c>
      <c r="K13" s="45">
        <v>15.5</v>
      </c>
      <c r="L13" s="45">
        <v>15.5</v>
      </c>
      <c r="M13" s="45">
        <v>15.5</v>
      </c>
      <c r="N13" s="45">
        <v>15.5</v>
      </c>
      <c r="O13" s="45">
        <v>15.5</v>
      </c>
      <c r="P13" s="45">
        <v>15.5</v>
      </c>
      <c r="Q13" s="45">
        <v>15.5</v>
      </c>
      <c r="R13" s="45">
        <v>15.5</v>
      </c>
      <c r="S13" s="45">
        <v>15.5</v>
      </c>
      <c r="T13" s="45">
        <v>15.5</v>
      </c>
      <c r="U13" s="45">
        <v>15.5</v>
      </c>
      <c r="V13" s="45">
        <v>15.5</v>
      </c>
      <c r="W13" s="45">
        <v>15.5</v>
      </c>
      <c r="X13" s="45">
        <v>15.5</v>
      </c>
      <c r="Y13" s="45">
        <v>15.5</v>
      </c>
      <c r="Z13" s="45">
        <v>15.5</v>
      </c>
      <c r="AA13" s="45">
        <v>15.5</v>
      </c>
      <c r="AB13" s="45">
        <v>15.5</v>
      </c>
      <c r="AC13" s="45">
        <v>15.5</v>
      </c>
      <c r="AD13" s="45">
        <v>15.5</v>
      </c>
      <c r="AE13" s="45">
        <v>15.5</v>
      </c>
      <c r="AF13" s="45">
        <v>15.5</v>
      </c>
      <c r="AG13" s="49">
        <v>54</v>
      </c>
      <c r="AH13" s="47">
        <f t="shared" si="2"/>
        <v>15.5</v>
      </c>
      <c r="AI13" s="48">
        <f t="shared" si="3"/>
        <v>15.5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15.5</v>
      </c>
      <c r="C14" s="45">
        <v>15.5</v>
      </c>
      <c r="D14" s="45">
        <v>15.5</v>
      </c>
      <c r="E14" s="45">
        <v>15.5</v>
      </c>
      <c r="F14" s="45">
        <v>15.5</v>
      </c>
      <c r="G14" s="45">
        <v>15.5</v>
      </c>
      <c r="H14" s="45">
        <v>15</v>
      </c>
      <c r="I14" s="45">
        <v>15</v>
      </c>
      <c r="J14" s="45">
        <v>15</v>
      </c>
      <c r="K14" s="45">
        <v>15</v>
      </c>
      <c r="L14" s="45">
        <v>15</v>
      </c>
      <c r="M14" s="45">
        <v>15</v>
      </c>
      <c r="N14" s="45">
        <v>15</v>
      </c>
      <c r="O14" s="45">
        <v>15</v>
      </c>
      <c r="P14" s="45">
        <v>15</v>
      </c>
      <c r="Q14" s="45">
        <v>15</v>
      </c>
      <c r="R14" s="45">
        <v>14</v>
      </c>
      <c r="S14" s="45">
        <v>14</v>
      </c>
      <c r="T14" s="45">
        <v>14</v>
      </c>
      <c r="U14" s="45">
        <v>14</v>
      </c>
      <c r="V14" s="45">
        <v>14</v>
      </c>
      <c r="W14" s="45">
        <v>14</v>
      </c>
      <c r="X14" s="45">
        <v>14</v>
      </c>
      <c r="Y14" s="45">
        <v>14</v>
      </c>
      <c r="Z14" s="45">
        <v>14</v>
      </c>
      <c r="AA14" s="45">
        <v>14</v>
      </c>
      <c r="AB14" s="45">
        <v>14</v>
      </c>
      <c r="AC14" s="45">
        <v>14</v>
      </c>
      <c r="AD14" s="45">
        <v>14</v>
      </c>
      <c r="AE14" s="45">
        <v>14</v>
      </c>
      <c r="AF14" s="45">
        <v>14</v>
      </c>
      <c r="AG14" s="46">
        <v>52.4</v>
      </c>
      <c r="AH14" s="47">
        <f t="shared" si="2"/>
        <v>15.5</v>
      </c>
      <c r="AI14" s="48">
        <f t="shared" si="3"/>
        <v>14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33.200000000000003</v>
      </c>
      <c r="C15" s="45">
        <v>33.200000000000003</v>
      </c>
      <c r="D15" s="45">
        <v>33.200000000000003</v>
      </c>
      <c r="E15" s="45">
        <v>32.299999999999997</v>
      </c>
      <c r="F15" s="45">
        <v>32.299999999999997</v>
      </c>
      <c r="G15" s="45">
        <v>32.299999999999997</v>
      </c>
      <c r="H15" s="45">
        <v>32.299999999999997</v>
      </c>
      <c r="I15" s="45">
        <v>32.299999999999997</v>
      </c>
      <c r="J15" s="45">
        <v>32.299999999999997</v>
      </c>
      <c r="K15" s="45">
        <v>32.299999999999997</v>
      </c>
      <c r="L15" s="45">
        <v>32.299999999999997</v>
      </c>
      <c r="M15" s="45">
        <v>32.299999999999997</v>
      </c>
      <c r="N15" s="45">
        <v>32.299999999999997</v>
      </c>
      <c r="O15" s="45">
        <v>32.299999999999997</v>
      </c>
      <c r="P15" s="45">
        <v>32.299999999999997</v>
      </c>
      <c r="Q15" s="45">
        <v>32.299999999999997</v>
      </c>
      <c r="R15" s="45">
        <v>32</v>
      </c>
      <c r="S15" s="45">
        <v>32</v>
      </c>
      <c r="T15" s="45">
        <v>32</v>
      </c>
      <c r="U15" s="45">
        <v>32</v>
      </c>
      <c r="V15" s="45">
        <v>32</v>
      </c>
      <c r="W15" s="45">
        <v>32</v>
      </c>
      <c r="X15" s="45">
        <v>32</v>
      </c>
      <c r="Y15" s="51">
        <v>32</v>
      </c>
      <c r="Z15" s="51">
        <v>32</v>
      </c>
      <c r="AA15" s="51">
        <v>32</v>
      </c>
      <c r="AB15" s="45">
        <v>32.200000000000003</v>
      </c>
      <c r="AC15" s="45">
        <v>32.200000000000003</v>
      </c>
      <c r="AD15" s="45">
        <v>32.200000000000003</v>
      </c>
      <c r="AE15" s="45">
        <v>32.200000000000003</v>
      </c>
      <c r="AF15" s="45">
        <v>32.200000000000003</v>
      </c>
      <c r="AG15" s="49">
        <v>50</v>
      </c>
      <c r="AH15" s="47">
        <f t="shared" si="2"/>
        <v>33.200000000000003</v>
      </c>
      <c r="AI15" s="48">
        <f t="shared" si="3"/>
        <v>32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17.600000000000001</v>
      </c>
      <c r="C16" s="45">
        <v>17.600000000000001</v>
      </c>
      <c r="D16" s="45">
        <v>17.600000000000001</v>
      </c>
      <c r="E16" s="45">
        <v>17.600000000000001</v>
      </c>
      <c r="F16" s="45">
        <v>17.600000000000001</v>
      </c>
      <c r="G16" s="45">
        <v>17.600000000000001</v>
      </c>
      <c r="H16" s="45">
        <v>17.600000000000001</v>
      </c>
      <c r="I16" s="45">
        <v>17.600000000000001</v>
      </c>
      <c r="J16" s="45">
        <v>17.600000000000001</v>
      </c>
      <c r="K16" s="45">
        <v>17.600000000000001</v>
      </c>
      <c r="L16" s="45">
        <v>17.600000000000001</v>
      </c>
      <c r="M16" s="45">
        <v>17.600000000000001</v>
      </c>
      <c r="N16" s="45">
        <v>17.600000000000001</v>
      </c>
      <c r="O16" s="45">
        <v>17.600000000000001</v>
      </c>
      <c r="P16" s="45">
        <v>17.600000000000001</v>
      </c>
      <c r="Q16" s="45">
        <v>17.600000000000001</v>
      </c>
      <c r="R16" s="45">
        <v>16.600000000000001</v>
      </c>
      <c r="S16" s="45">
        <v>16.600000000000001</v>
      </c>
      <c r="T16" s="45">
        <v>16.600000000000001</v>
      </c>
      <c r="U16" s="45">
        <v>16.600000000000001</v>
      </c>
      <c r="V16" s="45">
        <v>16.600000000000001</v>
      </c>
      <c r="W16" s="45">
        <v>16.600000000000001</v>
      </c>
      <c r="X16" s="45">
        <v>16.600000000000001</v>
      </c>
      <c r="Y16" s="45">
        <v>16.600000000000001</v>
      </c>
      <c r="Z16" s="45">
        <v>16.600000000000001</v>
      </c>
      <c r="AA16" s="45">
        <v>16.600000000000001</v>
      </c>
      <c r="AB16" s="45">
        <v>19</v>
      </c>
      <c r="AC16" s="45">
        <v>19</v>
      </c>
      <c r="AD16" s="45">
        <v>19</v>
      </c>
      <c r="AE16" s="45">
        <v>19</v>
      </c>
      <c r="AF16" s="45">
        <v>19</v>
      </c>
      <c r="AG16" s="49">
        <v>45</v>
      </c>
      <c r="AH16" s="47">
        <f t="shared" si="2"/>
        <v>19</v>
      </c>
      <c r="AI16" s="48">
        <f t="shared" si="3"/>
        <v>16.600000000000001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16.5</v>
      </c>
      <c r="C17" s="45">
        <v>16.5</v>
      </c>
      <c r="D17" s="45">
        <v>16.5</v>
      </c>
      <c r="E17" s="45">
        <v>16.5</v>
      </c>
      <c r="F17" s="45">
        <v>16.5</v>
      </c>
      <c r="G17" s="45">
        <v>16.5</v>
      </c>
      <c r="H17" s="45">
        <v>16.5</v>
      </c>
      <c r="I17" s="45">
        <v>16.5</v>
      </c>
      <c r="J17" s="45">
        <v>16.5</v>
      </c>
      <c r="K17" s="45">
        <v>16.5</v>
      </c>
      <c r="L17" s="45">
        <v>16.5</v>
      </c>
      <c r="M17" s="45">
        <v>16.5</v>
      </c>
      <c r="N17" s="45">
        <v>16.5</v>
      </c>
      <c r="O17" s="45">
        <v>16.5</v>
      </c>
      <c r="P17" s="45">
        <v>16.5</v>
      </c>
      <c r="Q17" s="45">
        <v>16.5</v>
      </c>
      <c r="R17" s="45">
        <v>16.5</v>
      </c>
      <c r="S17" s="45">
        <v>16.5</v>
      </c>
      <c r="T17" s="45">
        <v>16.5</v>
      </c>
      <c r="U17" s="45">
        <v>16.5</v>
      </c>
      <c r="V17" s="45">
        <v>16.5</v>
      </c>
      <c r="W17" s="45">
        <v>16.5</v>
      </c>
      <c r="X17" s="45">
        <v>16.5</v>
      </c>
      <c r="Y17" s="45">
        <v>16.5</v>
      </c>
      <c r="Z17" s="45">
        <v>16.5</v>
      </c>
      <c r="AA17" s="45">
        <v>16.5</v>
      </c>
      <c r="AB17" s="45">
        <v>16.5</v>
      </c>
      <c r="AC17" s="45">
        <v>16.5</v>
      </c>
      <c r="AD17" s="45">
        <v>16.5</v>
      </c>
      <c r="AE17" s="45">
        <v>16.5</v>
      </c>
      <c r="AF17" s="45">
        <v>16.5</v>
      </c>
      <c r="AG17" s="49">
        <v>44</v>
      </c>
      <c r="AH17" s="47">
        <f>MAX(B17:AG17)</f>
        <v>44</v>
      </c>
      <c r="AI17" s="48">
        <f>MIN(B17:AG17)</f>
        <v>16.5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8.5</v>
      </c>
      <c r="C18" s="45">
        <v>8.5</v>
      </c>
      <c r="D18" s="45">
        <v>8.5</v>
      </c>
      <c r="E18" s="45">
        <v>8.5</v>
      </c>
      <c r="F18" s="45">
        <v>8.5</v>
      </c>
      <c r="G18" s="45">
        <v>8.5</v>
      </c>
      <c r="H18" s="45">
        <v>8.5</v>
      </c>
      <c r="I18" s="45">
        <v>8.5</v>
      </c>
      <c r="J18" s="45">
        <v>8.5</v>
      </c>
      <c r="K18" s="45">
        <v>8.5</v>
      </c>
      <c r="L18" s="45">
        <v>8.5</v>
      </c>
      <c r="M18" s="45">
        <v>8.5</v>
      </c>
      <c r="N18" s="45">
        <v>8.5</v>
      </c>
      <c r="O18" s="45">
        <v>8.5</v>
      </c>
      <c r="P18" s="45">
        <v>8.5</v>
      </c>
      <c r="Q18" s="45">
        <v>8.5</v>
      </c>
      <c r="R18" s="45">
        <v>8.5</v>
      </c>
      <c r="S18" s="45">
        <v>8.5</v>
      </c>
      <c r="T18" s="45">
        <v>8.5</v>
      </c>
      <c r="U18" s="45">
        <v>8.5</v>
      </c>
      <c r="V18" s="45">
        <v>8.5</v>
      </c>
      <c r="W18" s="45">
        <v>8.5</v>
      </c>
      <c r="X18" s="45">
        <v>8.5</v>
      </c>
      <c r="Y18" s="45">
        <v>8.5</v>
      </c>
      <c r="Z18" s="45">
        <v>8.5</v>
      </c>
      <c r="AA18" s="45">
        <v>8.5</v>
      </c>
      <c r="AB18" s="45">
        <v>9</v>
      </c>
      <c r="AC18" s="45">
        <v>9</v>
      </c>
      <c r="AD18" s="45">
        <v>9</v>
      </c>
      <c r="AE18" s="45">
        <v>9</v>
      </c>
      <c r="AF18" s="45">
        <v>9</v>
      </c>
      <c r="AG18" s="49">
        <v>42</v>
      </c>
      <c r="AH18" s="47">
        <f t="shared" si="2"/>
        <v>9</v>
      </c>
      <c r="AI18" s="48">
        <f t="shared" si="3"/>
        <v>8.5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263</v>
      </c>
      <c r="B19" s="45">
        <v>15.4</v>
      </c>
      <c r="C19" s="45">
        <v>15.4</v>
      </c>
      <c r="D19" s="45">
        <v>15.4</v>
      </c>
      <c r="E19" s="45">
        <v>15.4</v>
      </c>
      <c r="F19" s="45">
        <v>15.4</v>
      </c>
      <c r="G19" s="45">
        <v>15.4</v>
      </c>
      <c r="H19" s="45">
        <v>15.4</v>
      </c>
      <c r="I19" s="45">
        <v>15.4</v>
      </c>
      <c r="J19" s="45">
        <v>15.4</v>
      </c>
      <c r="K19" s="45">
        <v>15.4</v>
      </c>
      <c r="L19" s="45">
        <v>15.4</v>
      </c>
      <c r="M19" s="45">
        <v>15.4</v>
      </c>
      <c r="N19" s="45">
        <v>15.4</v>
      </c>
      <c r="O19" s="45">
        <v>15.4</v>
      </c>
      <c r="P19" s="45">
        <v>15.4</v>
      </c>
      <c r="Q19" s="45">
        <v>15.4</v>
      </c>
      <c r="R19" s="45">
        <v>15.4</v>
      </c>
      <c r="S19" s="45">
        <v>15.4</v>
      </c>
      <c r="T19" s="45">
        <v>15.4</v>
      </c>
      <c r="U19" s="45">
        <v>15.4</v>
      </c>
      <c r="V19" s="45">
        <v>15.4</v>
      </c>
      <c r="W19" s="45">
        <v>15.4</v>
      </c>
      <c r="X19" s="45">
        <v>15.4</v>
      </c>
      <c r="Y19" s="45">
        <v>15.4</v>
      </c>
      <c r="Z19" s="45">
        <v>15.4</v>
      </c>
      <c r="AA19" s="45">
        <v>15.4</v>
      </c>
      <c r="AB19" s="45">
        <v>15.4</v>
      </c>
      <c r="AC19" s="45">
        <v>15.4</v>
      </c>
      <c r="AD19" s="45">
        <v>15.4</v>
      </c>
      <c r="AE19" s="45">
        <v>15.4</v>
      </c>
      <c r="AF19" s="45">
        <v>15.4</v>
      </c>
      <c r="AG19" s="49">
        <v>38.46</v>
      </c>
      <c r="AH19" s="47">
        <f t="shared" si="2"/>
        <v>15.4</v>
      </c>
      <c r="AI19" s="48">
        <f t="shared" si="3"/>
        <v>15.4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10.199999999999999</v>
      </c>
      <c r="C20" s="45">
        <v>10.199999999999999</v>
      </c>
      <c r="D20" s="45">
        <v>10.199999999999999</v>
      </c>
      <c r="E20" s="45">
        <v>10.199999999999999</v>
      </c>
      <c r="F20" s="45">
        <v>10.199999999999999</v>
      </c>
      <c r="G20" s="45">
        <v>10.199999999999999</v>
      </c>
      <c r="H20" s="45">
        <v>10.199999999999999</v>
      </c>
      <c r="I20" s="45">
        <v>10.199999999999999</v>
      </c>
      <c r="J20" s="45">
        <v>10.199999999999999</v>
      </c>
      <c r="K20" s="45">
        <v>10.199999999999999</v>
      </c>
      <c r="L20" s="45">
        <v>10.199999999999999</v>
      </c>
      <c r="M20" s="45">
        <v>10.199999999999999</v>
      </c>
      <c r="N20" s="45">
        <v>10.199999999999999</v>
      </c>
      <c r="O20" s="45">
        <v>10.199999999999999</v>
      </c>
      <c r="P20" s="45">
        <v>10.199999999999999</v>
      </c>
      <c r="Q20" s="45">
        <v>10.199999999999999</v>
      </c>
      <c r="R20" s="45">
        <v>10.199999999999999</v>
      </c>
      <c r="S20" s="45">
        <v>10.199999999999999</v>
      </c>
      <c r="T20" s="45">
        <v>10.199999999999999</v>
      </c>
      <c r="U20" s="45">
        <v>10.199999999999999</v>
      </c>
      <c r="V20" s="45">
        <v>10.199999999999999</v>
      </c>
      <c r="W20" s="45">
        <v>10.199999999999999</v>
      </c>
      <c r="X20" s="45">
        <v>10.199999999999999</v>
      </c>
      <c r="Y20" s="45">
        <v>10.199999999999999</v>
      </c>
      <c r="Z20" s="45">
        <v>10.199999999999999</v>
      </c>
      <c r="AA20" s="45">
        <v>10.199999999999999</v>
      </c>
      <c r="AB20" s="45">
        <v>10.199999999999999</v>
      </c>
      <c r="AC20" s="45">
        <v>10.199999999999999</v>
      </c>
      <c r="AD20" s="45">
        <v>10.199999999999999</v>
      </c>
      <c r="AE20" s="45">
        <v>10.199999999999999</v>
      </c>
      <c r="AF20" s="45">
        <v>10.199999999999999</v>
      </c>
      <c r="AG20" s="49">
        <v>38.46</v>
      </c>
      <c r="AH20" s="47">
        <f t="shared" si="2"/>
        <v>10.199999999999999</v>
      </c>
      <c r="AI20" s="48">
        <f t="shared" si="3"/>
        <v>10.199999999999999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13.6</v>
      </c>
      <c r="C21" s="45">
        <v>13.6</v>
      </c>
      <c r="D21" s="45">
        <v>13.6</v>
      </c>
      <c r="E21" s="45">
        <v>13.6</v>
      </c>
      <c r="F21" s="45">
        <v>13.6</v>
      </c>
      <c r="G21" s="45">
        <v>13.6</v>
      </c>
      <c r="H21" s="45">
        <v>13.6</v>
      </c>
      <c r="I21" s="45">
        <v>13.6</v>
      </c>
      <c r="J21" s="45">
        <v>13.6</v>
      </c>
      <c r="K21" s="45">
        <v>13.6</v>
      </c>
      <c r="L21" s="45">
        <v>13.6</v>
      </c>
      <c r="M21" s="45">
        <v>13.6</v>
      </c>
      <c r="N21" s="45">
        <v>13.6</v>
      </c>
      <c r="O21" s="45">
        <v>13.6</v>
      </c>
      <c r="P21" s="45">
        <v>13.6</v>
      </c>
      <c r="Q21" s="45">
        <v>13.6</v>
      </c>
      <c r="R21" s="45">
        <v>13.6</v>
      </c>
      <c r="S21" s="45">
        <v>13.6</v>
      </c>
      <c r="T21" s="45">
        <v>13.6</v>
      </c>
      <c r="U21" s="45">
        <v>13.6</v>
      </c>
      <c r="V21" s="45">
        <v>13.6</v>
      </c>
      <c r="W21" s="45">
        <v>13.6</v>
      </c>
      <c r="X21" s="45">
        <v>13.6</v>
      </c>
      <c r="Y21" s="45">
        <v>13.6</v>
      </c>
      <c r="Z21" s="45">
        <v>13.6</v>
      </c>
      <c r="AA21" s="45">
        <v>13.6</v>
      </c>
      <c r="AB21" s="45">
        <v>13.6</v>
      </c>
      <c r="AC21" s="45">
        <v>13.6</v>
      </c>
      <c r="AD21" s="45">
        <v>13.6</v>
      </c>
      <c r="AE21" s="45">
        <v>13.6</v>
      </c>
      <c r="AF21" s="45">
        <v>13.6</v>
      </c>
      <c r="AG21" s="49">
        <v>36</v>
      </c>
      <c r="AH21" s="47">
        <f t="shared" si="2"/>
        <v>13.6</v>
      </c>
      <c r="AI21" s="48">
        <f t="shared" si="3"/>
        <v>13.6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8.6999999999999993</v>
      </c>
      <c r="C22" s="45">
        <v>8.6999999999999993</v>
      </c>
      <c r="D22" s="45">
        <v>8.6999999999999993</v>
      </c>
      <c r="E22" s="45">
        <v>8.6999999999999993</v>
      </c>
      <c r="F22" s="45">
        <v>8.6999999999999993</v>
      </c>
      <c r="G22" s="45">
        <v>8.6999999999999993</v>
      </c>
      <c r="H22" s="45">
        <v>8.6999999999999993</v>
      </c>
      <c r="I22" s="45">
        <v>8.6999999999999993</v>
      </c>
      <c r="J22" s="45">
        <v>8.6999999999999993</v>
      </c>
      <c r="K22" s="45">
        <v>8.6999999999999993</v>
      </c>
      <c r="L22" s="45">
        <v>8.6999999999999993</v>
      </c>
      <c r="M22" s="45">
        <v>8.6999999999999993</v>
      </c>
      <c r="N22" s="45">
        <v>8.6999999999999993</v>
      </c>
      <c r="O22" s="45">
        <v>8.6999999999999993</v>
      </c>
      <c r="P22" s="45">
        <v>8.6999999999999993</v>
      </c>
      <c r="Q22" s="45">
        <v>8.6999999999999993</v>
      </c>
      <c r="R22" s="45">
        <v>8.4</v>
      </c>
      <c r="S22" s="45">
        <v>8.4</v>
      </c>
      <c r="T22" s="45">
        <v>8.4</v>
      </c>
      <c r="U22" s="45">
        <v>8.4</v>
      </c>
      <c r="V22" s="45">
        <v>8.4</v>
      </c>
      <c r="W22" s="45">
        <v>8.4</v>
      </c>
      <c r="X22" s="45">
        <v>8.4</v>
      </c>
      <c r="Y22" s="45">
        <v>8.4</v>
      </c>
      <c r="Z22" s="45">
        <v>8.4</v>
      </c>
      <c r="AA22" s="45">
        <v>8.4</v>
      </c>
      <c r="AB22" s="45">
        <v>9.6999999999999993</v>
      </c>
      <c r="AC22" s="45">
        <v>9.6999999999999993</v>
      </c>
      <c r="AD22" s="45">
        <v>9.6999999999999993</v>
      </c>
      <c r="AE22" s="45">
        <v>9.6999999999999993</v>
      </c>
      <c r="AF22" s="45">
        <v>9.6999999999999993</v>
      </c>
      <c r="AG22" s="52">
        <v>30</v>
      </c>
      <c r="AH22" s="47">
        <f t="shared" si="2"/>
        <v>9.6999999999999993</v>
      </c>
      <c r="AI22" s="48">
        <f t="shared" si="3"/>
        <v>8.4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9</v>
      </c>
      <c r="C23" s="45">
        <v>9</v>
      </c>
      <c r="D23" s="45">
        <v>9</v>
      </c>
      <c r="E23" s="45">
        <v>9</v>
      </c>
      <c r="F23" s="45">
        <v>9</v>
      </c>
      <c r="G23" s="45">
        <v>9</v>
      </c>
      <c r="H23" s="45">
        <v>9</v>
      </c>
      <c r="I23" s="45">
        <v>9</v>
      </c>
      <c r="J23" s="45">
        <v>9</v>
      </c>
      <c r="K23" s="45">
        <v>9</v>
      </c>
      <c r="L23" s="45">
        <v>9</v>
      </c>
      <c r="M23" s="45">
        <v>9</v>
      </c>
      <c r="N23" s="45">
        <v>9</v>
      </c>
      <c r="O23" s="45">
        <v>9</v>
      </c>
      <c r="P23" s="45">
        <v>9</v>
      </c>
      <c r="Q23" s="45">
        <v>9</v>
      </c>
      <c r="R23" s="45">
        <v>9</v>
      </c>
      <c r="S23" s="45">
        <v>9</v>
      </c>
      <c r="T23" s="45">
        <v>9</v>
      </c>
      <c r="U23" s="45">
        <v>9</v>
      </c>
      <c r="V23" s="45">
        <v>9</v>
      </c>
      <c r="W23" s="45">
        <v>9</v>
      </c>
      <c r="X23" s="45">
        <v>9</v>
      </c>
      <c r="Y23" s="45">
        <v>9</v>
      </c>
      <c r="Z23" s="45">
        <v>9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9</v>
      </c>
      <c r="AG23" s="49">
        <v>24.2</v>
      </c>
      <c r="AH23" s="47">
        <f t="shared" si="2"/>
        <v>9</v>
      </c>
      <c r="AI23" s="48">
        <f t="shared" si="3"/>
        <v>9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9.1999999999999993</v>
      </c>
      <c r="C24" s="45">
        <v>9.1999999999999993</v>
      </c>
      <c r="D24" s="45">
        <v>9.1999999999999993</v>
      </c>
      <c r="E24" s="45">
        <v>9.1999999999999993</v>
      </c>
      <c r="F24" s="45">
        <v>9.1999999999999993</v>
      </c>
      <c r="G24" s="45">
        <v>9.1999999999999993</v>
      </c>
      <c r="H24" s="45">
        <v>9.1999999999999993</v>
      </c>
      <c r="I24" s="45">
        <v>9.1999999999999993</v>
      </c>
      <c r="J24" s="45">
        <v>9.1999999999999993</v>
      </c>
      <c r="K24" s="45">
        <v>9.1999999999999993</v>
      </c>
      <c r="L24" s="45">
        <v>9.1999999999999993</v>
      </c>
      <c r="M24" s="45">
        <v>9.1999999999999993</v>
      </c>
      <c r="N24" s="45">
        <v>9.1999999999999993</v>
      </c>
      <c r="O24" s="45">
        <v>9.1999999999999993</v>
      </c>
      <c r="P24" s="45">
        <v>9.1999999999999993</v>
      </c>
      <c r="Q24" s="45">
        <v>9.1999999999999993</v>
      </c>
      <c r="R24" s="45">
        <v>8.8000000000000007</v>
      </c>
      <c r="S24" s="45">
        <v>8.8000000000000007</v>
      </c>
      <c r="T24" s="45">
        <v>8.8000000000000007</v>
      </c>
      <c r="U24" s="45">
        <v>8.8000000000000007</v>
      </c>
      <c r="V24" s="45">
        <v>8.8000000000000007</v>
      </c>
      <c r="W24" s="45">
        <v>8.8000000000000007</v>
      </c>
      <c r="X24" s="45">
        <v>8.8000000000000007</v>
      </c>
      <c r="Y24" s="45">
        <v>8.8000000000000007</v>
      </c>
      <c r="Z24" s="45">
        <v>8.8000000000000007</v>
      </c>
      <c r="AA24" s="45">
        <v>8.8000000000000007</v>
      </c>
      <c r="AB24" s="45">
        <v>9.1</v>
      </c>
      <c r="AC24" s="45">
        <v>9.1</v>
      </c>
      <c r="AD24" s="45">
        <v>9.1</v>
      </c>
      <c r="AE24" s="45">
        <v>9.1</v>
      </c>
      <c r="AF24" s="45">
        <v>9.1</v>
      </c>
      <c r="AG24" s="49">
        <v>28</v>
      </c>
      <c r="AH24" s="47">
        <f t="shared" si="2"/>
        <v>9.1999999999999993</v>
      </c>
      <c r="AI24" s="48">
        <f t="shared" si="3"/>
        <v>8.8000000000000007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8.3000000000000007</v>
      </c>
      <c r="C25" s="45">
        <v>8.3000000000000007</v>
      </c>
      <c r="D25" s="45">
        <v>8.3000000000000007</v>
      </c>
      <c r="E25" s="45">
        <v>8.3000000000000007</v>
      </c>
      <c r="F25" s="45">
        <v>8.3000000000000007</v>
      </c>
      <c r="G25" s="45">
        <v>8.3000000000000007</v>
      </c>
      <c r="H25" s="45">
        <v>8.3000000000000007</v>
      </c>
      <c r="I25" s="45">
        <v>8.3000000000000007</v>
      </c>
      <c r="J25" s="45">
        <v>8.3000000000000007</v>
      </c>
      <c r="K25" s="45">
        <v>8.3000000000000007</v>
      </c>
      <c r="L25" s="45">
        <v>8.3000000000000007</v>
      </c>
      <c r="M25" s="45">
        <v>8.3000000000000007</v>
      </c>
      <c r="N25" s="45">
        <v>8.3000000000000007</v>
      </c>
      <c r="O25" s="45">
        <v>8.3000000000000007</v>
      </c>
      <c r="P25" s="45">
        <v>8.3000000000000007</v>
      </c>
      <c r="Q25" s="45">
        <v>8.3000000000000007</v>
      </c>
      <c r="R25" s="45">
        <v>6.6</v>
      </c>
      <c r="S25" s="45">
        <v>6.6</v>
      </c>
      <c r="T25" s="45">
        <v>6.6</v>
      </c>
      <c r="U25" s="45">
        <v>6.6</v>
      </c>
      <c r="V25" s="45">
        <v>6.6</v>
      </c>
      <c r="W25" s="45">
        <v>6.6</v>
      </c>
      <c r="X25" s="45">
        <v>6.6</v>
      </c>
      <c r="Y25" s="45">
        <v>6.6</v>
      </c>
      <c r="Z25" s="45">
        <v>6.6</v>
      </c>
      <c r="AA25" s="45">
        <v>6.6</v>
      </c>
      <c r="AB25" s="45">
        <v>8</v>
      </c>
      <c r="AC25" s="45">
        <v>8</v>
      </c>
      <c r="AD25" s="45">
        <v>8</v>
      </c>
      <c r="AE25" s="45">
        <v>8</v>
      </c>
      <c r="AF25" s="45">
        <v>8</v>
      </c>
      <c r="AG25" s="52">
        <v>30</v>
      </c>
      <c r="AH25" s="47">
        <f t="shared" si="2"/>
        <v>8.3000000000000007</v>
      </c>
      <c r="AI25" s="48">
        <f t="shared" si="3"/>
        <v>6.6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8.5</v>
      </c>
      <c r="C26" s="45">
        <v>8.5</v>
      </c>
      <c r="D26" s="45">
        <v>8.5</v>
      </c>
      <c r="E26" s="45">
        <v>8.5</v>
      </c>
      <c r="F26" s="45">
        <v>8.5</v>
      </c>
      <c r="G26" s="45">
        <v>8.5</v>
      </c>
      <c r="H26" s="45">
        <v>8.5</v>
      </c>
      <c r="I26" s="45">
        <v>8.5</v>
      </c>
      <c r="J26" s="45">
        <v>8.5</v>
      </c>
      <c r="K26" s="45">
        <v>8.5</v>
      </c>
      <c r="L26" s="45">
        <v>8.5</v>
      </c>
      <c r="M26" s="45">
        <v>8.5</v>
      </c>
      <c r="N26" s="45">
        <v>8.5</v>
      </c>
      <c r="O26" s="45">
        <v>8.5</v>
      </c>
      <c r="P26" s="45">
        <v>8.5</v>
      </c>
      <c r="Q26" s="45">
        <v>8.5</v>
      </c>
      <c r="R26" s="45">
        <v>8.5</v>
      </c>
      <c r="S26" s="45">
        <v>8.5</v>
      </c>
      <c r="T26" s="45">
        <v>8.5</v>
      </c>
      <c r="U26" s="45">
        <v>8.5</v>
      </c>
      <c r="V26" s="45">
        <v>8.5</v>
      </c>
      <c r="W26" s="45">
        <v>8.5</v>
      </c>
      <c r="X26" s="45">
        <v>8.5</v>
      </c>
      <c r="Y26" s="45">
        <v>8.5</v>
      </c>
      <c r="Z26" s="45">
        <v>8.5</v>
      </c>
      <c r="AA26" s="45">
        <v>8.5</v>
      </c>
      <c r="AB26" s="45">
        <v>8.5</v>
      </c>
      <c r="AC26" s="45">
        <v>8.5</v>
      </c>
      <c r="AD26" s="45">
        <v>8.5</v>
      </c>
      <c r="AE26" s="45">
        <v>8.5</v>
      </c>
      <c r="AF26" s="45">
        <v>8.5</v>
      </c>
      <c r="AG26" s="49">
        <v>25</v>
      </c>
      <c r="AH26" s="47">
        <f t="shared" si="2"/>
        <v>8.5</v>
      </c>
      <c r="AI26" s="48">
        <f t="shared" si="3"/>
        <v>8.5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5</v>
      </c>
      <c r="C27" s="45">
        <v>5</v>
      </c>
      <c r="D27" s="45">
        <v>5</v>
      </c>
      <c r="E27" s="45">
        <v>5</v>
      </c>
      <c r="F27" s="45">
        <v>5</v>
      </c>
      <c r="G27" s="45">
        <v>5</v>
      </c>
      <c r="H27" s="45">
        <v>5</v>
      </c>
      <c r="I27" s="45">
        <v>5</v>
      </c>
      <c r="J27" s="45">
        <v>5</v>
      </c>
      <c r="K27" s="45">
        <v>5</v>
      </c>
      <c r="L27" s="45">
        <v>5</v>
      </c>
      <c r="M27" s="45">
        <v>5</v>
      </c>
      <c r="N27" s="45">
        <v>5</v>
      </c>
      <c r="O27" s="45">
        <v>5</v>
      </c>
      <c r="P27" s="45">
        <v>5</v>
      </c>
      <c r="Q27" s="45">
        <v>5</v>
      </c>
      <c r="R27" s="45">
        <v>5</v>
      </c>
      <c r="S27" s="45">
        <v>5</v>
      </c>
      <c r="T27" s="45">
        <v>5</v>
      </c>
      <c r="U27" s="45">
        <v>5</v>
      </c>
      <c r="V27" s="45">
        <v>5</v>
      </c>
      <c r="W27" s="45">
        <v>5</v>
      </c>
      <c r="X27" s="45">
        <v>5</v>
      </c>
      <c r="Y27" s="45">
        <v>5</v>
      </c>
      <c r="Z27" s="45">
        <v>5</v>
      </c>
      <c r="AA27" s="45">
        <v>5</v>
      </c>
      <c r="AB27" s="45">
        <v>5</v>
      </c>
      <c r="AC27" s="45">
        <v>5</v>
      </c>
      <c r="AD27" s="45">
        <v>5</v>
      </c>
      <c r="AE27" s="45">
        <v>5</v>
      </c>
      <c r="AF27" s="45">
        <v>5</v>
      </c>
      <c r="AG27" s="49">
        <v>25</v>
      </c>
      <c r="AH27" s="47">
        <f t="shared" si="2"/>
        <v>5</v>
      </c>
      <c r="AI27" s="48">
        <f t="shared" si="3"/>
        <v>5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7.5</v>
      </c>
      <c r="C28" s="45">
        <v>7.5</v>
      </c>
      <c r="D28" s="45">
        <v>7.5</v>
      </c>
      <c r="E28" s="45">
        <v>7.5</v>
      </c>
      <c r="F28" s="45">
        <v>7.5</v>
      </c>
      <c r="G28" s="45">
        <v>7.5</v>
      </c>
      <c r="H28" s="45">
        <v>7.5</v>
      </c>
      <c r="I28" s="45">
        <v>7.5</v>
      </c>
      <c r="J28" s="45">
        <v>7.5</v>
      </c>
      <c r="K28" s="45">
        <v>7.5</v>
      </c>
      <c r="L28" s="45">
        <v>7.5</v>
      </c>
      <c r="M28" s="45">
        <v>7.5</v>
      </c>
      <c r="N28" s="45">
        <v>7.5</v>
      </c>
      <c r="O28" s="45">
        <v>7.5</v>
      </c>
      <c r="P28" s="45">
        <v>7.5</v>
      </c>
      <c r="Q28" s="45">
        <v>7.5</v>
      </c>
      <c r="R28" s="45">
        <v>7.5</v>
      </c>
      <c r="S28" s="45">
        <v>7.5</v>
      </c>
      <c r="T28" s="45">
        <v>7.5</v>
      </c>
      <c r="U28" s="45">
        <v>7.5</v>
      </c>
      <c r="V28" s="45">
        <v>7.5</v>
      </c>
      <c r="W28" s="45">
        <v>7.5</v>
      </c>
      <c r="X28" s="45">
        <v>7.5</v>
      </c>
      <c r="Y28" s="45">
        <v>7.5</v>
      </c>
      <c r="Z28" s="45">
        <v>7.5</v>
      </c>
      <c r="AA28" s="45">
        <v>7.5</v>
      </c>
      <c r="AB28" s="45">
        <v>7.5</v>
      </c>
      <c r="AC28" s="45">
        <v>7.5</v>
      </c>
      <c r="AD28" s="45">
        <v>7.5</v>
      </c>
      <c r="AE28" s="45">
        <v>7.5</v>
      </c>
      <c r="AF28" s="45">
        <v>7.5</v>
      </c>
      <c r="AG28" s="49">
        <v>25</v>
      </c>
      <c r="AH28" s="47">
        <f t="shared" si="2"/>
        <v>7.5</v>
      </c>
      <c r="AI28" s="48">
        <f t="shared" si="3"/>
        <v>7.5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8.6999999999999993</v>
      </c>
      <c r="C29" s="45">
        <v>8.6999999999999993</v>
      </c>
      <c r="D29" s="45">
        <v>8.6999999999999993</v>
      </c>
      <c r="E29" s="45">
        <v>8.6999999999999993</v>
      </c>
      <c r="F29" s="45">
        <v>8.6999999999999993</v>
      </c>
      <c r="G29" s="45">
        <v>8.6999999999999993</v>
      </c>
      <c r="H29" s="45">
        <v>8.6999999999999993</v>
      </c>
      <c r="I29" s="45">
        <v>8.6999999999999993</v>
      </c>
      <c r="J29" s="45">
        <v>8.6999999999999993</v>
      </c>
      <c r="K29" s="45">
        <v>8.6999999999999993</v>
      </c>
      <c r="L29" s="45">
        <v>8.6999999999999993</v>
      </c>
      <c r="M29" s="45">
        <v>8.6999999999999993</v>
      </c>
      <c r="N29" s="45">
        <v>8.6999999999999993</v>
      </c>
      <c r="O29" s="45">
        <v>8.6999999999999993</v>
      </c>
      <c r="P29" s="45">
        <v>8.6999999999999993</v>
      </c>
      <c r="Q29" s="45">
        <v>8.6999999999999993</v>
      </c>
      <c r="R29" s="45">
        <v>8.3000000000000007</v>
      </c>
      <c r="S29" s="45">
        <v>8.3000000000000007</v>
      </c>
      <c r="T29" s="45">
        <v>8.3000000000000007</v>
      </c>
      <c r="U29" s="45">
        <v>8.3000000000000007</v>
      </c>
      <c r="V29" s="45">
        <v>8.3000000000000007</v>
      </c>
      <c r="W29" s="45">
        <v>8.3000000000000007</v>
      </c>
      <c r="X29" s="45">
        <v>8.3000000000000007</v>
      </c>
      <c r="Y29" s="45">
        <v>8.3000000000000007</v>
      </c>
      <c r="Z29" s="45">
        <v>8.3000000000000007</v>
      </c>
      <c r="AA29" s="45">
        <v>8.3000000000000007</v>
      </c>
      <c r="AB29" s="45">
        <v>9</v>
      </c>
      <c r="AC29" s="45">
        <v>9</v>
      </c>
      <c r="AD29" s="45">
        <v>9</v>
      </c>
      <c r="AE29" s="45">
        <v>9</v>
      </c>
      <c r="AF29" s="45">
        <v>9</v>
      </c>
      <c r="AG29" s="49">
        <v>25</v>
      </c>
      <c r="AH29" s="47">
        <f t="shared" si="2"/>
        <v>9</v>
      </c>
      <c r="AI29" s="48">
        <f t="shared" si="3"/>
        <v>8.3000000000000007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0.5</v>
      </c>
      <c r="C30" s="45">
        <v>0.5</v>
      </c>
      <c r="D30" s="45">
        <v>0.5</v>
      </c>
      <c r="E30" s="45">
        <v>0.5</v>
      </c>
      <c r="F30" s="45">
        <v>0.5</v>
      </c>
      <c r="G30" s="45">
        <v>0.5</v>
      </c>
      <c r="H30" s="45">
        <v>0.5</v>
      </c>
      <c r="I30" s="45">
        <v>0.5</v>
      </c>
      <c r="J30" s="45">
        <v>0.5</v>
      </c>
      <c r="K30" s="45">
        <v>0.5</v>
      </c>
      <c r="L30" s="45">
        <v>0.5</v>
      </c>
      <c r="M30" s="45">
        <v>0.5</v>
      </c>
      <c r="N30" s="45">
        <v>0.5</v>
      </c>
      <c r="O30" s="45">
        <v>0.5</v>
      </c>
      <c r="P30" s="45">
        <v>0.5</v>
      </c>
      <c r="Q30" s="45">
        <v>0.5</v>
      </c>
      <c r="R30" s="45">
        <v>2.6</v>
      </c>
      <c r="S30" s="45">
        <v>2.6</v>
      </c>
      <c r="T30" s="45">
        <v>2.6</v>
      </c>
      <c r="U30" s="45">
        <v>2.6</v>
      </c>
      <c r="V30" s="45">
        <v>2.6</v>
      </c>
      <c r="W30" s="45">
        <v>2.6</v>
      </c>
      <c r="X30" s="45">
        <v>2.6</v>
      </c>
      <c r="Y30" s="45">
        <v>2.6</v>
      </c>
      <c r="Z30" s="45">
        <v>2.6</v>
      </c>
      <c r="AA30" s="45">
        <v>2.6</v>
      </c>
      <c r="AB30" s="45">
        <v>10.9</v>
      </c>
      <c r="AC30" s="45">
        <v>10.9</v>
      </c>
      <c r="AD30" s="45">
        <v>10.9</v>
      </c>
      <c r="AE30" s="45">
        <v>10.9</v>
      </c>
      <c r="AF30" s="45">
        <v>10.9</v>
      </c>
      <c r="AG30" s="49">
        <v>23.5</v>
      </c>
      <c r="AH30" s="47">
        <f t="shared" si="2"/>
        <v>10.9</v>
      </c>
      <c r="AI30" s="48">
        <f t="shared" si="3"/>
        <v>0.5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4.5</v>
      </c>
      <c r="C31" s="45">
        <v>4.5</v>
      </c>
      <c r="D31" s="45">
        <v>4.5</v>
      </c>
      <c r="E31" s="45">
        <v>4.5</v>
      </c>
      <c r="F31" s="45">
        <v>4.5</v>
      </c>
      <c r="G31" s="45">
        <v>4.5</v>
      </c>
      <c r="H31" s="45">
        <v>4.5</v>
      </c>
      <c r="I31" s="45">
        <v>4.5</v>
      </c>
      <c r="J31" s="45">
        <v>4.5</v>
      </c>
      <c r="K31" s="45">
        <v>4.5</v>
      </c>
      <c r="L31" s="45">
        <v>4.5</v>
      </c>
      <c r="M31" s="45">
        <v>4.5</v>
      </c>
      <c r="N31" s="45">
        <v>4.5</v>
      </c>
      <c r="O31" s="45">
        <v>4.5</v>
      </c>
      <c r="P31" s="45">
        <v>4.5</v>
      </c>
      <c r="Q31" s="45">
        <v>4.5</v>
      </c>
      <c r="R31" s="45">
        <v>4.5</v>
      </c>
      <c r="S31" s="45">
        <v>4.5</v>
      </c>
      <c r="T31" s="45">
        <v>4.5</v>
      </c>
      <c r="U31" s="45">
        <v>4.5</v>
      </c>
      <c r="V31" s="45">
        <v>4.5</v>
      </c>
      <c r="W31" s="45">
        <v>4.5</v>
      </c>
      <c r="X31" s="45">
        <v>4.5</v>
      </c>
      <c r="Y31" s="45">
        <v>4.5</v>
      </c>
      <c r="Z31" s="45">
        <v>4.5</v>
      </c>
      <c r="AA31" s="45">
        <v>4.5</v>
      </c>
      <c r="AB31" s="45">
        <v>4.5</v>
      </c>
      <c r="AC31" s="45">
        <v>4.5</v>
      </c>
      <c r="AD31" s="45">
        <v>4.5</v>
      </c>
      <c r="AE31" s="45">
        <v>4.5</v>
      </c>
      <c r="AF31" s="45">
        <v>4.5</v>
      </c>
      <c r="AG31" s="49">
        <v>22.2</v>
      </c>
      <c r="AH31" s="47">
        <f t="shared" si="2"/>
        <v>4.5</v>
      </c>
      <c r="AI31" s="48">
        <f t="shared" si="3"/>
        <v>4.5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>
        <v>5.5</v>
      </c>
      <c r="N32" s="45">
        <v>5.5</v>
      </c>
      <c r="O32" s="45">
        <v>5.5</v>
      </c>
      <c r="P32" s="45">
        <v>5.5</v>
      </c>
      <c r="Q32" s="45">
        <v>5.5</v>
      </c>
      <c r="R32" s="45">
        <v>5.5</v>
      </c>
      <c r="S32" s="45">
        <v>5.5</v>
      </c>
      <c r="T32" s="45">
        <v>5.5</v>
      </c>
      <c r="U32" s="45">
        <v>5.5</v>
      </c>
      <c r="V32" s="45">
        <v>5.5</v>
      </c>
      <c r="W32" s="45">
        <v>5.5</v>
      </c>
      <c r="X32" s="45">
        <v>5.5</v>
      </c>
      <c r="Y32" s="45">
        <v>5.5</v>
      </c>
      <c r="Z32" s="45">
        <v>5.5</v>
      </c>
      <c r="AA32" s="45">
        <v>5.5</v>
      </c>
      <c r="AB32" s="45">
        <v>5.5</v>
      </c>
      <c r="AC32" s="45">
        <v>5.5</v>
      </c>
      <c r="AD32" s="45">
        <v>5.5</v>
      </c>
      <c r="AE32" s="45">
        <v>5.5</v>
      </c>
      <c r="AF32" s="45">
        <v>5.5</v>
      </c>
      <c r="AG32" s="49">
        <v>22.1</v>
      </c>
      <c r="AH32" s="47">
        <f t="shared" si="2"/>
        <v>5.5</v>
      </c>
      <c r="AI32" s="48">
        <f t="shared" si="3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22</v>
      </c>
      <c r="AH33" s="47">
        <f t="shared" si="2"/>
        <v>6</v>
      </c>
      <c r="AI33" s="48">
        <f t="shared" si="3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9.9</v>
      </c>
      <c r="C34" s="45">
        <v>9.9</v>
      </c>
      <c r="D34" s="45">
        <v>9.9</v>
      </c>
      <c r="E34" s="45">
        <v>9.9</v>
      </c>
      <c r="F34" s="45">
        <v>9.9</v>
      </c>
      <c r="G34" s="45">
        <v>9.9</v>
      </c>
      <c r="H34" s="45">
        <v>9.9</v>
      </c>
      <c r="I34" s="45">
        <v>9.9</v>
      </c>
      <c r="J34" s="45">
        <v>9.9</v>
      </c>
      <c r="K34" s="45">
        <v>9.9</v>
      </c>
      <c r="L34" s="45">
        <v>9.9</v>
      </c>
      <c r="M34" s="45">
        <v>9.9</v>
      </c>
      <c r="N34" s="45">
        <v>9.9</v>
      </c>
      <c r="O34" s="45">
        <v>9.9</v>
      </c>
      <c r="P34" s="45">
        <v>9.9</v>
      </c>
      <c r="Q34" s="45">
        <v>9.9</v>
      </c>
      <c r="R34" s="45">
        <v>6.8</v>
      </c>
      <c r="S34" s="45">
        <v>6.8</v>
      </c>
      <c r="T34" s="45">
        <v>6.8</v>
      </c>
      <c r="U34" s="45">
        <v>6.8</v>
      </c>
      <c r="V34" s="45">
        <v>6.8</v>
      </c>
      <c r="W34" s="45">
        <v>6.8</v>
      </c>
      <c r="X34" s="45">
        <v>6.8</v>
      </c>
      <c r="Y34" s="45">
        <v>6.8</v>
      </c>
      <c r="Z34" s="45">
        <v>6.8</v>
      </c>
      <c r="AA34" s="45">
        <v>6.8</v>
      </c>
      <c r="AB34" s="45">
        <v>9.5</v>
      </c>
      <c r="AC34" s="45">
        <v>9.5</v>
      </c>
      <c r="AD34" s="45">
        <v>9.5</v>
      </c>
      <c r="AE34" s="45">
        <v>9.5</v>
      </c>
      <c r="AF34" s="45">
        <v>9.5</v>
      </c>
      <c r="AG34" s="49">
        <v>22</v>
      </c>
      <c r="AH34" s="47">
        <f t="shared" si="2"/>
        <v>9.9</v>
      </c>
      <c r="AI34" s="48">
        <f t="shared" si="3"/>
        <v>6.8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6.5</v>
      </c>
      <c r="C35" s="45">
        <v>6.5</v>
      </c>
      <c r="D35" s="45">
        <v>6.5</v>
      </c>
      <c r="E35" s="45">
        <v>6.5</v>
      </c>
      <c r="F35" s="45">
        <v>6.5</v>
      </c>
      <c r="G35" s="45">
        <v>6.5</v>
      </c>
      <c r="H35" s="45">
        <v>6.5</v>
      </c>
      <c r="I35" s="45">
        <v>6.5</v>
      </c>
      <c r="J35" s="45">
        <v>6.5</v>
      </c>
      <c r="K35" s="45">
        <v>6.5</v>
      </c>
      <c r="L35" s="45">
        <v>6.5</v>
      </c>
      <c r="M35" s="45">
        <v>6.5</v>
      </c>
      <c r="N35" s="45">
        <v>6.5</v>
      </c>
      <c r="O35" s="45">
        <v>6.5</v>
      </c>
      <c r="P35" s="45">
        <v>6.5</v>
      </c>
      <c r="Q35" s="45">
        <v>6.5</v>
      </c>
      <c r="R35" s="45">
        <v>6.5</v>
      </c>
      <c r="S35" s="45">
        <v>6.5</v>
      </c>
      <c r="T35" s="45">
        <v>6.5</v>
      </c>
      <c r="U35" s="45">
        <v>6.5</v>
      </c>
      <c r="V35" s="45">
        <v>6.5</v>
      </c>
      <c r="W35" s="45">
        <v>6.5</v>
      </c>
      <c r="X35" s="45">
        <v>6.5</v>
      </c>
      <c r="Y35" s="45">
        <v>6.5</v>
      </c>
      <c r="Z35" s="45">
        <v>6.5</v>
      </c>
      <c r="AA35" s="45">
        <v>6.5</v>
      </c>
      <c r="AB35" s="45">
        <v>6.5</v>
      </c>
      <c r="AC35" s="45">
        <v>6.5</v>
      </c>
      <c r="AD35" s="45">
        <v>6.5</v>
      </c>
      <c r="AE35" s="45">
        <v>6.5</v>
      </c>
      <c r="AF35" s="45">
        <v>6.5</v>
      </c>
      <c r="AG35" s="49">
        <v>20</v>
      </c>
      <c r="AH35" s="47">
        <f t="shared" si="2"/>
        <v>6.5</v>
      </c>
      <c r="AI35" s="48">
        <f t="shared" si="3"/>
        <v>6.5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264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2"/>
        <v>4</v>
      </c>
      <c r="AI36" s="48">
        <f t="shared" si="3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5.5</v>
      </c>
      <c r="C37" s="45">
        <v>5.5</v>
      </c>
      <c r="D37" s="45">
        <v>5.5</v>
      </c>
      <c r="E37" s="45">
        <v>5.5</v>
      </c>
      <c r="F37" s="45">
        <v>5.5</v>
      </c>
      <c r="G37" s="45">
        <v>5.5</v>
      </c>
      <c r="H37" s="45">
        <v>5.5</v>
      </c>
      <c r="I37" s="45">
        <v>5.5</v>
      </c>
      <c r="J37" s="45">
        <v>5.5</v>
      </c>
      <c r="K37" s="45">
        <v>5.5</v>
      </c>
      <c r="L37" s="45">
        <v>5.5</v>
      </c>
      <c r="M37" s="45">
        <v>5.5</v>
      </c>
      <c r="N37" s="45">
        <v>5.5</v>
      </c>
      <c r="O37" s="45">
        <v>5.5</v>
      </c>
      <c r="P37" s="45">
        <v>5.5</v>
      </c>
      <c r="Q37" s="45">
        <v>5.5</v>
      </c>
      <c r="R37" s="45">
        <v>5.5</v>
      </c>
      <c r="S37" s="45">
        <v>5.5</v>
      </c>
      <c r="T37" s="45">
        <v>5.5</v>
      </c>
      <c r="U37" s="45">
        <v>5.5</v>
      </c>
      <c r="V37" s="45">
        <v>5.5</v>
      </c>
      <c r="W37" s="45">
        <v>5.5</v>
      </c>
      <c r="X37" s="45">
        <v>5.5</v>
      </c>
      <c r="Y37" s="45">
        <v>5.5</v>
      </c>
      <c r="Z37" s="45">
        <v>5.5</v>
      </c>
      <c r="AA37" s="45">
        <v>5.5</v>
      </c>
      <c r="AB37" s="45">
        <v>5.5</v>
      </c>
      <c r="AC37" s="45">
        <v>5.5</v>
      </c>
      <c r="AD37" s="45">
        <v>5.5</v>
      </c>
      <c r="AE37" s="45">
        <v>5.5</v>
      </c>
      <c r="AF37" s="45">
        <v>5.5</v>
      </c>
      <c r="AG37" s="49">
        <v>18</v>
      </c>
      <c r="AH37" s="47">
        <f t="shared" si="2"/>
        <v>5.5</v>
      </c>
      <c r="AI37" s="48">
        <f t="shared" si="3"/>
        <v>5.5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>
        <v>7.2</v>
      </c>
      <c r="N38" s="45">
        <v>7.2</v>
      </c>
      <c r="O38" s="45">
        <v>7.2</v>
      </c>
      <c r="P38" s="45">
        <v>7.2</v>
      </c>
      <c r="Q38" s="45">
        <v>7.2</v>
      </c>
      <c r="R38" s="45">
        <v>7.2</v>
      </c>
      <c r="S38" s="45">
        <v>7.2</v>
      </c>
      <c r="T38" s="45">
        <v>7.2</v>
      </c>
      <c r="U38" s="45">
        <v>7.2</v>
      </c>
      <c r="V38" s="45">
        <v>7.2</v>
      </c>
      <c r="W38" s="45">
        <v>7.2</v>
      </c>
      <c r="X38" s="45">
        <v>7.2</v>
      </c>
      <c r="Y38" s="45">
        <v>7.2</v>
      </c>
      <c r="Z38" s="45">
        <v>7.2</v>
      </c>
      <c r="AA38" s="45">
        <v>7.2</v>
      </c>
      <c r="AB38" s="45">
        <v>7.2</v>
      </c>
      <c r="AC38" s="45">
        <v>7.2</v>
      </c>
      <c r="AD38" s="45">
        <v>7.2</v>
      </c>
      <c r="AE38" s="45">
        <v>7.2</v>
      </c>
      <c r="AF38" s="45">
        <v>7.2</v>
      </c>
      <c r="AG38" s="49">
        <v>14.9</v>
      </c>
      <c r="AH38" s="47">
        <f t="shared" si="2"/>
        <v>7.2</v>
      </c>
      <c r="AI38" s="48">
        <f t="shared" si="3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265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2"/>
        <v>5</v>
      </c>
      <c r="AI40" s="48">
        <f t="shared" si="3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266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>
        <v>4</v>
      </c>
      <c r="N41" s="45">
        <v>4</v>
      </c>
      <c r="O41" s="45">
        <v>4</v>
      </c>
      <c r="P41" s="45">
        <v>4</v>
      </c>
      <c r="Q41" s="45">
        <v>4</v>
      </c>
      <c r="R41" s="45">
        <v>4</v>
      </c>
      <c r="S41" s="45">
        <v>4</v>
      </c>
      <c r="T41" s="45">
        <v>4</v>
      </c>
      <c r="U41" s="45">
        <v>4</v>
      </c>
      <c r="V41" s="45">
        <v>4</v>
      </c>
      <c r="W41" s="45">
        <v>4</v>
      </c>
      <c r="X41" s="45">
        <v>4</v>
      </c>
      <c r="Y41" s="45">
        <v>4</v>
      </c>
      <c r="Z41" s="45">
        <v>4</v>
      </c>
      <c r="AA41" s="45">
        <v>4</v>
      </c>
      <c r="AB41" s="45">
        <v>4</v>
      </c>
      <c r="AC41" s="45">
        <v>4</v>
      </c>
      <c r="AD41" s="45">
        <v>4</v>
      </c>
      <c r="AE41" s="45">
        <v>4</v>
      </c>
      <c r="AF41" s="45">
        <v>4</v>
      </c>
      <c r="AG41" s="49">
        <v>14.9</v>
      </c>
      <c r="AH41" s="47">
        <f t="shared" si="2"/>
        <v>4</v>
      </c>
      <c r="AI41" s="48">
        <f t="shared" si="3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2"/>
        <v>1.8</v>
      </c>
      <c r="AI42" s="48">
        <f t="shared" si="3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2"/>
        <v>3.8</v>
      </c>
      <c r="AI43" s="48">
        <f t="shared" si="3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4</v>
      </c>
      <c r="C44" s="45">
        <v>4</v>
      </c>
      <c r="D44" s="45">
        <v>4</v>
      </c>
      <c r="E44" s="45">
        <v>4</v>
      </c>
      <c r="F44" s="45">
        <v>4</v>
      </c>
      <c r="G44" s="45">
        <v>4</v>
      </c>
      <c r="H44" s="45">
        <v>4</v>
      </c>
      <c r="I44" s="45">
        <v>4</v>
      </c>
      <c r="J44" s="45">
        <v>4</v>
      </c>
      <c r="K44" s="45">
        <v>4</v>
      </c>
      <c r="L44" s="45">
        <v>4</v>
      </c>
      <c r="M44" s="45">
        <v>4</v>
      </c>
      <c r="N44" s="45">
        <v>4</v>
      </c>
      <c r="O44" s="45">
        <v>4</v>
      </c>
      <c r="P44" s="45">
        <v>4</v>
      </c>
      <c r="Q44" s="45">
        <v>4</v>
      </c>
      <c r="R44" s="45">
        <v>4</v>
      </c>
      <c r="S44" s="45">
        <v>4</v>
      </c>
      <c r="T44" s="45">
        <v>4</v>
      </c>
      <c r="U44" s="45">
        <v>4</v>
      </c>
      <c r="V44" s="45">
        <v>4</v>
      </c>
      <c r="W44" s="45">
        <v>4</v>
      </c>
      <c r="X44" s="45">
        <v>4</v>
      </c>
      <c r="Y44" s="45">
        <v>4</v>
      </c>
      <c r="Z44" s="45">
        <v>4</v>
      </c>
      <c r="AA44" s="45">
        <v>4</v>
      </c>
      <c r="AB44" s="45">
        <v>4</v>
      </c>
      <c r="AC44" s="45">
        <v>4</v>
      </c>
      <c r="AD44" s="45">
        <v>4</v>
      </c>
      <c r="AE44" s="45">
        <v>4</v>
      </c>
      <c r="AF44" s="45">
        <v>4</v>
      </c>
      <c r="AG44" s="49">
        <v>12</v>
      </c>
      <c r="AH44" s="47">
        <f t="shared" si="2"/>
        <v>4</v>
      </c>
      <c r="AI44" s="48">
        <f t="shared" si="3"/>
        <v>4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49">
        <v>12</v>
      </c>
      <c r="AH45" s="47">
        <f t="shared" si="2"/>
        <v>9</v>
      </c>
      <c r="AI45" s="48">
        <f t="shared" si="3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2"/>
        <v>3</v>
      </c>
      <c r="AI46" s="48">
        <f t="shared" si="3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2"/>
        <v>3.5</v>
      </c>
      <c r="AI47" s="48">
        <f t="shared" si="3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>
        <v>5</v>
      </c>
      <c r="N48" s="45">
        <v>5</v>
      </c>
      <c r="O48" s="45">
        <v>5</v>
      </c>
      <c r="P48" s="45">
        <v>5</v>
      </c>
      <c r="Q48" s="45">
        <v>5</v>
      </c>
      <c r="R48" s="45">
        <v>5</v>
      </c>
      <c r="S48" s="45">
        <v>5</v>
      </c>
      <c r="T48" s="45">
        <v>5</v>
      </c>
      <c r="U48" s="45">
        <v>5</v>
      </c>
      <c r="V48" s="45">
        <v>5</v>
      </c>
      <c r="W48" s="45">
        <v>5</v>
      </c>
      <c r="X48" s="45">
        <v>5</v>
      </c>
      <c r="Y48" s="45">
        <v>5</v>
      </c>
      <c r="Z48" s="45">
        <v>5</v>
      </c>
      <c r="AA48" s="45">
        <v>5</v>
      </c>
      <c r="AB48" s="45">
        <v>5</v>
      </c>
      <c r="AC48" s="45">
        <v>5</v>
      </c>
      <c r="AD48" s="45">
        <v>5</v>
      </c>
      <c r="AE48" s="45">
        <v>5</v>
      </c>
      <c r="AF48" s="45">
        <v>5</v>
      </c>
      <c r="AG48" s="52">
        <v>11.88</v>
      </c>
      <c r="AH48" s="47">
        <f t="shared" si="2"/>
        <v>5</v>
      </c>
      <c r="AI48" s="48">
        <f t="shared" si="3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>
        <v>3</v>
      </c>
      <c r="N49" s="45">
        <v>3</v>
      </c>
      <c r="O49" s="45">
        <v>3</v>
      </c>
      <c r="P49" s="45">
        <v>3</v>
      </c>
      <c r="Q49" s="45">
        <v>3</v>
      </c>
      <c r="R49" s="45">
        <v>3</v>
      </c>
      <c r="S49" s="45">
        <v>3</v>
      </c>
      <c r="T49" s="45">
        <v>3</v>
      </c>
      <c r="U49" s="45">
        <v>3</v>
      </c>
      <c r="V49" s="45">
        <v>3</v>
      </c>
      <c r="W49" s="45">
        <v>3</v>
      </c>
      <c r="X49" s="45">
        <v>3</v>
      </c>
      <c r="Y49" s="45">
        <v>3</v>
      </c>
      <c r="Z49" s="45">
        <v>3</v>
      </c>
      <c r="AA49" s="45">
        <v>3</v>
      </c>
      <c r="AB49" s="45">
        <v>3</v>
      </c>
      <c r="AC49" s="45">
        <v>3</v>
      </c>
      <c r="AD49" s="45">
        <v>3</v>
      </c>
      <c r="AE49" s="45">
        <v>3</v>
      </c>
      <c r="AF49" s="45">
        <v>3</v>
      </c>
      <c r="AG49" s="55">
        <v>11</v>
      </c>
      <c r="AH49" s="47">
        <f t="shared" si="2"/>
        <v>3</v>
      </c>
      <c r="AI49" s="48">
        <f t="shared" si="3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267</v>
      </c>
      <c r="B50" s="45">
        <v>3.3</v>
      </c>
      <c r="C50" s="45">
        <v>3.3</v>
      </c>
      <c r="D50" s="45">
        <v>3.3</v>
      </c>
      <c r="E50" s="45">
        <v>3.3</v>
      </c>
      <c r="F50" s="45">
        <v>3.3</v>
      </c>
      <c r="G50" s="45">
        <v>3.3</v>
      </c>
      <c r="H50" s="45">
        <v>3.3</v>
      </c>
      <c r="I50" s="45">
        <v>3.3</v>
      </c>
      <c r="J50" s="45">
        <v>3.3</v>
      </c>
      <c r="K50" s="45">
        <v>3.3</v>
      </c>
      <c r="L50" s="45">
        <v>3.3</v>
      </c>
      <c r="M50" s="45">
        <v>3.3</v>
      </c>
      <c r="N50" s="45">
        <v>3.3</v>
      </c>
      <c r="O50" s="45">
        <v>3.3</v>
      </c>
      <c r="P50" s="45">
        <v>3.3</v>
      </c>
      <c r="Q50" s="45">
        <v>3.3</v>
      </c>
      <c r="R50" s="45">
        <v>3.3</v>
      </c>
      <c r="S50" s="45">
        <v>3.3</v>
      </c>
      <c r="T50" s="45">
        <v>3.3</v>
      </c>
      <c r="U50" s="45">
        <v>3.3</v>
      </c>
      <c r="V50" s="45">
        <v>3.3</v>
      </c>
      <c r="W50" s="45">
        <v>3.3</v>
      </c>
      <c r="X50" s="45">
        <v>3.3</v>
      </c>
      <c r="Y50" s="45">
        <v>3.3</v>
      </c>
      <c r="Z50" s="45">
        <v>3.3</v>
      </c>
      <c r="AA50" s="45">
        <v>3.3</v>
      </c>
      <c r="AB50" s="45">
        <v>3.3</v>
      </c>
      <c r="AC50" s="45">
        <v>3.3</v>
      </c>
      <c r="AD50" s="45">
        <v>3.3</v>
      </c>
      <c r="AE50" s="45">
        <v>3.3</v>
      </c>
      <c r="AF50" s="45">
        <v>3.3</v>
      </c>
      <c r="AG50" s="55">
        <v>11</v>
      </c>
      <c r="AH50" s="47">
        <f t="shared" si="2"/>
        <v>3.3</v>
      </c>
      <c r="AI50" s="48">
        <f t="shared" si="3"/>
        <v>3.3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268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"/>
        <v>3</v>
      </c>
      <c r="AI51" s="48">
        <f t="shared" si="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2"/>
        <v>4</v>
      </c>
      <c r="AI52" s="48">
        <f t="shared" si="3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"/>
        <v>4.5</v>
      </c>
      <c r="AI53" s="48">
        <f t="shared" si="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269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"/>
        <v>0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175</v>
      </c>
      <c r="C56" s="57">
        <v>175</v>
      </c>
      <c r="D56" s="57">
        <v>175</v>
      </c>
      <c r="E56" s="57">
        <v>175</v>
      </c>
      <c r="F56" s="57">
        <v>175</v>
      </c>
      <c r="G56" s="57">
        <v>175</v>
      </c>
      <c r="H56" s="57">
        <v>175</v>
      </c>
      <c r="I56" s="57">
        <v>175</v>
      </c>
      <c r="J56" s="57">
        <v>175</v>
      </c>
      <c r="K56" s="57">
        <v>175</v>
      </c>
      <c r="L56" s="57">
        <v>175</v>
      </c>
      <c r="M56" s="57">
        <v>175</v>
      </c>
      <c r="N56" s="57">
        <v>175</v>
      </c>
      <c r="O56" s="57">
        <v>175</v>
      </c>
      <c r="P56" s="57">
        <v>175</v>
      </c>
      <c r="Q56" s="57">
        <v>175</v>
      </c>
      <c r="R56" s="57">
        <v>175</v>
      </c>
      <c r="S56" s="57">
        <v>175</v>
      </c>
      <c r="T56" s="57">
        <v>175</v>
      </c>
      <c r="U56" s="57">
        <v>175</v>
      </c>
      <c r="V56" s="57">
        <v>175</v>
      </c>
      <c r="W56" s="57">
        <v>175</v>
      </c>
      <c r="X56" s="57">
        <v>175</v>
      </c>
      <c r="Y56" s="57">
        <v>175</v>
      </c>
      <c r="Z56" s="57">
        <v>175</v>
      </c>
      <c r="AA56" s="57">
        <v>175</v>
      </c>
      <c r="AB56" s="57">
        <v>175</v>
      </c>
      <c r="AC56" s="57">
        <v>175</v>
      </c>
      <c r="AD56" s="57">
        <v>175</v>
      </c>
      <c r="AE56" s="57">
        <v>175</v>
      </c>
      <c r="AF56" s="57">
        <v>175</v>
      </c>
      <c r="AG56" s="55">
        <v>85</v>
      </c>
      <c r="AH56" s="47">
        <f t="shared" si="2"/>
        <v>175</v>
      </c>
      <c r="AI56" s="48">
        <f t="shared" si="3"/>
        <v>175</v>
      </c>
      <c r="AK56" s="50"/>
    </row>
    <row r="57" spans="1:88" ht="15.75" thickBot="1" x14ac:dyDescent="0.3">
      <c r="A57" s="58" t="s">
        <v>57</v>
      </c>
      <c r="B57" s="57">
        <v>30</v>
      </c>
      <c r="C57" s="57">
        <v>30</v>
      </c>
      <c r="D57" s="57">
        <v>30</v>
      </c>
      <c r="E57" s="57">
        <v>30</v>
      </c>
      <c r="F57" s="57">
        <v>30</v>
      </c>
      <c r="G57" s="57">
        <v>30</v>
      </c>
      <c r="H57" s="57">
        <v>30</v>
      </c>
      <c r="I57" s="57">
        <v>30</v>
      </c>
      <c r="J57" s="57">
        <v>30</v>
      </c>
      <c r="K57" s="57">
        <v>30</v>
      </c>
      <c r="L57" s="57">
        <v>30</v>
      </c>
      <c r="M57" s="57">
        <v>30</v>
      </c>
      <c r="N57" s="51">
        <f>17.8+8.1</f>
        <v>25.9</v>
      </c>
      <c r="O57" s="51">
        <f>18.6+8.3</f>
        <v>26.900000000000002</v>
      </c>
      <c r="P57" s="51">
        <f>10.4+22.2</f>
        <v>32.6</v>
      </c>
      <c r="Q57" s="51">
        <f>22.3+10.7</f>
        <v>33</v>
      </c>
      <c r="R57" s="51">
        <f t="shared" ref="R57:AA57" si="4">9.7+22.3</f>
        <v>32</v>
      </c>
      <c r="S57" s="51">
        <f t="shared" si="4"/>
        <v>32</v>
      </c>
      <c r="T57" s="51">
        <f t="shared" si="4"/>
        <v>32</v>
      </c>
      <c r="U57" s="51">
        <f t="shared" si="4"/>
        <v>32</v>
      </c>
      <c r="V57" s="51">
        <f t="shared" si="4"/>
        <v>32</v>
      </c>
      <c r="W57" s="51">
        <f t="shared" si="4"/>
        <v>32</v>
      </c>
      <c r="X57" s="51">
        <f t="shared" si="4"/>
        <v>32</v>
      </c>
      <c r="Y57" s="57">
        <f t="shared" si="4"/>
        <v>32</v>
      </c>
      <c r="Z57" s="57">
        <f t="shared" si="4"/>
        <v>32</v>
      </c>
      <c r="AA57" s="57">
        <f t="shared" si="4"/>
        <v>32</v>
      </c>
      <c r="AB57" s="57">
        <v>25.3</v>
      </c>
      <c r="AC57" s="57">
        <v>25.3</v>
      </c>
      <c r="AD57" s="57">
        <v>25.3</v>
      </c>
      <c r="AE57" s="57">
        <v>25.3</v>
      </c>
      <c r="AF57" s="57">
        <v>25.3</v>
      </c>
      <c r="AG57" s="55">
        <v>240</v>
      </c>
      <c r="AH57" s="47">
        <f t="shared" si="2"/>
        <v>33</v>
      </c>
      <c r="AI57" s="48">
        <f t="shared" si="3"/>
        <v>25.3</v>
      </c>
      <c r="AK57" s="50"/>
    </row>
    <row r="58" spans="1:88" ht="15.75" thickBot="1" x14ac:dyDescent="0.3">
      <c r="A58" s="59" t="s">
        <v>58</v>
      </c>
      <c r="B58" s="60">
        <f>SUM(B11:B56)</f>
        <v>530.69999999999993</v>
      </c>
      <c r="C58" s="60">
        <f>SUM(C11:C56)</f>
        <v>530.69999999999993</v>
      </c>
      <c r="D58" s="60">
        <f t="shared" ref="D58:AF58" si="5">SUM(D11:D56)</f>
        <v>532.19999999999993</v>
      </c>
      <c r="E58" s="60">
        <f t="shared" si="5"/>
        <v>531.29999999999995</v>
      </c>
      <c r="F58" s="60">
        <f t="shared" si="5"/>
        <v>531.29999999999995</v>
      </c>
      <c r="G58" s="60">
        <f t="shared" si="5"/>
        <v>531.9</v>
      </c>
      <c r="H58" s="60">
        <f t="shared" si="5"/>
        <v>531.4</v>
      </c>
      <c r="I58" s="60">
        <f t="shared" si="5"/>
        <v>531.4</v>
      </c>
      <c r="J58" s="60">
        <f t="shared" si="5"/>
        <v>531.4</v>
      </c>
      <c r="K58" s="60">
        <f t="shared" si="5"/>
        <v>531.4</v>
      </c>
      <c r="L58" s="60">
        <f t="shared" si="5"/>
        <v>531.4</v>
      </c>
      <c r="M58" s="60">
        <f t="shared" si="5"/>
        <v>531.4</v>
      </c>
      <c r="N58" s="60">
        <f t="shared" si="5"/>
        <v>530.5</v>
      </c>
      <c r="O58" s="60">
        <f t="shared" si="5"/>
        <v>530.5</v>
      </c>
      <c r="P58" s="60">
        <f t="shared" si="5"/>
        <v>530.59999999999991</v>
      </c>
      <c r="Q58" s="60">
        <f t="shared" si="5"/>
        <v>530.59999999999991</v>
      </c>
      <c r="R58" s="60">
        <f t="shared" ref="R58:S58" si="6">SUM(R11:R56)</f>
        <v>530.70000000000005</v>
      </c>
      <c r="S58" s="60">
        <f t="shared" si="6"/>
        <v>530.70000000000005</v>
      </c>
      <c r="T58" s="60">
        <f t="shared" ref="T58:U58" si="7">SUM(T11:T56)</f>
        <v>530.70000000000005</v>
      </c>
      <c r="U58" s="60">
        <f t="shared" si="7"/>
        <v>530.70000000000005</v>
      </c>
      <c r="V58" s="60">
        <f t="shared" si="5"/>
        <v>530.70000000000005</v>
      </c>
      <c r="W58" s="60">
        <f t="shared" ref="W58:Y58" si="8">SUM(W11:W56)</f>
        <v>530.70000000000005</v>
      </c>
      <c r="X58" s="60">
        <f t="shared" si="8"/>
        <v>530.70000000000005</v>
      </c>
      <c r="Y58" s="60">
        <f t="shared" si="8"/>
        <v>530.70000000000005</v>
      </c>
      <c r="Z58" s="60">
        <f t="shared" ref="Z58:AA58" si="9">SUM(Z11:Z56)</f>
        <v>530.70000000000005</v>
      </c>
      <c r="AA58" s="60">
        <f t="shared" si="9"/>
        <v>530.70000000000005</v>
      </c>
      <c r="AB58" s="60">
        <f t="shared" si="5"/>
        <v>553</v>
      </c>
      <c r="AC58" s="60">
        <f t="shared" si="5"/>
        <v>552.4</v>
      </c>
      <c r="AD58" s="60">
        <f t="shared" si="5"/>
        <v>552.4</v>
      </c>
      <c r="AE58" s="60">
        <f t="shared" si="5"/>
        <v>552.4</v>
      </c>
      <c r="AF58" s="60">
        <f t="shared" si="5"/>
        <v>552.4</v>
      </c>
      <c r="AG58" s="61">
        <f>SUM(AG14:AG56)</f>
        <v>1042.4000000000001</v>
      </c>
      <c r="AH58" s="47">
        <f t="shared" si="2"/>
        <v>553</v>
      </c>
      <c r="AI58" s="48">
        <f t="shared" si="3"/>
        <v>530.5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55</v>
      </c>
      <c r="K59" s="45">
        <v>45</v>
      </c>
      <c r="L59" s="45">
        <v>140</v>
      </c>
      <c r="M59" s="45">
        <v>375</v>
      </c>
      <c r="N59" s="63">
        <v>230</v>
      </c>
      <c r="O59" s="63">
        <v>160</v>
      </c>
      <c r="P59" s="63">
        <v>15</v>
      </c>
      <c r="Q59" s="63">
        <v>15</v>
      </c>
      <c r="R59" s="63">
        <v>0</v>
      </c>
      <c r="S59" s="63">
        <v>0</v>
      </c>
      <c r="T59" s="63">
        <v>50</v>
      </c>
      <c r="U59" s="63">
        <v>70</v>
      </c>
      <c r="V59" s="45">
        <v>70</v>
      </c>
      <c r="W59" s="45">
        <v>45</v>
      </c>
      <c r="X59" s="45">
        <v>230</v>
      </c>
      <c r="Y59" s="45">
        <v>210</v>
      </c>
      <c r="Z59" s="45">
        <v>210</v>
      </c>
      <c r="AA59" s="45">
        <v>240</v>
      </c>
      <c r="AB59" s="45">
        <v>210</v>
      </c>
      <c r="AC59" s="45">
        <v>120</v>
      </c>
      <c r="AD59" s="45">
        <v>80</v>
      </c>
      <c r="AE59" s="45">
        <v>30</v>
      </c>
      <c r="AF59" s="45">
        <v>0</v>
      </c>
      <c r="AG59" s="52">
        <v>456</v>
      </c>
      <c r="AH59" s="47">
        <f t="shared" si="2"/>
        <v>375</v>
      </c>
      <c r="AI59" s="48">
        <f t="shared" si="3"/>
        <v>0</v>
      </c>
      <c r="AK59" s="50"/>
    </row>
    <row r="60" spans="1:88" x14ac:dyDescent="0.25">
      <c r="A60" s="64" t="s">
        <v>60</v>
      </c>
      <c r="B60" s="65">
        <v>36</v>
      </c>
      <c r="C60" s="65">
        <v>36</v>
      </c>
      <c r="D60" s="65">
        <v>36</v>
      </c>
      <c r="E60" s="65">
        <v>36</v>
      </c>
      <c r="F60" s="65">
        <v>36</v>
      </c>
      <c r="G60" s="65">
        <v>36</v>
      </c>
      <c r="H60" s="65">
        <v>36</v>
      </c>
      <c r="I60" s="65">
        <v>36</v>
      </c>
      <c r="J60" s="65">
        <v>36</v>
      </c>
      <c r="K60" s="65">
        <v>36</v>
      </c>
      <c r="L60" s="65">
        <v>36</v>
      </c>
      <c r="M60" s="65">
        <v>36</v>
      </c>
      <c r="N60" s="65">
        <v>36</v>
      </c>
      <c r="O60" s="65">
        <v>36</v>
      </c>
      <c r="P60" s="65">
        <v>36</v>
      </c>
      <c r="Q60" s="65">
        <v>36</v>
      </c>
      <c r="R60" s="65">
        <v>36</v>
      </c>
      <c r="S60" s="65">
        <v>36</v>
      </c>
      <c r="T60" s="65">
        <v>36</v>
      </c>
      <c r="U60" s="65">
        <v>36</v>
      </c>
      <c r="V60" s="65">
        <v>36</v>
      </c>
      <c r="W60" s="65">
        <v>36</v>
      </c>
      <c r="X60" s="65">
        <v>36</v>
      </c>
      <c r="Y60" s="65">
        <v>36</v>
      </c>
      <c r="Z60" s="65">
        <v>36</v>
      </c>
      <c r="AA60" s="65">
        <v>36</v>
      </c>
      <c r="AB60" s="65">
        <v>36</v>
      </c>
      <c r="AC60" s="65">
        <v>36</v>
      </c>
      <c r="AD60" s="65">
        <v>36</v>
      </c>
      <c r="AE60" s="65">
        <v>36</v>
      </c>
      <c r="AF60" s="65">
        <v>36</v>
      </c>
      <c r="AG60" s="55">
        <v>60</v>
      </c>
      <c r="AH60" s="47">
        <f t="shared" si="2"/>
        <v>36</v>
      </c>
      <c r="AI60" s="48">
        <f t="shared" si="3"/>
        <v>36</v>
      </c>
      <c r="AK60" s="50"/>
    </row>
    <row r="61" spans="1:88" ht="15.75" thickBot="1" x14ac:dyDescent="0.3">
      <c r="A61" s="66" t="s">
        <v>61</v>
      </c>
      <c r="B61" s="67">
        <v>11.2</v>
      </c>
      <c r="C61" s="67">
        <v>10.199999999999999</v>
      </c>
      <c r="D61" s="67">
        <v>10.1</v>
      </c>
      <c r="E61" s="67">
        <v>10.1</v>
      </c>
      <c r="F61" s="67">
        <v>10.1</v>
      </c>
      <c r="G61" s="67">
        <v>10.1</v>
      </c>
      <c r="H61" s="67">
        <v>10.1</v>
      </c>
      <c r="I61" s="67">
        <v>10.1</v>
      </c>
      <c r="J61" s="67">
        <v>11</v>
      </c>
      <c r="K61" s="67">
        <v>11</v>
      </c>
      <c r="L61" s="67">
        <v>11</v>
      </c>
      <c r="M61" s="67">
        <v>10.199999999999999</v>
      </c>
      <c r="N61" s="67">
        <v>11.2</v>
      </c>
      <c r="O61" s="67">
        <v>11.2</v>
      </c>
      <c r="P61" s="67">
        <v>10.199999999999999</v>
      </c>
      <c r="Q61" s="67">
        <v>10.199999999999999</v>
      </c>
      <c r="R61" s="67">
        <v>10.199999999999999</v>
      </c>
      <c r="S61" s="67">
        <v>10.199999999999999</v>
      </c>
      <c r="T61" s="67">
        <v>10.199999999999999</v>
      </c>
      <c r="U61" s="67">
        <v>10.199999999999999</v>
      </c>
      <c r="V61" s="67">
        <v>10.199999999999999</v>
      </c>
      <c r="W61" s="67">
        <v>10.199999999999999</v>
      </c>
      <c r="X61" s="67">
        <v>10.199999999999999</v>
      </c>
      <c r="Y61" s="67">
        <v>16.100000000000001</v>
      </c>
      <c r="Z61" s="67">
        <v>16.100000000000001</v>
      </c>
      <c r="AA61" s="67">
        <v>16.100000000000001</v>
      </c>
      <c r="AB61" s="67">
        <v>16.100000000000001</v>
      </c>
      <c r="AC61" s="67">
        <v>16.100000000000001</v>
      </c>
      <c r="AD61" s="67">
        <v>16.100000000000001</v>
      </c>
      <c r="AE61" s="67">
        <v>16.100000000000001</v>
      </c>
      <c r="AF61" s="67">
        <v>16</v>
      </c>
      <c r="AG61" s="68">
        <v>22.1</v>
      </c>
      <c r="AH61" s="47">
        <f t="shared" si="2"/>
        <v>16.100000000000001</v>
      </c>
      <c r="AI61" s="48">
        <f t="shared" si="3"/>
        <v>10.1</v>
      </c>
      <c r="AK61" s="50"/>
    </row>
    <row r="62" spans="1:88" ht="15.75" thickBot="1" x14ac:dyDescent="0.3">
      <c r="A62" s="69" t="s">
        <v>62</v>
      </c>
      <c r="B62" s="60">
        <f t="shared" ref="B62:AG62" si="10">SUM(B59:B61)</f>
        <v>47.2</v>
      </c>
      <c r="C62" s="60">
        <f t="shared" si="10"/>
        <v>46.2</v>
      </c>
      <c r="D62" s="60">
        <f t="shared" si="10"/>
        <v>46.1</v>
      </c>
      <c r="E62" s="60">
        <f t="shared" si="10"/>
        <v>46.1</v>
      </c>
      <c r="F62" s="60">
        <f t="shared" si="10"/>
        <v>46.1</v>
      </c>
      <c r="G62" s="60">
        <f t="shared" si="10"/>
        <v>46.1</v>
      </c>
      <c r="H62" s="60">
        <f t="shared" si="10"/>
        <v>46.1</v>
      </c>
      <c r="I62" s="60">
        <f t="shared" si="10"/>
        <v>46.1</v>
      </c>
      <c r="J62" s="60">
        <f t="shared" si="10"/>
        <v>102</v>
      </c>
      <c r="K62" s="60">
        <f t="shared" si="10"/>
        <v>92</v>
      </c>
      <c r="L62" s="60">
        <f t="shared" si="10"/>
        <v>187</v>
      </c>
      <c r="M62" s="60">
        <f t="shared" si="10"/>
        <v>421.2</v>
      </c>
      <c r="N62" s="60">
        <f t="shared" si="10"/>
        <v>277.2</v>
      </c>
      <c r="O62" s="60">
        <f t="shared" si="10"/>
        <v>207.2</v>
      </c>
      <c r="P62" s="60">
        <f t="shared" si="10"/>
        <v>61.2</v>
      </c>
      <c r="Q62" s="60">
        <f t="shared" si="10"/>
        <v>61.2</v>
      </c>
      <c r="R62" s="60">
        <f t="shared" ref="R62:S62" si="11">SUM(R59:R61)</f>
        <v>46.2</v>
      </c>
      <c r="S62" s="60">
        <f t="shared" si="11"/>
        <v>46.2</v>
      </c>
      <c r="T62" s="60">
        <f t="shared" ref="T62:U62" si="12">SUM(T59:T61)</f>
        <v>96.2</v>
      </c>
      <c r="U62" s="60">
        <f t="shared" si="12"/>
        <v>116.2</v>
      </c>
      <c r="V62" s="60">
        <f t="shared" si="10"/>
        <v>116.2</v>
      </c>
      <c r="W62" s="60">
        <f t="shared" ref="W62:Y62" si="13">SUM(W59:W61)</f>
        <v>91.2</v>
      </c>
      <c r="X62" s="60">
        <f t="shared" si="13"/>
        <v>276.2</v>
      </c>
      <c r="Y62" s="60">
        <f t="shared" si="13"/>
        <v>262.10000000000002</v>
      </c>
      <c r="Z62" s="60">
        <f t="shared" ref="Z62:AA62" si="14">SUM(Z59:Z61)</f>
        <v>262.10000000000002</v>
      </c>
      <c r="AA62" s="60">
        <f t="shared" si="14"/>
        <v>292.10000000000002</v>
      </c>
      <c r="AB62" s="60">
        <f t="shared" si="10"/>
        <v>262.10000000000002</v>
      </c>
      <c r="AC62" s="60">
        <f t="shared" si="10"/>
        <v>172.1</v>
      </c>
      <c r="AD62" s="60">
        <f t="shared" si="10"/>
        <v>132.1</v>
      </c>
      <c r="AE62" s="60">
        <f t="shared" si="10"/>
        <v>82.1</v>
      </c>
      <c r="AF62" s="60">
        <f t="shared" si="10"/>
        <v>52</v>
      </c>
      <c r="AG62" s="61">
        <f t="shared" si="10"/>
        <v>538.1</v>
      </c>
      <c r="AH62" s="47">
        <f t="shared" si="2"/>
        <v>421.2</v>
      </c>
      <c r="AI62" s="48">
        <f t="shared" si="3"/>
        <v>46.1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28.6</v>
      </c>
      <c r="I63" s="45">
        <v>61.8</v>
      </c>
      <c r="J63" s="45">
        <v>86</v>
      </c>
      <c r="K63" s="45">
        <v>117</v>
      </c>
      <c r="L63" s="45">
        <v>116.8</v>
      </c>
      <c r="M63" s="45">
        <v>143.19999999999999</v>
      </c>
      <c r="N63" s="45">
        <v>101.7</v>
      </c>
      <c r="O63" s="45">
        <v>91.7</v>
      </c>
      <c r="P63" s="45">
        <v>91</v>
      </c>
      <c r="Q63" s="45">
        <v>91</v>
      </c>
      <c r="R63" s="45">
        <v>75.5</v>
      </c>
      <c r="S63" s="45">
        <v>30.5</v>
      </c>
      <c r="T63" s="45">
        <v>30.5</v>
      </c>
      <c r="U63" s="45">
        <v>30.5</v>
      </c>
      <c r="V63" s="45">
        <v>61.1</v>
      </c>
      <c r="W63" s="45">
        <v>61.1</v>
      </c>
      <c r="X63" s="45">
        <v>97.8</v>
      </c>
      <c r="Y63" s="45">
        <v>142.30000000000001</v>
      </c>
      <c r="Z63" s="45">
        <v>127</v>
      </c>
      <c r="AA63" s="45">
        <v>115.3</v>
      </c>
      <c r="AB63" s="45">
        <v>114.6</v>
      </c>
      <c r="AC63" s="45">
        <v>71.2</v>
      </c>
      <c r="AD63" s="45">
        <v>61</v>
      </c>
      <c r="AE63" s="45">
        <v>30</v>
      </c>
      <c r="AF63" s="45">
        <v>0</v>
      </c>
      <c r="AG63" s="52">
        <v>144</v>
      </c>
      <c r="AH63" s="47">
        <f t="shared" si="2"/>
        <v>143.19999999999999</v>
      </c>
      <c r="AI63" s="48">
        <f t="shared" si="3"/>
        <v>0</v>
      </c>
      <c r="AK63" s="50"/>
    </row>
    <row r="64" spans="1:88" x14ac:dyDescent="0.25">
      <c r="A64" s="54" t="s">
        <v>64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22.6</v>
      </c>
      <c r="H64" s="65">
        <v>22.6</v>
      </c>
      <c r="I64" s="65">
        <v>50</v>
      </c>
      <c r="J64" s="65">
        <v>70</v>
      </c>
      <c r="K64" s="65">
        <v>68.400000000000006</v>
      </c>
      <c r="L64" s="65">
        <v>70</v>
      </c>
      <c r="M64" s="65">
        <v>69.5</v>
      </c>
      <c r="N64" s="65">
        <v>59.3</v>
      </c>
      <c r="O64" s="65">
        <v>49.6</v>
      </c>
      <c r="P64" s="65">
        <v>50.6</v>
      </c>
      <c r="Q64" s="65">
        <v>50</v>
      </c>
      <c r="R64" s="65">
        <v>35.1</v>
      </c>
      <c r="S64" s="65">
        <v>0</v>
      </c>
      <c r="T64" s="65">
        <v>0</v>
      </c>
      <c r="U64" s="65">
        <v>25.4</v>
      </c>
      <c r="V64" s="45">
        <v>35.1</v>
      </c>
      <c r="W64" s="45">
        <v>44</v>
      </c>
      <c r="X64" s="45">
        <v>69.5</v>
      </c>
      <c r="Y64" s="45">
        <v>69.5</v>
      </c>
      <c r="Z64" s="45">
        <v>56.4</v>
      </c>
      <c r="AA64" s="45">
        <v>47.4</v>
      </c>
      <c r="AB64" s="45">
        <v>48.4</v>
      </c>
      <c r="AC64" s="45">
        <v>25.3</v>
      </c>
      <c r="AD64" s="45">
        <v>25.3</v>
      </c>
      <c r="AE64" s="45">
        <v>0</v>
      </c>
      <c r="AF64" s="45">
        <v>0</v>
      </c>
      <c r="AG64" s="55">
        <v>70</v>
      </c>
      <c r="AH64" s="47">
        <f t="shared" si="2"/>
        <v>70</v>
      </c>
      <c r="AI64" s="48">
        <f t="shared" si="3"/>
        <v>0</v>
      </c>
      <c r="AK64" s="50"/>
    </row>
    <row r="65" spans="1:41" x14ac:dyDescent="0.25">
      <c r="A65" s="54" t="s">
        <v>65</v>
      </c>
      <c r="B65" s="65">
        <v>0</v>
      </c>
      <c r="C65" s="65">
        <v>0</v>
      </c>
      <c r="D65" s="65">
        <v>0</v>
      </c>
      <c r="E65" s="65">
        <v>0</v>
      </c>
      <c r="F65" s="65">
        <v>16.7</v>
      </c>
      <c r="G65" s="65">
        <v>45.7</v>
      </c>
      <c r="H65" s="65">
        <v>43.1</v>
      </c>
      <c r="I65" s="65">
        <v>65.900000000000006</v>
      </c>
      <c r="J65" s="65">
        <v>64.7</v>
      </c>
      <c r="K65" s="65">
        <v>64.8</v>
      </c>
      <c r="L65" s="65">
        <v>66.3</v>
      </c>
      <c r="M65" s="65">
        <v>67.900000000000006</v>
      </c>
      <c r="N65" s="65">
        <v>67</v>
      </c>
      <c r="O65" s="65">
        <v>49.3</v>
      </c>
      <c r="P65" s="65">
        <v>22.1</v>
      </c>
      <c r="Q65" s="65">
        <v>12</v>
      </c>
      <c r="R65" s="65">
        <v>16.5</v>
      </c>
      <c r="S65" s="65">
        <v>16.5</v>
      </c>
      <c r="T65" s="65">
        <v>16.5</v>
      </c>
      <c r="U65" s="65">
        <v>46.6</v>
      </c>
      <c r="V65" s="45">
        <v>46.7</v>
      </c>
      <c r="W65" s="45">
        <v>34</v>
      </c>
      <c r="X65" s="45">
        <v>68</v>
      </c>
      <c r="Y65" s="45">
        <v>68</v>
      </c>
      <c r="Z65" s="45">
        <v>66.8</v>
      </c>
      <c r="AA65" s="45">
        <v>66.8</v>
      </c>
      <c r="AB65" s="45">
        <v>66.900000000000006</v>
      </c>
      <c r="AC65" s="45">
        <v>56.4</v>
      </c>
      <c r="AD65" s="45">
        <v>40</v>
      </c>
      <c r="AE65" s="45">
        <v>17</v>
      </c>
      <c r="AF65" s="45">
        <v>0</v>
      </c>
      <c r="AG65" s="55">
        <v>69</v>
      </c>
      <c r="AH65" s="47">
        <f t="shared" si="2"/>
        <v>68</v>
      </c>
      <c r="AI65" s="48">
        <f t="shared" si="3"/>
        <v>0</v>
      </c>
      <c r="AK65" s="50"/>
    </row>
    <row r="66" spans="1:41" x14ac:dyDescent="0.25">
      <c r="A66" s="54" t="s">
        <v>66</v>
      </c>
      <c r="B66" s="65">
        <v>46.9</v>
      </c>
      <c r="C66" s="65">
        <v>44.1</v>
      </c>
      <c r="D66" s="65">
        <v>44.3</v>
      </c>
      <c r="E66" s="65">
        <v>44.3</v>
      </c>
      <c r="F66" s="65">
        <v>44.3</v>
      </c>
      <c r="G66" s="65">
        <v>44.3</v>
      </c>
      <c r="H66" s="65">
        <v>44.3</v>
      </c>
      <c r="I66" s="65">
        <v>44.3</v>
      </c>
      <c r="J66" s="65">
        <v>44.3</v>
      </c>
      <c r="K66" s="57">
        <v>44.1</v>
      </c>
      <c r="L66" s="57">
        <v>44.1</v>
      </c>
      <c r="M66" s="65">
        <v>44.3</v>
      </c>
      <c r="N66" s="65">
        <v>44.1</v>
      </c>
      <c r="O66" s="65">
        <v>45.1</v>
      </c>
      <c r="P66" s="65">
        <v>45.1</v>
      </c>
      <c r="Q66" s="65">
        <v>45.1</v>
      </c>
      <c r="R66" s="65">
        <v>43.8</v>
      </c>
      <c r="S66" s="65">
        <v>43.8</v>
      </c>
      <c r="T66" s="65">
        <v>43.8</v>
      </c>
      <c r="U66" s="65">
        <v>43.8</v>
      </c>
      <c r="V66" s="45">
        <v>40.1</v>
      </c>
      <c r="W66" s="45">
        <v>44.3</v>
      </c>
      <c r="X66" s="45">
        <v>44.3</v>
      </c>
      <c r="Y66" s="45">
        <v>44.3</v>
      </c>
      <c r="Z66" s="45">
        <v>44.3</v>
      </c>
      <c r="AA66" s="45">
        <v>44.3</v>
      </c>
      <c r="AB66" s="45">
        <v>44.1</v>
      </c>
      <c r="AC66" s="45">
        <v>43.8</v>
      </c>
      <c r="AD66" s="45">
        <v>43.8</v>
      </c>
      <c r="AE66" s="45">
        <v>43</v>
      </c>
      <c r="AF66" s="45">
        <v>43</v>
      </c>
      <c r="AG66" s="55">
        <v>60</v>
      </c>
      <c r="AH66" s="47">
        <f t="shared" si="2"/>
        <v>46.9</v>
      </c>
      <c r="AI66" s="48">
        <f t="shared" si="3"/>
        <v>40.1</v>
      </c>
      <c r="AK66" s="50"/>
    </row>
    <row r="67" spans="1:41" x14ac:dyDescent="0.25">
      <c r="A67" s="54" t="s">
        <v>67</v>
      </c>
      <c r="B67" s="65">
        <v>0</v>
      </c>
      <c r="C67" s="65">
        <v>0</v>
      </c>
      <c r="D67" s="65">
        <v>0</v>
      </c>
      <c r="E67" s="65">
        <v>0</v>
      </c>
      <c r="F67" s="65">
        <v>0</v>
      </c>
      <c r="G67" s="65">
        <v>10</v>
      </c>
      <c r="H67" s="65">
        <v>23</v>
      </c>
      <c r="I67" s="65">
        <v>23</v>
      </c>
      <c r="J67" s="65">
        <v>15</v>
      </c>
      <c r="K67" s="57">
        <v>10</v>
      </c>
      <c r="L67" s="57">
        <v>15</v>
      </c>
      <c r="M67" s="65">
        <v>15</v>
      </c>
      <c r="N67" s="65">
        <v>15</v>
      </c>
      <c r="O67" s="65">
        <v>15</v>
      </c>
      <c r="P67" s="65">
        <v>10</v>
      </c>
      <c r="Q67" s="65">
        <v>10</v>
      </c>
      <c r="R67" s="65">
        <v>10</v>
      </c>
      <c r="S67" s="65">
        <v>10</v>
      </c>
      <c r="T67" s="65">
        <v>10</v>
      </c>
      <c r="U67" s="65">
        <v>10</v>
      </c>
      <c r="V67" s="65">
        <v>10</v>
      </c>
      <c r="W67" s="65">
        <v>10</v>
      </c>
      <c r="X67" s="65">
        <v>23</v>
      </c>
      <c r="Y67" s="45">
        <v>28</v>
      </c>
      <c r="Z67" s="45">
        <v>28</v>
      </c>
      <c r="AA67" s="45">
        <v>23</v>
      </c>
      <c r="AB67" s="45">
        <v>10</v>
      </c>
      <c r="AC67" s="45">
        <v>10</v>
      </c>
      <c r="AD67" s="45">
        <v>10</v>
      </c>
      <c r="AE67" s="45">
        <v>0</v>
      </c>
      <c r="AF67" s="45">
        <v>0</v>
      </c>
      <c r="AG67" s="55">
        <v>30</v>
      </c>
      <c r="AH67" s="47">
        <f t="shared" si="2"/>
        <v>28</v>
      </c>
      <c r="AI67" s="48">
        <f t="shared" si="3"/>
        <v>0</v>
      </c>
      <c r="AK67" s="50"/>
    </row>
    <row r="68" spans="1:41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0.3</v>
      </c>
      <c r="M68" s="65">
        <v>2.1</v>
      </c>
      <c r="N68" s="65">
        <v>1.3</v>
      </c>
      <c r="O68" s="65">
        <v>5.3</v>
      </c>
      <c r="P68" s="65">
        <v>15.6</v>
      </c>
      <c r="Q68" s="65">
        <v>15.1</v>
      </c>
      <c r="R68" s="65">
        <v>13.6</v>
      </c>
      <c r="S68" s="65">
        <v>11.6</v>
      </c>
      <c r="T68" s="65">
        <v>8.6</v>
      </c>
      <c r="U68" s="65">
        <v>2.8</v>
      </c>
      <c r="V68" s="65">
        <v>0.3</v>
      </c>
      <c r="W68" s="65">
        <v>0</v>
      </c>
      <c r="X68" s="65">
        <v>0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55">
        <v>25</v>
      </c>
      <c r="AH68" s="47">
        <f t="shared" si="2"/>
        <v>15.6</v>
      </c>
      <c r="AI68" s="48">
        <f t="shared" si="3"/>
        <v>0</v>
      </c>
      <c r="AK68" s="50"/>
    </row>
    <row r="69" spans="1:41" x14ac:dyDescent="0.25">
      <c r="A69" s="54" t="s">
        <v>69</v>
      </c>
      <c r="B69" s="65">
        <v>15</v>
      </c>
      <c r="C69" s="65">
        <v>15</v>
      </c>
      <c r="D69" s="65">
        <v>15</v>
      </c>
      <c r="E69" s="65">
        <v>15</v>
      </c>
      <c r="F69" s="65">
        <v>15</v>
      </c>
      <c r="G69" s="65">
        <v>15</v>
      </c>
      <c r="H69" s="65">
        <v>15</v>
      </c>
      <c r="I69" s="65">
        <v>15</v>
      </c>
      <c r="J69" s="65">
        <v>15</v>
      </c>
      <c r="K69" s="65">
        <v>15</v>
      </c>
      <c r="L69" s="65">
        <v>15</v>
      </c>
      <c r="M69" s="65">
        <v>15</v>
      </c>
      <c r="N69" s="65">
        <v>15</v>
      </c>
      <c r="O69" s="65">
        <v>15</v>
      </c>
      <c r="P69" s="65">
        <v>15</v>
      </c>
      <c r="Q69" s="65">
        <v>15</v>
      </c>
      <c r="R69" s="65">
        <v>15</v>
      </c>
      <c r="S69" s="65">
        <v>15</v>
      </c>
      <c r="T69" s="65">
        <v>15</v>
      </c>
      <c r="U69" s="65">
        <v>15</v>
      </c>
      <c r="V69" s="65">
        <v>15</v>
      </c>
      <c r="W69" s="65">
        <v>15</v>
      </c>
      <c r="X69" s="65">
        <v>15</v>
      </c>
      <c r="Y69" s="65">
        <v>15</v>
      </c>
      <c r="Z69" s="65">
        <v>15</v>
      </c>
      <c r="AA69" s="65">
        <v>15</v>
      </c>
      <c r="AB69" s="65">
        <v>15</v>
      </c>
      <c r="AC69" s="65">
        <v>15</v>
      </c>
      <c r="AD69" s="65">
        <v>15</v>
      </c>
      <c r="AE69" s="65">
        <v>15</v>
      </c>
      <c r="AF69" s="65">
        <v>15</v>
      </c>
      <c r="AG69" s="55">
        <v>24</v>
      </c>
      <c r="AH69" s="47">
        <f t="shared" si="2"/>
        <v>15</v>
      </c>
      <c r="AI69" s="48">
        <f t="shared" si="3"/>
        <v>15</v>
      </c>
      <c r="AK69" s="50"/>
    </row>
    <row r="70" spans="1:41" x14ac:dyDescent="0.25">
      <c r="A70" s="54" t="s">
        <v>70</v>
      </c>
      <c r="B70" s="65">
        <v>4.4000000000000004</v>
      </c>
      <c r="C70" s="65">
        <v>4.4000000000000004</v>
      </c>
      <c r="D70" s="65">
        <v>4.4000000000000004</v>
      </c>
      <c r="E70" s="65">
        <v>4.4000000000000004</v>
      </c>
      <c r="F70" s="65">
        <v>4.4000000000000004</v>
      </c>
      <c r="G70" s="65">
        <v>4.4000000000000004</v>
      </c>
      <c r="H70" s="65">
        <v>4.4000000000000004</v>
      </c>
      <c r="I70" s="65">
        <v>4.4000000000000004</v>
      </c>
      <c r="J70" s="65">
        <v>4.4000000000000004</v>
      </c>
      <c r="K70" s="65">
        <v>4.4000000000000004</v>
      </c>
      <c r="L70" s="65">
        <v>4.4000000000000004</v>
      </c>
      <c r="M70" s="65">
        <v>4.4000000000000004</v>
      </c>
      <c r="N70" s="65">
        <v>4.4000000000000004</v>
      </c>
      <c r="O70" s="65">
        <v>4.4000000000000004</v>
      </c>
      <c r="P70" s="65">
        <v>4.4000000000000004</v>
      </c>
      <c r="Q70" s="65">
        <v>4.4000000000000004</v>
      </c>
      <c r="R70" s="65">
        <v>4.4000000000000004</v>
      </c>
      <c r="S70" s="65">
        <v>4.4000000000000004</v>
      </c>
      <c r="T70" s="65">
        <v>4.4000000000000004</v>
      </c>
      <c r="U70" s="65">
        <v>4.4000000000000004</v>
      </c>
      <c r="V70" s="65">
        <v>4.4000000000000004</v>
      </c>
      <c r="W70" s="65">
        <v>4.4000000000000004</v>
      </c>
      <c r="X70" s="65">
        <v>4.4000000000000004</v>
      </c>
      <c r="Y70" s="65">
        <v>4.4000000000000004</v>
      </c>
      <c r="Z70" s="65">
        <v>4.4000000000000004</v>
      </c>
      <c r="AA70" s="65">
        <v>4.4000000000000004</v>
      </c>
      <c r="AB70" s="65">
        <v>4.4000000000000004</v>
      </c>
      <c r="AC70" s="65">
        <v>4.4000000000000004</v>
      </c>
      <c r="AD70" s="65">
        <v>4.4000000000000004</v>
      </c>
      <c r="AE70" s="65">
        <v>4.4000000000000004</v>
      </c>
      <c r="AF70" s="65">
        <v>4.4000000000000004</v>
      </c>
      <c r="AG70" s="55">
        <v>15</v>
      </c>
      <c r="AH70" s="47">
        <f t="shared" si="2"/>
        <v>4.4000000000000004</v>
      </c>
      <c r="AI70" s="48">
        <f t="shared" si="3"/>
        <v>4.4000000000000004</v>
      </c>
      <c r="AK70" s="50"/>
      <c r="AL70" s="70"/>
      <c r="AO70" s="70"/>
    </row>
    <row r="71" spans="1:41" s="70" customFormat="1" x14ac:dyDescent="0.25">
      <c r="A71" s="54" t="s">
        <v>71</v>
      </c>
      <c r="B71" s="65">
        <v>9.3000000000000007</v>
      </c>
      <c r="C71" s="65">
        <v>9.3000000000000007</v>
      </c>
      <c r="D71" s="65">
        <v>8.9</v>
      </c>
      <c r="E71" s="65">
        <v>8.9</v>
      </c>
      <c r="F71" s="65">
        <v>8.9</v>
      </c>
      <c r="G71" s="65">
        <v>8.9</v>
      </c>
      <c r="H71" s="65">
        <v>8.9</v>
      </c>
      <c r="I71" s="65">
        <v>8.9</v>
      </c>
      <c r="J71" s="65">
        <v>8.9</v>
      </c>
      <c r="K71" s="65">
        <v>8.9</v>
      </c>
      <c r="L71" s="65">
        <v>8.9</v>
      </c>
      <c r="M71" s="65">
        <v>8.9</v>
      </c>
      <c r="N71" s="65">
        <v>8.9</v>
      </c>
      <c r="O71" s="65">
        <v>8.9</v>
      </c>
      <c r="P71" s="65">
        <v>8.9</v>
      </c>
      <c r="Q71" s="65">
        <v>8.9</v>
      </c>
      <c r="R71" s="65">
        <v>10.9</v>
      </c>
      <c r="S71" s="65">
        <v>10.9</v>
      </c>
      <c r="T71" s="65">
        <v>10.9</v>
      </c>
      <c r="U71" s="65">
        <v>10.9</v>
      </c>
      <c r="V71" s="65">
        <v>10.9</v>
      </c>
      <c r="W71" s="65">
        <v>10.9</v>
      </c>
      <c r="X71" s="65">
        <v>10.9</v>
      </c>
      <c r="Y71" s="65">
        <v>10.9</v>
      </c>
      <c r="Z71" s="65">
        <v>10.9</v>
      </c>
      <c r="AA71" s="65">
        <v>10.9</v>
      </c>
      <c r="AB71" s="65">
        <v>10.9</v>
      </c>
      <c r="AC71" s="65">
        <v>10.9</v>
      </c>
      <c r="AD71" s="65">
        <v>10.9</v>
      </c>
      <c r="AE71" s="65">
        <v>10.9</v>
      </c>
      <c r="AF71" s="65">
        <v>10.9</v>
      </c>
      <c r="AG71" s="55">
        <v>14.1</v>
      </c>
      <c r="AH71" s="47">
        <f t="shared" si="2"/>
        <v>10.9</v>
      </c>
      <c r="AI71" s="48">
        <f t="shared" si="3"/>
        <v>8.9</v>
      </c>
      <c r="AJ71" s="1"/>
      <c r="AK71" s="50"/>
      <c r="AL71" s="1"/>
      <c r="AM71" s="1"/>
      <c r="AN71" s="1"/>
      <c r="AO71" s="1"/>
    </row>
    <row r="72" spans="1:41" x14ac:dyDescent="0.25">
      <c r="A72" s="71" t="s">
        <v>72</v>
      </c>
      <c r="B72" s="65">
        <v>3.2</v>
      </c>
      <c r="C72" s="65">
        <v>3.2</v>
      </c>
      <c r="D72" s="65">
        <v>3.3</v>
      </c>
      <c r="E72" s="65">
        <v>3.3</v>
      </c>
      <c r="F72" s="65">
        <v>3.3</v>
      </c>
      <c r="G72" s="65">
        <v>3.3</v>
      </c>
      <c r="H72" s="65">
        <v>3.3</v>
      </c>
      <c r="I72" s="65">
        <v>3.3</v>
      </c>
      <c r="J72" s="65">
        <v>3.3</v>
      </c>
      <c r="K72" s="65">
        <v>3.3</v>
      </c>
      <c r="L72" s="65">
        <v>3.3</v>
      </c>
      <c r="M72" s="65">
        <v>3.3</v>
      </c>
      <c r="N72" s="65">
        <v>3.3</v>
      </c>
      <c r="O72" s="65">
        <v>3.3</v>
      </c>
      <c r="P72" s="65">
        <v>3.3</v>
      </c>
      <c r="Q72" s="65">
        <v>3.3</v>
      </c>
      <c r="R72" s="65">
        <v>4.9000000000000004</v>
      </c>
      <c r="S72" s="65">
        <v>4.9000000000000004</v>
      </c>
      <c r="T72" s="65">
        <v>4.9000000000000004</v>
      </c>
      <c r="U72" s="65">
        <v>4.9000000000000004</v>
      </c>
      <c r="V72" s="65">
        <v>4.9000000000000004</v>
      </c>
      <c r="W72" s="65">
        <v>4.9000000000000004</v>
      </c>
      <c r="X72" s="65">
        <v>4.9000000000000004</v>
      </c>
      <c r="Y72" s="65">
        <v>4.9000000000000004</v>
      </c>
      <c r="Z72" s="65">
        <v>4.9000000000000004</v>
      </c>
      <c r="AA72" s="65">
        <v>4.9000000000000004</v>
      </c>
      <c r="AB72" s="65">
        <v>4.9000000000000004</v>
      </c>
      <c r="AC72" s="65">
        <v>4.9000000000000004</v>
      </c>
      <c r="AD72" s="65">
        <v>4.9000000000000004</v>
      </c>
      <c r="AE72" s="65">
        <v>4.9000000000000004</v>
      </c>
      <c r="AF72" s="65">
        <v>4.9000000000000004</v>
      </c>
      <c r="AG72" s="55">
        <v>14</v>
      </c>
      <c r="AH72" s="47">
        <f t="shared" si="2"/>
        <v>4.9000000000000004</v>
      </c>
      <c r="AI72" s="48">
        <f t="shared" si="3"/>
        <v>3.2</v>
      </c>
      <c r="AK72" s="50"/>
    </row>
    <row r="73" spans="1:41" x14ac:dyDescent="0.25">
      <c r="A73" s="54" t="s">
        <v>73</v>
      </c>
      <c r="B73" s="65">
        <v>4.5</v>
      </c>
      <c r="C73" s="65">
        <v>4.5</v>
      </c>
      <c r="D73" s="65">
        <v>4.5</v>
      </c>
      <c r="E73" s="65">
        <v>4.5</v>
      </c>
      <c r="F73" s="65">
        <v>4.5</v>
      </c>
      <c r="G73" s="65">
        <v>4.5</v>
      </c>
      <c r="H73" s="65">
        <v>4.5</v>
      </c>
      <c r="I73" s="65">
        <v>4.5</v>
      </c>
      <c r="J73" s="65">
        <v>4.5</v>
      </c>
      <c r="K73" s="65">
        <v>4.5</v>
      </c>
      <c r="L73" s="65">
        <v>4.5</v>
      </c>
      <c r="M73" s="65">
        <v>4.5</v>
      </c>
      <c r="N73" s="65">
        <v>4.5</v>
      </c>
      <c r="O73" s="65">
        <v>4.5</v>
      </c>
      <c r="P73" s="65">
        <v>4.5</v>
      </c>
      <c r="Q73" s="65">
        <v>4.5</v>
      </c>
      <c r="R73" s="65">
        <v>4.5</v>
      </c>
      <c r="S73" s="65">
        <v>4.5</v>
      </c>
      <c r="T73" s="65">
        <v>4.5</v>
      </c>
      <c r="U73" s="65">
        <v>4.5</v>
      </c>
      <c r="V73" s="65">
        <v>4.5</v>
      </c>
      <c r="W73" s="65">
        <v>4.5</v>
      </c>
      <c r="X73" s="65">
        <v>4.5</v>
      </c>
      <c r="Y73" s="65">
        <v>4.5</v>
      </c>
      <c r="Z73" s="65">
        <v>4.5</v>
      </c>
      <c r="AA73" s="65">
        <v>4.5</v>
      </c>
      <c r="AB73" s="65">
        <v>4.5</v>
      </c>
      <c r="AC73" s="65">
        <v>4.5</v>
      </c>
      <c r="AD73" s="65">
        <v>4.5</v>
      </c>
      <c r="AE73" s="65">
        <v>4.5</v>
      </c>
      <c r="AF73" s="65">
        <v>4.5</v>
      </c>
      <c r="AG73" s="55">
        <v>10.050000000000001</v>
      </c>
      <c r="AH73" s="47">
        <f t="shared" si="2"/>
        <v>4.5</v>
      </c>
      <c r="AI73" s="48">
        <f t="shared" si="3"/>
        <v>4.5</v>
      </c>
      <c r="AK73" s="50"/>
    </row>
    <row r="74" spans="1:41" x14ac:dyDescent="0.25">
      <c r="A74" s="54" t="s">
        <v>74</v>
      </c>
      <c r="B74" s="65">
        <v>2</v>
      </c>
      <c r="C74" s="65">
        <v>2</v>
      </c>
      <c r="D74" s="65">
        <v>2</v>
      </c>
      <c r="E74" s="65">
        <v>2</v>
      </c>
      <c r="F74" s="65">
        <v>2</v>
      </c>
      <c r="G74" s="65">
        <v>2</v>
      </c>
      <c r="H74" s="65">
        <v>2</v>
      </c>
      <c r="I74" s="65">
        <v>2</v>
      </c>
      <c r="J74" s="65">
        <v>2</v>
      </c>
      <c r="K74" s="65">
        <v>2</v>
      </c>
      <c r="L74" s="65">
        <v>2</v>
      </c>
      <c r="M74" s="65">
        <v>2</v>
      </c>
      <c r="N74" s="65">
        <v>2</v>
      </c>
      <c r="O74" s="65">
        <v>2</v>
      </c>
      <c r="P74" s="65">
        <v>2</v>
      </c>
      <c r="Q74" s="65">
        <v>2</v>
      </c>
      <c r="R74" s="65">
        <v>2</v>
      </c>
      <c r="S74" s="65">
        <v>2</v>
      </c>
      <c r="T74" s="65">
        <v>2</v>
      </c>
      <c r="U74" s="65">
        <v>2</v>
      </c>
      <c r="V74" s="65">
        <v>2</v>
      </c>
      <c r="W74" s="65">
        <v>2</v>
      </c>
      <c r="X74" s="65">
        <v>2</v>
      </c>
      <c r="Y74" s="65">
        <v>2</v>
      </c>
      <c r="Z74" s="65">
        <v>2</v>
      </c>
      <c r="AA74" s="65">
        <v>2</v>
      </c>
      <c r="AB74" s="65">
        <v>2</v>
      </c>
      <c r="AC74" s="65">
        <v>2</v>
      </c>
      <c r="AD74" s="65">
        <v>2</v>
      </c>
      <c r="AE74" s="65">
        <v>2</v>
      </c>
      <c r="AF74" s="65">
        <v>2</v>
      </c>
      <c r="AG74" s="55">
        <v>6.2</v>
      </c>
      <c r="AH74" s="47">
        <f t="shared" si="2"/>
        <v>2</v>
      </c>
      <c r="AI74" s="48">
        <f t="shared" si="3"/>
        <v>2</v>
      </c>
      <c r="AK74" s="50"/>
    </row>
    <row r="75" spans="1:41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3.54</v>
      </c>
      <c r="Z75" s="72">
        <v>3.54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2"/>
        <v>3.54</v>
      </c>
      <c r="AI75" s="48">
        <f t="shared" si="3"/>
        <v>3.54</v>
      </c>
      <c r="AK75" s="50"/>
    </row>
    <row r="76" spans="1:41" ht="15.75" thickBot="1" x14ac:dyDescent="0.3">
      <c r="A76" s="74" t="s">
        <v>76</v>
      </c>
      <c r="B76" s="60">
        <f t="shared" ref="B76:AG76" si="15">SUM(B63:B75)</f>
        <v>88.84</v>
      </c>
      <c r="C76" s="60">
        <f t="shared" si="15"/>
        <v>86.04</v>
      </c>
      <c r="D76" s="60">
        <f t="shared" si="15"/>
        <v>85.94</v>
      </c>
      <c r="E76" s="60">
        <f t="shared" si="15"/>
        <v>85.94</v>
      </c>
      <c r="F76" s="60">
        <f t="shared" si="15"/>
        <v>102.64000000000001</v>
      </c>
      <c r="G76" s="60">
        <f t="shared" si="15"/>
        <v>164.24000000000004</v>
      </c>
      <c r="H76" s="60">
        <f t="shared" si="15"/>
        <v>203.24000000000004</v>
      </c>
      <c r="I76" s="60">
        <f t="shared" si="15"/>
        <v>286.64</v>
      </c>
      <c r="J76" s="60">
        <f t="shared" si="15"/>
        <v>321.64</v>
      </c>
      <c r="K76" s="60">
        <f t="shared" si="15"/>
        <v>345.94</v>
      </c>
      <c r="L76" s="60">
        <f t="shared" si="15"/>
        <v>354.14000000000004</v>
      </c>
      <c r="M76" s="60">
        <f t="shared" si="15"/>
        <v>383.64000000000004</v>
      </c>
      <c r="N76" s="60">
        <f t="shared" si="15"/>
        <v>330.04</v>
      </c>
      <c r="O76" s="60">
        <f t="shared" si="15"/>
        <v>297.64</v>
      </c>
      <c r="P76" s="60">
        <f t="shared" si="15"/>
        <v>276.04000000000002</v>
      </c>
      <c r="Q76" s="60">
        <f t="shared" si="15"/>
        <v>264.84000000000003</v>
      </c>
      <c r="R76" s="60">
        <f t="shared" ref="R76:S76" si="16">SUM(R63:R75)</f>
        <v>239.73999999999998</v>
      </c>
      <c r="S76" s="60">
        <f t="shared" si="16"/>
        <v>157.63999999999999</v>
      </c>
      <c r="T76" s="60">
        <f t="shared" ref="T76:U76" si="17">SUM(T63:T75)</f>
        <v>154.63999999999999</v>
      </c>
      <c r="U76" s="60">
        <f t="shared" si="17"/>
        <v>204.34000000000003</v>
      </c>
      <c r="V76" s="60">
        <f t="shared" si="15"/>
        <v>238.54000000000002</v>
      </c>
      <c r="W76" s="60">
        <f t="shared" ref="W76:Y76" si="18">SUM(W63:W75)</f>
        <v>238.64</v>
      </c>
      <c r="X76" s="60">
        <f t="shared" si="18"/>
        <v>347.84</v>
      </c>
      <c r="Y76" s="60">
        <f t="shared" si="18"/>
        <v>397.34</v>
      </c>
      <c r="Z76" s="60">
        <f t="shared" ref="Z76:AA76" si="19">SUM(Z63:Z75)</f>
        <v>367.73999999999995</v>
      </c>
      <c r="AA76" s="60">
        <f t="shared" si="19"/>
        <v>342.03999999999996</v>
      </c>
      <c r="AB76" s="60">
        <f t="shared" si="15"/>
        <v>329.23999999999995</v>
      </c>
      <c r="AC76" s="60">
        <f t="shared" si="15"/>
        <v>251.94</v>
      </c>
      <c r="AD76" s="60">
        <f t="shared" si="15"/>
        <v>225.34</v>
      </c>
      <c r="AE76" s="60">
        <f t="shared" si="15"/>
        <v>135.24</v>
      </c>
      <c r="AF76" s="60">
        <f t="shared" si="15"/>
        <v>88.240000000000009</v>
      </c>
      <c r="AG76" s="61">
        <f t="shared" si="15"/>
        <v>489.91</v>
      </c>
      <c r="AH76" s="47">
        <f t="shared" si="2"/>
        <v>397.34</v>
      </c>
      <c r="AI76" s="48">
        <f t="shared" si="3"/>
        <v>85.94</v>
      </c>
      <c r="AK76" s="50"/>
    </row>
    <row r="77" spans="1:41" x14ac:dyDescent="0.25">
      <c r="A77" s="44" t="s">
        <v>77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>
        <v>60</v>
      </c>
      <c r="N77" s="45">
        <v>40.200000000000003</v>
      </c>
      <c r="O77" s="45">
        <v>40.200000000000003</v>
      </c>
      <c r="P77" s="45">
        <v>59.7</v>
      </c>
      <c r="Q77" s="45">
        <v>40</v>
      </c>
      <c r="R77" s="45">
        <v>39.4</v>
      </c>
      <c r="S77" s="45">
        <v>59.3</v>
      </c>
      <c r="T77" s="45">
        <v>59.3</v>
      </c>
      <c r="U77" s="45">
        <v>59.3</v>
      </c>
      <c r="V77" s="45">
        <v>59.3</v>
      </c>
      <c r="W77" s="45">
        <v>59.3</v>
      </c>
      <c r="X77" s="45">
        <v>59.3</v>
      </c>
      <c r="Y77" s="45">
        <v>59.3</v>
      </c>
      <c r="Z77" s="45">
        <v>59.3</v>
      </c>
      <c r="AA77" s="45">
        <v>59.3</v>
      </c>
      <c r="AB77" s="45">
        <v>60</v>
      </c>
      <c r="AC77" s="45">
        <v>60</v>
      </c>
      <c r="AD77" s="45">
        <v>40</v>
      </c>
      <c r="AE77" s="45">
        <v>0</v>
      </c>
      <c r="AF77" s="45">
        <v>0</v>
      </c>
      <c r="AG77" s="52">
        <v>60</v>
      </c>
      <c r="AH77" s="47">
        <f t="shared" si="2"/>
        <v>60</v>
      </c>
      <c r="AI77" s="48">
        <f t="shared" si="3"/>
        <v>0</v>
      </c>
      <c r="AK77" s="50"/>
    </row>
    <row r="78" spans="1:41" x14ac:dyDescent="0.25">
      <c r="A78" s="54" t="s">
        <v>78</v>
      </c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>
        <v>27.7</v>
      </c>
      <c r="N78" s="65">
        <v>17.2</v>
      </c>
      <c r="O78" s="65">
        <v>16.3</v>
      </c>
      <c r="P78" s="65">
        <v>27.6</v>
      </c>
      <c r="Q78" s="65">
        <v>24.5</v>
      </c>
      <c r="R78" s="65">
        <v>15.6</v>
      </c>
      <c r="S78" s="65">
        <v>28.2</v>
      </c>
      <c r="T78" s="65">
        <v>28.2</v>
      </c>
      <c r="U78" s="65">
        <v>26.8</v>
      </c>
      <c r="V78" s="65">
        <v>26.8</v>
      </c>
      <c r="W78" s="65">
        <v>26.8</v>
      </c>
      <c r="X78" s="65">
        <v>26.8</v>
      </c>
      <c r="Y78" s="65">
        <v>26.8</v>
      </c>
      <c r="Z78" s="65">
        <v>26.8</v>
      </c>
      <c r="AA78" s="65">
        <v>26.8</v>
      </c>
      <c r="AB78" s="65">
        <v>28</v>
      </c>
      <c r="AC78" s="65">
        <v>28</v>
      </c>
      <c r="AD78" s="65">
        <v>17</v>
      </c>
      <c r="AE78" s="65">
        <v>0</v>
      </c>
      <c r="AF78" s="65">
        <v>0</v>
      </c>
      <c r="AG78" s="55">
        <v>32</v>
      </c>
      <c r="AH78" s="47">
        <f t="shared" si="2"/>
        <v>28.2</v>
      </c>
      <c r="AI78" s="48">
        <f t="shared" si="3"/>
        <v>0</v>
      </c>
      <c r="AK78" s="50"/>
    </row>
    <row r="79" spans="1:41" ht="15.75" thickBot="1" x14ac:dyDescent="0.3">
      <c r="A79" s="71" t="s">
        <v>79</v>
      </c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>
        <v>10.1</v>
      </c>
      <c r="N79" s="67">
        <v>6.3</v>
      </c>
      <c r="O79" s="67">
        <v>5.9</v>
      </c>
      <c r="P79" s="67">
        <v>10.1</v>
      </c>
      <c r="Q79" s="67">
        <v>8.6</v>
      </c>
      <c r="R79" s="67">
        <v>5.7</v>
      </c>
      <c r="S79" s="67">
        <v>10.3</v>
      </c>
      <c r="T79" s="67">
        <v>10.3</v>
      </c>
      <c r="U79" s="67">
        <v>10.3</v>
      </c>
      <c r="V79" s="67">
        <v>9.8000000000000007</v>
      </c>
      <c r="W79" s="67">
        <v>9.8000000000000007</v>
      </c>
      <c r="X79" s="67">
        <v>9.8000000000000007</v>
      </c>
      <c r="Y79" s="67">
        <v>9.8000000000000007</v>
      </c>
      <c r="Z79" s="67">
        <v>9.8000000000000007</v>
      </c>
      <c r="AA79" s="67">
        <v>9.8000000000000007</v>
      </c>
      <c r="AB79" s="67">
        <v>10.199999999999999</v>
      </c>
      <c r="AC79" s="67">
        <v>10.199999999999999</v>
      </c>
      <c r="AD79" s="67">
        <v>6.4</v>
      </c>
      <c r="AE79" s="67">
        <v>0</v>
      </c>
      <c r="AF79" s="67">
        <v>0</v>
      </c>
      <c r="AG79" s="68">
        <v>14</v>
      </c>
      <c r="AH79" s="47">
        <f t="shared" si="2"/>
        <v>10.3</v>
      </c>
      <c r="AI79" s="48">
        <f t="shared" si="3"/>
        <v>0</v>
      </c>
      <c r="AK79" s="50"/>
    </row>
    <row r="80" spans="1:41" ht="15.75" thickBot="1" x14ac:dyDescent="0.3">
      <c r="A80" s="74" t="s">
        <v>80</v>
      </c>
      <c r="B80" s="60">
        <f t="shared" ref="B80:AF80" si="20">B77+B78+B79</f>
        <v>0</v>
      </c>
      <c r="C80" s="60">
        <f t="shared" si="20"/>
        <v>0</v>
      </c>
      <c r="D80" s="60">
        <f t="shared" si="20"/>
        <v>0</v>
      </c>
      <c r="E80" s="60">
        <f t="shared" si="20"/>
        <v>0</v>
      </c>
      <c r="F80" s="60">
        <f t="shared" si="20"/>
        <v>0</v>
      </c>
      <c r="G80" s="60">
        <f t="shared" si="20"/>
        <v>0</v>
      </c>
      <c r="H80" s="60">
        <f t="shared" si="20"/>
        <v>0</v>
      </c>
      <c r="I80" s="60">
        <f t="shared" si="20"/>
        <v>0</v>
      </c>
      <c r="J80" s="60">
        <f t="shared" si="20"/>
        <v>0</v>
      </c>
      <c r="K80" s="60">
        <f t="shared" si="20"/>
        <v>0</v>
      </c>
      <c r="L80" s="60">
        <f t="shared" si="20"/>
        <v>0</v>
      </c>
      <c r="M80" s="60">
        <f t="shared" si="20"/>
        <v>97.8</v>
      </c>
      <c r="N80" s="60">
        <f t="shared" si="20"/>
        <v>63.7</v>
      </c>
      <c r="O80" s="60">
        <f t="shared" si="20"/>
        <v>62.4</v>
      </c>
      <c r="P80" s="60">
        <f t="shared" si="20"/>
        <v>97.4</v>
      </c>
      <c r="Q80" s="60">
        <f t="shared" si="20"/>
        <v>73.099999999999994</v>
      </c>
      <c r="R80" s="60">
        <f t="shared" ref="R80:S80" si="21">R77+R78+R79</f>
        <v>60.7</v>
      </c>
      <c r="S80" s="60">
        <f t="shared" si="21"/>
        <v>97.8</v>
      </c>
      <c r="T80" s="60">
        <f t="shared" ref="T80:U80" si="22">T77+T78+T79</f>
        <v>97.8</v>
      </c>
      <c r="U80" s="60">
        <f t="shared" si="22"/>
        <v>96.399999999999991</v>
      </c>
      <c r="V80" s="60">
        <f t="shared" si="20"/>
        <v>95.899999999999991</v>
      </c>
      <c r="W80" s="60">
        <f t="shared" ref="W80:Y80" si="23">W77+W78+W79</f>
        <v>95.899999999999991</v>
      </c>
      <c r="X80" s="60">
        <f t="shared" si="23"/>
        <v>95.899999999999991</v>
      </c>
      <c r="Y80" s="60">
        <f t="shared" si="23"/>
        <v>95.899999999999991</v>
      </c>
      <c r="Z80" s="60">
        <f t="shared" ref="Z80:AA80" si="24">Z77+Z78+Z79</f>
        <v>95.899999999999991</v>
      </c>
      <c r="AA80" s="60">
        <f t="shared" si="24"/>
        <v>95.899999999999991</v>
      </c>
      <c r="AB80" s="60">
        <f t="shared" si="20"/>
        <v>98.2</v>
      </c>
      <c r="AC80" s="60">
        <f t="shared" si="20"/>
        <v>98.2</v>
      </c>
      <c r="AD80" s="60">
        <f t="shared" si="20"/>
        <v>63.4</v>
      </c>
      <c r="AE80" s="60">
        <f t="shared" si="20"/>
        <v>0</v>
      </c>
      <c r="AF80" s="60">
        <f t="shared" si="20"/>
        <v>0</v>
      </c>
      <c r="AG80" s="61">
        <f>SUM(AG77:AG79)</f>
        <v>106</v>
      </c>
      <c r="AH80" s="47">
        <f t="shared" si="2"/>
        <v>98.2</v>
      </c>
      <c r="AI80" s="48">
        <f t="shared" si="3"/>
        <v>0</v>
      </c>
      <c r="AK80" s="50"/>
    </row>
    <row r="81" spans="1:40" x14ac:dyDescent="0.25">
      <c r="A81" s="44" t="s">
        <v>81</v>
      </c>
      <c r="B81" s="45">
        <v>56</v>
      </c>
      <c r="C81" s="45">
        <v>67.900000000000006</v>
      </c>
      <c r="D81" s="45">
        <v>74</v>
      </c>
      <c r="E81" s="45">
        <v>67.2</v>
      </c>
      <c r="F81" s="45">
        <v>63.5</v>
      </c>
      <c r="G81" s="45">
        <v>69.900000000000006</v>
      </c>
      <c r="H81" s="45">
        <v>70</v>
      </c>
      <c r="I81" s="45">
        <v>59.2</v>
      </c>
      <c r="J81" s="45">
        <v>70</v>
      </c>
      <c r="K81" s="45">
        <v>66</v>
      </c>
      <c r="L81" s="45">
        <v>74</v>
      </c>
      <c r="M81" s="45">
        <v>63.1</v>
      </c>
      <c r="N81" s="45">
        <v>65.8</v>
      </c>
      <c r="O81" s="45">
        <v>60.4</v>
      </c>
      <c r="P81" s="45">
        <v>66.3</v>
      </c>
      <c r="Q81" s="45">
        <v>63.6</v>
      </c>
      <c r="R81" s="45">
        <v>65.8</v>
      </c>
      <c r="S81" s="45">
        <v>62</v>
      </c>
      <c r="T81" s="45">
        <v>67.400000000000006</v>
      </c>
      <c r="U81" s="45">
        <v>66</v>
      </c>
      <c r="V81" s="45">
        <v>59.6</v>
      </c>
      <c r="W81" s="45">
        <v>61.7</v>
      </c>
      <c r="X81" s="45">
        <v>56.9</v>
      </c>
      <c r="Y81" s="45">
        <v>64.099999999999994</v>
      </c>
      <c r="Z81" s="45">
        <v>67.900000000000006</v>
      </c>
      <c r="AA81" s="45">
        <v>69.5</v>
      </c>
      <c r="AB81" s="45">
        <v>63.6</v>
      </c>
      <c r="AC81" s="45">
        <v>58.4</v>
      </c>
      <c r="AD81" s="45">
        <v>69</v>
      </c>
      <c r="AE81" s="45">
        <v>67</v>
      </c>
      <c r="AF81" s="45">
        <v>66</v>
      </c>
      <c r="AG81" s="52"/>
      <c r="AH81" s="47">
        <f t="shared" si="2"/>
        <v>74</v>
      </c>
      <c r="AI81" s="48">
        <f t="shared" si="3"/>
        <v>56</v>
      </c>
      <c r="AK81" s="50"/>
    </row>
    <row r="82" spans="1:40" x14ac:dyDescent="0.25">
      <c r="A82" s="54" t="s">
        <v>82</v>
      </c>
      <c r="B82" s="65">
        <v>0</v>
      </c>
      <c r="C82" s="65">
        <v>0</v>
      </c>
      <c r="D82" s="65">
        <v>0</v>
      </c>
      <c r="E82" s="65">
        <v>0</v>
      </c>
      <c r="F82" s="65">
        <v>0</v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  <c r="O82" s="65">
        <v>0</v>
      </c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55"/>
      <c r="AH82" s="47">
        <f t="shared" si="2"/>
        <v>0</v>
      </c>
      <c r="AI82" s="48">
        <f t="shared" si="3"/>
        <v>0</v>
      </c>
      <c r="AK82" s="50"/>
    </row>
    <row r="83" spans="1:40" x14ac:dyDescent="0.25">
      <c r="A83" s="54" t="s">
        <v>83</v>
      </c>
      <c r="B83" s="65">
        <v>367</v>
      </c>
      <c r="C83" s="65">
        <v>380</v>
      </c>
      <c r="D83" s="65">
        <v>394.1</v>
      </c>
      <c r="E83" s="65">
        <v>388</v>
      </c>
      <c r="F83" s="65">
        <v>392</v>
      </c>
      <c r="G83" s="65">
        <v>397.8</v>
      </c>
      <c r="H83" s="65">
        <v>399.1</v>
      </c>
      <c r="I83" s="65">
        <v>411.9</v>
      </c>
      <c r="J83" s="65">
        <v>418</v>
      </c>
      <c r="K83" s="65">
        <v>407.7</v>
      </c>
      <c r="L83" s="65">
        <v>354</v>
      </c>
      <c r="M83" s="65">
        <v>30.9</v>
      </c>
      <c r="N83" s="65">
        <v>178.1</v>
      </c>
      <c r="O83" s="65">
        <v>220.6</v>
      </c>
      <c r="P83" s="65">
        <v>397.4</v>
      </c>
      <c r="Q83" s="65">
        <v>426</v>
      </c>
      <c r="R83" s="65">
        <v>432</v>
      </c>
      <c r="S83" s="65">
        <v>506.5</v>
      </c>
      <c r="T83" s="65">
        <v>445.2</v>
      </c>
      <c r="U83" s="65">
        <v>437.1</v>
      </c>
      <c r="V83" s="65">
        <v>375.2</v>
      </c>
      <c r="W83" s="65">
        <v>408.1</v>
      </c>
      <c r="X83" s="65">
        <v>293.5</v>
      </c>
      <c r="Y83" s="65">
        <v>299.39999999999998</v>
      </c>
      <c r="Z83" s="65">
        <v>287.10000000000002</v>
      </c>
      <c r="AA83" s="65">
        <v>259.3</v>
      </c>
      <c r="AB83" s="65">
        <v>312</v>
      </c>
      <c r="AC83" s="65">
        <v>392.6</v>
      </c>
      <c r="AD83" s="65">
        <v>391</v>
      </c>
      <c r="AE83" s="65">
        <v>432</v>
      </c>
      <c r="AF83" s="65">
        <v>392</v>
      </c>
      <c r="AG83" s="75"/>
      <c r="AH83" s="47">
        <f t="shared" si="2"/>
        <v>506.5</v>
      </c>
      <c r="AI83" s="48">
        <f t="shared" si="3"/>
        <v>30.9</v>
      </c>
      <c r="AK83" s="50"/>
    </row>
    <row r="84" spans="1:40" x14ac:dyDescent="0.25">
      <c r="A84" s="54" t="s">
        <v>84</v>
      </c>
      <c r="B84" s="65">
        <v>0</v>
      </c>
      <c r="C84" s="65">
        <v>0</v>
      </c>
      <c r="D84" s="65">
        <v>0</v>
      </c>
      <c r="E84" s="76">
        <v>0</v>
      </c>
      <c r="F84" s="76">
        <v>0</v>
      </c>
      <c r="G84" s="76">
        <v>0</v>
      </c>
      <c r="H84" s="76">
        <v>22</v>
      </c>
      <c r="I84" s="76">
        <v>25</v>
      </c>
      <c r="J84" s="76">
        <v>25</v>
      </c>
      <c r="K84" s="76">
        <v>30</v>
      </c>
      <c r="L84" s="76">
        <v>40</v>
      </c>
      <c r="M84" s="76">
        <v>25</v>
      </c>
      <c r="N84" s="76">
        <v>42.5</v>
      </c>
      <c r="O84" s="76">
        <v>41</v>
      </c>
      <c r="P84" s="76">
        <v>47</v>
      </c>
      <c r="Q84" s="76">
        <v>48</v>
      </c>
      <c r="R84" s="76">
        <v>41.2</v>
      </c>
      <c r="S84" s="76">
        <v>44.9</v>
      </c>
      <c r="T84" s="76">
        <v>47.5</v>
      </c>
      <c r="U84" s="76">
        <v>43</v>
      </c>
      <c r="V84" s="76">
        <v>42</v>
      </c>
      <c r="W84" s="76">
        <v>25.5</v>
      </c>
      <c r="X84" s="76">
        <v>25.3</v>
      </c>
      <c r="Y84" s="76">
        <v>18.5</v>
      </c>
      <c r="Z84" s="76">
        <v>17</v>
      </c>
      <c r="AA84" s="76">
        <v>16.899999999999999</v>
      </c>
      <c r="AB84" s="76">
        <v>22</v>
      </c>
      <c r="AC84" s="76">
        <v>22</v>
      </c>
      <c r="AD84" s="65">
        <v>15</v>
      </c>
      <c r="AE84" s="76">
        <v>37</v>
      </c>
      <c r="AF84" s="76">
        <v>44</v>
      </c>
      <c r="AG84" s="75"/>
      <c r="AH84" s="47">
        <f t="shared" si="2"/>
        <v>48</v>
      </c>
      <c r="AI84" s="48">
        <f t="shared" si="3"/>
        <v>0</v>
      </c>
      <c r="AK84" s="50"/>
    </row>
    <row r="85" spans="1:40" x14ac:dyDescent="0.25">
      <c r="A85" s="54" t="s">
        <v>85</v>
      </c>
      <c r="B85" s="45">
        <v>92</v>
      </c>
      <c r="C85" s="45">
        <v>0</v>
      </c>
      <c r="D85" s="45">
        <v>0</v>
      </c>
      <c r="E85" s="45">
        <v>0</v>
      </c>
      <c r="F85" s="45">
        <v>0</v>
      </c>
      <c r="G85" s="45">
        <v>0</v>
      </c>
      <c r="H85" s="45">
        <v>0</v>
      </c>
      <c r="I85" s="45">
        <v>0</v>
      </c>
      <c r="J85" s="45">
        <v>0</v>
      </c>
      <c r="K85" s="45">
        <v>0</v>
      </c>
      <c r="L85" s="45">
        <v>0</v>
      </c>
      <c r="M85" s="45">
        <v>12</v>
      </c>
      <c r="N85" s="45">
        <v>44.5</v>
      </c>
      <c r="O85" s="45">
        <v>45</v>
      </c>
      <c r="P85" s="45">
        <v>55.4</v>
      </c>
      <c r="Q85" s="45">
        <v>62.9</v>
      </c>
      <c r="R85" s="45">
        <v>68.3</v>
      </c>
      <c r="S85" s="45">
        <f>53.3*2</f>
        <v>106.6</v>
      </c>
      <c r="T85" s="45">
        <f>51.2*2</f>
        <v>102.4</v>
      </c>
      <c r="U85" s="45">
        <v>99.8</v>
      </c>
      <c r="V85" s="45">
        <v>82</v>
      </c>
      <c r="W85" s="45">
        <v>57</v>
      </c>
      <c r="X85" s="45">
        <v>44.4</v>
      </c>
      <c r="Y85" s="45">
        <v>45.6</v>
      </c>
      <c r="Z85" s="45">
        <v>44.6</v>
      </c>
      <c r="AA85" s="45">
        <v>45.6</v>
      </c>
      <c r="AB85" s="45">
        <v>44</v>
      </c>
      <c r="AC85" s="45">
        <v>44</v>
      </c>
      <c r="AD85" s="45">
        <v>42</v>
      </c>
      <c r="AE85" s="45">
        <v>100</v>
      </c>
      <c r="AF85" s="45">
        <v>110</v>
      </c>
      <c r="AG85" s="75"/>
      <c r="AH85" s="47">
        <f t="shared" ref="AH85:AH130" si="25">MAX(B85:AF85)</f>
        <v>110</v>
      </c>
      <c r="AI85" s="48">
        <f t="shared" ref="AI85:AI130" si="26">MIN(B85:AF85)</f>
        <v>0</v>
      </c>
      <c r="AK85" s="50"/>
    </row>
    <row r="86" spans="1:40" x14ac:dyDescent="0.25">
      <c r="A86" s="54" t="s">
        <v>86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5"/>
      <c r="AH86" s="47">
        <f t="shared" si="25"/>
        <v>0</v>
      </c>
      <c r="AI86" s="48">
        <f t="shared" si="26"/>
        <v>0</v>
      </c>
      <c r="AK86" s="50"/>
    </row>
    <row r="87" spans="1:40" ht="15.75" thickBot="1" x14ac:dyDescent="0.3">
      <c r="A87" s="54" t="s">
        <v>87</v>
      </c>
      <c r="B87" s="77">
        <v>0</v>
      </c>
      <c r="C87" s="77">
        <v>0</v>
      </c>
      <c r="D87" s="77">
        <v>0</v>
      </c>
      <c r="E87" s="77">
        <v>0</v>
      </c>
      <c r="F87" s="77">
        <v>0</v>
      </c>
      <c r="G87" s="77">
        <v>0</v>
      </c>
      <c r="H87" s="77">
        <v>0</v>
      </c>
      <c r="I87" s="77">
        <v>0</v>
      </c>
      <c r="J87" s="77">
        <v>0</v>
      </c>
      <c r="K87" s="77">
        <v>0</v>
      </c>
      <c r="L87" s="77">
        <v>0</v>
      </c>
      <c r="M87" s="77">
        <v>0</v>
      </c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5"/>
      <c r="AH87" s="47">
        <f t="shared" si="25"/>
        <v>0</v>
      </c>
      <c r="AI87" s="48">
        <f t="shared" si="26"/>
        <v>0</v>
      </c>
      <c r="AK87" s="50"/>
      <c r="AL87" s="78" t="s">
        <v>88</v>
      </c>
      <c r="AM87" s="78"/>
    </row>
    <row r="88" spans="1:40" x14ac:dyDescent="0.25">
      <c r="A88" s="54" t="s">
        <v>89</v>
      </c>
      <c r="B88" s="77">
        <v>0</v>
      </c>
      <c r="C88" s="77">
        <v>0</v>
      </c>
      <c r="D88" s="77">
        <v>0</v>
      </c>
      <c r="E88" s="77">
        <v>0</v>
      </c>
      <c r="F88" s="77">
        <v>0</v>
      </c>
      <c r="G88" s="77">
        <v>0</v>
      </c>
      <c r="H88" s="77">
        <v>0</v>
      </c>
      <c r="I88" s="77">
        <v>0</v>
      </c>
      <c r="J88" s="77">
        <v>0</v>
      </c>
      <c r="K88" s="77">
        <v>0</v>
      </c>
      <c r="L88" s="77">
        <v>0</v>
      </c>
      <c r="M88" s="77">
        <v>0</v>
      </c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5"/>
      <c r="AH88" s="47">
        <f t="shared" si="25"/>
        <v>0</v>
      </c>
      <c r="AI88" s="48">
        <f t="shared" si="26"/>
        <v>0</v>
      </c>
      <c r="AK88" s="79"/>
      <c r="AL88" s="80"/>
      <c r="AM88" s="80"/>
      <c r="AN88" s="81"/>
    </row>
    <row r="89" spans="1:40" x14ac:dyDescent="0.25">
      <c r="A89" s="54" t="s">
        <v>90</v>
      </c>
      <c r="B89" s="77">
        <v>0</v>
      </c>
      <c r="C89" s="77">
        <v>0</v>
      </c>
      <c r="D89" s="77">
        <v>0</v>
      </c>
      <c r="E89" s="77">
        <v>0</v>
      </c>
      <c r="F89" s="77">
        <v>0</v>
      </c>
      <c r="G89" s="77">
        <v>0</v>
      </c>
      <c r="H89" s="77">
        <v>0</v>
      </c>
      <c r="I89" s="77">
        <v>0</v>
      </c>
      <c r="J89" s="77">
        <v>0</v>
      </c>
      <c r="K89" s="77">
        <v>0</v>
      </c>
      <c r="L89" s="77">
        <v>0</v>
      </c>
      <c r="M89" s="77">
        <v>0</v>
      </c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5"/>
      <c r="AH89" s="47">
        <f t="shared" si="25"/>
        <v>0</v>
      </c>
      <c r="AI89" s="48">
        <f t="shared" si="26"/>
        <v>0</v>
      </c>
      <c r="AK89" s="82" t="s">
        <v>91</v>
      </c>
      <c r="AL89" s="65"/>
      <c r="AM89" s="76"/>
      <c r="AN89" s="83"/>
    </row>
    <row r="90" spans="1:40" x14ac:dyDescent="0.25">
      <c r="A90" s="84" t="s">
        <v>92</v>
      </c>
      <c r="B90" s="77">
        <v>0</v>
      </c>
      <c r="C90" s="77">
        <v>0</v>
      </c>
      <c r="D90" s="77">
        <v>0</v>
      </c>
      <c r="E90" s="77">
        <v>0</v>
      </c>
      <c r="F90" s="77">
        <v>0</v>
      </c>
      <c r="G90" s="77">
        <v>0</v>
      </c>
      <c r="H90" s="77">
        <v>0</v>
      </c>
      <c r="I90" s="77">
        <v>0</v>
      </c>
      <c r="J90" s="77">
        <v>0</v>
      </c>
      <c r="K90" s="77">
        <v>0</v>
      </c>
      <c r="L90" s="77">
        <v>0</v>
      </c>
      <c r="M90" s="77">
        <v>0</v>
      </c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85"/>
      <c r="AH90" s="47">
        <f t="shared" si="25"/>
        <v>0</v>
      </c>
      <c r="AI90" s="48">
        <f t="shared" si="26"/>
        <v>0</v>
      </c>
      <c r="AK90" s="82" t="s">
        <v>93</v>
      </c>
      <c r="AL90" s="76"/>
      <c r="AM90" s="76"/>
      <c r="AN90" s="83"/>
    </row>
    <row r="91" spans="1:40" ht="15.75" thickBot="1" x14ac:dyDescent="0.3">
      <c r="A91" s="84" t="s">
        <v>421</v>
      </c>
      <c r="B91" s="77">
        <v>0</v>
      </c>
      <c r="C91" s="77">
        <v>0</v>
      </c>
      <c r="D91" s="77">
        <v>0</v>
      </c>
      <c r="E91" s="77">
        <v>0</v>
      </c>
      <c r="F91" s="77">
        <v>0</v>
      </c>
      <c r="G91" s="77">
        <v>0</v>
      </c>
      <c r="H91" s="77">
        <v>0</v>
      </c>
      <c r="I91" s="77">
        <v>0</v>
      </c>
      <c r="J91" s="77">
        <v>0</v>
      </c>
      <c r="K91" s="77">
        <v>0</v>
      </c>
      <c r="L91" s="77">
        <v>0</v>
      </c>
      <c r="M91" s="77">
        <v>0</v>
      </c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85"/>
      <c r="AH91" s="47">
        <f t="shared" si="25"/>
        <v>0</v>
      </c>
      <c r="AI91" s="48">
        <f t="shared" si="26"/>
        <v>0</v>
      </c>
      <c r="AK91" s="86"/>
      <c r="AL91" s="45"/>
      <c r="AM91" s="45"/>
      <c r="AN91" s="87"/>
    </row>
    <row r="92" spans="1:40" ht="15.75" thickBot="1" x14ac:dyDescent="0.3">
      <c r="A92" s="74" t="s">
        <v>95</v>
      </c>
      <c r="B92" s="60">
        <f t="shared" ref="B92:AF92" si="27">SUMIF(B81:B91,"&gt;0")</f>
        <v>515</v>
      </c>
      <c r="C92" s="60">
        <f t="shared" si="27"/>
        <v>447.9</v>
      </c>
      <c r="D92" s="60">
        <f t="shared" si="27"/>
        <v>468.1</v>
      </c>
      <c r="E92" s="60">
        <f t="shared" si="27"/>
        <v>455.2</v>
      </c>
      <c r="F92" s="60">
        <f t="shared" si="27"/>
        <v>455.5</v>
      </c>
      <c r="G92" s="60">
        <f t="shared" si="27"/>
        <v>467.70000000000005</v>
      </c>
      <c r="H92" s="60">
        <f t="shared" si="27"/>
        <v>491.1</v>
      </c>
      <c r="I92" s="60">
        <f t="shared" si="27"/>
        <v>496.09999999999997</v>
      </c>
      <c r="J92" s="60">
        <f t="shared" si="27"/>
        <v>513</v>
      </c>
      <c r="K92" s="60">
        <f t="shared" si="27"/>
        <v>503.7</v>
      </c>
      <c r="L92" s="60">
        <f t="shared" si="27"/>
        <v>468</v>
      </c>
      <c r="M92" s="60">
        <f t="shared" si="27"/>
        <v>131</v>
      </c>
      <c r="N92" s="60">
        <f t="shared" si="27"/>
        <v>330.9</v>
      </c>
      <c r="O92" s="60">
        <f t="shared" si="27"/>
        <v>367</v>
      </c>
      <c r="P92" s="60">
        <f t="shared" si="27"/>
        <v>566.1</v>
      </c>
      <c r="Q92" s="60">
        <f t="shared" si="27"/>
        <v>600.5</v>
      </c>
      <c r="R92" s="60">
        <f t="shared" ref="R92:S92" si="28">SUMIF(R81:R91,"&gt;0")</f>
        <v>607.29999999999995</v>
      </c>
      <c r="S92" s="60">
        <f t="shared" si="28"/>
        <v>720</v>
      </c>
      <c r="T92" s="60">
        <f t="shared" ref="T92:U92" si="29">SUMIF(T81:T91,"&gt;0")</f>
        <v>662.5</v>
      </c>
      <c r="U92" s="60">
        <f t="shared" si="29"/>
        <v>645.9</v>
      </c>
      <c r="V92" s="60">
        <f t="shared" si="27"/>
        <v>558.79999999999995</v>
      </c>
      <c r="W92" s="60">
        <f t="shared" ref="W92:Y92" si="30">SUMIF(W81:W91,"&gt;0")</f>
        <v>552.29999999999995</v>
      </c>
      <c r="X92" s="60">
        <f t="shared" si="30"/>
        <v>420.09999999999997</v>
      </c>
      <c r="Y92" s="60">
        <f t="shared" si="30"/>
        <v>427.6</v>
      </c>
      <c r="Z92" s="60">
        <f t="shared" ref="Z92:AA92" si="31">SUMIF(Z81:Z91,"&gt;0")</f>
        <v>416.6</v>
      </c>
      <c r="AA92" s="60">
        <f t="shared" si="31"/>
        <v>391.3</v>
      </c>
      <c r="AB92" s="60">
        <f t="shared" si="27"/>
        <v>441.6</v>
      </c>
      <c r="AC92" s="60">
        <f t="shared" si="27"/>
        <v>517</v>
      </c>
      <c r="AD92" s="60">
        <f t="shared" si="27"/>
        <v>517</v>
      </c>
      <c r="AE92" s="60">
        <f t="shared" si="27"/>
        <v>636</v>
      </c>
      <c r="AF92" s="60">
        <f t="shared" si="27"/>
        <v>612</v>
      </c>
      <c r="AG92" s="88">
        <f>SUM(AG81:AG91)</f>
        <v>0</v>
      </c>
      <c r="AH92" s="47">
        <f t="shared" si="25"/>
        <v>720</v>
      </c>
      <c r="AI92" s="48">
        <f t="shared" si="26"/>
        <v>131</v>
      </c>
      <c r="AK92" s="86"/>
      <c r="AL92" s="77"/>
      <c r="AM92" s="89"/>
      <c r="AN92" s="255"/>
    </row>
    <row r="93" spans="1:40" x14ac:dyDescent="0.25">
      <c r="A93" s="44" t="s">
        <v>96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25"/>
        <v>0</v>
      </c>
      <c r="AI93" s="48">
        <f t="shared" si="26"/>
        <v>0</v>
      </c>
      <c r="AK93" s="86"/>
      <c r="AL93" s="77"/>
      <c r="AM93" s="77"/>
      <c r="AN93" s="256"/>
    </row>
    <row r="94" spans="1:40" ht="15.75" thickBot="1" x14ac:dyDescent="0.3">
      <c r="A94" s="54" t="s">
        <v>97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25"/>
        <v>0</v>
      </c>
      <c r="AI94" s="48">
        <f t="shared" si="26"/>
        <v>0</v>
      </c>
      <c r="AK94" s="91"/>
      <c r="AL94" s="92"/>
      <c r="AM94" s="92"/>
      <c r="AN94" s="93"/>
    </row>
    <row r="95" spans="1:40" ht="15.75" thickBot="1" x14ac:dyDescent="0.3">
      <c r="A95" s="84" t="s">
        <v>98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25"/>
        <v>0</v>
      </c>
      <c r="AI95" s="48">
        <f t="shared" si="26"/>
        <v>0</v>
      </c>
    </row>
    <row r="96" spans="1:40" ht="15.75" thickBot="1" x14ac:dyDescent="0.3">
      <c r="A96" s="74" t="s">
        <v>99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25"/>
        <v>0</v>
      </c>
      <c r="AI96" s="48">
        <f t="shared" si="26"/>
        <v>0</v>
      </c>
    </row>
    <row r="97" spans="1:37" ht="15.75" thickBot="1" x14ac:dyDescent="0.3">
      <c r="A97" s="74" t="s">
        <v>100</v>
      </c>
      <c r="B97" s="95">
        <f t="shared" ref="B97:AG97" si="32">B58+B62+B80+B76+B92+B96</f>
        <v>1181.74</v>
      </c>
      <c r="C97" s="95">
        <f t="shared" si="32"/>
        <v>1110.8399999999999</v>
      </c>
      <c r="D97" s="95">
        <f t="shared" si="32"/>
        <v>1132.3400000000001</v>
      </c>
      <c r="E97" s="95">
        <f t="shared" si="32"/>
        <v>1118.54</v>
      </c>
      <c r="F97" s="95">
        <f t="shared" si="32"/>
        <v>1135.54</v>
      </c>
      <c r="G97" s="95">
        <f t="shared" si="32"/>
        <v>1209.94</v>
      </c>
      <c r="H97" s="95">
        <f t="shared" si="32"/>
        <v>1271.8400000000001</v>
      </c>
      <c r="I97" s="95">
        <f t="shared" si="32"/>
        <v>1360.24</v>
      </c>
      <c r="J97" s="95">
        <f t="shared" si="32"/>
        <v>1468.04</v>
      </c>
      <c r="K97" s="95">
        <f t="shared" si="32"/>
        <v>1473.04</v>
      </c>
      <c r="L97" s="95">
        <f t="shared" si="32"/>
        <v>1540.54</v>
      </c>
      <c r="M97" s="95">
        <f t="shared" si="32"/>
        <v>1565.04</v>
      </c>
      <c r="N97" s="95">
        <f t="shared" si="32"/>
        <v>1532.3400000000001</v>
      </c>
      <c r="O97" s="95">
        <f t="shared" si="32"/>
        <v>1464.74</v>
      </c>
      <c r="P97" s="95">
        <f t="shared" si="32"/>
        <v>1531.3400000000001</v>
      </c>
      <c r="Q97" s="95">
        <f t="shared" si="32"/>
        <v>1530.24</v>
      </c>
      <c r="R97" s="95">
        <f t="shared" ref="R97:S97" si="33">R58+R62+R80+R76+R92+R96</f>
        <v>1484.64</v>
      </c>
      <c r="S97" s="95">
        <f t="shared" si="33"/>
        <v>1552.3400000000001</v>
      </c>
      <c r="T97" s="95">
        <f t="shared" ref="T97:U97" si="34">T58+T62+T80+T76+T92+T96</f>
        <v>1541.8400000000001</v>
      </c>
      <c r="U97" s="95">
        <f t="shared" si="34"/>
        <v>1593.54</v>
      </c>
      <c r="V97" s="95">
        <f t="shared" si="32"/>
        <v>1540.14</v>
      </c>
      <c r="W97" s="95">
        <f t="shared" ref="W97:Y97" si="35">W58+W62+W80+W76+W92+W96</f>
        <v>1508.74</v>
      </c>
      <c r="X97" s="95">
        <f t="shared" si="35"/>
        <v>1670.74</v>
      </c>
      <c r="Y97" s="95">
        <f t="shared" si="35"/>
        <v>1713.6399999999999</v>
      </c>
      <c r="Z97" s="95">
        <f t="shared" ref="Z97:AA97" si="36">Z58+Z62+Z80+Z76+Z92+Z96</f>
        <v>1673.04</v>
      </c>
      <c r="AA97" s="95">
        <f t="shared" si="36"/>
        <v>1652.04</v>
      </c>
      <c r="AB97" s="95">
        <f t="shared" si="32"/>
        <v>1684.1399999999999</v>
      </c>
      <c r="AC97" s="95">
        <f t="shared" si="32"/>
        <v>1591.64</v>
      </c>
      <c r="AD97" s="95">
        <f t="shared" si="32"/>
        <v>1490.24</v>
      </c>
      <c r="AE97" s="95">
        <f t="shared" si="32"/>
        <v>1405.74</v>
      </c>
      <c r="AF97" s="95">
        <f t="shared" si="32"/>
        <v>1304.6399999999999</v>
      </c>
      <c r="AG97" s="61">
        <f t="shared" si="32"/>
        <v>2231.81</v>
      </c>
      <c r="AH97" s="47">
        <f t="shared" si="25"/>
        <v>1713.6399999999999</v>
      </c>
      <c r="AI97" s="48">
        <f t="shared" si="26"/>
        <v>1110.8399999999999</v>
      </c>
    </row>
    <row r="98" spans="1:37" ht="15.75" thickBot="1" x14ac:dyDescent="0.3">
      <c r="A98" s="96" t="s">
        <v>101</v>
      </c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>
        <v>150</v>
      </c>
      <c r="M98" s="97">
        <v>200</v>
      </c>
      <c r="N98" s="97">
        <v>200</v>
      </c>
      <c r="O98" s="97">
        <v>200</v>
      </c>
      <c r="P98" s="97">
        <v>120</v>
      </c>
      <c r="Q98" s="97"/>
      <c r="R98" s="97"/>
      <c r="S98" s="97"/>
      <c r="T98" s="97"/>
      <c r="U98" s="97"/>
      <c r="V98" s="97"/>
      <c r="W98" s="97">
        <v>280</v>
      </c>
      <c r="X98" s="97">
        <v>280</v>
      </c>
      <c r="Y98" s="97">
        <v>280</v>
      </c>
      <c r="Z98" s="97">
        <v>280</v>
      </c>
      <c r="AA98" s="97">
        <v>260</v>
      </c>
      <c r="AB98" s="97">
        <v>260</v>
      </c>
      <c r="AC98" s="97">
        <v>260</v>
      </c>
      <c r="AD98" s="97">
        <v>230</v>
      </c>
      <c r="AE98" s="97"/>
      <c r="AF98" s="97"/>
      <c r="AG98" s="88"/>
      <c r="AH98" s="47">
        <f t="shared" si="25"/>
        <v>280</v>
      </c>
      <c r="AI98" s="48">
        <f t="shared" si="26"/>
        <v>120</v>
      </c>
    </row>
    <row r="99" spans="1:37" ht="15.75" thickBot="1" x14ac:dyDescent="0.3">
      <c r="A99" s="74" t="s">
        <v>102</v>
      </c>
      <c r="B99" s="95">
        <f t="shared" ref="B99:AF99" si="37">B97+B98</f>
        <v>1181.74</v>
      </c>
      <c r="C99" s="95">
        <f t="shared" si="37"/>
        <v>1110.8399999999999</v>
      </c>
      <c r="D99" s="95">
        <f t="shared" si="37"/>
        <v>1132.3400000000001</v>
      </c>
      <c r="E99" s="95">
        <f t="shared" si="37"/>
        <v>1118.54</v>
      </c>
      <c r="F99" s="95">
        <f t="shared" si="37"/>
        <v>1135.54</v>
      </c>
      <c r="G99" s="95">
        <f t="shared" si="37"/>
        <v>1209.94</v>
      </c>
      <c r="H99" s="95">
        <f t="shared" si="37"/>
        <v>1271.8400000000001</v>
      </c>
      <c r="I99" s="95">
        <f t="shared" si="37"/>
        <v>1360.24</v>
      </c>
      <c r="J99" s="95">
        <f t="shared" si="37"/>
        <v>1468.04</v>
      </c>
      <c r="K99" s="95">
        <f t="shared" si="37"/>
        <v>1473.04</v>
      </c>
      <c r="L99" s="95">
        <f t="shared" si="37"/>
        <v>1690.54</v>
      </c>
      <c r="M99" s="95">
        <f t="shared" si="37"/>
        <v>1765.04</v>
      </c>
      <c r="N99" s="95">
        <f t="shared" si="37"/>
        <v>1732.3400000000001</v>
      </c>
      <c r="O99" s="95">
        <f t="shared" si="37"/>
        <v>1664.74</v>
      </c>
      <c r="P99" s="95">
        <f t="shared" si="37"/>
        <v>1651.3400000000001</v>
      </c>
      <c r="Q99" s="95">
        <f t="shared" si="37"/>
        <v>1530.24</v>
      </c>
      <c r="R99" s="95">
        <f t="shared" ref="R99:S99" si="38">R97+R98</f>
        <v>1484.64</v>
      </c>
      <c r="S99" s="95">
        <f t="shared" si="38"/>
        <v>1552.3400000000001</v>
      </c>
      <c r="T99" s="95">
        <f t="shared" ref="T99:U99" si="39">T97+T98</f>
        <v>1541.8400000000001</v>
      </c>
      <c r="U99" s="95">
        <f t="shared" si="39"/>
        <v>1593.54</v>
      </c>
      <c r="V99" s="95">
        <f t="shared" si="37"/>
        <v>1540.14</v>
      </c>
      <c r="W99" s="95">
        <f t="shared" ref="W99:Y99" si="40">W97+W98</f>
        <v>1788.74</v>
      </c>
      <c r="X99" s="95">
        <f t="shared" si="40"/>
        <v>1950.74</v>
      </c>
      <c r="Y99" s="95">
        <f t="shared" si="40"/>
        <v>1993.6399999999999</v>
      </c>
      <c r="Z99" s="95">
        <f t="shared" ref="Z99:AA99" si="41">Z97+Z98</f>
        <v>1953.04</v>
      </c>
      <c r="AA99" s="95">
        <f t="shared" si="41"/>
        <v>1912.04</v>
      </c>
      <c r="AB99" s="95">
        <f t="shared" si="37"/>
        <v>1944.1399999999999</v>
      </c>
      <c r="AC99" s="95">
        <f t="shared" si="37"/>
        <v>1851.64</v>
      </c>
      <c r="AD99" s="95">
        <f t="shared" si="37"/>
        <v>1720.24</v>
      </c>
      <c r="AE99" s="95">
        <f t="shared" si="37"/>
        <v>1405.74</v>
      </c>
      <c r="AF99" s="95">
        <f t="shared" si="37"/>
        <v>1304.6399999999999</v>
      </c>
      <c r="AG99" s="88">
        <f>AG96+AG92+AG80+AG76+AG58+AG98</f>
        <v>1693.71</v>
      </c>
      <c r="AH99" s="47">
        <f t="shared" si="25"/>
        <v>1993.6399999999999</v>
      </c>
      <c r="AI99" s="48">
        <f t="shared" si="26"/>
        <v>1110.8399999999999</v>
      </c>
    </row>
    <row r="100" spans="1:37" ht="15.75" thickBot="1" x14ac:dyDescent="0.3">
      <c r="A100" s="74" t="s">
        <v>103</v>
      </c>
      <c r="B100" s="95">
        <f t="shared" ref="B100:M100" si="42">B99-(B107)</f>
        <v>1181.74</v>
      </c>
      <c r="C100" s="95">
        <f t="shared" si="42"/>
        <v>1110.8399999999999</v>
      </c>
      <c r="D100" s="95">
        <f t="shared" si="42"/>
        <v>1132.3400000000001</v>
      </c>
      <c r="E100" s="95">
        <f t="shared" si="42"/>
        <v>1118.54</v>
      </c>
      <c r="F100" s="95">
        <f t="shared" si="42"/>
        <v>1135.54</v>
      </c>
      <c r="G100" s="95">
        <f t="shared" si="42"/>
        <v>1209.94</v>
      </c>
      <c r="H100" s="95">
        <f t="shared" si="42"/>
        <v>1271.8400000000001</v>
      </c>
      <c r="I100" s="95">
        <f t="shared" si="42"/>
        <v>1360.24</v>
      </c>
      <c r="J100" s="95">
        <f t="shared" si="42"/>
        <v>1468.04</v>
      </c>
      <c r="K100" s="95">
        <f t="shared" si="42"/>
        <v>1473.04</v>
      </c>
      <c r="L100" s="95">
        <f t="shared" si="42"/>
        <v>1690.54</v>
      </c>
      <c r="M100" s="95">
        <f t="shared" si="42"/>
        <v>1765.04</v>
      </c>
      <c r="N100" s="95">
        <f>N99-(N107)</f>
        <v>1732.3400000000001</v>
      </c>
      <c r="O100" s="95">
        <f t="shared" ref="O100:AF100" si="43">O99-(O107)</f>
        <v>1664.74</v>
      </c>
      <c r="P100" s="95">
        <f t="shared" si="43"/>
        <v>1651.3400000000001</v>
      </c>
      <c r="Q100" s="95">
        <f t="shared" si="43"/>
        <v>1530.24</v>
      </c>
      <c r="R100" s="95">
        <f t="shared" ref="R100:S100" si="44">R99-(R107)</f>
        <v>1484.64</v>
      </c>
      <c r="S100" s="95">
        <f t="shared" si="44"/>
        <v>1552.3400000000001</v>
      </c>
      <c r="T100" s="95">
        <f t="shared" ref="T100:U100" si="45">T99-(T107)</f>
        <v>1541.8400000000001</v>
      </c>
      <c r="U100" s="95">
        <f t="shared" si="45"/>
        <v>1593.54</v>
      </c>
      <c r="V100" s="95">
        <f t="shared" si="43"/>
        <v>1540.14</v>
      </c>
      <c r="W100" s="95">
        <f t="shared" ref="W100:Y100" si="46">W99-(W107)</f>
        <v>1788.74</v>
      </c>
      <c r="X100" s="95">
        <f t="shared" si="46"/>
        <v>1950.74</v>
      </c>
      <c r="Y100" s="95">
        <f t="shared" si="46"/>
        <v>1990.6399999999999</v>
      </c>
      <c r="Z100" s="95">
        <f t="shared" ref="Z100:AA100" si="47">Z99-(Z107)</f>
        <v>1949.04</v>
      </c>
      <c r="AA100" s="95">
        <f t="shared" si="47"/>
        <v>1907.04</v>
      </c>
      <c r="AB100" s="95">
        <f t="shared" si="43"/>
        <v>1944.1399999999999</v>
      </c>
      <c r="AC100" s="95">
        <f t="shared" si="43"/>
        <v>1851.64</v>
      </c>
      <c r="AD100" s="95">
        <f t="shared" si="43"/>
        <v>1720.24</v>
      </c>
      <c r="AE100" s="95">
        <f t="shared" si="43"/>
        <v>1405.74</v>
      </c>
      <c r="AF100" s="95">
        <f t="shared" si="43"/>
        <v>1304.6399999999999</v>
      </c>
      <c r="AG100" s="88"/>
      <c r="AH100" s="47">
        <f t="shared" si="25"/>
        <v>1990.6399999999999</v>
      </c>
      <c r="AI100" s="48">
        <f t="shared" si="26"/>
        <v>1110.8399999999999</v>
      </c>
    </row>
    <row r="101" spans="1:37" x14ac:dyDescent="0.25">
      <c r="A101" s="44" t="s">
        <v>84</v>
      </c>
      <c r="B101" s="76">
        <f>IF(B84&lt;0,B84*-1,0)</f>
        <v>0</v>
      </c>
      <c r="C101" s="76">
        <f t="shared" ref="C101:AF101" si="48">IF(C84&lt;0,C84*-1,0)</f>
        <v>0</v>
      </c>
      <c r="D101" s="76">
        <f t="shared" si="48"/>
        <v>0</v>
      </c>
      <c r="E101" s="76">
        <f t="shared" si="48"/>
        <v>0</v>
      </c>
      <c r="F101" s="76">
        <f t="shared" si="48"/>
        <v>0</v>
      </c>
      <c r="G101" s="76">
        <f t="shared" si="48"/>
        <v>0</v>
      </c>
      <c r="H101" s="76">
        <f t="shared" si="48"/>
        <v>0</v>
      </c>
      <c r="I101" s="76">
        <f t="shared" si="48"/>
        <v>0</v>
      </c>
      <c r="J101" s="76">
        <f t="shared" si="48"/>
        <v>0</v>
      </c>
      <c r="K101" s="76">
        <f t="shared" si="48"/>
        <v>0</v>
      </c>
      <c r="L101" s="76">
        <f t="shared" si="48"/>
        <v>0</v>
      </c>
      <c r="M101" s="76">
        <f t="shared" si="48"/>
        <v>0</v>
      </c>
      <c r="N101" s="76">
        <f t="shared" si="48"/>
        <v>0</v>
      </c>
      <c r="O101" s="76">
        <f t="shared" si="48"/>
        <v>0</v>
      </c>
      <c r="P101" s="76">
        <f t="shared" si="48"/>
        <v>0</v>
      </c>
      <c r="Q101" s="76">
        <f t="shared" si="48"/>
        <v>0</v>
      </c>
      <c r="R101" s="76">
        <f t="shared" ref="R101:S101" si="49">IF(R84&lt;0,R84*-1,0)</f>
        <v>0</v>
      </c>
      <c r="S101" s="76">
        <f t="shared" si="49"/>
        <v>0</v>
      </c>
      <c r="T101" s="76">
        <f t="shared" ref="T101:U101" si="50">IF(T84&lt;0,T84*-1,0)</f>
        <v>0</v>
      </c>
      <c r="U101" s="76">
        <f t="shared" si="50"/>
        <v>0</v>
      </c>
      <c r="V101" s="76">
        <f t="shared" si="48"/>
        <v>0</v>
      </c>
      <c r="W101" s="76">
        <f t="shared" ref="W101:Y101" si="51">IF(W84&lt;0,W84*-1,0)</f>
        <v>0</v>
      </c>
      <c r="X101" s="76">
        <f t="shared" si="51"/>
        <v>0</v>
      </c>
      <c r="Y101" s="76">
        <f t="shared" si="51"/>
        <v>0</v>
      </c>
      <c r="Z101" s="76">
        <f t="shared" ref="Z101:AA101" si="52">IF(Z84&lt;0,Z84*-1,0)</f>
        <v>0</v>
      </c>
      <c r="AA101" s="76">
        <f t="shared" si="52"/>
        <v>0</v>
      </c>
      <c r="AB101" s="76">
        <f t="shared" si="48"/>
        <v>0</v>
      </c>
      <c r="AC101" s="76">
        <f t="shared" si="48"/>
        <v>0</v>
      </c>
      <c r="AD101" s="76">
        <f t="shared" si="48"/>
        <v>0</v>
      </c>
      <c r="AE101" s="76">
        <f t="shared" si="48"/>
        <v>0</v>
      </c>
      <c r="AF101" s="76">
        <f t="shared" si="48"/>
        <v>0</v>
      </c>
      <c r="AG101" s="52"/>
      <c r="AH101" s="47">
        <f t="shared" si="25"/>
        <v>0</v>
      </c>
      <c r="AI101" s="48">
        <f t="shared" si="26"/>
        <v>0</v>
      </c>
    </row>
    <row r="102" spans="1:37" x14ac:dyDescent="0.25">
      <c r="A102" s="54" t="s">
        <v>82</v>
      </c>
      <c r="B102" s="76">
        <f>IF(B82&lt;0,B82*-1,0)</f>
        <v>0</v>
      </c>
      <c r="C102" s="76">
        <f t="shared" ref="C102:AF102" si="53">IF(C82&lt;0,C82*-1,0)</f>
        <v>0</v>
      </c>
      <c r="D102" s="76">
        <f t="shared" si="53"/>
        <v>0</v>
      </c>
      <c r="E102" s="76">
        <f t="shared" si="53"/>
        <v>0</v>
      </c>
      <c r="F102" s="76">
        <f t="shared" si="53"/>
        <v>0</v>
      </c>
      <c r="G102" s="76">
        <f t="shared" si="53"/>
        <v>0</v>
      </c>
      <c r="H102" s="76">
        <f t="shared" si="53"/>
        <v>0</v>
      </c>
      <c r="I102" s="76">
        <f t="shared" si="53"/>
        <v>0</v>
      </c>
      <c r="J102" s="76">
        <f t="shared" si="53"/>
        <v>0</v>
      </c>
      <c r="K102" s="76">
        <f t="shared" si="53"/>
        <v>0</v>
      </c>
      <c r="L102" s="76">
        <f t="shared" si="53"/>
        <v>0</v>
      </c>
      <c r="M102" s="76">
        <f t="shared" si="53"/>
        <v>0</v>
      </c>
      <c r="N102" s="76">
        <f t="shared" si="53"/>
        <v>0</v>
      </c>
      <c r="O102" s="76">
        <f t="shared" si="53"/>
        <v>0</v>
      </c>
      <c r="P102" s="76">
        <f t="shared" si="53"/>
        <v>0</v>
      </c>
      <c r="Q102" s="76">
        <f t="shared" si="53"/>
        <v>0</v>
      </c>
      <c r="R102" s="76">
        <f t="shared" ref="R102:S102" si="54">IF(R82&lt;0,R82*-1,0)</f>
        <v>0</v>
      </c>
      <c r="S102" s="76">
        <f t="shared" si="54"/>
        <v>0</v>
      </c>
      <c r="T102" s="76">
        <f t="shared" ref="T102:U102" si="55">IF(T82&lt;0,T82*-1,0)</f>
        <v>0</v>
      </c>
      <c r="U102" s="76">
        <f t="shared" si="55"/>
        <v>0</v>
      </c>
      <c r="V102" s="76">
        <f t="shared" si="53"/>
        <v>0</v>
      </c>
      <c r="W102" s="76">
        <f t="shared" ref="W102:Y102" si="56">IF(W82&lt;0,W82*-1,0)</f>
        <v>0</v>
      </c>
      <c r="X102" s="76">
        <f t="shared" si="56"/>
        <v>0</v>
      </c>
      <c r="Y102" s="76">
        <f t="shared" si="56"/>
        <v>0</v>
      </c>
      <c r="Z102" s="76">
        <f t="shared" ref="Z102:AA102" si="57">IF(Z82&lt;0,Z82*-1,0)</f>
        <v>0</v>
      </c>
      <c r="AA102" s="76">
        <f t="shared" si="57"/>
        <v>0</v>
      </c>
      <c r="AB102" s="76">
        <f t="shared" si="53"/>
        <v>0</v>
      </c>
      <c r="AC102" s="76">
        <f t="shared" si="53"/>
        <v>0</v>
      </c>
      <c r="AD102" s="76">
        <f t="shared" si="53"/>
        <v>0</v>
      </c>
      <c r="AE102" s="76">
        <f t="shared" si="53"/>
        <v>0</v>
      </c>
      <c r="AF102" s="76">
        <f t="shared" si="53"/>
        <v>0</v>
      </c>
      <c r="AG102" s="55"/>
      <c r="AH102" s="47">
        <f t="shared" si="25"/>
        <v>0</v>
      </c>
      <c r="AI102" s="48">
        <f t="shared" si="26"/>
        <v>0</v>
      </c>
    </row>
    <row r="103" spans="1:37" x14ac:dyDescent="0.25">
      <c r="A103" s="84" t="s">
        <v>104</v>
      </c>
      <c r="B103" s="76">
        <f>IF(B85&lt;0,B85*-1,0)</f>
        <v>0</v>
      </c>
      <c r="C103" s="76">
        <f t="shared" ref="C103:AF103" si="58">IF(C85&lt;0,C85*-1,0)</f>
        <v>0</v>
      </c>
      <c r="D103" s="76">
        <f t="shared" si="58"/>
        <v>0</v>
      </c>
      <c r="E103" s="76">
        <f t="shared" si="58"/>
        <v>0</v>
      </c>
      <c r="F103" s="76">
        <f t="shared" si="58"/>
        <v>0</v>
      </c>
      <c r="G103" s="76">
        <f t="shared" si="58"/>
        <v>0</v>
      </c>
      <c r="H103" s="76">
        <f t="shared" si="58"/>
        <v>0</v>
      </c>
      <c r="I103" s="76">
        <f t="shared" si="58"/>
        <v>0</v>
      </c>
      <c r="J103" s="76">
        <f t="shared" si="58"/>
        <v>0</v>
      </c>
      <c r="K103" s="76">
        <f t="shared" si="58"/>
        <v>0</v>
      </c>
      <c r="L103" s="76">
        <f t="shared" si="58"/>
        <v>0</v>
      </c>
      <c r="M103" s="76">
        <f t="shared" si="58"/>
        <v>0</v>
      </c>
      <c r="N103" s="76">
        <f t="shared" si="58"/>
        <v>0</v>
      </c>
      <c r="O103" s="76">
        <f t="shared" si="58"/>
        <v>0</v>
      </c>
      <c r="P103" s="76">
        <f t="shared" si="58"/>
        <v>0</v>
      </c>
      <c r="Q103" s="76">
        <f t="shared" si="58"/>
        <v>0</v>
      </c>
      <c r="R103" s="76">
        <f t="shared" ref="R103:S103" si="59">IF(R85&lt;0,R85*-1,0)</f>
        <v>0</v>
      </c>
      <c r="S103" s="76">
        <f t="shared" si="59"/>
        <v>0</v>
      </c>
      <c r="T103" s="76">
        <f t="shared" ref="T103:U103" si="60">IF(T85&lt;0,T85*-1,0)</f>
        <v>0</v>
      </c>
      <c r="U103" s="76">
        <f t="shared" si="60"/>
        <v>0</v>
      </c>
      <c r="V103" s="76">
        <f t="shared" si="58"/>
        <v>0</v>
      </c>
      <c r="W103" s="76">
        <f t="shared" ref="W103:Y103" si="61">IF(W85&lt;0,W85*-1,0)</f>
        <v>0</v>
      </c>
      <c r="X103" s="76">
        <f t="shared" si="61"/>
        <v>0</v>
      </c>
      <c r="Y103" s="76">
        <f t="shared" si="61"/>
        <v>0</v>
      </c>
      <c r="Z103" s="76">
        <f t="shared" ref="Z103:AA103" si="62">IF(Z85&lt;0,Z85*-1,0)</f>
        <v>0</v>
      </c>
      <c r="AA103" s="76">
        <f t="shared" si="62"/>
        <v>0</v>
      </c>
      <c r="AB103" s="76">
        <f t="shared" si="58"/>
        <v>0</v>
      </c>
      <c r="AC103" s="76">
        <f t="shared" si="58"/>
        <v>0</v>
      </c>
      <c r="AD103" s="76">
        <f t="shared" si="58"/>
        <v>0</v>
      </c>
      <c r="AE103" s="76">
        <f t="shared" si="58"/>
        <v>0</v>
      </c>
      <c r="AF103" s="76">
        <f t="shared" si="58"/>
        <v>0</v>
      </c>
      <c r="AG103" s="98"/>
      <c r="AH103" s="47">
        <f t="shared" si="25"/>
        <v>0</v>
      </c>
      <c r="AI103" s="48">
        <f t="shared" si="26"/>
        <v>0</v>
      </c>
    </row>
    <row r="104" spans="1:37" x14ac:dyDescent="0.25">
      <c r="A104" s="84" t="s">
        <v>105</v>
      </c>
      <c r="B104" s="76">
        <f>IF(B83&lt;0,B83*-1,0)</f>
        <v>0</v>
      </c>
      <c r="C104" s="76">
        <f t="shared" ref="C104:AF104" si="63">IF(C83&lt;0,C83*-1,0)</f>
        <v>0</v>
      </c>
      <c r="D104" s="76">
        <f t="shared" si="63"/>
        <v>0</v>
      </c>
      <c r="E104" s="76">
        <f t="shared" si="63"/>
        <v>0</v>
      </c>
      <c r="F104" s="76">
        <f t="shared" si="63"/>
        <v>0</v>
      </c>
      <c r="G104" s="76">
        <f t="shared" si="63"/>
        <v>0</v>
      </c>
      <c r="H104" s="76">
        <f t="shared" si="63"/>
        <v>0</v>
      </c>
      <c r="I104" s="76">
        <f t="shared" si="63"/>
        <v>0</v>
      </c>
      <c r="J104" s="76">
        <f t="shared" si="63"/>
        <v>0</v>
      </c>
      <c r="K104" s="76">
        <f t="shared" si="63"/>
        <v>0</v>
      </c>
      <c r="L104" s="76">
        <f t="shared" si="63"/>
        <v>0</v>
      </c>
      <c r="M104" s="76">
        <f t="shared" si="63"/>
        <v>0</v>
      </c>
      <c r="N104" s="76">
        <f t="shared" si="63"/>
        <v>0</v>
      </c>
      <c r="O104" s="76">
        <f t="shared" si="63"/>
        <v>0</v>
      </c>
      <c r="P104" s="76">
        <f t="shared" si="63"/>
        <v>0</v>
      </c>
      <c r="Q104" s="76">
        <f t="shared" si="63"/>
        <v>0</v>
      </c>
      <c r="R104" s="76">
        <f t="shared" ref="R104:S104" si="64">IF(R83&lt;0,R83*-1,0)</f>
        <v>0</v>
      </c>
      <c r="S104" s="76">
        <f t="shared" si="64"/>
        <v>0</v>
      </c>
      <c r="T104" s="76">
        <f t="shared" ref="T104:U104" si="65">IF(T83&lt;0,T83*-1,0)</f>
        <v>0</v>
      </c>
      <c r="U104" s="76">
        <f t="shared" si="65"/>
        <v>0</v>
      </c>
      <c r="V104" s="76">
        <f t="shared" si="63"/>
        <v>0</v>
      </c>
      <c r="W104" s="76">
        <f t="shared" ref="W104:Y104" si="66">IF(W83&lt;0,W83*-1,0)</f>
        <v>0</v>
      </c>
      <c r="X104" s="76">
        <f t="shared" si="66"/>
        <v>0</v>
      </c>
      <c r="Y104" s="76">
        <f t="shared" si="66"/>
        <v>0</v>
      </c>
      <c r="Z104" s="76">
        <f t="shared" ref="Z104:AA104" si="67">IF(Z83&lt;0,Z83*-1,0)</f>
        <v>0</v>
      </c>
      <c r="AA104" s="76">
        <f t="shared" si="67"/>
        <v>0</v>
      </c>
      <c r="AB104" s="76">
        <f t="shared" si="63"/>
        <v>0</v>
      </c>
      <c r="AC104" s="76">
        <f t="shared" si="63"/>
        <v>0</v>
      </c>
      <c r="AD104" s="76">
        <f t="shared" si="63"/>
        <v>0</v>
      </c>
      <c r="AE104" s="76">
        <f t="shared" si="63"/>
        <v>0</v>
      </c>
      <c r="AF104" s="76">
        <f t="shared" si="63"/>
        <v>0</v>
      </c>
      <c r="AG104" s="98"/>
      <c r="AH104" s="47">
        <f t="shared" si="25"/>
        <v>0</v>
      </c>
      <c r="AI104" s="48">
        <f t="shared" si="26"/>
        <v>0</v>
      </c>
    </row>
    <row r="105" spans="1:37" x14ac:dyDescent="0.25">
      <c r="A105" s="84" t="s">
        <v>81</v>
      </c>
      <c r="B105" s="76">
        <f>IF(B81&lt;0,B81*-1,0)</f>
        <v>0</v>
      </c>
      <c r="C105" s="76">
        <f t="shared" ref="C105:AF105" si="68">IF(C81&lt;0,C81*-1,0)</f>
        <v>0</v>
      </c>
      <c r="D105" s="76">
        <f t="shared" si="68"/>
        <v>0</v>
      </c>
      <c r="E105" s="76">
        <f t="shared" si="68"/>
        <v>0</v>
      </c>
      <c r="F105" s="76">
        <f t="shared" si="68"/>
        <v>0</v>
      </c>
      <c r="G105" s="76">
        <f t="shared" si="68"/>
        <v>0</v>
      </c>
      <c r="H105" s="76">
        <f t="shared" si="68"/>
        <v>0</v>
      </c>
      <c r="I105" s="76">
        <f t="shared" si="68"/>
        <v>0</v>
      </c>
      <c r="J105" s="76">
        <f t="shared" si="68"/>
        <v>0</v>
      </c>
      <c r="K105" s="76">
        <f t="shared" si="68"/>
        <v>0</v>
      </c>
      <c r="L105" s="76">
        <f t="shared" si="68"/>
        <v>0</v>
      </c>
      <c r="M105" s="76">
        <f t="shared" si="68"/>
        <v>0</v>
      </c>
      <c r="N105" s="76">
        <f t="shared" si="68"/>
        <v>0</v>
      </c>
      <c r="O105" s="76">
        <f t="shared" si="68"/>
        <v>0</v>
      </c>
      <c r="P105" s="76">
        <f t="shared" si="68"/>
        <v>0</v>
      </c>
      <c r="Q105" s="76">
        <f t="shared" si="68"/>
        <v>0</v>
      </c>
      <c r="R105" s="76">
        <f t="shared" ref="R105:S105" si="69">IF(R81&lt;0,R81*-1,0)</f>
        <v>0</v>
      </c>
      <c r="S105" s="76">
        <f t="shared" si="69"/>
        <v>0</v>
      </c>
      <c r="T105" s="76">
        <f t="shared" ref="T105:U105" si="70">IF(T81&lt;0,T81*-1,0)</f>
        <v>0</v>
      </c>
      <c r="U105" s="76">
        <f t="shared" si="70"/>
        <v>0</v>
      </c>
      <c r="V105" s="76">
        <f t="shared" si="68"/>
        <v>0</v>
      </c>
      <c r="W105" s="76">
        <f t="shared" ref="W105:Y105" si="71">IF(W81&lt;0,W81*-1,0)</f>
        <v>0</v>
      </c>
      <c r="X105" s="76">
        <f t="shared" si="71"/>
        <v>0</v>
      </c>
      <c r="Y105" s="76">
        <f t="shared" si="71"/>
        <v>0</v>
      </c>
      <c r="Z105" s="76">
        <f t="shared" ref="Z105:AA105" si="72">IF(Z81&lt;0,Z81*-1,0)</f>
        <v>0</v>
      </c>
      <c r="AA105" s="76">
        <f t="shared" si="72"/>
        <v>0</v>
      </c>
      <c r="AB105" s="76">
        <f t="shared" si="68"/>
        <v>0</v>
      </c>
      <c r="AC105" s="76">
        <f t="shared" si="68"/>
        <v>0</v>
      </c>
      <c r="AD105" s="76">
        <f t="shared" si="68"/>
        <v>0</v>
      </c>
      <c r="AE105" s="76">
        <f t="shared" si="68"/>
        <v>0</v>
      </c>
      <c r="AF105" s="76">
        <f t="shared" si="68"/>
        <v>0</v>
      </c>
      <c r="AG105" s="98"/>
      <c r="AH105" s="47">
        <f t="shared" si="25"/>
        <v>0</v>
      </c>
      <c r="AI105" s="48">
        <f t="shared" si="26"/>
        <v>0</v>
      </c>
    </row>
    <row r="106" spans="1:37" ht="15.75" thickBot="1" x14ac:dyDescent="0.3">
      <c r="A106" s="84" t="s">
        <v>106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3</v>
      </c>
      <c r="Z106" s="94">
        <v>4</v>
      </c>
      <c r="AA106" s="94">
        <v>5</v>
      </c>
      <c r="AB106" s="94">
        <v>0</v>
      </c>
      <c r="AC106" s="94">
        <v>0</v>
      </c>
      <c r="AD106" s="94">
        <v>0</v>
      </c>
      <c r="AE106" s="94">
        <v>0</v>
      </c>
      <c r="AF106" s="94">
        <v>0</v>
      </c>
      <c r="AG106" s="85"/>
      <c r="AH106" s="47">
        <f t="shared" si="25"/>
        <v>5</v>
      </c>
      <c r="AI106" s="48">
        <f t="shared" si="26"/>
        <v>0</v>
      </c>
    </row>
    <row r="107" spans="1:37" ht="15.75" thickBot="1" x14ac:dyDescent="0.3">
      <c r="A107" s="99" t="s">
        <v>107</v>
      </c>
      <c r="B107" s="60">
        <f>SUM(B101:B106)</f>
        <v>0</v>
      </c>
      <c r="C107" s="60">
        <f t="shared" ref="C107:AF107" si="73">SUM(C101:C106)</f>
        <v>0</v>
      </c>
      <c r="D107" s="60">
        <f t="shared" si="73"/>
        <v>0</v>
      </c>
      <c r="E107" s="60">
        <f t="shared" si="73"/>
        <v>0</v>
      </c>
      <c r="F107" s="60">
        <f t="shared" si="73"/>
        <v>0</v>
      </c>
      <c r="G107" s="60">
        <f t="shared" si="73"/>
        <v>0</v>
      </c>
      <c r="H107" s="60">
        <f t="shared" si="73"/>
        <v>0</v>
      </c>
      <c r="I107" s="60">
        <f t="shared" si="73"/>
        <v>0</v>
      </c>
      <c r="J107" s="60">
        <f t="shared" si="73"/>
        <v>0</v>
      </c>
      <c r="K107" s="60">
        <f t="shared" si="73"/>
        <v>0</v>
      </c>
      <c r="L107" s="60">
        <f t="shared" si="73"/>
        <v>0</v>
      </c>
      <c r="M107" s="60">
        <f t="shared" si="73"/>
        <v>0</v>
      </c>
      <c r="N107" s="60">
        <f t="shared" si="73"/>
        <v>0</v>
      </c>
      <c r="O107" s="60">
        <f t="shared" si="73"/>
        <v>0</v>
      </c>
      <c r="P107" s="60">
        <f t="shared" si="73"/>
        <v>0</v>
      </c>
      <c r="Q107" s="60">
        <f t="shared" si="73"/>
        <v>0</v>
      </c>
      <c r="R107" s="60">
        <f t="shared" ref="R107:S107" si="74">SUM(R101:R106)</f>
        <v>0</v>
      </c>
      <c r="S107" s="60">
        <f t="shared" si="74"/>
        <v>0</v>
      </c>
      <c r="T107" s="60">
        <f t="shared" ref="T107:U107" si="75">SUM(T101:T106)</f>
        <v>0</v>
      </c>
      <c r="U107" s="60">
        <f t="shared" si="75"/>
        <v>0</v>
      </c>
      <c r="V107" s="60">
        <f t="shared" si="73"/>
        <v>0</v>
      </c>
      <c r="W107" s="60">
        <f t="shared" ref="W107:Y107" si="76">SUM(W101:W106)</f>
        <v>0</v>
      </c>
      <c r="X107" s="60">
        <f t="shared" si="76"/>
        <v>0</v>
      </c>
      <c r="Y107" s="60">
        <f t="shared" si="76"/>
        <v>3</v>
      </c>
      <c r="Z107" s="60">
        <f t="shared" ref="Z107:AA107" si="77">SUM(Z101:Z106)</f>
        <v>4</v>
      </c>
      <c r="AA107" s="60">
        <f t="shared" si="77"/>
        <v>5</v>
      </c>
      <c r="AB107" s="60">
        <f t="shared" si="73"/>
        <v>0</v>
      </c>
      <c r="AC107" s="60">
        <f t="shared" si="73"/>
        <v>0</v>
      </c>
      <c r="AD107" s="60">
        <f t="shared" si="73"/>
        <v>0</v>
      </c>
      <c r="AE107" s="60">
        <f t="shared" si="73"/>
        <v>0</v>
      </c>
      <c r="AF107" s="60">
        <f t="shared" si="73"/>
        <v>0</v>
      </c>
      <c r="AG107" s="88"/>
      <c r="AH107" s="47">
        <f t="shared" si="25"/>
        <v>5</v>
      </c>
      <c r="AI107" s="48">
        <f t="shared" si="26"/>
        <v>0</v>
      </c>
      <c r="AK107" s="50"/>
    </row>
    <row r="108" spans="1:37" ht="15.75" thickBot="1" x14ac:dyDescent="0.3">
      <c r="A108" s="74" t="s">
        <v>108</v>
      </c>
      <c r="B108" s="60">
        <f t="shared" ref="B108:AF108" si="78">B92-B107</f>
        <v>515</v>
      </c>
      <c r="C108" s="60">
        <f t="shared" si="78"/>
        <v>447.9</v>
      </c>
      <c r="D108" s="60">
        <f t="shared" si="78"/>
        <v>468.1</v>
      </c>
      <c r="E108" s="60">
        <f t="shared" si="78"/>
        <v>455.2</v>
      </c>
      <c r="F108" s="60">
        <f t="shared" si="78"/>
        <v>455.5</v>
      </c>
      <c r="G108" s="60">
        <f t="shared" si="78"/>
        <v>467.70000000000005</v>
      </c>
      <c r="H108" s="60">
        <f t="shared" si="78"/>
        <v>491.1</v>
      </c>
      <c r="I108" s="60">
        <f t="shared" si="78"/>
        <v>496.09999999999997</v>
      </c>
      <c r="J108" s="60">
        <f t="shared" si="78"/>
        <v>513</v>
      </c>
      <c r="K108" s="60">
        <f t="shared" si="78"/>
        <v>503.7</v>
      </c>
      <c r="L108" s="60">
        <f t="shared" si="78"/>
        <v>468</v>
      </c>
      <c r="M108" s="60">
        <f t="shared" si="78"/>
        <v>131</v>
      </c>
      <c r="N108" s="60">
        <f t="shared" si="78"/>
        <v>330.9</v>
      </c>
      <c r="O108" s="60">
        <f t="shared" si="78"/>
        <v>367</v>
      </c>
      <c r="P108" s="60">
        <f t="shared" si="78"/>
        <v>566.1</v>
      </c>
      <c r="Q108" s="60">
        <f t="shared" si="78"/>
        <v>600.5</v>
      </c>
      <c r="R108" s="60">
        <f t="shared" ref="R108:S108" si="79">R92-R107</f>
        <v>607.29999999999995</v>
      </c>
      <c r="S108" s="60">
        <f t="shared" si="79"/>
        <v>720</v>
      </c>
      <c r="T108" s="60">
        <f t="shared" ref="T108:U108" si="80">T92-T107</f>
        <v>662.5</v>
      </c>
      <c r="U108" s="60">
        <f t="shared" si="80"/>
        <v>645.9</v>
      </c>
      <c r="V108" s="60">
        <f t="shared" si="78"/>
        <v>558.79999999999995</v>
      </c>
      <c r="W108" s="60">
        <f t="shared" ref="W108:Y108" si="81">W92-W107</f>
        <v>552.29999999999995</v>
      </c>
      <c r="X108" s="60">
        <f t="shared" si="81"/>
        <v>420.09999999999997</v>
      </c>
      <c r="Y108" s="60">
        <f t="shared" si="81"/>
        <v>424.6</v>
      </c>
      <c r="Z108" s="60">
        <f t="shared" ref="Z108:AA108" si="82">Z92-Z107</f>
        <v>412.6</v>
      </c>
      <c r="AA108" s="60">
        <f t="shared" si="82"/>
        <v>386.3</v>
      </c>
      <c r="AB108" s="60">
        <f t="shared" si="78"/>
        <v>441.6</v>
      </c>
      <c r="AC108" s="60">
        <f t="shared" si="78"/>
        <v>517</v>
      </c>
      <c r="AD108" s="60">
        <f t="shared" si="78"/>
        <v>517</v>
      </c>
      <c r="AE108" s="60">
        <f t="shared" si="78"/>
        <v>636</v>
      </c>
      <c r="AF108" s="60">
        <f t="shared" si="78"/>
        <v>612</v>
      </c>
      <c r="AG108" s="88"/>
      <c r="AH108" s="47">
        <f t="shared" si="25"/>
        <v>720</v>
      </c>
      <c r="AI108" s="48">
        <f t="shared" si="26"/>
        <v>131</v>
      </c>
    </row>
    <row r="109" spans="1:37" x14ac:dyDescent="0.25">
      <c r="A109" s="100" t="s">
        <v>109</v>
      </c>
      <c r="B109" s="101">
        <v>49.994999999999997</v>
      </c>
      <c r="C109" s="101">
        <v>49.972999999999999</v>
      </c>
      <c r="D109" s="101">
        <v>49.936999999999998</v>
      </c>
      <c r="E109" s="101">
        <v>49.957999999999998</v>
      </c>
      <c r="F109" s="101">
        <v>50</v>
      </c>
      <c r="G109" s="101">
        <v>50.046999999999997</v>
      </c>
      <c r="H109" s="101">
        <v>49.972999999999999</v>
      </c>
      <c r="I109" s="101">
        <v>50.093000000000004</v>
      </c>
      <c r="J109" s="101">
        <v>50.045000000000002</v>
      </c>
      <c r="K109" s="101">
        <v>50.151000000000003</v>
      </c>
      <c r="L109" s="101">
        <v>50.030999999999999</v>
      </c>
      <c r="M109" s="101">
        <v>49.997999999999998</v>
      </c>
      <c r="N109" s="101">
        <v>49.973999999999997</v>
      </c>
      <c r="O109" s="101">
        <v>50.04</v>
      </c>
      <c r="P109" s="101">
        <v>49.945999999999998</v>
      </c>
      <c r="Q109" s="101">
        <v>49.98</v>
      </c>
      <c r="R109" s="101">
        <v>50</v>
      </c>
      <c r="S109" s="101">
        <v>50.06</v>
      </c>
      <c r="T109" s="101">
        <v>50</v>
      </c>
      <c r="U109" s="101">
        <v>49.98</v>
      </c>
      <c r="V109" s="101">
        <v>49.99</v>
      </c>
      <c r="W109" s="101">
        <v>50.13</v>
      </c>
      <c r="X109" s="101">
        <v>50.06</v>
      </c>
      <c r="Y109" s="101">
        <v>50.03</v>
      </c>
      <c r="Z109" s="101">
        <v>49.96</v>
      </c>
      <c r="AA109" s="101">
        <v>50.03</v>
      </c>
      <c r="AB109" s="101">
        <v>50.02</v>
      </c>
      <c r="AC109" s="101">
        <v>50</v>
      </c>
      <c r="AD109" s="101">
        <v>49.96</v>
      </c>
      <c r="AE109" s="101">
        <v>50.042000000000002</v>
      </c>
      <c r="AF109" s="101">
        <v>49.996000000000002</v>
      </c>
      <c r="AG109" s="102"/>
      <c r="AH109" s="47">
        <f t="shared" si="25"/>
        <v>50.151000000000003</v>
      </c>
      <c r="AI109" s="48">
        <f t="shared" si="26"/>
        <v>49.936999999999998</v>
      </c>
    </row>
    <row r="110" spans="1:37" x14ac:dyDescent="0.25">
      <c r="A110" s="103" t="s">
        <v>110</v>
      </c>
      <c r="B110" s="65">
        <v>130</v>
      </c>
      <c r="C110" s="65">
        <v>129.6</v>
      </c>
      <c r="D110" s="65">
        <v>128.5</v>
      </c>
      <c r="E110" s="65">
        <v>130</v>
      </c>
      <c r="F110" s="65">
        <v>130</v>
      </c>
      <c r="G110" s="65">
        <v>128</v>
      </c>
      <c r="H110" s="65">
        <v>127</v>
      </c>
      <c r="I110" s="65">
        <v>126.7</v>
      </c>
      <c r="J110" s="65">
        <v>125</v>
      </c>
      <c r="K110" s="65">
        <v>128.6</v>
      </c>
      <c r="L110" s="65">
        <v>126</v>
      </c>
      <c r="M110" s="65">
        <v>126.3</v>
      </c>
      <c r="N110" s="65">
        <v>127.6</v>
      </c>
      <c r="O110" s="65">
        <v>128.19999999999999</v>
      </c>
      <c r="P110" s="65">
        <v>126.9</v>
      </c>
      <c r="Q110" s="65">
        <v>126.7</v>
      </c>
      <c r="R110" s="65">
        <v>126.1</v>
      </c>
      <c r="S110" s="65">
        <v>126.4</v>
      </c>
      <c r="T110" s="65">
        <v>126.87</v>
      </c>
      <c r="U110" s="65">
        <v>126.87</v>
      </c>
      <c r="V110" s="65">
        <v>128</v>
      </c>
      <c r="W110" s="65">
        <v>127.5</v>
      </c>
      <c r="X110" s="65">
        <v>126.6</v>
      </c>
      <c r="Y110" s="65">
        <v>126.8</v>
      </c>
      <c r="Z110" s="65">
        <v>127.7</v>
      </c>
      <c r="AA110" s="65">
        <v>128</v>
      </c>
      <c r="AB110" s="65">
        <v>129</v>
      </c>
      <c r="AC110" s="65">
        <v>129</v>
      </c>
      <c r="AD110" s="65">
        <v>129.1</v>
      </c>
      <c r="AE110" s="65">
        <v>127.4</v>
      </c>
      <c r="AF110" s="65">
        <v>127.7</v>
      </c>
      <c r="AG110" s="104"/>
      <c r="AH110" s="47">
        <f t="shared" si="25"/>
        <v>130</v>
      </c>
      <c r="AI110" s="48">
        <f t="shared" si="26"/>
        <v>125</v>
      </c>
    </row>
    <row r="111" spans="1:37" x14ac:dyDescent="0.25">
      <c r="A111" s="103" t="s">
        <v>111</v>
      </c>
      <c r="B111" s="65">
        <v>133.1</v>
      </c>
      <c r="C111" s="65">
        <v>133.1</v>
      </c>
      <c r="D111" s="65">
        <v>132.4</v>
      </c>
      <c r="E111" s="65">
        <v>133</v>
      </c>
      <c r="F111" s="65">
        <v>133</v>
      </c>
      <c r="G111" s="65">
        <v>132</v>
      </c>
      <c r="H111" s="65">
        <v>133</v>
      </c>
      <c r="I111" s="65">
        <v>130</v>
      </c>
      <c r="J111" s="65">
        <v>128</v>
      </c>
      <c r="K111" s="65">
        <v>130</v>
      </c>
      <c r="L111" s="65">
        <v>127</v>
      </c>
      <c r="M111" s="65">
        <v>126.7</v>
      </c>
      <c r="N111" s="65">
        <v>128.6</v>
      </c>
      <c r="O111" s="65">
        <v>129.19999999999999</v>
      </c>
      <c r="P111" s="65">
        <v>128.69999999999999</v>
      </c>
      <c r="Q111" s="65">
        <v>128.6</v>
      </c>
      <c r="R111" s="65">
        <v>128.6</v>
      </c>
      <c r="S111" s="65">
        <v>128.69999999999999</v>
      </c>
      <c r="T111" s="65">
        <v>129.19999999999999</v>
      </c>
      <c r="U111" s="65">
        <v>129.19999999999999</v>
      </c>
      <c r="V111" s="65">
        <v>129.5</v>
      </c>
      <c r="W111" s="65">
        <v>128.5</v>
      </c>
      <c r="X111" s="65">
        <v>127</v>
      </c>
      <c r="Y111" s="65">
        <v>127.7</v>
      </c>
      <c r="Z111" s="65">
        <v>128.80000000000001</v>
      </c>
      <c r="AA111" s="65">
        <v>129.19999999999999</v>
      </c>
      <c r="AB111" s="65">
        <v>130</v>
      </c>
      <c r="AC111" s="65">
        <v>130</v>
      </c>
      <c r="AD111" s="65">
        <v>129.9</v>
      </c>
      <c r="AE111" s="65">
        <v>129.5</v>
      </c>
      <c r="AF111" s="65">
        <v>131</v>
      </c>
      <c r="AG111" s="104"/>
      <c r="AH111" s="47">
        <f t="shared" si="25"/>
        <v>133.1</v>
      </c>
      <c r="AI111" s="48">
        <f t="shared" si="26"/>
        <v>126.7</v>
      </c>
    </row>
    <row r="112" spans="1:37" x14ac:dyDescent="0.25">
      <c r="A112" s="103" t="s">
        <v>112</v>
      </c>
      <c r="B112" s="65">
        <v>128.6</v>
      </c>
      <c r="C112" s="65">
        <v>129.5</v>
      </c>
      <c r="D112" s="65">
        <v>129.6</v>
      </c>
      <c r="E112" s="65">
        <v>132.6</v>
      </c>
      <c r="F112" s="65">
        <v>132.6</v>
      </c>
      <c r="G112" s="65">
        <v>130</v>
      </c>
      <c r="H112" s="65">
        <v>132.6</v>
      </c>
      <c r="I112" s="65">
        <v>127</v>
      </c>
      <c r="J112" s="65">
        <v>126</v>
      </c>
      <c r="K112" s="65">
        <v>128</v>
      </c>
      <c r="L112" s="65">
        <v>125</v>
      </c>
      <c r="M112" s="65">
        <v>129.19999999999999</v>
      </c>
      <c r="N112" s="65">
        <v>126.8</v>
      </c>
      <c r="O112" s="65">
        <v>128</v>
      </c>
      <c r="P112" s="65">
        <v>126.7</v>
      </c>
      <c r="Q112" s="65">
        <v>128.80000000000001</v>
      </c>
      <c r="R112" s="65">
        <v>124.3</v>
      </c>
      <c r="S112" s="65">
        <v>129.6</v>
      </c>
      <c r="T112" s="65">
        <v>123.5</v>
      </c>
      <c r="U112" s="65">
        <v>123.5</v>
      </c>
      <c r="V112" s="65">
        <v>128.80000000000001</v>
      </c>
      <c r="W112" s="65">
        <v>125.1</v>
      </c>
      <c r="X112" s="65">
        <v>128.30000000000001</v>
      </c>
      <c r="Y112" s="65">
        <v>127.4</v>
      </c>
      <c r="Z112" s="65">
        <v>128.80000000000001</v>
      </c>
      <c r="AA112" s="65">
        <v>129</v>
      </c>
      <c r="AB112" s="65">
        <v>128</v>
      </c>
      <c r="AC112" s="65">
        <v>128</v>
      </c>
      <c r="AD112" s="65">
        <v>128</v>
      </c>
      <c r="AE112" s="65">
        <v>129.5</v>
      </c>
      <c r="AF112" s="65">
        <v>129.19999999999999</v>
      </c>
      <c r="AG112" s="104"/>
      <c r="AH112" s="47">
        <f t="shared" si="25"/>
        <v>132.6</v>
      </c>
      <c r="AI112" s="48">
        <f t="shared" si="26"/>
        <v>123.5</v>
      </c>
    </row>
    <row r="113" spans="1:35" x14ac:dyDescent="0.25">
      <c r="A113" s="105" t="s">
        <v>113</v>
      </c>
      <c r="B113" s="65">
        <v>130.5</v>
      </c>
      <c r="C113" s="65">
        <v>131.5</v>
      </c>
      <c r="D113" s="65">
        <v>132</v>
      </c>
      <c r="E113" s="65">
        <v>134</v>
      </c>
      <c r="F113" s="65">
        <v>134</v>
      </c>
      <c r="G113" s="65">
        <v>131</v>
      </c>
      <c r="H113" s="65">
        <v>134</v>
      </c>
      <c r="I113" s="65">
        <v>131</v>
      </c>
      <c r="J113" s="65">
        <v>131.5</v>
      </c>
      <c r="K113" s="65">
        <v>132</v>
      </c>
      <c r="L113" s="65">
        <v>127</v>
      </c>
      <c r="M113" s="65">
        <v>129.80000000000001</v>
      </c>
      <c r="N113" s="65">
        <v>128.30000000000001</v>
      </c>
      <c r="O113" s="65">
        <v>130.5</v>
      </c>
      <c r="P113" s="65">
        <v>130</v>
      </c>
      <c r="Q113" s="65">
        <v>131.6</v>
      </c>
      <c r="R113" s="65">
        <v>129.9</v>
      </c>
      <c r="S113" s="65">
        <v>130.9</v>
      </c>
      <c r="T113" s="65">
        <v>128.25</v>
      </c>
      <c r="U113" s="65">
        <v>128.25</v>
      </c>
      <c r="V113" s="65">
        <v>130.4</v>
      </c>
      <c r="W113" s="65">
        <v>128.5</v>
      </c>
      <c r="X113" s="65">
        <v>129.80000000000001</v>
      </c>
      <c r="Y113" s="65">
        <v>129.9</v>
      </c>
      <c r="Z113" s="65">
        <v>130.80000000000001</v>
      </c>
      <c r="AA113" s="65">
        <v>131.30000000000001</v>
      </c>
      <c r="AB113" s="65">
        <v>131</v>
      </c>
      <c r="AC113" s="65">
        <v>131</v>
      </c>
      <c r="AD113" s="65">
        <v>132.6</v>
      </c>
      <c r="AE113" s="65">
        <v>134.5</v>
      </c>
      <c r="AF113" s="65">
        <v>132</v>
      </c>
      <c r="AG113" s="104"/>
      <c r="AH113" s="47">
        <f t="shared" si="25"/>
        <v>134.5</v>
      </c>
      <c r="AI113" s="48">
        <f t="shared" si="26"/>
        <v>127</v>
      </c>
    </row>
    <row r="114" spans="1:35" x14ac:dyDescent="0.25">
      <c r="A114" s="105" t="s">
        <v>114</v>
      </c>
      <c r="B114" s="106">
        <v>133.5</v>
      </c>
      <c r="C114" s="106">
        <v>130.1</v>
      </c>
      <c r="D114" s="106">
        <v>132.30000000000001</v>
      </c>
      <c r="E114" s="106">
        <v>132</v>
      </c>
      <c r="F114" s="106">
        <v>132</v>
      </c>
      <c r="G114" s="106">
        <v>129.5</v>
      </c>
      <c r="H114" s="106">
        <v>132</v>
      </c>
      <c r="I114" s="106">
        <v>130.4</v>
      </c>
      <c r="J114" s="106">
        <v>129.80000000000001</v>
      </c>
      <c r="K114" s="106">
        <v>134</v>
      </c>
      <c r="L114" s="106">
        <v>132.6</v>
      </c>
      <c r="M114" s="106">
        <v>131.9</v>
      </c>
      <c r="N114" s="106">
        <v>131.9</v>
      </c>
      <c r="O114" s="106">
        <v>134</v>
      </c>
      <c r="P114" s="106">
        <v>131</v>
      </c>
      <c r="Q114" s="106">
        <v>132.9</v>
      </c>
      <c r="R114" s="106">
        <v>132.6</v>
      </c>
      <c r="S114" s="106">
        <v>131.69999999999999</v>
      </c>
      <c r="T114" s="106">
        <v>133.6</v>
      </c>
      <c r="U114" s="106">
        <v>133.6</v>
      </c>
      <c r="V114" s="106">
        <v>134.4</v>
      </c>
      <c r="W114" s="106">
        <v>131.69999999999999</v>
      </c>
      <c r="X114" s="106">
        <v>131</v>
      </c>
      <c r="Y114" s="106">
        <v>132.19999999999999</v>
      </c>
      <c r="Z114" s="106">
        <v>133.6</v>
      </c>
      <c r="AA114" s="106">
        <v>133.80000000000001</v>
      </c>
      <c r="AB114" s="106">
        <v>135</v>
      </c>
      <c r="AC114" s="106">
        <v>135</v>
      </c>
      <c r="AD114" s="106">
        <v>136.5</v>
      </c>
      <c r="AE114" s="106">
        <v>134</v>
      </c>
      <c r="AF114" s="106">
        <v>132.6</v>
      </c>
      <c r="AG114" s="107"/>
      <c r="AH114" s="47">
        <f t="shared" si="25"/>
        <v>136.5</v>
      </c>
      <c r="AI114" s="48">
        <f t="shared" si="26"/>
        <v>129.5</v>
      </c>
    </row>
    <row r="115" spans="1:35" x14ac:dyDescent="0.25">
      <c r="A115" s="103" t="s">
        <v>115</v>
      </c>
      <c r="B115" s="65">
        <v>135.6</v>
      </c>
      <c r="C115" s="65">
        <v>133</v>
      </c>
      <c r="D115" s="65">
        <v>133.9</v>
      </c>
      <c r="E115" s="65">
        <v>130</v>
      </c>
      <c r="F115" s="65">
        <v>130</v>
      </c>
      <c r="G115" s="65">
        <v>126</v>
      </c>
      <c r="H115" s="65">
        <v>129</v>
      </c>
      <c r="I115" s="65">
        <v>133</v>
      </c>
      <c r="J115" s="65">
        <v>130.80000000000001</v>
      </c>
      <c r="K115" s="65">
        <v>130</v>
      </c>
      <c r="L115" s="65">
        <v>127</v>
      </c>
      <c r="M115" s="65">
        <v>133.19999999999999</v>
      </c>
      <c r="N115" s="65">
        <v>130.69999999999999</v>
      </c>
      <c r="O115" s="65">
        <v>130.1</v>
      </c>
      <c r="P115" s="65">
        <v>125.9</v>
      </c>
      <c r="Q115" s="65">
        <v>128.30000000000001</v>
      </c>
      <c r="R115" s="65">
        <v>128.80000000000001</v>
      </c>
      <c r="S115" s="65">
        <v>127.2</v>
      </c>
      <c r="T115" s="65">
        <v>132.5</v>
      </c>
      <c r="U115" s="65">
        <v>132.5</v>
      </c>
      <c r="V115" s="65">
        <v>132.5</v>
      </c>
      <c r="W115" s="65">
        <v>130.4</v>
      </c>
      <c r="X115" s="65">
        <v>130.1</v>
      </c>
      <c r="Y115" s="65">
        <v>127.6</v>
      </c>
      <c r="Z115" s="65">
        <v>129.4</v>
      </c>
      <c r="AA115" s="65">
        <v>130.69999999999999</v>
      </c>
      <c r="AB115" s="65">
        <v>131</v>
      </c>
      <c r="AC115" s="65">
        <v>131</v>
      </c>
      <c r="AD115" s="65">
        <v>131</v>
      </c>
      <c r="AE115" s="65">
        <v>133.19999999999999</v>
      </c>
      <c r="AF115" s="65">
        <v>130.69999999999999</v>
      </c>
      <c r="AG115" s="104"/>
      <c r="AH115" s="47">
        <f t="shared" si="25"/>
        <v>135.6</v>
      </c>
      <c r="AI115" s="48">
        <f t="shared" si="26"/>
        <v>125.9</v>
      </c>
    </row>
    <row r="116" spans="1:35" ht="15.75" thickBot="1" x14ac:dyDescent="0.3">
      <c r="A116" s="103" t="s">
        <v>116</v>
      </c>
      <c r="B116" s="92">
        <v>67</v>
      </c>
      <c r="C116" s="92">
        <v>66.5</v>
      </c>
      <c r="D116" s="92">
        <v>66.8</v>
      </c>
      <c r="E116" s="92">
        <v>67</v>
      </c>
      <c r="F116" s="92">
        <v>67</v>
      </c>
      <c r="G116" s="92">
        <v>66.5</v>
      </c>
      <c r="H116" s="92">
        <v>65.7</v>
      </c>
      <c r="I116" s="92">
        <v>65.400000000000006</v>
      </c>
      <c r="J116" s="92">
        <v>64.2</v>
      </c>
      <c r="K116" s="92">
        <v>65.400000000000006</v>
      </c>
      <c r="L116" s="92">
        <v>63.9</v>
      </c>
      <c r="M116" s="92">
        <v>63.5</v>
      </c>
      <c r="N116" s="92">
        <v>64.599999999999994</v>
      </c>
      <c r="O116" s="92">
        <v>64.8</v>
      </c>
      <c r="P116" s="92">
        <v>64.5</v>
      </c>
      <c r="Q116" s="92">
        <v>64.7</v>
      </c>
      <c r="R116" s="92">
        <v>64.900000000000006</v>
      </c>
      <c r="S116" s="92">
        <v>64.7</v>
      </c>
      <c r="T116" s="92">
        <v>65</v>
      </c>
      <c r="U116" s="92">
        <v>65</v>
      </c>
      <c r="V116" s="92">
        <v>65</v>
      </c>
      <c r="W116" s="92">
        <v>64.400000000000006</v>
      </c>
      <c r="X116" s="92">
        <v>63.7</v>
      </c>
      <c r="Y116" s="92">
        <v>63.7</v>
      </c>
      <c r="Z116" s="92">
        <v>64.3</v>
      </c>
      <c r="AA116" s="92">
        <v>64.5</v>
      </c>
      <c r="AB116" s="92">
        <v>65</v>
      </c>
      <c r="AC116" s="92">
        <v>65</v>
      </c>
      <c r="AD116" s="92">
        <v>64.900000000000006</v>
      </c>
      <c r="AE116" s="92">
        <v>64.7</v>
      </c>
      <c r="AF116" s="92">
        <v>65.2</v>
      </c>
      <c r="AG116" s="108"/>
      <c r="AH116" s="47">
        <f t="shared" si="25"/>
        <v>67</v>
      </c>
      <c r="AI116" s="48">
        <f t="shared" si="26"/>
        <v>63.5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25"/>
        <v>0</v>
      </c>
      <c r="AI117" s="48">
        <f t="shared" si="26"/>
        <v>0</v>
      </c>
    </row>
    <row r="118" spans="1:35" ht="15.75" thickBot="1" x14ac:dyDescent="0.3">
      <c r="A118" s="110" t="s">
        <v>118</v>
      </c>
      <c r="B118" s="111">
        <f t="shared" ref="B118:O118" si="83">SUM(B22,B28,B31:B32,B66,B68:B69,B71,B73,B119:B123,B155,B161,B167,B176,B178,B190,B197,B200:B201,B208,B210,B212,B216:B218,B220:B222,B227,B233:B234,B236:B238,B246,B251)</f>
        <v>165.01799999999997</v>
      </c>
      <c r="C118" s="111">
        <f t="shared" si="83"/>
        <v>145.48999999999998</v>
      </c>
      <c r="D118" s="111">
        <f t="shared" si="83"/>
        <v>139.63300000000001</v>
      </c>
      <c r="E118" s="111">
        <f t="shared" si="83"/>
        <v>136.83000000000001</v>
      </c>
      <c r="F118" s="111">
        <f t="shared" si="83"/>
        <v>138.13999999999999</v>
      </c>
      <c r="G118" s="111">
        <f t="shared" si="83"/>
        <v>172.94</v>
      </c>
      <c r="H118" s="111">
        <f t="shared" si="83"/>
        <v>354.24</v>
      </c>
      <c r="I118" s="111">
        <f t="shared" si="83"/>
        <v>243.74</v>
      </c>
      <c r="J118" s="111">
        <f t="shared" si="83"/>
        <v>270.54000000000002</v>
      </c>
      <c r="K118" s="111">
        <f t="shared" si="83"/>
        <v>349.04</v>
      </c>
      <c r="L118" s="111">
        <f t="shared" si="83"/>
        <v>424.34</v>
      </c>
      <c r="M118" s="111">
        <f t="shared" si="83"/>
        <v>409.03699999999998</v>
      </c>
      <c r="N118" s="111">
        <f t="shared" si="83"/>
        <v>408.36</v>
      </c>
      <c r="O118" s="111">
        <f t="shared" si="83"/>
        <v>395.92</v>
      </c>
      <c r="P118" s="111">
        <v>42</v>
      </c>
      <c r="Q118" s="111">
        <f t="shared" ref="Q118:AC118" si="84">SUM(Q22,Q28,Q31:Q32,Q66,Q68:Q69,Q71,Q73,Q119:Q123,Q155,Q161,Q167,Q176,Q178,Q190,Q197,Q200:Q201,Q208,Q210,Q212,Q216:Q218,Q220:Q222,Q227,Q233:Q234,Q236:Q238,Q246,Q251)</f>
        <v>357.82</v>
      </c>
      <c r="R118" s="111">
        <f t="shared" ref="R118:S118" si="85">SUM(R22,R28,R31:R32,R66,R68:R69,R71,R73,R119:R123,R155,R161,R167,R176,R178,R190,R197,R200:R201,R208,R210,R212,R216:R218,R220:R222,R227,R233:R234,R236:R238,R246,R251)</f>
        <v>331.62</v>
      </c>
      <c r="S118" s="111">
        <f t="shared" si="85"/>
        <v>292.98</v>
      </c>
      <c r="T118" s="111">
        <f t="shared" ref="T118:U118" si="86">SUM(T22,T28,T31:T32,T66,T68:T69,T71,T73,T119:T123,T155,T161,T167,T176,T178,T190,T197,T200:T201,T208,T210,T212,T216:T218,T220:T222,T227,T233:T234,T236:T238,T246,T251)</f>
        <v>293.73999999999995</v>
      </c>
      <c r="U118" s="111">
        <f t="shared" si="86"/>
        <v>323.32</v>
      </c>
      <c r="V118" s="111">
        <f t="shared" si="84"/>
        <v>378.2</v>
      </c>
      <c r="W118" s="111">
        <f t="shared" ref="W118:Y118" si="87">SUM(W22,W28,W31:W32,W66,W68:W69,W71,W73,W119:W123,W155,W161,W167,W176,W178,W190,W197,W200:W201,W208,W210,W212,W216:W218,W220:W222,W227,W233:W234,W236:W238,W246,W251)</f>
        <v>356.68</v>
      </c>
      <c r="X118" s="111">
        <f t="shared" si="87"/>
        <v>425.56</v>
      </c>
      <c r="Y118" s="111">
        <f t="shared" si="87"/>
        <v>434.36</v>
      </c>
      <c r="Z118" s="111">
        <f t="shared" ref="Z118:AA118" si="88">SUM(Z22,Z28,Z31:Z32,Z66,Z68:Z69,Z71,Z73,Z119:Z123,Z155,Z161,Z167,Z176,Z178,Z190,Z197,Z200:Z201,Z208,Z210,Z212,Z216:Z218,Z220:Z222,Z227,Z233:Z234,Z236:Z238,Z246,Z251)</f>
        <v>421.48</v>
      </c>
      <c r="AA118" s="111">
        <f t="shared" si="88"/>
        <v>409.88000000000005</v>
      </c>
      <c r="AB118" s="111">
        <f t="shared" si="84"/>
        <v>429.54</v>
      </c>
      <c r="AC118" s="111">
        <f t="shared" si="84"/>
        <v>393.94</v>
      </c>
      <c r="AD118" s="111"/>
      <c r="AE118" s="111">
        <f>SUM(AE22,AE28,AE31:AE32,AE66,AE68:AE69,AE71,AE73,AE119:AE123,AE155,AE161,AE167,AE176,AE178,AE190,AE197,AE200:AE201,AE208,AE210,AE212,AE216:AE218,AE220:AE222,AE227,AE233:AE234,AE236:AE238,AE246,AE251)</f>
        <v>227.54000000000002</v>
      </c>
      <c r="AF118" s="111">
        <f>SUM(AF22,AF28,AF31:AF32,AF66,AF68:AF69,AF71,AF73,AF119:AF123,AF155,AF161,AF167,AF176,AF178,AF190,AF197,AF200:AF201,AF208,AF210,AF212,AF216:AF218,AF220:AF222,AF227,AF233:AF234,AF236:AF238,AF246,AF251)</f>
        <v>198.34</v>
      </c>
      <c r="AG118" s="112"/>
      <c r="AH118" s="47">
        <f t="shared" si="25"/>
        <v>434.36</v>
      </c>
      <c r="AI118" s="48">
        <f t="shared" si="26"/>
        <v>42</v>
      </c>
    </row>
    <row r="119" spans="1:35" x14ac:dyDescent="0.25">
      <c r="A119" s="172" t="s">
        <v>119</v>
      </c>
      <c r="B119" s="113">
        <v>-14.1</v>
      </c>
      <c r="C119" s="113">
        <v>-12.9</v>
      </c>
      <c r="D119" s="113">
        <v>-10.1</v>
      </c>
      <c r="E119" s="113">
        <v>-10.41</v>
      </c>
      <c r="F119" s="113">
        <v>-7.5</v>
      </c>
      <c r="G119" s="113">
        <v>3.8</v>
      </c>
      <c r="H119" s="113">
        <v>13.3</v>
      </c>
      <c r="I119" s="113">
        <v>24.5</v>
      </c>
      <c r="J119" s="113">
        <v>28.3</v>
      </c>
      <c r="K119" s="113">
        <v>32.5</v>
      </c>
      <c r="L119" s="113">
        <v>33.6</v>
      </c>
      <c r="M119" s="113">
        <v>33.9</v>
      </c>
      <c r="N119" s="113">
        <v>30.3</v>
      </c>
      <c r="O119" s="113">
        <v>23.7</v>
      </c>
      <c r="P119" s="113">
        <v>12</v>
      </c>
      <c r="Q119" s="113">
        <v>9.9</v>
      </c>
      <c r="R119" s="113">
        <v>7.4</v>
      </c>
      <c r="S119" s="113">
        <v>-8.9</v>
      </c>
      <c r="T119" s="113">
        <v>-4</v>
      </c>
      <c r="U119" s="113">
        <v>1.7</v>
      </c>
      <c r="V119" s="113">
        <v>13</v>
      </c>
      <c r="W119" s="113">
        <v>15.4</v>
      </c>
      <c r="X119" s="113">
        <v>29.8</v>
      </c>
      <c r="Y119" s="113">
        <v>35.700000000000003</v>
      </c>
      <c r="Z119" s="113">
        <v>31.8</v>
      </c>
      <c r="AA119" s="113">
        <v>30.7</v>
      </c>
      <c r="AB119" s="113">
        <v>29.8</v>
      </c>
      <c r="AC119" s="113">
        <v>14</v>
      </c>
      <c r="AD119" s="113">
        <v>17.5</v>
      </c>
      <c r="AE119" s="113">
        <v>2</v>
      </c>
      <c r="AF119" s="113">
        <v>-9</v>
      </c>
      <c r="AG119" s="114">
        <v>75</v>
      </c>
      <c r="AH119" s="47">
        <f t="shared" si="25"/>
        <v>35.700000000000003</v>
      </c>
      <c r="AI119" s="48">
        <f t="shared" si="26"/>
        <v>-14.1</v>
      </c>
    </row>
    <row r="120" spans="1:35" x14ac:dyDescent="0.25">
      <c r="A120" s="173" t="s">
        <v>120</v>
      </c>
      <c r="B120" s="115">
        <v>-19.600000000000001</v>
      </c>
      <c r="C120" s="115">
        <v>-16.899999999999999</v>
      </c>
      <c r="D120" s="115">
        <v>-13.2</v>
      </c>
      <c r="E120" s="115">
        <v>-13.5</v>
      </c>
      <c r="F120" s="115">
        <v>-10.4</v>
      </c>
      <c r="G120" s="115">
        <v>4.5999999999999996</v>
      </c>
      <c r="H120" s="115">
        <v>174.1</v>
      </c>
      <c r="I120" s="115">
        <v>35.9</v>
      </c>
      <c r="J120" s="115">
        <v>41.5</v>
      </c>
      <c r="K120" s="115">
        <v>45.6</v>
      </c>
      <c r="L120" s="115">
        <v>45</v>
      </c>
      <c r="M120" s="115">
        <v>46.5</v>
      </c>
      <c r="N120" s="115">
        <v>41.8</v>
      </c>
      <c r="O120" s="115">
        <v>33.4</v>
      </c>
      <c r="P120" s="115">
        <v>18.8</v>
      </c>
      <c r="Q120" s="115">
        <v>16.5</v>
      </c>
      <c r="R120" s="115">
        <v>14.4</v>
      </c>
      <c r="S120" s="115">
        <v>-11.3</v>
      </c>
      <c r="T120" s="115">
        <v>-6.4</v>
      </c>
      <c r="U120" s="115">
        <v>2.4</v>
      </c>
      <c r="V120" s="115">
        <v>18</v>
      </c>
      <c r="W120" s="115">
        <v>23.5</v>
      </c>
      <c r="X120" s="115">
        <v>39.5</v>
      </c>
      <c r="Y120" s="115">
        <v>47.3</v>
      </c>
      <c r="Z120" s="115">
        <v>41.1</v>
      </c>
      <c r="AA120" s="115">
        <v>39.5</v>
      </c>
      <c r="AB120" s="115">
        <v>37.700000000000003</v>
      </c>
      <c r="AC120" s="115">
        <v>16.399999999999999</v>
      </c>
      <c r="AD120" s="115">
        <v>21.9</v>
      </c>
      <c r="AE120" s="115">
        <v>3</v>
      </c>
      <c r="AF120" s="115">
        <v>-10</v>
      </c>
      <c r="AG120" s="114">
        <v>240</v>
      </c>
      <c r="AH120" s="47">
        <f t="shared" si="25"/>
        <v>174.1</v>
      </c>
      <c r="AI120" s="48">
        <f t="shared" si="26"/>
        <v>-19.600000000000001</v>
      </c>
    </row>
    <row r="121" spans="1:35" x14ac:dyDescent="0.25">
      <c r="A121" s="173" t="s">
        <v>121</v>
      </c>
      <c r="B121" s="115">
        <v>-7.2</v>
      </c>
      <c r="C121" s="115">
        <v>-25</v>
      </c>
      <c r="D121" s="115">
        <v>-40</v>
      </c>
      <c r="E121" s="115">
        <v>-39.799999999999997</v>
      </c>
      <c r="F121" s="115">
        <v>-42</v>
      </c>
      <c r="G121" s="115">
        <v>-41</v>
      </c>
      <c r="H121" s="115">
        <v>-36.799999999999997</v>
      </c>
      <c r="I121" s="115">
        <v>-30</v>
      </c>
      <c r="J121" s="115">
        <v>-22.7</v>
      </c>
      <c r="K121" s="115">
        <v>22.3</v>
      </c>
      <c r="L121" s="115">
        <v>60</v>
      </c>
      <c r="M121" s="115">
        <v>19</v>
      </c>
      <c r="N121" s="115">
        <f>22.5+25.7</f>
        <v>48.2</v>
      </c>
      <c r="O121" s="115">
        <f>25+22.4</f>
        <v>47.4</v>
      </c>
      <c r="P121" s="115">
        <f>26+19.5</f>
        <v>45.5</v>
      </c>
      <c r="Q121" s="115">
        <f>24+21.1</f>
        <v>45.1</v>
      </c>
      <c r="R121" s="115">
        <f>16+13</f>
        <v>29</v>
      </c>
      <c r="S121" s="115">
        <v>6.9</v>
      </c>
      <c r="T121" s="115">
        <v>3</v>
      </c>
      <c r="U121" s="115">
        <v>12</v>
      </c>
      <c r="V121" s="115">
        <v>55</v>
      </c>
      <c r="W121" s="115">
        <v>14.5</v>
      </c>
      <c r="X121" s="115">
        <v>32</v>
      </c>
      <c r="Y121" s="115">
        <v>33</v>
      </c>
      <c r="Z121" s="115">
        <v>32</v>
      </c>
      <c r="AA121" s="115">
        <v>33.1</v>
      </c>
      <c r="AB121" s="115">
        <v>59.3</v>
      </c>
      <c r="AC121" s="115">
        <v>55.1</v>
      </c>
      <c r="AD121" s="115">
        <v>65</v>
      </c>
      <c r="AE121" s="115">
        <v>-19</v>
      </c>
      <c r="AF121" s="115">
        <v>-9</v>
      </c>
      <c r="AG121" s="114">
        <v>240</v>
      </c>
      <c r="AH121" s="47">
        <f t="shared" si="25"/>
        <v>65</v>
      </c>
      <c r="AI121" s="48">
        <f t="shared" si="26"/>
        <v>-42</v>
      </c>
    </row>
    <row r="122" spans="1:35" ht="15.75" thickBot="1" x14ac:dyDescent="0.3">
      <c r="A122" s="173" t="s">
        <v>122</v>
      </c>
      <c r="B122" s="115">
        <v>-2.8</v>
      </c>
      <c r="C122" s="115">
        <v>-8.3000000000000007</v>
      </c>
      <c r="D122" s="115">
        <v>-10.3</v>
      </c>
      <c r="E122" s="115">
        <v>-9.3000000000000007</v>
      </c>
      <c r="F122" s="115">
        <v>-6.8</v>
      </c>
      <c r="G122" s="115">
        <v>-6.3</v>
      </c>
      <c r="H122" s="115">
        <v>-6.2</v>
      </c>
      <c r="I122" s="115">
        <v>-1.5</v>
      </c>
      <c r="J122" s="115">
        <v>0.6</v>
      </c>
      <c r="K122" s="115">
        <v>19</v>
      </c>
      <c r="L122" s="115">
        <v>26.8</v>
      </c>
      <c r="M122" s="115">
        <v>58.9</v>
      </c>
      <c r="N122" s="115">
        <v>51</v>
      </c>
      <c r="O122" s="115">
        <v>51</v>
      </c>
      <c r="P122" s="115">
        <v>43</v>
      </c>
      <c r="Q122" s="115">
        <v>36.1</v>
      </c>
      <c r="R122" s="115">
        <v>31.3</v>
      </c>
      <c r="S122" s="115">
        <v>38.6</v>
      </c>
      <c r="T122" s="115">
        <v>37.1</v>
      </c>
      <c r="U122" s="115">
        <v>41.3</v>
      </c>
      <c r="V122" s="115">
        <v>48.6</v>
      </c>
      <c r="W122" s="115">
        <v>58.7</v>
      </c>
      <c r="X122" s="115">
        <v>59.2</v>
      </c>
      <c r="Y122" s="115">
        <v>59.7</v>
      </c>
      <c r="Z122" s="115">
        <v>60</v>
      </c>
      <c r="AA122" s="115">
        <v>59.6</v>
      </c>
      <c r="AB122" s="115">
        <v>58.1</v>
      </c>
      <c r="AC122" s="115">
        <v>56.1</v>
      </c>
      <c r="AD122" s="115">
        <v>41.4</v>
      </c>
      <c r="AE122" s="115">
        <v>10</v>
      </c>
      <c r="AF122" s="115">
        <v>4.8</v>
      </c>
      <c r="AG122" s="114">
        <v>60</v>
      </c>
      <c r="AH122" s="47">
        <f t="shared" si="25"/>
        <v>60</v>
      </c>
      <c r="AI122" s="48">
        <f t="shared" si="26"/>
        <v>-10.3</v>
      </c>
    </row>
    <row r="123" spans="1:35" x14ac:dyDescent="0.25">
      <c r="A123" s="172" t="s">
        <v>260</v>
      </c>
      <c r="B123" s="117">
        <f>63.4*1.67</f>
        <v>105.878</v>
      </c>
      <c r="C123" s="117">
        <f>65*1.67</f>
        <v>108.55</v>
      </c>
      <c r="D123" s="117">
        <f>67.9*1.67</f>
        <v>113.393</v>
      </c>
      <c r="E123" s="117">
        <v>110</v>
      </c>
      <c r="F123" s="117">
        <v>105</v>
      </c>
      <c r="G123" s="117">
        <v>112</v>
      </c>
      <c r="H123" s="117">
        <v>110</v>
      </c>
      <c r="I123" s="117">
        <v>115</v>
      </c>
      <c r="J123" s="117">
        <v>123</v>
      </c>
      <c r="K123" s="117">
        <v>130</v>
      </c>
      <c r="L123" s="117">
        <v>159</v>
      </c>
      <c r="M123" s="117">
        <f>89.1*1.67</f>
        <v>148.797</v>
      </c>
      <c r="N123" s="117">
        <f>83*1.64</f>
        <v>136.12</v>
      </c>
      <c r="O123" s="117">
        <f>82*1.64</f>
        <v>134.47999999999999</v>
      </c>
      <c r="P123" s="117">
        <f>74*1.64</f>
        <v>121.36</v>
      </c>
      <c r="Q123" s="117">
        <f>82*1.64</f>
        <v>134.47999999999999</v>
      </c>
      <c r="R123" s="117">
        <f>84.3*1.6</f>
        <v>134.88</v>
      </c>
      <c r="S123" s="117">
        <f>96.9*1.6</f>
        <v>155.04000000000002</v>
      </c>
      <c r="T123" s="117">
        <f>96.5*1.6</f>
        <v>154.4</v>
      </c>
      <c r="U123" s="117">
        <f>101.3*1.6</f>
        <v>162.08000000000001</v>
      </c>
      <c r="V123" s="117">
        <f>89*1.64</f>
        <v>145.95999999999998</v>
      </c>
      <c r="W123" s="117">
        <f>89.4*1.6</f>
        <v>143.04000000000002</v>
      </c>
      <c r="X123" s="117">
        <f>102.2*1.6</f>
        <v>163.52000000000001</v>
      </c>
      <c r="Y123" s="117">
        <f>98.2*1.6</f>
        <v>157.12</v>
      </c>
      <c r="Z123" s="117">
        <f>96.9*1.6</f>
        <v>155.04000000000002</v>
      </c>
      <c r="AA123" s="117">
        <f>90.9*1.6</f>
        <v>145.44000000000003</v>
      </c>
      <c r="AB123" s="117">
        <v>142</v>
      </c>
      <c r="AC123" s="117">
        <v>150</v>
      </c>
      <c r="AD123" s="117">
        <v>140</v>
      </c>
      <c r="AE123" s="117">
        <v>130</v>
      </c>
      <c r="AF123" s="117">
        <v>120</v>
      </c>
      <c r="AG123" s="118">
        <v>120</v>
      </c>
      <c r="AH123" s="47">
        <f t="shared" si="25"/>
        <v>163.52000000000001</v>
      </c>
      <c r="AI123" s="48">
        <f t="shared" si="26"/>
        <v>105</v>
      </c>
    </row>
    <row r="124" spans="1:35" x14ac:dyDescent="0.25">
      <c r="A124" s="173" t="s">
        <v>259</v>
      </c>
      <c r="B124" s="117">
        <v>80.099999999999994</v>
      </c>
      <c r="C124" s="117">
        <v>81.5</v>
      </c>
      <c r="D124" s="117">
        <v>83.9</v>
      </c>
      <c r="E124" s="117">
        <v>82.3</v>
      </c>
      <c r="F124" s="117">
        <v>79.900000000000006</v>
      </c>
      <c r="G124" s="117">
        <v>79.3</v>
      </c>
      <c r="H124" s="117">
        <v>85.47</v>
      </c>
      <c r="I124" s="117">
        <v>80.3</v>
      </c>
      <c r="J124" s="117">
        <v>88.7</v>
      </c>
      <c r="K124" s="117">
        <v>92</v>
      </c>
      <c r="L124" s="117">
        <v>105</v>
      </c>
      <c r="M124" s="117">
        <v>98.6</v>
      </c>
      <c r="N124" s="117">
        <v>93.1</v>
      </c>
      <c r="O124" s="117">
        <v>92.8</v>
      </c>
      <c r="P124" s="117">
        <v>88.5</v>
      </c>
      <c r="Q124" s="117">
        <v>93.4</v>
      </c>
      <c r="R124" s="117">
        <v>94.9</v>
      </c>
      <c r="S124" s="117">
        <v>104.4</v>
      </c>
      <c r="T124" s="117">
        <v>103.8</v>
      </c>
      <c r="U124" s="117">
        <v>108.1</v>
      </c>
      <c r="V124" s="117">
        <v>100</v>
      </c>
      <c r="W124" s="117">
        <v>99</v>
      </c>
      <c r="X124" s="117">
        <v>108.5</v>
      </c>
      <c r="Y124" s="117">
        <v>105</v>
      </c>
      <c r="Z124" s="117">
        <v>104.4</v>
      </c>
      <c r="AA124" s="117">
        <v>99.9</v>
      </c>
      <c r="AB124" s="117">
        <v>94.9</v>
      </c>
      <c r="AC124" s="117">
        <v>102</v>
      </c>
      <c r="AD124" s="117">
        <v>105</v>
      </c>
      <c r="AE124" s="117">
        <v>99</v>
      </c>
      <c r="AF124" s="117">
        <v>91</v>
      </c>
      <c r="AG124" s="118"/>
      <c r="AH124" s="47"/>
      <c r="AI124" s="48"/>
    </row>
    <row r="125" spans="1:35" x14ac:dyDescent="0.25">
      <c r="A125" s="173" t="s">
        <v>256</v>
      </c>
      <c r="B125" s="117">
        <v>56.4</v>
      </c>
      <c r="C125" s="117">
        <v>70.099999999999994</v>
      </c>
      <c r="D125" s="117">
        <v>79</v>
      </c>
      <c r="E125" s="117">
        <v>75.3</v>
      </c>
      <c r="F125" s="117">
        <v>70</v>
      </c>
      <c r="G125" s="117">
        <v>55.3</v>
      </c>
      <c r="H125" s="117">
        <v>45.8</v>
      </c>
      <c r="I125" s="117">
        <v>15.2</v>
      </c>
      <c r="J125" s="117">
        <v>10.74</v>
      </c>
      <c r="K125" s="117">
        <v>-23.4</v>
      </c>
      <c r="L125" s="117">
        <v>-35.299999999999997</v>
      </c>
      <c r="M125" s="117">
        <v>-34.6</v>
      </c>
      <c r="N125" s="117">
        <v>-43.3</v>
      </c>
      <c r="O125" s="117">
        <v>-23.2</v>
      </c>
      <c r="P125" s="117">
        <v>-5.8</v>
      </c>
      <c r="Q125" s="117">
        <v>7.5</v>
      </c>
      <c r="R125" s="117">
        <v>21.5</v>
      </c>
      <c r="S125" s="117">
        <v>39.4</v>
      </c>
      <c r="T125" s="117">
        <v>29.2</v>
      </c>
      <c r="U125" s="117">
        <v>23.9</v>
      </c>
      <c r="V125" s="117">
        <v>-8.3000000000000007</v>
      </c>
      <c r="W125" s="117">
        <v>-32.799999999999997</v>
      </c>
      <c r="X125" s="117">
        <v>-53.1</v>
      </c>
      <c r="Y125" s="117">
        <v>-61.1</v>
      </c>
      <c r="Z125" s="117">
        <v>-59.3</v>
      </c>
      <c r="AA125" s="117">
        <v>-58.3</v>
      </c>
      <c r="AB125" s="117">
        <v>-56.2</v>
      </c>
      <c r="AC125" s="117">
        <v>-25.2</v>
      </c>
      <c r="AD125" s="117">
        <v>-10</v>
      </c>
      <c r="AE125" s="117">
        <v>41</v>
      </c>
      <c r="AF125" s="117">
        <v>68</v>
      </c>
      <c r="AG125" s="118"/>
      <c r="AH125" s="47"/>
      <c r="AI125" s="48"/>
    </row>
    <row r="126" spans="1:35" ht="15.75" thickBot="1" x14ac:dyDescent="0.3">
      <c r="A126" s="173" t="s">
        <v>255</v>
      </c>
      <c r="B126" s="117">
        <v>81</v>
      </c>
      <c r="C126" s="117">
        <v>97.2</v>
      </c>
      <c r="D126" s="117">
        <v>112</v>
      </c>
      <c r="E126" s="117">
        <v>109.2</v>
      </c>
      <c r="F126" s="117">
        <v>103.9</v>
      </c>
      <c r="G126" s="117">
        <v>97.6</v>
      </c>
      <c r="H126" s="117">
        <v>110</v>
      </c>
      <c r="I126" s="117">
        <v>100</v>
      </c>
      <c r="J126" s="117">
        <v>107</v>
      </c>
      <c r="K126" s="117">
        <v>101</v>
      </c>
      <c r="L126" s="117">
        <v>98.2</v>
      </c>
      <c r="M126" s="117">
        <v>73.400000000000006</v>
      </c>
      <c r="N126" s="117">
        <v>64.3</v>
      </c>
      <c r="O126" s="117">
        <v>68.2</v>
      </c>
      <c r="P126" s="117">
        <v>85</v>
      </c>
      <c r="Q126" s="117">
        <v>94.9</v>
      </c>
      <c r="R126" s="117">
        <v>91.5</v>
      </c>
      <c r="S126" s="117">
        <v>92.7</v>
      </c>
      <c r="T126" s="117">
        <v>92.6</v>
      </c>
      <c r="U126" s="117">
        <v>92.7</v>
      </c>
      <c r="V126" s="117">
        <v>83.9</v>
      </c>
      <c r="W126" s="117">
        <v>75.400000000000006</v>
      </c>
      <c r="X126" s="117">
        <v>81.5</v>
      </c>
      <c r="Y126" s="117">
        <v>92.4</v>
      </c>
      <c r="Z126" s="117">
        <v>94.2</v>
      </c>
      <c r="AA126" s="117">
        <v>93.7</v>
      </c>
      <c r="AB126" s="117">
        <v>93.6</v>
      </c>
      <c r="AC126" s="117">
        <v>100</v>
      </c>
      <c r="AD126" s="117">
        <v>85</v>
      </c>
      <c r="AE126" s="117">
        <v>87</v>
      </c>
      <c r="AF126" s="117">
        <v>87.6</v>
      </c>
      <c r="AG126" s="114"/>
      <c r="AH126" s="47">
        <f t="shared" si="25"/>
        <v>112</v>
      </c>
      <c r="AI126" s="48">
        <f t="shared" si="26"/>
        <v>64.3</v>
      </c>
    </row>
    <row r="127" spans="1:35" x14ac:dyDescent="0.25">
      <c r="A127" s="172" t="s">
        <v>257</v>
      </c>
      <c r="B127" s="117">
        <v>76.900000000000006</v>
      </c>
      <c r="C127" s="117">
        <v>69</v>
      </c>
      <c r="D127" s="117">
        <v>62</v>
      </c>
      <c r="E127" s="117">
        <v>60.7</v>
      </c>
      <c r="F127" s="117">
        <v>65</v>
      </c>
      <c r="G127" s="117">
        <v>67.5</v>
      </c>
      <c r="H127" s="117">
        <v>36</v>
      </c>
      <c r="I127" s="117">
        <v>36.4</v>
      </c>
      <c r="J127" s="117">
        <v>34.1</v>
      </c>
      <c r="K127" s="117">
        <v>24</v>
      </c>
      <c r="L127" s="117">
        <v>22.1</v>
      </c>
      <c r="M127" s="117">
        <v>0</v>
      </c>
      <c r="N127" s="117">
        <v>28.1</v>
      </c>
      <c r="O127" s="117">
        <v>31.3</v>
      </c>
      <c r="P127" s="117">
        <v>41.4</v>
      </c>
      <c r="Q127" s="117">
        <v>89.6</v>
      </c>
      <c r="R127" s="117">
        <v>40.700000000000003</v>
      </c>
      <c r="S127" s="117">
        <v>59.4</v>
      </c>
      <c r="T127" s="117">
        <v>29.2</v>
      </c>
      <c r="U127" s="117">
        <v>32.4</v>
      </c>
      <c r="V127" s="117">
        <v>24.4</v>
      </c>
      <c r="W127" s="117">
        <v>20.100000000000001</v>
      </c>
      <c r="X127" s="117">
        <v>-1.3</v>
      </c>
      <c r="Y127" s="117"/>
      <c r="Z127" s="117"/>
      <c r="AA127" s="117">
        <v>0</v>
      </c>
      <c r="AB127" s="117"/>
      <c r="AC127" s="117">
        <v>52</v>
      </c>
      <c r="AD127" s="117">
        <v>19</v>
      </c>
      <c r="AE127" s="117">
        <v>22</v>
      </c>
      <c r="AF127" s="106">
        <v>24</v>
      </c>
      <c r="AG127" s="114"/>
      <c r="AH127" s="47">
        <f t="shared" si="25"/>
        <v>89.6</v>
      </c>
      <c r="AI127" s="48">
        <f t="shared" si="26"/>
        <v>-1.3</v>
      </c>
    </row>
    <row r="128" spans="1:35" x14ac:dyDescent="0.25">
      <c r="A128" s="173" t="s">
        <v>124</v>
      </c>
      <c r="B128" s="106">
        <v>1.1000000000000001</v>
      </c>
      <c r="C128" s="106">
        <v>2</v>
      </c>
      <c r="D128" s="106">
        <v>1.6</v>
      </c>
      <c r="E128" s="106">
        <v>2.2000000000000002</v>
      </c>
      <c r="F128" s="106">
        <v>-2.74</v>
      </c>
      <c r="G128" s="106">
        <v>0.5</v>
      </c>
      <c r="H128" s="106">
        <v>-5.4</v>
      </c>
      <c r="I128" s="106">
        <v>-14.3</v>
      </c>
      <c r="J128" s="106">
        <v>-21.2</v>
      </c>
      <c r="K128" s="106">
        <v>-31.8</v>
      </c>
      <c r="L128" s="106">
        <v>-36.4</v>
      </c>
      <c r="M128" s="106">
        <v>-29.6</v>
      </c>
      <c r="N128" s="106">
        <v>-26.3</v>
      </c>
      <c r="O128" s="106">
        <v>-19.100000000000001</v>
      </c>
      <c r="P128" s="106">
        <v>-8.5</v>
      </c>
      <c r="Q128" s="106">
        <v>-6.7</v>
      </c>
      <c r="R128" s="106">
        <v>-4.7</v>
      </c>
      <c r="S128" s="106">
        <v>-6.9</v>
      </c>
      <c r="T128" s="106">
        <v>-14</v>
      </c>
      <c r="U128" s="106">
        <v>-16.3</v>
      </c>
      <c r="V128" s="106">
        <v>-28</v>
      </c>
      <c r="W128" s="106">
        <v>-37.5</v>
      </c>
      <c r="X128" s="106">
        <v>-53.1</v>
      </c>
      <c r="Y128" s="106">
        <v>-46.6</v>
      </c>
      <c r="Z128" s="106">
        <v>-37.700000000000003</v>
      </c>
      <c r="AA128" s="106">
        <v>-35.799999999999997</v>
      </c>
      <c r="AB128" s="106">
        <v>-29.8</v>
      </c>
      <c r="AC128" s="106">
        <v>-22.8</v>
      </c>
      <c r="AD128" s="106">
        <v>-19</v>
      </c>
      <c r="AE128" s="106">
        <v>-11</v>
      </c>
      <c r="AF128" s="106">
        <v>-4</v>
      </c>
      <c r="AG128" s="114"/>
      <c r="AH128" s="47">
        <f t="shared" si="25"/>
        <v>2.2000000000000002</v>
      </c>
      <c r="AI128" s="48">
        <f t="shared" si="26"/>
        <v>-53.1</v>
      </c>
    </row>
    <row r="129" spans="1:37" x14ac:dyDescent="0.25">
      <c r="A129" s="173" t="s">
        <v>261</v>
      </c>
      <c r="B129" s="106">
        <v>-26.4</v>
      </c>
      <c r="C129" s="106">
        <v>-10.9</v>
      </c>
      <c r="D129" s="106">
        <v>2.2000000000000002</v>
      </c>
      <c r="E129" s="106">
        <v>2.1</v>
      </c>
      <c r="F129" s="106">
        <v>6.4</v>
      </c>
      <c r="G129" s="106">
        <v>11.8</v>
      </c>
      <c r="H129" s="106">
        <v>13.4</v>
      </c>
      <c r="I129" s="106">
        <v>16.100000000000001</v>
      </c>
      <c r="J129" s="106">
        <v>7.5</v>
      </c>
      <c r="K129" s="106">
        <v>-16.3</v>
      </c>
      <c r="L129" s="106">
        <v>-46.4</v>
      </c>
      <c r="M129" s="106">
        <v>13.5</v>
      </c>
      <c r="N129" s="106">
        <v>-50.5</v>
      </c>
      <c r="O129" s="106">
        <v>-61.1</v>
      </c>
      <c r="P129" s="106">
        <v>-62</v>
      </c>
      <c r="Q129" s="106">
        <v>-38.6</v>
      </c>
      <c r="R129" s="106">
        <v>20.3</v>
      </c>
      <c r="S129" s="106">
        <v>22.5</v>
      </c>
      <c r="T129" s="106">
        <v>22.5</v>
      </c>
      <c r="U129" s="106">
        <v>21.6</v>
      </c>
      <c r="V129" s="106">
        <v>14</v>
      </c>
      <c r="W129" s="106">
        <v>12</v>
      </c>
      <c r="X129" s="106">
        <v>12.3</v>
      </c>
      <c r="Y129" s="106">
        <v>12.2</v>
      </c>
      <c r="Z129" s="106">
        <v>11.4</v>
      </c>
      <c r="AA129" s="106">
        <v>11</v>
      </c>
      <c r="AB129" s="106">
        <v>10.5</v>
      </c>
      <c r="AC129" s="106">
        <v>10</v>
      </c>
      <c r="AD129" s="106">
        <v>9</v>
      </c>
      <c r="AE129" s="106">
        <v>26</v>
      </c>
      <c r="AF129" s="106">
        <v>27</v>
      </c>
      <c r="AG129" s="114"/>
      <c r="AH129" s="47">
        <f t="shared" si="25"/>
        <v>27</v>
      </c>
      <c r="AI129" s="48">
        <f t="shared" si="26"/>
        <v>-62</v>
      </c>
    </row>
    <row r="130" spans="1:37" ht="15.75" thickBot="1" x14ac:dyDescent="0.3">
      <c r="A130" s="173" t="s">
        <v>258</v>
      </c>
      <c r="B130" s="106">
        <v>78.2</v>
      </c>
      <c r="C130" s="106">
        <v>75.2</v>
      </c>
      <c r="D130" s="106">
        <v>73.3</v>
      </c>
      <c r="E130" s="106">
        <v>68</v>
      </c>
      <c r="F130" s="106">
        <v>76</v>
      </c>
      <c r="G130" s="106">
        <v>69.849999999999994</v>
      </c>
      <c r="H130" s="106">
        <v>79.900000000000006</v>
      </c>
      <c r="I130" s="106">
        <v>87.8</v>
      </c>
      <c r="J130" s="106">
        <v>92.74</v>
      </c>
      <c r="K130" s="106">
        <v>92.4</v>
      </c>
      <c r="L130" s="106">
        <v>98.9</v>
      </c>
      <c r="M130" s="106">
        <v>83.4</v>
      </c>
      <c r="N130" s="106">
        <v>94.3</v>
      </c>
      <c r="O130" s="106">
        <v>88</v>
      </c>
      <c r="P130" s="106">
        <v>102</v>
      </c>
      <c r="Q130" s="106">
        <v>102.1</v>
      </c>
      <c r="R130" s="106">
        <v>94.8</v>
      </c>
      <c r="S130" s="106">
        <v>103.4</v>
      </c>
      <c r="T130" s="106">
        <v>104.2</v>
      </c>
      <c r="U130" s="106">
        <v>104.4</v>
      </c>
      <c r="V130" s="106">
        <v>112.2</v>
      </c>
      <c r="W130" s="106">
        <v>97.9</v>
      </c>
      <c r="X130" s="106">
        <v>111.8</v>
      </c>
      <c r="Y130" s="106">
        <v>103.9</v>
      </c>
      <c r="Z130" s="106">
        <v>108.3</v>
      </c>
      <c r="AA130" s="106">
        <v>108.5</v>
      </c>
      <c r="AB130" s="106">
        <v>114.6</v>
      </c>
      <c r="AC130" s="106">
        <v>115.6</v>
      </c>
      <c r="AD130" s="106">
        <v>107</v>
      </c>
      <c r="AE130" s="106">
        <v>103</v>
      </c>
      <c r="AF130" s="106">
        <v>91</v>
      </c>
      <c r="AG130" s="114"/>
      <c r="AH130" s="47">
        <f t="shared" si="25"/>
        <v>115.6</v>
      </c>
      <c r="AI130" s="48">
        <f t="shared" si="26"/>
        <v>68</v>
      </c>
    </row>
    <row r="131" spans="1:37" x14ac:dyDescent="0.25">
      <c r="A131" s="144" t="s">
        <v>238</v>
      </c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6"/>
      <c r="AG131" s="43"/>
      <c r="AH131" s="47"/>
      <c r="AI131" s="48"/>
    </row>
    <row r="132" spans="1:37" ht="16.5" x14ac:dyDescent="0.25">
      <c r="A132" s="189" t="s">
        <v>368</v>
      </c>
      <c r="B132" s="205">
        <v>1983.22</v>
      </c>
      <c r="C132" s="205">
        <v>1983.52</v>
      </c>
      <c r="D132" s="205">
        <v>1983.82</v>
      </c>
      <c r="E132" s="205">
        <v>1984.11</v>
      </c>
      <c r="F132" s="205">
        <v>1984.38</v>
      </c>
      <c r="G132" s="205">
        <v>1984.66</v>
      </c>
      <c r="H132" s="205"/>
      <c r="I132" s="205">
        <v>1985</v>
      </c>
      <c r="J132" s="205"/>
      <c r="K132" s="205">
        <v>1985.02</v>
      </c>
      <c r="L132" s="205"/>
      <c r="M132" s="206">
        <v>1984.65</v>
      </c>
      <c r="N132" s="206">
        <v>1984.25</v>
      </c>
      <c r="O132" s="206">
        <v>1983.85</v>
      </c>
      <c r="P132" s="206">
        <v>1983.75</v>
      </c>
      <c r="Q132" s="206">
        <v>1983.99</v>
      </c>
      <c r="R132" s="206"/>
      <c r="S132" s="205">
        <v>1984.45</v>
      </c>
      <c r="T132" s="205">
        <v>1984.62</v>
      </c>
      <c r="U132" s="205"/>
      <c r="V132" s="205">
        <v>1984.7</v>
      </c>
      <c r="W132" s="205"/>
      <c r="X132" s="205">
        <v>1984.7</v>
      </c>
      <c r="Y132" s="205"/>
      <c r="Z132" s="205">
        <v>1984.3</v>
      </c>
      <c r="AA132" s="205"/>
      <c r="AB132" s="205">
        <v>1983.89</v>
      </c>
      <c r="AC132" s="205"/>
      <c r="AD132" s="205">
        <v>1983.73</v>
      </c>
      <c r="AE132" s="205">
        <v>1983.81</v>
      </c>
      <c r="AF132" s="208">
        <v>1984.07</v>
      </c>
      <c r="AG132" s="149"/>
      <c r="AH132" s="47"/>
      <c r="AI132" s="48"/>
    </row>
    <row r="133" spans="1:37" ht="16.5" x14ac:dyDescent="0.25">
      <c r="A133" s="189" t="s">
        <v>239</v>
      </c>
      <c r="B133" s="206">
        <v>519.72</v>
      </c>
      <c r="C133" s="206">
        <v>520.20000000000005</v>
      </c>
      <c r="D133" s="206">
        <v>520.57000000000005</v>
      </c>
      <c r="E133" s="206">
        <v>521.04</v>
      </c>
      <c r="F133" s="206">
        <v>521.4</v>
      </c>
      <c r="G133" s="206">
        <v>521.76</v>
      </c>
      <c r="H133" s="206"/>
      <c r="I133" s="206">
        <v>522</v>
      </c>
      <c r="J133" s="206"/>
      <c r="K133" s="206">
        <v>521.83000000000004</v>
      </c>
      <c r="L133" s="206"/>
      <c r="M133" s="206">
        <v>521.08000000000004</v>
      </c>
      <c r="N133" s="206">
        <v>521.02</v>
      </c>
      <c r="O133" s="206">
        <v>520.72</v>
      </c>
      <c r="P133" s="206">
        <v>520.5</v>
      </c>
      <c r="Q133" s="206">
        <v>520.28</v>
      </c>
      <c r="R133" s="206"/>
      <c r="S133" s="206">
        <v>520.11</v>
      </c>
      <c r="T133" s="206">
        <v>520.34</v>
      </c>
      <c r="U133" s="206">
        <v>520.54</v>
      </c>
      <c r="V133" s="206">
        <v>520.62</v>
      </c>
      <c r="W133" s="206"/>
      <c r="X133" s="206">
        <v>520.54</v>
      </c>
      <c r="Y133" s="206"/>
      <c r="Z133" s="206">
        <v>519.96</v>
      </c>
      <c r="AA133" s="206"/>
      <c r="AB133" s="206">
        <v>519.44000000000005</v>
      </c>
      <c r="AC133" s="206"/>
      <c r="AD133" s="206">
        <v>519.34</v>
      </c>
      <c r="AE133" s="206">
        <v>519.38</v>
      </c>
      <c r="AF133" s="209">
        <v>519.74</v>
      </c>
      <c r="AG133" s="149"/>
      <c r="AH133" s="47"/>
      <c r="AI133" s="48"/>
    </row>
    <row r="134" spans="1:37" ht="16.5" x14ac:dyDescent="0.25">
      <c r="A134" s="189" t="s">
        <v>240</v>
      </c>
      <c r="B134" s="206">
        <v>622.6</v>
      </c>
      <c r="C134" s="206">
        <v>623.1</v>
      </c>
      <c r="D134" s="206">
        <v>623.4</v>
      </c>
      <c r="E134" s="206">
        <v>623.97</v>
      </c>
      <c r="F134" s="206">
        <v>624.34</v>
      </c>
      <c r="G134" s="206">
        <v>624.5</v>
      </c>
      <c r="H134" s="206"/>
      <c r="I134" s="206">
        <v>624.61</v>
      </c>
      <c r="J134" s="206"/>
      <c r="K134" s="206">
        <v>624.19000000000005</v>
      </c>
      <c r="L134" s="206"/>
      <c r="M134" s="206">
        <v>623.4</v>
      </c>
      <c r="N134" s="206">
        <v>623.30999999999995</v>
      </c>
      <c r="O134" s="206">
        <v>622.99</v>
      </c>
      <c r="P134" s="206">
        <v>622.64</v>
      </c>
      <c r="Q134" s="206">
        <v>622.36</v>
      </c>
      <c r="R134" s="206"/>
      <c r="S134" s="206">
        <v>621.98</v>
      </c>
      <c r="T134" s="206">
        <v>622.61</v>
      </c>
      <c r="U134" s="206">
        <v>623.02</v>
      </c>
      <c r="V134" s="206">
        <v>623.04</v>
      </c>
      <c r="W134" s="206"/>
      <c r="X134" s="206">
        <v>622.83000000000004</v>
      </c>
      <c r="Y134" s="206"/>
      <c r="Z134" s="206">
        <v>622.16999999999996</v>
      </c>
      <c r="AA134" s="206"/>
      <c r="AB134" s="206">
        <v>621.44000000000005</v>
      </c>
      <c r="AC134" s="206"/>
      <c r="AD134" s="206">
        <v>621.44000000000005</v>
      </c>
      <c r="AE134" s="206">
        <v>622.11</v>
      </c>
      <c r="AF134" s="209">
        <v>622.75</v>
      </c>
      <c r="AG134" s="149"/>
      <c r="AH134" s="47"/>
      <c r="AI134" s="48"/>
    </row>
    <row r="135" spans="1:37" ht="16.5" x14ac:dyDescent="0.25">
      <c r="A135" s="189" t="s">
        <v>241</v>
      </c>
      <c r="B135" s="206">
        <v>335.02</v>
      </c>
      <c r="C135" s="206">
        <v>335.6</v>
      </c>
      <c r="D135" s="206">
        <v>336.14</v>
      </c>
      <c r="E135" s="206">
        <v>336.49</v>
      </c>
      <c r="F135" s="206">
        <v>336.69</v>
      </c>
      <c r="G135" s="206">
        <v>336.73</v>
      </c>
      <c r="H135" s="206"/>
      <c r="I135" s="206">
        <v>336.83</v>
      </c>
      <c r="J135" s="206"/>
      <c r="K135" s="206">
        <v>336.16</v>
      </c>
      <c r="L135" s="206"/>
      <c r="M135" s="206">
        <v>335.52</v>
      </c>
      <c r="N135" s="206">
        <v>335.1</v>
      </c>
      <c r="O135" s="206">
        <v>334.5</v>
      </c>
      <c r="P135" s="206">
        <v>334.07</v>
      </c>
      <c r="Q135" s="206">
        <v>333.74</v>
      </c>
      <c r="R135" s="206"/>
      <c r="S135" s="206">
        <v>334.89</v>
      </c>
      <c r="T135" s="206">
        <v>335.21</v>
      </c>
      <c r="U135" s="206">
        <v>335.37</v>
      </c>
      <c r="V135" s="206">
        <v>335.43</v>
      </c>
      <c r="W135" s="206"/>
      <c r="X135" s="206">
        <v>335.46</v>
      </c>
      <c r="Y135" s="206"/>
      <c r="Z135" s="206">
        <v>335.13</v>
      </c>
      <c r="AA135" s="206"/>
      <c r="AB135" s="206">
        <v>334.7</v>
      </c>
      <c r="AC135" s="206"/>
      <c r="AD135" s="206">
        <v>334.35</v>
      </c>
      <c r="AE135" s="206">
        <v>334.3</v>
      </c>
      <c r="AF135" s="209">
        <v>334.5</v>
      </c>
      <c r="AG135" s="149"/>
      <c r="AH135" s="47"/>
      <c r="AI135" s="48"/>
    </row>
    <row r="136" spans="1:37" ht="16.5" x14ac:dyDescent="0.25">
      <c r="A136" s="189" t="s">
        <v>407</v>
      </c>
      <c r="B136" s="206">
        <v>883.5</v>
      </c>
      <c r="C136" s="206">
        <v>884.3</v>
      </c>
      <c r="D136" s="206">
        <v>885</v>
      </c>
      <c r="E136" s="206">
        <v>885.6</v>
      </c>
      <c r="F136" s="206">
        <v>886.1</v>
      </c>
      <c r="G136" s="206">
        <v>886.5</v>
      </c>
      <c r="H136" s="206"/>
      <c r="I136" s="206">
        <v>885.7</v>
      </c>
      <c r="J136" s="206"/>
      <c r="K136" s="206">
        <v>885.4</v>
      </c>
      <c r="L136" s="206"/>
      <c r="M136" s="206">
        <v>882</v>
      </c>
      <c r="N136" s="206">
        <v>884.8</v>
      </c>
      <c r="O136" s="206">
        <v>884.4</v>
      </c>
      <c r="P136" s="206">
        <v>884.1</v>
      </c>
      <c r="Q136" s="206">
        <v>884.1</v>
      </c>
      <c r="R136" s="206"/>
      <c r="S136" s="206">
        <v>884.1</v>
      </c>
      <c r="T136" s="206"/>
      <c r="U136" s="206">
        <v>885</v>
      </c>
      <c r="V136" s="206">
        <v>885.4</v>
      </c>
      <c r="W136" s="206"/>
      <c r="X136" s="206">
        <v>885</v>
      </c>
      <c r="Y136" s="206"/>
      <c r="Z136" s="206">
        <v>883.7</v>
      </c>
      <c r="AA136" s="206"/>
      <c r="AB136" s="206">
        <v>882.3</v>
      </c>
      <c r="AC136" s="206"/>
      <c r="AD136" s="206">
        <v>882.1</v>
      </c>
      <c r="AE136" s="206">
        <v>882.8</v>
      </c>
      <c r="AF136" s="209">
        <v>883.5</v>
      </c>
      <c r="AG136" s="149"/>
      <c r="AH136" s="47"/>
      <c r="AI136" s="48"/>
    </row>
    <row r="137" spans="1:37" ht="17.25" thickBot="1" x14ac:dyDescent="0.3">
      <c r="A137" s="189" t="s">
        <v>242</v>
      </c>
      <c r="B137" s="207">
        <v>1519.66</v>
      </c>
      <c r="C137" s="207">
        <v>1519.66</v>
      </c>
      <c r="D137" s="207">
        <v>1519.66</v>
      </c>
      <c r="E137" s="207">
        <v>1519.66</v>
      </c>
      <c r="F137" s="207">
        <v>1519.66</v>
      </c>
      <c r="G137" s="207">
        <v>1519.66</v>
      </c>
      <c r="H137" s="207"/>
      <c r="I137" s="207">
        <v>1519.67</v>
      </c>
      <c r="J137" s="207"/>
      <c r="K137" s="207">
        <v>1519.67</v>
      </c>
      <c r="L137" s="207"/>
      <c r="M137" s="206"/>
      <c r="N137" s="206"/>
      <c r="O137" s="206"/>
      <c r="P137" s="206"/>
      <c r="Q137" s="206"/>
      <c r="R137" s="206"/>
      <c r="S137" s="207"/>
      <c r="T137" s="207"/>
      <c r="U137" s="207"/>
      <c r="V137" s="207"/>
      <c r="W137" s="207"/>
      <c r="X137" s="207"/>
      <c r="Y137" s="207"/>
      <c r="Z137" s="207"/>
      <c r="AA137" s="207"/>
      <c r="AB137" s="207">
        <v>1519.43</v>
      </c>
      <c r="AC137" s="207"/>
      <c r="AD137" s="207"/>
      <c r="AE137" s="207"/>
      <c r="AF137" s="210"/>
      <c r="AG137" s="149"/>
      <c r="AH137" s="47"/>
      <c r="AI137" s="48"/>
    </row>
    <row r="138" spans="1:37" ht="15.75" thickBot="1" x14ac:dyDescent="0.3">
      <c r="A138" s="120" t="s">
        <v>125</v>
      </c>
      <c r="B138" s="121"/>
      <c r="C138" s="121"/>
      <c r="D138" s="121"/>
      <c r="E138" s="121"/>
      <c r="F138" s="170" t="s">
        <v>254</v>
      </c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74"/>
      <c r="AH138" s="47"/>
      <c r="AI138" s="48"/>
      <c r="AK138" s="50"/>
    </row>
    <row r="139" spans="1:37" x14ac:dyDescent="0.25">
      <c r="A139" s="122" t="s">
        <v>126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5">
        <v>9.94</v>
      </c>
      <c r="AH139" s="47"/>
      <c r="AI139" s="48"/>
      <c r="AK139" s="50"/>
    </row>
    <row r="140" spans="1:37" x14ac:dyDescent="0.25">
      <c r="A140" s="103" t="s">
        <v>127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5"/>
      <c r="AH140" s="47"/>
      <c r="AI140" s="48"/>
      <c r="AK140" s="50"/>
    </row>
    <row r="141" spans="1:37" x14ac:dyDescent="0.25">
      <c r="A141" s="103" t="s">
        <v>128</v>
      </c>
      <c r="B141" s="123"/>
      <c r="C141" s="124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5"/>
      <c r="AH141" s="47"/>
      <c r="AI141" s="48"/>
      <c r="AK141" s="50"/>
    </row>
    <row r="142" spans="1:37" x14ac:dyDescent="0.25">
      <c r="A142" s="103" t="s">
        <v>129</v>
      </c>
      <c r="B142" s="123"/>
      <c r="C142" s="124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5"/>
      <c r="AH142" s="47"/>
      <c r="AI142" s="48"/>
      <c r="AK142" s="50"/>
    </row>
    <row r="143" spans="1:37" x14ac:dyDescent="0.25">
      <c r="A143" s="103" t="s">
        <v>130</v>
      </c>
      <c r="B143" s="123"/>
      <c r="C143" s="124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5"/>
      <c r="AH143" s="47"/>
      <c r="AI143" s="48"/>
      <c r="AK143" s="50"/>
    </row>
    <row r="144" spans="1:37" x14ac:dyDescent="0.25">
      <c r="A144" s="103" t="s">
        <v>131</v>
      </c>
      <c r="B144" s="123"/>
      <c r="C144" s="124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5"/>
      <c r="AH144" s="47"/>
      <c r="AI144" s="48"/>
      <c r="AK144" s="50"/>
    </row>
    <row r="145" spans="1:37" x14ac:dyDescent="0.25">
      <c r="A145" s="103" t="s">
        <v>132</v>
      </c>
      <c r="B145" s="123"/>
      <c r="C145" s="124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5"/>
      <c r="AH145" s="47"/>
      <c r="AI145" s="48"/>
      <c r="AK145" s="50"/>
    </row>
    <row r="146" spans="1:37" x14ac:dyDescent="0.25">
      <c r="A146" s="103" t="s">
        <v>133</v>
      </c>
      <c r="B146" s="123"/>
      <c r="C146" s="124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5"/>
      <c r="AH146" s="47"/>
      <c r="AI146" s="48"/>
      <c r="AK146" s="50"/>
    </row>
    <row r="147" spans="1:37" x14ac:dyDescent="0.25">
      <c r="A147" s="103" t="s">
        <v>134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5"/>
      <c r="AH147" s="47"/>
      <c r="AI147" s="48"/>
      <c r="AK147" s="50"/>
    </row>
    <row r="148" spans="1:37" x14ac:dyDescent="0.25">
      <c r="A148" s="103" t="s">
        <v>135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5"/>
      <c r="AH148" s="47"/>
      <c r="AI148" s="48"/>
      <c r="AK148" s="50"/>
    </row>
    <row r="149" spans="1:37" x14ac:dyDescent="0.25">
      <c r="A149" s="103" t="s">
        <v>136</v>
      </c>
      <c r="B149" s="123"/>
      <c r="C149" s="124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5"/>
      <c r="AH149" s="47"/>
      <c r="AI149" s="48"/>
      <c r="AK149" s="50"/>
    </row>
    <row r="150" spans="1:37" x14ac:dyDescent="0.25">
      <c r="A150" s="103" t="s">
        <v>137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5"/>
      <c r="AH150" s="47"/>
      <c r="AI150" s="48"/>
      <c r="AK150" s="50"/>
    </row>
    <row r="151" spans="1:37" x14ac:dyDescent="0.25">
      <c r="A151" s="103" t="s">
        <v>138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5"/>
      <c r="AH151" s="47"/>
      <c r="AI151" s="48"/>
      <c r="AK151" s="50"/>
    </row>
    <row r="152" spans="1:37" x14ac:dyDescent="0.25">
      <c r="A152" s="103" t="s">
        <v>139</v>
      </c>
      <c r="B152" s="123"/>
      <c r="C152" s="124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5"/>
      <c r="AH152" s="47"/>
      <c r="AI152" s="48"/>
      <c r="AK152" s="50"/>
    </row>
    <row r="153" spans="1:37" x14ac:dyDescent="0.25">
      <c r="A153" s="103" t="s">
        <v>140</v>
      </c>
      <c r="B153" s="123"/>
      <c r="C153" s="124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5"/>
      <c r="AH153" s="47"/>
      <c r="AI153" s="48"/>
      <c r="AK153" s="50"/>
    </row>
    <row r="154" spans="1:37" x14ac:dyDescent="0.25">
      <c r="A154" s="103" t="s">
        <v>141</v>
      </c>
      <c r="B154" s="123"/>
      <c r="C154" s="124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5"/>
      <c r="AH154" s="47"/>
      <c r="AI154" s="48"/>
      <c r="AK154" s="50"/>
    </row>
    <row r="155" spans="1:37" x14ac:dyDescent="0.25">
      <c r="A155" s="103" t="s">
        <v>142</v>
      </c>
      <c r="B155" s="126"/>
      <c r="C155" s="127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8">
        <v>9.9</v>
      </c>
      <c r="AH155" s="47"/>
      <c r="AI155" s="48"/>
      <c r="AK155" s="50"/>
    </row>
    <row r="156" spans="1:37" x14ac:dyDescent="0.25">
      <c r="A156" s="116" t="s">
        <v>143</v>
      </c>
      <c r="B156" s="126"/>
      <c r="C156" s="127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9">
        <v>9.6579999999999995</v>
      </c>
      <c r="AH156" s="47"/>
      <c r="AI156" s="48"/>
      <c r="AK156" s="50"/>
    </row>
    <row r="157" spans="1:37" x14ac:dyDescent="0.25">
      <c r="A157" s="116" t="s">
        <v>144</v>
      </c>
      <c r="B157" s="126"/>
      <c r="C157" s="127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9">
        <v>9.6</v>
      </c>
      <c r="AH157" s="47"/>
      <c r="AI157" s="48"/>
      <c r="AK157" s="50"/>
    </row>
    <row r="158" spans="1:37" x14ac:dyDescent="0.25">
      <c r="A158" s="116" t="s">
        <v>145</v>
      </c>
      <c r="B158" s="126"/>
      <c r="C158" s="127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9">
        <v>9.51</v>
      </c>
      <c r="AH158" s="47"/>
      <c r="AI158" s="48"/>
      <c r="AK158" s="50"/>
    </row>
    <row r="159" spans="1:37" x14ac:dyDescent="0.25">
      <c r="A159" s="116" t="s">
        <v>146</v>
      </c>
      <c r="B159" s="126"/>
      <c r="C159" s="127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9">
        <v>9.4</v>
      </c>
      <c r="AH159" s="47"/>
      <c r="AI159" s="48"/>
      <c r="AK159" s="50"/>
    </row>
    <row r="160" spans="1:37" x14ac:dyDescent="0.25">
      <c r="A160" s="116" t="s">
        <v>147</v>
      </c>
      <c r="B160" s="126"/>
      <c r="C160" s="127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9">
        <v>8.8000000000000007</v>
      </c>
      <c r="AH160" s="47"/>
      <c r="AI160" s="48"/>
      <c r="AK160" s="50"/>
    </row>
    <row r="161" spans="1:37" x14ac:dyDescent="0.25">
      <c r="A161" s="116" t="s">
        <v>148</v>
      </c>
      <c r="B161" s="126"/>
      <c r="C161" s="127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9">
        <v>8.5</v>
      </c>
      <c r="AH161" s="47"/>
      <c r="AI161" s="48"/>
      <c r="AK161" s="50"/>
    </row>
    <row r="162" spans="1:37" x14ac:dyDescent="0.25">
      <c r="A162" s="116" t="s">
        <v>149</v>
      </c>
      <c r="B162" s="126"/>
      <c r="C162" s="127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9">
        <v>8.5</v>
      </c>
      <c r="AH162" s="47"/>
      <c r="AI162" s="48"/>
      <c r="AK162" s="50"/>
    </row>
    <row r="163" spans="1:37" x14ac:dyDescent="0.25">
      <c r="A163" s="116" t="s">
        <v>150</v>
      </c>
      <c r="B163" s="126"/>
      <c r="C163" s="127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9">
        <v>8.4</v>
      </c>
      <c r="AH163" s="47"/>
      <c r="AI163" s="48"/>
      <c r="AK163" s="50"/>
    </row>
    <row r="164" spans="1:37" ht="13.5" customHeight="1" x14ac:dyDescent="0.25">
      <c r="A164" s="116" t="s">
        <v>151</v>
      </c>
      <c r="B164" s="126"/>
      <c r="C164" s="127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9">
        <v>8</v>
      </c>
      <c r="AH164" s="47"/>
      <c r="AI164" s="48"/>
      <c r="AK164" s="50"/>
    </row>
    <row r="165" spans="1:37" x14ac:dyDescent="0.25">
      <c r="A165" s="116" t="s">
        <v>152</v>
      </c>
      <c r="B165" s="126"/>
      <c r="C165" s="127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9">
        <v>8</v>
      </c>
      <c r="AH165" s="47"/>
      <c r="AI165" s="48"/>
      <c r="AK165" s="50"/>
    </row>
    <row r="166" spans="1:37" x14ac:dyDescent="0.25">
      <c r="A166" s="116" t="s">
        <v>153</v>
      </c>
      <c r="B166" s="126"/>
      <c r="C166" s="127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9">
        <v>8</v>
      </c>
      <c r="AH166" s="47"/>
      <c r="AI166" s="48"/>
      <c r="AK166" s="50"/>
    </row>
    <row r="167" spans="1:37" x14ac:dyDescent="0.25">
      <c r="A167" s="116" t="s">
        <v>154</v>
      </c>
      <c r="B167" s="126"/>
      <c r="C167" s="127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9">
        <v>7.8</v>
      </c>
      <c r="AH167" s="47"/>
      <c r="AI167" s="48"/>
      <c r="AK167" s="50"/>
    </row>
    <row r="168" spans="1:37" x14ac:dyDescent="0.25">
      <c r="A168" s="116" t="s">
        <v>155</v>
      </c>
      <c r="B168" s="126"/>
      <c r="C168" s="127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9">
        <v>7.6</v>
      </c>
      <c r="AH168" s="47"/>
      <c r="AI168" s="48"/>
      <c r="AK168" s="50"/>
    </row>
    <row r="169" spans="1:37" x14ac:dyDescent="0.25">
      <c r="A169" s="116" t="s">
        <v>156</v>
      </c>
      <c r="B169" s="126"/>
      <c r="C169" s="127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9">
        <v>7.5</v>
      </c>
      <c r="AH169" s="47"/>
      <c r="AI169" s="48"/>
      <c r="AK169" s="50"/>
    </row>
    <row r="170" spans="1:37" x14ac:dyDescent="0.25">
      <c r="A170" s="116" t="s">
        <v>157</v>
      </c>
      <c r="B170" s="126"/>
      <c r="C170" s="127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9">
        <v>7.5</v>
      </c>
      <c r="AH170" s="47"/>
      <c r="AI170" s="48"/>
      <c r="AK170" s="50"/>
    </row>
    <row r="171" spans="1:37" x14ac:dyDescent="0.25">
      <c r="A171" s="116" t="s">
        <v>158</v>
      </c>
      <c r="B171" s="126"/>
      <c r="C171" s="127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9">
        <v>7</v>
      </c>
      <c r="AH171" s="47"/>
      <c r="AI171" s="48"/>
      <c r="AK171" s="50"/>
    </row>
    <row r="172" spans="1:37" x14ac:dyDescent="0.25">
      <c r="A172" s="116" t="s">
        <v>159</v>
      </c>
      <c r="B172" s="126"/>
      <c r="C172" s="127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9">
        <v>7</v>
      </c>
      <c r="AH172" s="47"/>
      <c r="AI172" s="48"/>
      <c r="AK172" s="50"/>
    </row>
    <row r="173" spans="1:37" x14ac:dyDescent="0.25">
      <c r="A173" s="116" t="s">
        <v>160</v>
      </c>
      <c r="B173" s="126"/>
      <c r="C173" s="127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9">
        <v>7</v>
      </c>
      <c r="AH173" s="47"/>
      <c r="AI173" s="48"/>
      <c r="AK173" s="50"/>
    </row>
    <row r="174" spans="1:37" x14ac:dyDescent="0.25">
      <c r="A174" s="116" t="s">
        <v>161</v>
      </c>
      <c r="B174" s="126"/>
      <c r="C174" s="127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9">
        <v>7</v>
      </c>
      <c r="AH174" s="47"/>
      <c r="AI174" s="48"/>
      <c r="AK174" s="50"/>
    </row>
    <row r="175" spans="1:37" x14ac:dyDescent="0.25">
      <c r="A175" s="116" t="s">
        <v>162</v>
      </c>
      <c r="B175" s="126"/>
      <c r="C175" s="127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9">
        <v>6.6</v>
      </c>
      <c r="AH175" s="47"/>
      <c r="AI175" s="48"/>
      <c r="AK175" s="50"/>
    </row>
    <row r="176" spans="1:37" x14ac:dyDescent="0.25">
      <c r="A176" s="116" t="s">
        <v>163</v>
      </c>
      <c r="B176" s="126"/>
      <c r="C176" s="127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9">
        <v>6.6</v>
      </c>
      <c r="AH176" s="47"/>
      <c r="AI176" s="48"/>
      <c r="AK176" s="50"/>
    </row>
    <row r="177" spans="1:37" x14ac:dyDescent="0.25">
      <c r="A177" s="116" t="s">
        <v>164</v>
      </c>
      <c r="B177" s="126"/>
      <c r="C177" s="127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9">
        <v>6.4</v>
      </c>
      <c r="AH177" s="47"/>
      <c r="AI177" s="48"/>
      <c r="AK177" s="50"/>
    </row>
    <row r="178" spans="1:37" x14ac:dyDescent="0.25">
      <c r="A178" s="116" t="s">
        <v>165</v>
      </c>
      <c r="B178" s="126"/>
      <c r="C178" s="127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9">
        <v>6</v>
      </c>
      <c r="AH178" s="47"/>
      <c r="AI178" s="48"/>
      <c r="AK178" s="50"/>
    </row>
    <row r="179" spans="1:37" x14ac:dyDescent="0.25">
      <c r="A179" s="116" t="s">
        <v>166</v>
      </c>
      <c r="B179" s="126"/>
      <c r="C179" s="127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9">
        <v>5.0999999999999996</v>
      </c>
      <c r="AH179" s="47"/>
      <c r="AI179" s="48"/>
      <c r="AK179" s="50"/>
    </row>
    <row r="180" spans="1:37" x14ac:dyDescent="0.25">
      <c r="A180" s="116" t="s">
        <v>167</v>
      </c>
      <c r="B180" s="126"/>
      <c r="C180" s="127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9">
        <v>5</v>
      </c>
      <c r="AH180" s="47"/>
      <c r="AI180" s="48"/>
      <c r="AK180" s="50"/>
    </row>
    <row r="181" spans="1:37" x14ac:dyDescent="0.25">
      <c r="A181" s="103" t="s">
        <v>168</v>
      </c>
      <c r="B181" s="126"/>
      <c r="C181" s="127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8">
        <v>5</v>
      </c>
      <c r="AH181" s="47"/>
      <c r="AI181" s="48"/>
      <c r="AK181" s="50"/>
    </row>
    <row r="182" spans="1:37" x14ac:dyDescent="0.25">
      <c r="A182" s="116" t="s">
        <v>169</v>
      </c>
      <c r="B182" s="126"/>
      <c r="C182" s="127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9">
        <v>5</v>
      </c>
      <c r="AH182" s="47"/>
      <c r="AI182" s="48"/>
      <c r="AK182" s="50"/>
    </row>
    <row r="183" spans="1:37" x14ac:dyDescent="0.25">
      <c r="A183" s="116" t="s">
        <v>170</v>
      </c>
      <c r="B183" s="126"/>
      <c r="C183" s="127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9">
        <v>5</v>
      </c>
      <c r="AH183" s="47"/>
      <c r="AI183" s="48"/>
      <c r="AK183" s="50"/>
    </row>
    <row r="184" spans="1:37" x14ac:dyDescent="0.25">
      <c r="A184" s="116" t="s">
        <v>171</v>
      </c>
      <c r="B184" s="126"/>
      <c r="C184" s="127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9">
        <v>5</v>
      </c>
      <c r="AH184" s="47"/>
      <c r="AI184" s="48"/>
      <c r="AK184" s="50"/>
    </row>
    <row r="185" spans="1:37" x14ac:dyDescent="0.25">
      <c r="A185" s="116" t="s">
        <v>172</v>
      </c>
      <c r="B185" s="126"/>
      <c r="C185" s="127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9">
        <v>5</v>
      </c>
      <c r="AH185" s="47"/>
      <c r="AI185" s="48"/>
      <c r="AK185" s="50"/>
    </row>
    <row r="186" spans="1:37" x14ac:dyDescent="0.25">
      <c r="A186" s="116" t="s">
        <v>173</v>
      </c>
      <c r="B186" s="126"/>
      <c r="C186" s="127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9">
        <v>5</v>
      </c>
      <c r="AH186" s="47"/>
      <c r="AI186" s="48"/>
      <c r="AK186" s="50"/>
    </row>
    <row r="187" spans="1:37" x14ac:dyDescent="0.25">
      <c r="A187" s="116" t="s">
        <v>174</v>
      </c>
      <c r="B187" s="126"/>
      <c r="C187" s="127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9">
        <v>4.9930000000000003</v>
      </c>
      <c r="AH187" s="47"/>
      <c r="AI187" s="48"/>
      <c r="AK187" s="50"/>
    </row>
    <row r="188" spans="1:37" x14ac:dyDescent="0.25">
      <c r="A188" s="116" t="s">
        <v>175</v>
      </c>
      <c r="B188" s="126"/>
      <c r="C188" s="127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9">
        <v>4.9800000000000004</v>
      </c>
      <c r="AH188" s="47"/>
      <c r="AI188" s="48"/>
      <c r="AK188" s="50"/>
    </row>
    <row r="189" spans="1:37" x14ac:dyDescent="0.25">
      <c r="A189" s="116" t="s">
        <v>176</v>
      </c>
      <c r="B189" s="126"/>
      <c r="C189" s="127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9">
        <v>4.95</v>
      </c>
      <c r="AH189" s="47"/>
      <c r="AI189" s="48"/>
      <c r="AK189" s="50"/>
    </row>
    <row r="190" spans="1:37" x14ac:dyDescent="0.25">
      <c r="A190" s="116" t="s">
        <v>177</v>
      </c>
      <c r="B190" s="126"/>
      <c r="C190" s="127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9">
        <v>4.95</v>
      </c>
      <c r="AH190" s="47"/>
      <c r="AI190" s="48"/>
      <c r="AK190" s="50"/>
    </row>
    <row r="191" spans="1:37" x14ac:dyDescent="0.25">
      <c r="A191" s="116" t="s">
        <v>178</v>
      </c>
      <c r="B191" s="126"/>
      <c r="C191" s="127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9">
        <v>4.8</v>
      </c>
      <c r="AH191" s="47"/>
      <c r="AI191" s="48"/>
      <c r="AK191" s="50"/>
    </row>
    <row r="192" spans="1:37" x14ac:dyDescent="0.25">
      <c r="A192" s="116" t="s">
        <v>179</v>
      </c>
      <c r="B192" s="126"/>
      <c r="C192" s="127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9">
        <v>4.8</v>
      </c>
      <c r="AH192" s="47"/>
      <c r="AI192" s="48"/>
      <c r="AK192" s="50"/>
    </row>
    <row r="193" spans="1:37" x14ac:dyDescent="0.25">
      <c r="A193" s="116" t="s">
        <v>180</v>
      </c>
      <c r="B193" s="126"/>
      <c r="C193" s="127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9">
        <v>4.8</v>
      </c>
      <c r="AH193" s="47"/>
      <c r="AI193" s="48"/>
      <c r="AK193" s="50"/>
    </row>
    <row r="194" spans="1:37" x14ac:dyDescent="0.25">
      <c r="A194" s="116" t="s">
        <v>181</v>
      </c>
      <c r="B194" s="126"/>
      <c r="C194" s="127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9">
        <v>4.5</v>
      </c>
      <c r="AH194" s="47"/>
      <c r="AI194" s="48"/>
      <c r="AK194" s="50"/>
    </row>
    <row r="195" spans="1:37" x14ac:dyDescent="0.25">
      <c r="A195" s="116" t="s">
        <v>182</v>
      </c>
      <c r="B195" s="126"/>
      <c r="C195" s="127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9">
        <v>4.5</v>
      </c>
      <c r="AH195" s="47"/>
      <c r="AI195" s="48"/>
      <c r="AK195" s="50"/>
    </row>
    <row r="196" spans="1:37" x14ac:dyDescent="0.25">
      <c r="A196" s="116" t="s">
        <v>183</v>
      </c>
      <c r="B196" s="126"/>
      <c r="C196" s="127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9">
        <v>4.4550000000000001</v>
      </c>
      <c r="AH196" s="47"/>
      <c r="AI196" s="48"/>
      <c r="AK196" s="50"/>
    </row>
    <row r="197" spans="1:37" x14ac:dyDescent="0.25">
      <c r="A197" s="116" t="s">
        <v>184</v>
      </c>
      <c r="B197" s="126"/>
      <c r="C197" s="127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9">
        <v>4.41</v>
      </c>
      <c r="AH197" s="47"/>
      <c r="AI197" s="48"/>
      <c r="AK197" s="50"/>
    </row>
    <row r="198" spans="1:37" x14ac:dyDescent="0.25">
      <c r="A198" s="116" t="s">
        <v>185</v>
      </c>
      <c r="B198" s="126"/>
      <c r="C198" s="127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9">
        <v>4.4000000000000004</v>
      </c>
      <c r="AH198" s="47"/>
      <c r="AI198" s="48"/>
      <c r="AK198" s="50"/>
    </row>
    <row r="199" spans="1:37" x14ac:dyDescent="0.25">
      <c r="A199" s="116" t="s">
        <v>186</v>
      </c>
      <c r="B199" s="126"/>
      <c r="C199" s="127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9">
        <v>4.3600000000000003</v>
      </c>
      <c r="AH199" s="47"/>
      <c r="AI199" s="48"/>
      <c r="AK199" s="50"/>
    </row>
    <row r="200" spans="1:37" x14ac:dyDescent="0.25">
      <c r="A200" s="116" t="s">
        <v>187</v>
      </c>
      <c r="B200" s="126"/>
      <c r="C200" s="127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9">
        <v>4.2</v>
      </c>
      <c r="AH200" s="47"/>
      <c r="AI200" s="48"/>
      <c r="AK200" s="50"/>
    </row>
    <row r="201" spans="1:37" x14ac:dyDescent="0.25">
      <c r="A201" s="116" t="s">
        <v>188</v>
      </c>
      <c r="B201" s="126"/>
      <c r="C201" s="127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9">
        <v>4</v>
      </c>
      <c r="AH201" s="47"/>
      <c r="AI201" s="48"/>
      <c r="AK201" s="50"/>
    </row>
    <row r="202" spans="1:37" x14ac:dyDescent="0.25">
      <c r="A202" s="116" t="s">
        <v>189</v>
      </c>
      <c r="B202" s="126"/>
      <c r="C202" s="127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9">
        <v>4</v>
      </c>
      <c r="AH202" s="47"/>
      <c r="AI202" s="48"/>
      <c r="AK202" s="50"/>
    </row>
    <row r="203" spans="1:37" x14ac:dyDescent="0.25">
      <c r="A203" s="116" t="s">
        <v>190</v>
      </c>
      <c r="B203" s="126"/>
      <c r="C203" s="127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9">
        <v>4</v>
      </c>
      <c r="AH203" s="47"/>
      <c r="AI203" s="48"/>
      <c r="AK203" s="50"/>
    </row>
    <row r="204" spans="1:37" x14ac:dyDescent="0.25">
      <c r="A204" s="116" t="s">
        <v>191</v>
      </c>
      <c r="B204" s="126"/>
      <c r="C204" s="127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9">
        <v>4</v>
      </c>
      <c r="AH204" s="47"/>
      <c r="AI204" s="48"/>
      <c r="AK204" s="50"/>
    </row>
    <row r="205" spans="1:37" x14ac:dyDescent="0.25">
      <c r="A205" s="116" t="s">
        <v>192</v>
      </c>
      <c r="B205" s="126"/>
      <c r="C205" s="127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9">
        <v>4</v>
      </c>
      <c r="AH205" s="47"/>
      <c r="AI205" s="48"/>
      <c r="AK205" s="50"/>
    </row>
    <row r="206" spans="1:37" x14ac:dyDescent="0.25">
      <c r="A206" s="116" t="s">
        <v>193</v>
      </c>
      <c r="B206" s="126"/>
      <c r="C206" s="127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9">
        <v>4</v>
      </c>
      <c r="AH206" s="47"/>
      <c r="AI206" s="48"/>
      <c r="AK206" s="50"/>
    </row>
    <row r="207" spans="1:37" x14ac:dyDescent="0.25">
      <c r="A207" s="116" t="s">
        <v>194</v>
      </c>
      <c r="B207" s="126"/>
      <c r="C207" s="127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9">
        <v>4</v>
      </c>
      <c r="AH207" s="47"/>
      <c r="AI207" s="48"/>
      <c r="AK207" s="50"/>
    </row>
    <row r="208" spans="1:37" x14ac:dyDescent="0.25">
      <c r="A208" s="116" t="s">
        <v>195</v>
      </c>
      <c r="B208" s="126"/>
      <c r="C208" s="127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9">
        <v>4</v>
      </c>
      <c r="AH208" s="47"/>
      <c r="AI208" s="48"/>
      <c r="AK208" s="50"/>
    </row>
    <row r="209" spans="1:37" x14ac:dyDescent="0.25">
      <c r="A209" s="116" t="s">
        <v>196</v>
      </c>
      <c r="B209" s="126"/>
      <c r="C209" s="127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9">
        <v>3.75</v>
      </c>
      <c r="AH209" s="47"/>
      <c r="AI209" s="48"/>
      <c r="AK209" s="50"/>
    </row>
    <row r="210" spans="1:37" x14ac:dyDescent="0.25">
      <c r="A210" s="116" t="s">
        <v>197</v>
      </c>
      <c r="B210" s="126"/>
      <c r="C210" s="127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9">
        <v>3.52</v>
      </c>
      <c r="AH210" s="47"/>
      <c r="AI210" s="48"/>
      <c r="AK210" s="50"/>
    </row>
    <row r="211" spans="1:37" x14ac:dyDescent="0.25">
      <c r="A211" s="116" t="s">
        <v>198</v>
      </c>
      <c r="B211" s="126"/>
      <c r="C211" s="127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9">
        <v>3.33</v>
      </c>
      <c r="AH211" s="47"/>
      <c r="AI211" s="48"/>
      <c r="AK211" s="50"/>
    </row>
    <row r="212" spans="1:37" x14ac:dyDescent="0.25">
      <c r="A212" s="116" t="s">
        <v>199</v>
      </c>
      <c r="B212" s="126"/>
      <c r="C212" s="127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9">
        <v>3.2</v>
      </c>
      <c r="AH212" s="47"/>
      <c r="AI212" s="48"/>
      <c r="AK212" s="50"/>
    </row>
    <row r="213" spans="1:37" x14ac:dyDescent="0.25">
      <c r="A213" s="116" t="s">
        <v>200</v>
      </c>
      <c r="B213" s="126"/>
      <c r="C213" s="127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9">
        <v>3</v>
      </c>
      <c r="AH213" s="47"/>
      <c r="AI213" s="48"/>
      <c r="AK213" s="50"/>
    </row>
    <row r="214" spans="1:37" x14ac:dyDescent="0.25">
      <c r="A214" s="116" t="s">
        <v>201</v>
      </c>
      <c r="B214" s="126"/>
      <c r="C214" s="127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9">
        <v>3</v>
      </c>
      <c r="AH214" s="47"/>
      <c r="AI214" s="48"/>
      <c r="AK214" s="50"/>
    </row>
    <row r="215" spans="1:37" x14ac:dyDescent="0.25">
      <c r="A215" s="116" t="s">
        <v>202</v>
      </c>
      <c r="B215" s="126"/>
      <c r="C215" s="127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9">
        <v>3</v>
      </c>
      <c r="AH215" s="47"/>
      <c r="AI215" s="48"/>
      <c r="AK215" s="50"/>
    </row>
    <row r="216" spans="1:37" x14ac:dyDescent="0.25">
      <c r="A216" s="116" t="s">
        <v>203</v>
      </c>
      <c r="B216" s="126"/>
      <c r="C216" s="127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9">
        <v>3</v>
      </c>
      <c r="AH216" s="47"/>
      <c r="AI216" s="48"/>
      <c r="AK216" s="50"/>
    </row>
    <row r="217" spans="1:37" x14ac:dyDescent="0.25">
      <c r="A217" s="116" t="s">
        <v>204</v>
      </c>
      <c r="B217" s="126"/>
      <c r="C217" s="127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9">
        <v>3</v>
      </c>
      <c r="AH217" s="47"/>
      <c r="AI217" s="48"/>
      <c r="AK217" s="50"/>
    </row>
    <row r="218" spans="1:37" x14ac:dyDescent="0.25">
      <c r="A218" s="116" t="s">
        <v>205</v>
      </c>
      <c r="B218" s="126"/>
      <c r="C218" s="127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9">
        <v>3</v>
      </c>
      <c r="AH218" s="47"/>
      <c r="AI218" s="48"/>
      <c r="AK218" s="50"/>
    </row>
    <row r="219" spans="1:37" x14ac:dyDescent="0.25">
      <c r="A219" s="116" t="s">
        <v>206</v>
      </c>
      <c r="B219" s="126"/>
      <c r="C219" s="127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9">
        <v>3</v>
      </c>
      <c r="AH219" s="47"/>
      <c r="AI219" s="48"/>
      <c r="AK219" s="50"/>
    </row>
    <row r="220" spans="1:37" x14ac:dyDescent="0.25">
      <c r="A220" s="116" t="s">
        <v>207</v>
      </c>
      <c r="B220" s="126"/>
      <c r="C220" s="127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9">
        <v>3</v>
      </c>
      <c r="AH220" s="47"/>
      <c r="AI220" s="48"/>
      <c r="AK220" s="50"/>
    </row>
    <row r="221" spans="1:37" x14ac:dyDescent="0.25">
      <c r="A221" s="116" t="s">
        <v>208</v>
      </c>
      <c r="B221" s="126"/>
      <c r="C221" s="127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9">
        <v>2.83</v>
      </c>
      <c r="AH221" s="47"/>
      <c r="AI221" s="48"/>
      <c r="AK221" s="50"/>
    </row>
    <row r="222" spans="1:37" x14ac:dyDescent="0.25">
      <c r="A222" s="116" t="s">
        <v>209</v>
      </c>
      <c r="B222" s="126"/>
      <c r="C222" s="127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9">
        <v>2.5</v>
      </c>
      <c r="AH222" s="47"/>
      <c r="AI222" s="48"/>
      <c r="AK222" s="50"/>
    </row>
    <row r="223" spans="1:37" x14ac:dyDescent="0.25">
      <c r="A223" s="116" t="s">
        <v>210</v>
      </c>
      <c r="B223" s="126"/>
      <c r="C223" s="127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9">
        <v>2.5</v>
      </c>
      <c r="AH223" s="47"/>
      <c r="AI223" s="48"/>
      <c r="AK223" s="50"/>
    </row>
    <row r="224" spans="1:37" x14ac:dyDescent="0.25">
      <c r="A224" s="116" t="s">
        <v>211</v>
      </c>
      <c r="B224" s="126"/>
      <c r="C224" s="127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9">
        <v>2.4</v>
      </c>
      <c r="AH224" s="47"/>
      <c r="AI224" s="48"/>
      <c r="AK224" s="50"/>
    </row>
    <row r="225" spans="1:37" x14ac:dyDescent="0.25">
      <c r="A225" s="116" t="s">
        <v>212</v>
      </c>
      <c r="B225" s="126"/>
      <c r="C225" s="127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9">
        <v>2.4</v>
      </c>
      <c r="AH225" s="47"/>
      <c r="AI225" s="48"/>
      <c r="AK225" s="50"/>
    </row>
    <row r="226" spans="1:37" x14ac:dyDescent="0.25">
      <c r="A226" s="116" t="s">
        <v>213</v>
      </c>
      <c r="B226" s="126"/>
      <c r="C226" s="127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9">
        <v>2.2000000000000002</v>
      </c>
      <c r="AH226" s="47"/>
      <c r="AI226" s="48"/>
      <c r="AK226" s="50"/>
    </row>
    <row r="227" spans="1:37" x14ac:dyDescent="0.25">
      <c r="A227" s="116" t="s">
        <v>214</v>
      </c>
      <c r="B227" s="126"/>
      <c r="C227" s="127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9">
        <v>2</v>
      </c>
      <c r="AH227" s="47"/>
      <c r="AI227" s="48"/>
      <c r="AK227" s="50"/>
    </row>
    <row r="228" spans="1:37" x14ac:dyDescent="0.25">
      <c r="A228" s="116" t="s">
        <v>215</v>
      </c>
      <c r="B228" s="126"/>
      <c r="C228" s="127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9">
        <v>2</v>
      </c>
      <c r="AH228" s="47"/>
      <c r="AI228" s="48"/>
      <c r="AK228" s="50"/>
    </row>
    <row r="229" spans="1:37" x14ac:dyDescent="0.25">
      <c r="A229" s="116" t="s">
        <v>216</v>
      </c>
      <c r="B229" s="126"/>
      <c r="C229" s="127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9">
        <v>2</v>
      </c>
      <c r="AH229" s="47"/>
      <c r="AI229" s="48"/>
      <c r="AK229" s="50"/>
    </row>
    <row r="230" spans="1:37" x14ac:dyDescent="0.25">
      <c r="A230" s="116" t="s">
        <v>217</v>
      </c>
      <c r="B230" s="126"/>
      <c r="C230" s="127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9">
        <v>1.8</v>
      </c>
      <c r="AH230" s="47"/>
      <c r="AI230" s="48"/>
      <c r="AK230" s="50"/>
    </row>
    <row r="231" spans="1:37" x14ac:dyDescent="0.25">
      <c r="A231" s="116" t="s">
        <v>218</v>
      </c>
      <c r="B231" s="126"/>
      <c r="C231" s="127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9">
        <v>1.8</v>
      </c>
      <c r="AH231" s="47"/>
      <c r="AI231" s="48"/>
      <c r="AK231" s="50"/>
    </row>
    <row r="232" spans="1:37" x14ac:dyDescent="0.25">
      <c r="A232" s="116" t="s">
        <v>219</v>
      </c>
      <c r="B232" s="126"/>
      <c r="C232" s="127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9">
        <v>1.65</v>
      </c>
      <c r="AH232" s="47"/>
      <c r="AI232" s="48"/>
      <c r="AK232" s="50"/>
    </row>
    <row r="233" spans="1:37" x14ac:dyDescent="0.25">
      <c r="A233" s="116" t="s">
        <v>220</v>
      </c>
      <c r="B233" s="126"/>
      <c r="C233" s="127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9">
        <v>1.5</v>
      </c>
      <c r="AH233" s="47"/>
      <c r="AI233" s="48"/>
      <c r="AK233" s="50"/>
    </row>
    <row r="234" spans="1:37" x14ac:dyDescent="0.25">
      <c r="A234" s="116" t="s">
        <v>221</v>
      </c>
      <c r="B234" s="126"/>
      <c r="C234" s="127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9">
        <v>0.998</v>
      </c>
      <c r="AH234" s="47"/>
      <c r="AI234" s="48"/>
      <c r="AK234" s="50"/>
    </row>
    <row r="235" spans="1:37" x14ac:dyDescent="0.25">
      <c r="A235" s="116" t="s">
        <v>222</v>
      </c>
      <c r="B235" s="126"/>
      <c r="C235" s="127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9">
        <v>0.997</v>
      </c>
      <c r="AH235" s="47"/>
      <c r="AI235" s="48"/>
      <c r="AK235" s="50"/>
    </row>
    <row r="236" spans="1:37" x14ac:dyDescent="0.25">
      <c r="A236" s="116" t="s">
        <v>223</v>
      </c>
      <c r="B236" s="126"/>
      <c r="C236" s="127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9">
        <v>0.997</v>
      </c>
      <c r="AH236" s="47"/>
      <c r="AI236" s="48"/>
      <c r="AK236" s="50"/>
    </row>
    <row r="237" spans="1:37" x14ac:dyDescent="0.25">
      <c r="A237" s="116" t="s">
        <v>224</v>
      </c>
      <c r="B237" s="126"/>
      <c r="C237" s="127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9">
        <v>0.996</v>
      </c>
      <c r="AH237" s="47"/>
      <c r="AI237" s="48"/>
      <c r="AK237" s="50"/>
    </row>
    <row r="238" spans="1:37" x14ac:dyDescent="0.25">
      <c r="A238" s="116" t="s">
        <v>225</v>
      </c>
      <c r="B238" s="126"/>
      <c r="C238" s="127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9">
        <v>0.996</v>
      </c>
      <c r="AH238" s="47"/>
      <c r="AI238" s="48"/>
      <c r="AK238" s="50"/>
    </row>
    <row r="239" spans="1:37" x14ac:dyDescent="0.25">
      <c r="A239" s="116" t="s">
        <v>226</v>
      </c>
      <c r="B239" s="126"/>
      <c r="C239" s="127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9">
        <v>0.996</v>
      </c>
      <c r="AH239" s="47"/>
      <c r="AI239" s="48"/>
      <c r="AK239" s="50"/>
    </row>
    <row r="240" spans="1:37" x14ac:dyDescent="0.25">
      <c r="A240" s="116" t="s">
        <v>227</v>
      </c>
      <c r="B240" s="126"/>
      <c r="C240" s="127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9">
        <v>0.995</v>
      </c>
      <c r="AH240" s="47"/>
      <c r="AI240" s="48"/>
      <c r="AK240" s="50"/>
    </row>
    <row r="241" spans="1:37" x14ac:dyDescent="0.25">
      <c r="A241" s="116" t="s">
        <v>228</v>
      </c>
      <c r="B241" s="126"/>
      <c r="C241" s="127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9">
        <v>0.99299999999999999</v>
      </c>
      <c r="AH241" s="47"/>
      <c r="AI241" s="48"/>
      <c r="AK241" s="50"/>
    </row>
    <row r="242" spans="1:37" x14ac:dyDescent="0.25">
      <c r="A242" s="116" t="s">
        <v>229</v>
      </c>
      <c r="B242" s="126"/>
      <c r="C242" s="124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9">
        <v>0.99</v>
      </c>
      <c r="AH242" s="47"/>
      <c r="AI242" s="48"/>
      <c r="AK242" s="50"/>
    </row>
    <row r="243" spans="1:37" ht="15.75" thickBot="1" x14ac:dyDescent="0.3">
      <c r="A243" s="116" t="s">
        <v>230</v>
      </c>
      <c r="B243" s="130"/>
      <c r="C243" s="131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29">
        <v>0.97899999999999998</v>
      </c>
      <c r="AH243" s="47"/>
      <c r="AI243" s="48"/>
      <c r="AK243" s="50"/>
    </row>
    <row r="244" spans="1:37" ht="15.75" thickBot="1" x14ac:dyDescent="0.3">
      <c r="A244" s="132" t="s">
        <v>231</v>
      </c>
      <c r="B244" s="133">
        <f t="shared" ref="B244:AG244" si="89">SUM(B139:B243)</f>
        <v>0</v>
      </c>
      <c r="C244" s="134">
        <f t="shared" si="89"/>
        <v>0</v>
      </c>
      <c r="D244" s="134">
        <f t="shared" si="89"/>
        <v>0</v>
      </c>
      <c r="E244" s="134">
        <f t="shared" si="89"/>
        <v>0</v>
      </c>
      <c r="F244" s="134">
        <f t="shared" si="89"/>
        <v>0</v>
      </c>
      <c r="G244" s="134">
        <f t="shared" si="89"/>
        <v>0</v>
      </c>
      <c r="H244" s="134">
        <f t="shared" si="89"/>
        <v>0</v>
      </c>
      <c r="I244" s="134">
        <f t="shared" si="89"/>
        <v>0</v>
      </c>
      <c r="J244" s="134">
        <f t="shared" si="89"/>
        <v>0</v>
      </c>
      <c r="K244" s="134">
        <f t="shared" si="89"/>
        <v>0</v>
      </c>
      <c r="L244" s="134">
        <f t="shared" si="89"/>
        <v>0</v>
      </c>
      <c r="M244" s="134">
        <f t="shared" si="89"/>
        <v>0</v>
      </c>
      <c r="N244" s="134">
        <f t="shared" si="89"/>
        <v>0</v>
      </c>
      <c r="O244" s="134">
        <f t="shared" si="89"/>
        <v>0</v>
      </c>
      <c r="P244" s="134">
        <f t="shared" si="89"/>
        <v>0</v>
      </c>
      <c r="Q244" s="134">
        <f t="shared" si="89"/>
        <v>0</v>
      </c>
      <c r="R244" s="134">
        <f t="shared" si="89"/>
        <v>0</v>
      </c>
      <c r="S244" s="134">
        <f t="shared" si="89"/>
        <v>0</v>
      </c>
      <c r="T244" s="134">
        <f t="shared" si="89"/>
        <v>0</v>
      </c>
      <c r="U244" s="134">
        <f t="shared" si="89"/>
        <v>0</v>
      </c>
      <c r="V244" s="134">
        <f t="shared" si="89"/>
        <v>0</v>
      </c>
      <c r="W244" s="134">
        <f t="shared" si="89"/>
        <v>0</v>
      </c>
      <c r="X244" s="134">
        <f t="shared" si="89"/>
        <v>0</v>
      </c>
      <c r="Y244" s="134">
        <f t="shared" si="89"/>
        <v>0</v>
      </c>
      <c r="Z244" s="134">
        <f t="shared" si="89"/>
        <v>0</v>
      </c>
      <c r="AA244" s="134">
        <f t="shared" si="89"/>
        <v>0</v>
      </c>
      <c r="AB244" s="134">
        <f t="shared" si="89"/>
        <v>0</v>
      </c>
      <c r="AC244" s="134">
        <f t="shared" si="89"/>
        <v>0</v>
      </c>
      <c r="AD244" s="134">
        <f t="shared" si="89"/>
        <v>0</v>
      </c>
      <c r="AE244" s="134">
        <f t="shared" si="89"/>
        <v>0</v>
      </c>
      <c r="AF244" s="135">
        <f t="shared" si="89"/>
        <v>0</v>
      </c>
      <c r="AG244" s="136">
        <f t="shared" si="89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19"/>
      <c r="AH245" s="47"/>
      <c r="AI245" s="48"/>
      <c r="AK245" s="50"/>
    </row>
    <row r="246" spans="1:37" x14ac:dyDescent="0.25">
      <c r="A246" s="100" t="s">
        <v>232</v>
      </c>
      <c r="B246" s="138">
        <f t="shared" ref="B246:B251" si="90">AF246</f>
        <v>0.3</v>
      </c>
      <c r="C246" s="138">
        <v>0.3</v>
      </c>
      <c r="D246" s="138">
        <f t="shared" ref="D246:S251" si="91">C246</f>
        <v>0.3</v>
      </c>
      <c r="E246" s="138">
        <f t="shared" si="91"/>
        <v>0.3</v>
      </c>
      <c r="F246" s="138">
        <f t="shared" si="91"/>
        <v>0.3</v>
      </c>
      <c r="G246" s="138">
        <f t="shared" si="91"/>
        <v>0.3</v>
      </c>
      <c r="H246" s="138">
        <f t="shared" si="91"/>
        <v>0.3</v>
      </c>
      <c r="I246" s="138">
        <f t="shared" si="91"/>
        <v>0.3</v>
      </c>
      <c r="J246" s="138">
        <f t="shared" si="91"/>
        <v>0.3</v>
      </c>
      <c r="K246" s="138">
        <f t="shared" si="91"/>
        <v>0.3</v>
      </c>
      <c r="L246" s="138">
        <f t="shared" si="91"/>
        <v>0.3</v>
      </c>
      <c r="M246" s="138">
        <f t="shared" si="91"/>
        <v>0.3</v>
      </c>
      <c r="N246" s="138">
        <f t="shared" si="91"/>
        <v>0.3</v>
      </c>
      <c r="O246" s="138">
        <f t="shared" si="91"/>
        <v>0.3</v>
      </c>
      <c r="P246" s="138">
        <f t="shared" si="91"/>
        <v>0.3</v>
      </c>
      <c r="Q246" s="138">
        <f t="shared" si="91"/>
        <v>0.3</v>
      </c>
      <c r="R246" s="138">
        <f t="shared" si="91"/>
        <v>0.3</v>
      </c>
      <c r="S246" s="138">
        <f t="shared" si="91"/>
        <v>0.3</v>
      </c>
      <c r="T246" s="138">
        <f t="shared" ref="T246:AF251" si="92">S246</f>
        <v>0.3</v>
      </c>
      <c r="U246" s="138">
        <f t="shared" si="92"/>
        <v>0.3</v>
      </c>
      <c r="V246" s="138">
        <f t="shared" si="92"/>
        <v>0.3</v>
      </c>
      <c r="W246" s="138">
        <f t="shared" si="92"/>
        <v>0.3</v>
      </c>
      <c r="X246" s="138">
        <f t="shared" si="92"/>
        <v>0.3</v>
      </c>
      <c r="Y246" s="138">
        <f t="shared" si="92"/>
        <v>0.3</v>
      </c>
      <c r="Z246" s="138">
        <f t="shared" si="92"/>
        <v>0.3</v>
      </c>
      <c r="AA246" s="138">
        <f t="shared" si="92"/>
        <v>0.3</v>
      </c>
      <c r="AB246" s="138">
        <f t="shared" si="92"/>
        <v>0.3</v>
      </c>
      <c r="AC246" s="138">
        <f t="shared" si="92"/>
        <v>0.3</v>
      </c>
      <c r="AD246" s="138">
        <f t="shared" si="92"/>
        <v>0.3</v>
      </c>
      <c r="AE246" s="138">
        <f t="shared" si="92"/>
        <v>0.3</v>
      </c>
      <c r="AF246" s="138">
        <f t="shared" si="92"/>
        <v>0.3</v>
      </c>
      <c r="AG246" s="139">
        <v>2.4</v>
      </c>
      <c r="AH246" s="47"/>
      <c r="AI246" s="48"/>
      <c r="AK246" s="50"/>
    </row>
    <row r="247" spans="1:37" x14ac:dyDescent="0.25">
      <c r="A247" s="103" t="s">
        <v>233</v>
      </c>
      <c r="B247" s="126">
        <f t="shared" si="90"/>
        <v>0.4</v>
      </c>
      <c r="C247" s="126">
        <v>0.4</v>
      </c>
      <c r="D247" s="126">
        <f t="shared" si="91"/>
        <v>0.4</v>
      </c>
      <c r="E247" s="126">
        <f t="shared" si="91"/>
        <v>0.4</v>
      </c>
      <c r="F247" s="126">
        <f t="shared" si="91"/>
        <v>0.4</v>
      </c>
      <c r="G247" s="126">
        <f t="shared" si="91"/>
        <v>0.4</v>
      </c>
      <c r="H247" s="126">
        <f t="shared" si="91"/>
        <v>0.4</v>
      </c>
      <c r="I247" s="126">
        <f t="shared" si="91"/>
        <v>0.4</v>
      </c>
      <c r="J247" s="126">
        <f t="shared" si="91"/>
        <v>0.4</v>
      </c>
      <c r="K247" s="126">
        <f t="shared" si="91"/>
        <v>0.4</v>
      </c>
      <c r="L247" s="126">
        <f t="shared" si="91"/>
        <v>0.4</v>
      </c>
      <c r="M247" s="126">
        <f t="shared" si="91"/>
        <v>0.4</v>
      </c>
      <c r="N247" s="126">
        <f t="shared" si="91"/>
        <v>0.4</v>
      </c>
      <c r="O247" s="126">
        <f t="shared" si="91"/>
        <v>0.4</v>
      </c>
      <c r="P247" s="126">
        <f t="shared" si="91"/>
        <v>0.4</v>
      </c>
      <c r="Q247" s="126">
        <f t="shared" si="91"/>
        <v>0.4</v>
      </c>
      <c r="R247" s="126">
        <f t="shared" si="91"/>
        <v>0.4</v>
      </c>
      <c r="S247" s="126">
        <f t="shared" si="91"/>
        <v>0.4</v>
      </c>
      <c r="T247" s="126">
        <f t="shared" si="92"/>
        <v>0.4</v>
      </c>
      <c r="U247" s="126">
        <f t="shared" si="92"/>
        <v>0.4</v>
      </c>
      <c r="V247" s="126">
        <f t="shared" si="92"/>
        <v>0.4</v>
      </c>
      <c r="W247" s="126">
        <f t="shared" si="92"/>
        <v>0.4</v>
      </c>
      <c r="X247" s="126">
        <f t="shared" si="92"/>
        <v>0.4</v>
      </c>
      <c r="Y247" s="126">
        <f t="shared" si="92"/>
        <v>0.4</v>
      </c>
      <c r="Z247" s="126">
        <f t="shared" si="92"/>
        <v>0.4</v>
      </c>
      <c r="AA247" s="126">
        <f t="shared" si="92"/>
        <v>0.4</v>
      </c>
      <c r="AB247" s="126">
        <f t="shared" si="92"/>
        <v>0.4</v>
      </c>
      <c r="AC247" s="126">
        <f t="shared" si="92"/>
        <v>0.4</v>
      </c>
      <c r="AD247" s="126">
        <f t="shared" si="92"/>
        <v>0.4</v>
      </c>
      <c r="AE247" s="126">
        <f t="shared" si="92"/>
        <v>0.4</v>
      </c>
      <c r="AF247" s="126">
        <f t="shared" si="92"/>
        <v>0.4</v>
      </c>
      <c r="AG247" s="140">
        <v>2</v>
      </c>
      <c r="AH247" s="47"/>
      <c r="AI247" s="48"/>
      <c r="AK247" s="50"/>
    </row>
    <row r="248" spans="1:37" x14ac:dyDescent="0.25">
      <c r="A248" s="103" t="s">
        <v>234</v>
      </c>
      <c r="B248" s="126">
        <f t="shared" si="90"/>
        <v>1.5</v>
      </c>
      <c r="C248" s="126">
        <v>1.5</v>
      </c>
      <c r="D248" s="126">
        <f t="shared" si="91"/>
        <v>1.5</v>
      </c>
      <c r="E248" s="126">
        <f t="shared" si="91"/>
        <v>1.5</v>
      </c>
      <c r="F248" s="126">
        <f t="shared" si="91"/>
        <v>1.5</v>
      </c>
      <c r="G248" s="126">
        <f t="shared" si="91"/>
        <v>1.5</v>
      </c>
      <c r="H248" s="126">
        <f t="shared" si="91"/>
        <v>1.5</v>
      </c>
      <c r="I248" s="126">
        <f t="shared" si="91"/>
        <v>1.5</v>
      </c>
      <c r="J248" s="126">
        <f t="shared" si="91"/>
        <v>1.5</v>
      </c>
      <c r="K248" s="126">
        <f t="shared" si="91"/>
        <v>1.5</v>
      </c>
      <c r="L248" s="126">
        <f t="shared" si="91"/>
        <v>1.5</v>
      </c>
      <c r="M248" s="126">
        <f t="shared" si="91"/>
        <v>1.5</v>
      </c>
      <c r="N248" s="126">
        <f t="shared" si="91"/>
        <v>1.5</v>
      </c>
      <c r="O248" s="126">
        <f t="shared" si="91"/>
        <v>1.5</v>
      </c>
      <c r="P248" s="126">
        <f t="shared" si="91"/>
        <v>1.5</v>
      </c>
      <c r="Q248" s="126">
        <f t="shared" si="91"/>
        <v>1.5</v>
      </c>
      <c r="R248" s="126">
        <f t="shared" si="91"/>
        <v>1.5</v>
      </c>
      <c r="S248" s="126">
        <f t="shared" si="91"/>
        <v>1.5</v>
      </c>
      <c r="T248" s="126">
        <f t="shared" si="92"/>
        <v>1.5</v>
      </c>
      <c r="U248" s="126">
        <f t="shared" si="92"/>
        <v>1.5</v>
      </c>
      <c r="V248" s="126">
        <f t="shared" si="92"/>
        <v>1.5</v>
      </c>
      <c r="W248" s="126">
        <f t="shared" si="92"/>
        <v>1.5</v>
      </c>
      <c r="X248" s="126">
        <f t="shared" si="92"/>
        <v>1.5</v>
      </c>
      <c r="Y248" s="126">
        <f t="shared" si="92"/>
        <v>1.5</v>
      </c>
      <c r="Z248" s="126">
        <f t="shared" si="92"/>
        <v>1.5</v>
      </c>
      <c r="AA248" s="126">
        <f t="shared" si="92"/>
        <v>1.5</v>
      </c>
      <c r="AB248" s="126">
        <f t="shared" si="92"/>
        <v>1.5</v>
      </c>
      <c r="AC248" s="126">
        <f t="shared" si="92"/>
        <v>1.5</v>
      </c>
      <c r="AD248" s="126">
        <f t="shared" si="92"/>
        <v>1.5</v>
      </c>
      <c r="AE248" s="126">
        <f t="shared" si="92"/>
        <v>1.5</v>
      </c>
      <c r="AF248" s="126">
        <f t="shared" si="92"/>
        <v>1.5</v>
      </c>
      <c r="AG248" s="140">
        <v>1.5</v>
      </c>
      <c r="AH248" s="47"/>
      <c r="AI248" s="48"/>
      <c r="AK248" s="50"/>
    </row>
    <row r="249" spans="1:37" x14ac:dyDescent="0.25">
      <c r="A249" s="103" t="s">
        <v>235</v>
      </c>
      <c r="B249" s="126">
        <f t="shared" si="90"/>
        <v>0.3</v>
      </c>
      <c r="C249" s="126">
        <v>0.3</v>
      </c>
      <c r="D249" s="126">
        <f t="shared" si="91"/>
        <v>0.3</v>
      </c>
      <c r="E249" s="126">
        <f t="shared" si="91"/>
        <v>0.3</v>
      </c>
      <c r="F249" s="126">
        <f t="shared" si="91"/>
        <v>0.3</v>
      </c>
      <c r="G249" s="126">
        <f t="shared" si="91"/>
        <v>0.3</v>
      </c>
      <c r="H249" s="126">
        <f t="shared" si="91"/>
        <v>0.3</v>
      </c>
      <c r="I249" s="126">
        <f t="shared" si="91"/>
        <v>0.3</v>
      </c>
      <c r="J249" s="126">
        <f t="shared" si="91"/>
        <v>0.3</v>
      </c>
      <c r="K249" s="126">
        <f t="shared" si="91"/>
        <v>0.3</v>
      </c>
      <c r="L249" s="126">
        <f t="shared" si="91"/>
        <v>0.3</v>
      </c>
      <c r="M249" s="126">
        <f t="shared" si="91"/>
        <v>0.3</v>
      </c>
      <c r="N249" s="126">
        <f t="shared" si="91"/>
        <v>0.3</v>
      </c>
      <c r="O249" s="126">
        <f t="shared" si="91"/>
        <v>0.3</v>
      </c>
      <c r="P249" s="126">
        <f t="shared" si="91"/>
        <v>0.3</v>
      </c>
      <c r="Q249" s="126">
        <f t="shared" si="91"/>
        <v>0.3</v>
      </c>
      <c r="R249" s="126">
        <f t="shared" si="91"/>
        <v>0.3</v>
      </c>
      <c r="S249" s="126">
        <f t="shared" si="91"/>
        <v>0.3</v>
      </c>
      <c r="T249" s="126">
        <f t="shared" si="92"/>
        <v>0.3</v>
      </c>
      <c r="U249" s="126">
        <f t="shared" si="92"/>
        <v>0.3</v>
      </c>
      <c r="V249" s="126">
        <f t="shared" si="92"/>
        <v>0.3</v>
      </c>
      <c r="W249" s="126">
        <f t="shared" si="92"/>
        <v>0.3</v>
      </c>
      <c r="X249" s="126">
        <f t="shared" si="92"/>
        <v>0.3</v>
      </c>
      <c r="Y249" s="126">
        <f t="shared" si="92"/>
        <v>0.3</v>
      </c>
      <c r="Z249" s="126">
        <f t="shared" si="92"/>
        <v>0.3</v>
      </c>
      <c r="AA249" s="126">
        <f t="shared" si="92"/>
        <v>0.3</v>
      </c>
      <c r="AB249" s="126">
        <f t="shared" si="92"/>
        <v>0.3</v>
      </c>
      <c r="AC249" s="126">
        <f t="shared" si="92"/>
        <v>0.3</v>
      </c>
      <c r="AD249" s="126">
        <f t="shared" si="92"/>
        <v>0.3</v>
      </c>
      <c r="AE249" s="126">
        <f t="shared" si="92"/>
        <v>0.3</v>
      </c>
      <c r="AF249" s="126">
        <f t="shared" si="92"/>
        <v>0.3</v>
      </c>
      <c r="AG249" s="140">
        <v>1</v>
      </c>
      <c r="AH249" s="47"/>
      <c r="AI249" s="48"/>
      <c r="AK249" s="50"/>
    </row>
    <row r="250" spans="1:37" x14ac:dyDescent="0.25">
      <c r="A250" s="103" t="s">
        <v>236</v>
      </c>
      <c r="B250" s="126">
        <f t="shared" si="90"/>
        <v>0.4</v>
      </c>
      <c r="C250" s="126">
        <v>0.4</v>
      </c>
      <c r="D250" s="126">
        <f t="shared" si="91"/>
        <v>0.4</v>
      </c>
      <c r="E250" s="126">
        <f t="shared" si="91"/>
        <v>0.4</v>
      </c>
      <c r="F250" s="126">
        <f t="shared" si="91"/>
        <v>0.4</v>
      </c>
      <c r="G250" s="126">
        <f t="shared" si="91"/>
        <v>0.4</v>
      </c>
      <c r="H250" s="126">
        <f t="shared" si="91"/>
        <v>0.4</v>
      </c>
      <c r="I250" s="126">
        <f t="shared" si="91"/>
        <v>0.4</v>
      </c>
      <c r="J250" s="126">
        <f t="shared" si="91"/>
        <v>0.4</v>
      </c>
      <c r="K250" s="126">
        <f t="shared" si="91"/>
        <v>0.4</v>
      </c>
      <c r="L250" s="126">
        <f t="shared" si="91"/>
        <v>0.4</v>
      </c>
      <c r="M250" s="126">
        <f t="shared" si="91"/>
        <v>0.4</v>
      </c>
      <c r="N250" s="126">
        <f t="shared" si="91"/>
        <v>0.4</v>
      </c>
      <c r="O250" s="126">
        <f t="shared" si="91"/>
        <v>0.4</v>
      </c>
      <c r="P250" s="126">
        <f t="shared" si="91"/>
        <v>0.4</v>
      </c>
      <c r="Q250" s="126">
        <f t="shared" si="91"/>
        <v>0.4</v>
      </c>
      <c r="R250" s="126">
        <f t="shared" si="91"/>
        <v>0.4</v>
      </c>
      <c r="S250" s="126">
        <f t="shared" si="91"/>
        <v>0.4</v>
      </c>
      <c r="T250" s="126">
        <f t="shared" si="92"/>
        <v>0.4</v>
      </c>
      <c r="U250" s="126">
        <f t="shared" si="92"/>
        <v>0.4</v>
      </c>
      <c r="V250" s="126">
        <f t="shared" si="92"/>
        <v>0.4</v>
      </c>
      <c r="W250" s="126">
        <f t="shared" si="92"/>
        <v>0.4</v>
      </c>
      <c r="X250" s="126">
        <f t="shared" si="92"/>
        <v>0.4</v>
      </c>
      <c r="Y250" s="126">
        <f t="shared" si="92"/>
        <v>0.4</v>
      </c>
      <c r="Z250" s="126">
        <f t="shared" si="92"/>
        <v>0.4</v>
      </c>
      <c r="AA250" s="126">
        <f t="shared" si="92"/>
        <v>0.4</v>
      </c>
      <c r="AB250" s="126">
        <f t="shared" si="92"/>
        <v>0.4</v>
      </c>
      <c r="AC250" s="126">
        <f t="shared" si="92"/>
        <v>0.4</v>
      </c>
      <c r="AD250" s="126">
        <f t="shared" si="92"/>
        <v>0.4</v>
      </c>
      <c r="AE250" s="126">
        <f t="shared" si="92"/>
        <v>0.4</v>
      </c>
      <c r="AF250" s="126">
        <f t="shared" si="92"/>
        <v>0.4</v>
      </c>
      <c r="AG250" s="140">
        <v>1</v>
      </c>
      <c r="AH250" s="47"/>
      <c r="AI250" s="48"/>
      <c r="AK250" s="50"/>
    </row>
    <row r="251" spans="1:37" ht="15.75" thickBot="1" x14ac:dyDescent="0.3">
      <c r="A251" s="116" t="s">
        <v>237</v>
      </c>
      <c r="B251" s="130">
        <f t="shared" si="90"/>
        <v>0.64</v>
      </c>
      <c r="C251" s="130">
        <v>0.64</v>
      </c>
      <c r="D251" s="130">
        <f t="shared" si="91"/>
        <v>0.64</v>
      </c>
      <c r="E251" s="130">
        <f t="shared" si="91"/>
        <v>0.64</v>
      </c>
      <c r="F251" s="130">
        <f t="shared" si="91"/>
        <v>0.64</v>
      </c>
      <c r="G251" s="130">
        <f t="shared" si="91"/>
        <v>0.64</v>
      </c>
      <c r="H251" s="130">
        <f t="shared" si="91"/>
        <v>0.64</v>
      </c>
      <c r="I251" s="130">
        <f t="shared" si="91"/>
        <v>0.64</v>
      </c>
      <c r="J251" s="130">
        <f t="shared" si="91"/>
        <v>0.64</v>
      </c>
      <c r="K251" s="130">
        <f t="shared" si="91"/>
        <v>0.64</v>
      </c>
      <c r="L251" s="130">
        <f t="shared" si="91"/>
        <v>0.64</v>
      </c>
      <c r="M251" s="130">
        <f t="shared" si="91"/>
        <v>0.64</v>
      </c>
      <c r="N251" s="130">
        <f t="shared" si="91"/>
        <v>0.64</v>
      </c>
      <c r="O251" s="130">
        <f t="shared" si="91"/>
        <v>0.64</v>
      </c>
      <c r="P251" s="130">
        <f t="shared" si="91"/>
        <v>0.64</v>
      </c>
      <c r="Q251" s="130">
        <f t="shared" si="91"/>
        <v>0.64</v>
      </c>
      <c r="R251" s="130">
        <f t="shared" si="91"/>
        <v>0.64</v>
      </c>
      <c r="S251" s="130">
        <f t="shared" si="91"/>
        <v>0.64</v>
      </c>
      <c r="T251" s="130">
        <f t="shared" si="92"/>
        <v>0.64</v>
      </c>
      <c r="U251" s="130">
        <f t="shared" si="92"/>
        <v>0.64</v>
      </c>
      <c r="V251" s="130">
        <f t="shared" si="92"/>
        <v>0.64</v>
      </c>
      <c r="W251" s="130">
        <f t="shared" si="92"/>
        <v>0.64</v>
      </c>
      <c r="X251" s="130">
        <f t="shared" si="92"/>
        <v>0.64</v>
      </c>
      <c r="Y251" s="130">
        <f t="shared" si="92"/>
        <v>0.64</v>
      </c>
      <c r="Z251" s="130">
        <f t="shared" si="92"/>
        <v>0.64</v>
      </c>
      <c r="AA251" s="130">
        <f t="shared" si="92"/>
        <v>0.64</v>
      </c>
      <c r="AB251" s="130">
        <f t="shared" si="92"/>
        <v>0.64</v>
      </c>
      <c r="AC251" s="130">
        <f t="shared" si="92"/>
        <v>0.64</v>
      </c>
      <c r="AD251" s="130">
        <f t="shared" si="92"/>
        <v>0.64</v>
      </c>
      <c r="AE251" s="130">
        <f t="shared" si="92"/>
        <v>0.64</v>
      </c>
      <c r="AF251" s="130">
        <f t="shared" si="92"/>
        <v>0.64</v>
      </c>
      <c r="AG251" s="141">
        <v>0.66</v>
      </c>
      <c r="AH251" s="47"/>
      <c r="AI251" s="48"/>
    </row>
    <row r="252" spans="1:37" ht="15.75" thickBot="1" x14ac:dyDescent="0.3">
      <c r="A252" s="142" t="s">
        <v>75</v>
      </c>
      <c r="B252" s="134">
        <f t="shared" ref="B252:AG252" si="93">SUM(B246:B251)</f>
        <v>3.54</v>
      </c>
      <c r="C252" s="134">
        <f t="shared" si="93"/>
        <v>3.54</v>
      </c>
      <c r="D252" s="134">
        <f t="shared" si="93"/>
        <v>3.54</v>
      </c>
      <c r="E252" s="134">
        <f t="shared" si="93"/>
        <v>3.54</v>
      </c>
      <c r="F252" s="134">
        <f t="shared" si="93"/>
        <v>3.54</v>
      </c>
      <c r="G252" s="134">
        <f t="shared" si="93"/>
        <v>3.54</v>
      </c>
      <c r="H252" s="134">
        <f t="shared" si="93"/>
        <v>3.54</v>
      </c>
      <c r="I252" s="134">
        <f t="shared" si="93"/>
        <v>3.54</v>
      </c>
      <c r="J252" s="134">
        <f t="shared" si="93"/>
        <v>3.54</v>
      </c>
      <c r="K252" s="134">
        <f t="shared" si="93"/>
        <v>3.54</v>
      </c>
      <c r="L252" s="134">
        <f t="shared" si="93"/>
        <v>3.54</v>
      </c>
      <c r="M252" s="134">
        <f t="shared" si="93"/>
        <v>3.54</v>
      </c>
      <c r="N252" s="134">
        <f t="shared" si="93"/>
        <v>3.54</v>
      </c>
      <c r="O252" s="134">
        <f t="shared" si="93"/>
        <v>3.54</v>
      </c>
      <c r="P252" s="134">
        <f t="shared" si="93"/>
        <v>3.54</v>
      </c>
      <c r="Q252" s="134">
        <f t="shared" si="93"/>
        <v>3.54</v>
      </c>
      <c r="R252" s="134">
        <f t="shared" si="93"/>
        <v>3.54</v>
      </c>
      <c r="S252" s="134">
        <f t="shared" si="93"/>
        <v>3.54</v>
      </c>
      <c r="T252" s="134">
        <f t="shared" si="93"/>
        <v>3.54</v>
      </c>
      <c r="U252" s="134">
        <f t="shared" si="93"/>
        <v>3.54</v>
      </c>
      <c r="V252" s="134">
        <f t="shared" si="93"/>
        <v>3.54</v>
      </c>
      <c r="W252" s="134">
        <f t="shared" si="93"/>
        <v>3.54</v>
      </c>
      <c r="X252" s="134">
        <f t="shared" si="93"/>
        <v>3.54</v>
      </c>
      <c r="Y252" s="134">
        <f t="shared" si="93"/>
        <v>3.54</v>
      </c>
      <c r="Z252" s="134">
        <f t="shared" si="93"/>
        <v>3.54</v>
      </c>
      <c r="AA252" s="134">
        <f t="shared" si="93"/>
        <v>3.54</v>
      </c>
      <c r="AB252" s="134">
        <f t="shared" si="93"/>
        <v>3.54</v>
      </c>
      <c r="AC252" s="134">
        <f t="shared" si="93"/>
        <v>3.54</v>
      </c>
      <c r="AD252" s="134">
        <f t="shared" si="93"/>
        <v>3.54</v>
      </c>
      <c r="AE252" s="134">
        <f t="shared" si="93"/>
        <v>3.54</v>
      </c>
      <c r="AF252" s="134">
        <f t="shared" si="93"/>
        <v>3.54</v>
      </c>
      <c r="AG252" s="143">
        <f t="shared" si="93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37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54" t="s">
        <v>243</v>
      </c>
      <c r="B256" s="155">
        <f>MAX(G99:N99)</f>
        <v>1765.04</v>
      </c>
      <c r="C256" s="156">
        <f>INDEX(G9:N9,1,MATCH(MAX(G99:N99),G99:N99,0))</f>
        <v>0.33333333333333331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50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157" t="str">
        <f ca="1">MID(CELL("filename",C7),FIND("]",CELL("filename",C7))+1,600)</f>
        <v>14</v>
      </c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50" x14ac:dyDescent="0.25">
      <c r="A258" s="257" t="s">
        <v>244</v>
      </c>
      <c r="B258" s="257"/>
      <c r="C258" s="43"/>
      <c r="D258" s="157" t="str">
        <f ca="1">"Pie Chart of Daily Peak Demand(Inclusive of Export) of Nepal ("&amp;A4&amp;" "&amp;B4&amp;")"</f>
        <v>Pie Chart of Daily Peak Demand(Inclusive of Export) of Nepal (Nepali Date: 2080/10/14)</v>
      </c>
      <c r="E258" s="43"/>
      <c r="F258" s="43"/>
      <c r="G258" s="157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157" t="str">
        <f ca="1">"Daily Load Curve(Excluding of Export) of Nepal ("&amp;A4&amp;" "&amp;B4&amp;")"</f>
        <v>Daily Load Curve(Excluding of Export) of Nepal (Nepali Date: 2080/10/14)</v>
      </c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50" ht="12.75" customHeight="1" thickBot="1" x14ac:dyDescent="0.3">
      <c r="A259" s="158" t="s">
        <v>7</v>
      </c>
      <c r="B259" s="159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50" ht="15.75" thickTop="1" x14ac:dyDescent="0.25">
      <c r="A260" s="158" t="s">
        <v>245</v>
      </c>
      <c r="B260" s="15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160" t="s">
        <v>246</v>
      </c>
      <c r="T260" s="161">
        <v>0</v>
      </c>
      <c r="U260" s="162">
        <v>4.1666666666666664E-2</v>
      </c>
      <c r="V260" s="163">
        <v>8.3333333333333301E-2</v>
      </c>
      <c r="W260" s="163">
        <v>0.125</v>
      </c>
      <c r="X260" s="163">
        <v>0.16666666666666699</v>
      </c>
      <c r="Y260" s="163">
        <v>0.20833333333333301</v>
      </c>
      <c r="Z260" s="163">
        <v>0.22916666666666666</v>
      </c>
      <c r="AA260" s="163">
        <v>0.25</v>
      </c>
      <c r="AB260" s="163">
        <v>0.27083333333333331</v>
      </c>
      <c r="AC260" s="163">
        <v>0.29166666666666669</v>
      </c>
      <c r="AD260" s="163">
        <v>0.3125</v>
      </c>
      <c r="AE260" s="164">
        <v>0.33333333333333331</v>
      </c>
      <c r="AF260" s="164">
        <v>0.375</v>
      </c>
      <c r="AG260" s="164">
        <v>0.41666666666666702</v>
      </c>
      <c r="AH260" s="164">
        <v>0.45833333333333298</v>
      </c>
      <c r="AI260" s="164">
        <v>0.5</v>
      </c>
      <c r="AJ260" s="164">
        <v>0.54166666666666696</v>
      </c>
      <c r="AK260" s="164">
        <v>0.58333333333333304</v>
      </c>
      <c r="AL260" s="164">
        <v>0.625</v>
      </c>
      <c r="AM260" s="164">
        <v>0.66666666666666696</v>
      </c>
      <c r="AN260" s="164">
        <v>0.70833333333333304</v>
      </c>
      <c r="AO260" s="164">
        <v>0.72916666666666663</v>
      </c>
      <c r="AP260" s="164">
        <v>0.75</v>
      </c>
      <c r="AQ260" s="164">
        <v>0.77083333333333337</v>
      </c>
      <c r="AR260" s="164">
        <v>0.79166666666666663</v>
      </c>
      <c r="AS260" s="164">
        <v>0.8125</v>
      </c>
      <c r="AT260" s="163">
        <v>0.83333333333333337</v>
      </c>
      <c r="AU260" s="163">
        <v>0.85416666666666663</v>
      </c>
      <c r="AV260" s="163">
        <v>0.875</v>
      </c>
      <c r="AW260" s="163">
        <v>0.91666666666666696</v>
      </c>
      <c r="AX260" s="163">
        <v>0.95833333333333304</v>
      </c>
    </row>
    <row r="261" spans="1:50" x14ac:dyDescent="0.25">
      <c r="A261" s="158" t="s">
        <v>247</v>
      </c>
      <c r="B261" s="15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 t="s">
        <v>248</v>
      </c>
      <c r="T261" s="165">
        <f t="shared" ref="T261:AX261" si="94">B99</f>
        <v>1181.74</v>
      </c>
      <c r="U261" s="165">
        <f t="shared" si="94"/>
        <v>1110.8399999999999</v>
      </c>
      <c r="V261" s="165">
        <f t="shared" si="94"/>
        <v>1132.3400000000001</v>
      </c>
      <c r="W261" s="165">
        <f t="shared" si="94"/>
        <v>1118.54</v>
      </c>
      <c r="X261" s="165">
        <f t="shared" si="94"/>
        <v>1135.54</v>
      </c>
      <c r="Y261" s="165">
        <f t="shared" si="94"/>
        <v>1209.94</v>
      </c>
      <c r="Z261" s="165">
        <f t="shared" si="94"/>
        <v>1271.8400000000001</v>
      </c>
      <c r="AA261" s="165">
        <f t="shared" si="94"/>
        <v>1360.24</v>
      </c>
      <c r="AB261" s="165">
        <f t="shared" si="94"/>
        <v>1468.04</v>
      </c>
      <c r="AC261" s="165">
        <f t="shared" si="94"/>
        <v>1473.04</v>
      </c>
      <c r="AD261" s="165">
        <f t="shared" si="94"/>
        <v>1690.54</v>
      </c>
      <c r="AE261" s="165">
        <f t="shared" si="94"/>
        <v>1765.04</v>
      </c>
      <c r="AF261" s="165">
        <f t="shared" si="94"/>
        <v>1732.3400000000001</v>
      </c>
      <c r="AG261" s="165">
        <f t="shared" si="94"/>
        <v>1664.74</v>
      </c>
      <c r="AH261" s="165">
        <f t="shared" si="94"/>
        <v>1651.3400000000001</v>
      </c>
      <c r="AI261" s="165">
        <f t="shared" si="94"/>
        <v>1530.24</v>
      </c>
      <c r="AJ261" s="165">
        <f t="shared" si="94"/>
        <v>1484.64</v>
      </c>
      <c r="AK261" s="165">
        <f t="shared" si="94"/>
        <v>1552.3400000000001</v>
      </c>
      <c r="AL261" s="165">
        <f t="shared" si="94"/>
        <v>1541.8400000000001</v>
      </c>
      <c r="AM261" s="165">
        <f t="shared" si="94"/>
        <v>1593.54</v>
      </c>
      <c r="AN261" s="165">
        <f t="shared" si="94"/>
        <v>1540.14</v>
      </c>
      <c r="AO261" s="165">
        <f t="shared" si="94"/>
        <v>1788.74</v>
      </c>
      <c r="AP261" s="165">
        <f t="shared" si="94"/>
        <v>1950.74</v>
      </c>
      <c r="AQ261" s="165">
        <f t="shared" si="94"/>
        <v>1993.6399999999999</v>
      </c>
      <c r="AR261" s="165">
        <f t="shared" si="94"/>
        <v>1953.04</v>
      </c>
      <c r="AS261" s="165">
        <f t="shared" si="94"/>
        <v>1912.04</v>
      </c>
      <c r="AT261" s="165">
        <f t="shared" si="94"/>
        <v>1944.1399999999999</v>
      </c>
      <c r="AU261" s="165">
        <f t="shared" si="94"/>
        <v>1851.64</v>
      </c>
      <c r="AV261" s="165">
        <f t="shared" si="94"/>
        <v>1720.24</v>
      </c>
      <c r="AW261" s="165">
        <f t="shared" si="94"/>
        <v>1405.74</v>
      </c>
      <c r="AX261" s="165">
        <f t="shared" si="94"/>
        <v>1304.6399999999999</v>
      </c>
    </row>
    <row r="262" spans="1:50" x14ac:dyDescent="0.25">
      <c r="A262" s="158" t="s">
        <v>249</v>
      </c>
      <c r="B262" s="15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50" x14ac:dyDescent="0.25">
      <c r="A263" s="158" t="s">
        <v>250</v>
      </c>
      <c r="B263" s="15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50" x14ac:dyDescent="0.25">
      <c r="A264" s="158" t="s">
        <v>251</v>
      </c>
      <c r="B264" s="15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50" x14ac:dyDescent="0.25">
      <c r="A265" s="158" t="s">
        <v>252</v>
      </c>
      <c r="B265" s="166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50" x14ac:dyDescent="0.25">
      <c r="A266" s="158" t="s">
        <v>253</v>
      </c>
      <c r="B266" s="15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50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50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50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50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50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50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1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1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1:34" x14ac:dyDescent="0.25">
      <c r="A282" s="167" t="s">
        <v>238</v>
      </c>
      <c r="B282" s="168">
        <f t="shared" ref="B282:AE282" si="95">C251</f>
        <v>0.64</v>
      </c>
      <c r="C282" s="168">
        <f t="shared" si="95"/>
        <v>0.64</v>
      </c>
      <c r="D282" s="168">
        <f t="shared" si="95"/>
        <v>0.64</v>
      </c>
      <c r="E282" s="168">
        <f t="shared" si="95"/>
        <v>0.64</v>
      </c>
      <c r="F282" s="168">
        <f t="shared" si="95"/>
        <v>0.64</v>
      </c>
      <c r="G282" s="168">
        <f t="shared" si="95"/>
        <v>0.64</v>
      </c>
      <c r="H282" s="168">
        <f t="shared" si="95"/>
        <v>0.64</v>
      </c>
      <c r="I282" s="168">
        <f t="shared" si="95"/>
        <v>0.64</v>
      </c>
      <c r="J282" s="168">
        <f t="shared" si="95"/>
        <v>0.64</v>
      </c>
      <c r="K282" s="168">
        <f t="shared" si="95"/>
        <v>0.64</v>
      </c>
      <c r="L282" s="168">
        <f t="shared" si="95"/>
        <v>0.64</v>
      </c>
      <c r="M282" s="168">
        <f t="shared" si="95"/>
        <v>0.64</v>
      </c>
      <c r="N282" s="168">
        <f t="shared" si="95"/>
        <v>0.64</v>
      </c>
      <c r="O282" s="168">
        <f t="shared" si="95"/>
        <v>0.64</v>
      </c>
      <c r="P282" s="168">
        <f t="shared" si="95"/>
        <v>0.64</v>
      </c>
      <c r="Q282" s="168">
        <f t="shared" si="95"/>
        <v>0.64</v>
      </c>
      <c r="R282" s="168">
        <f t="shared" si="95"/>
        <v>0.64</v>
      </c>
      <c r="S282" s="168">
        <f t="shared" si="95"/>
        <v>0.64</v>
      </c>
      <c r="T282" s="168">
        <f t="shared" si="95"/>
        <v>0.64</v>
      </c>
      <c r="U282" s="168">
        <f t="shared" si="95"/>
        <v>0.64</v>
      </c>
      <c r="V282" s="168">
        <f t="shared" si="95"/>
        <v>0.64</v>
      </c>
      <c r="W282" s="168">
        <f t="shared" si="95"/>
        <v>0.64</v>
      </c>
      <c r="X282" s="168">
        <f t="shared" si="95"/>
        <v>0.64</v>
      </c>
      <c r="Y282" s="168">
        <f t="shared" si="95"/>
        <v>0.64</v>
      </c>
      <c r="Z282" s="168">
        <f t="shared" si="95"/>
        <v>0.64</v>
      </c>
      <c r="AA282" s="168">
        <f t="shared" si="95"/>
        <v>0.64</v>
      </c>
      <c r="AB282" s="168">
        <f t="shared" si="95"/>
        <v>0.64</v>
      </c>
      <c r="AC282" s="168">
        <f t="shared" si="95"/>
        <v>0.64</v>
      </c>
      <c r="AD282" s="168">
        <f t="shared" si="95"/>
        <v>0.64</v>
      </c>
      <c r="AE282" s="168">
        <f t="shared" si="95"/>
        <v>0.64</v>
      </c>
      <c r="AF282" s="168">
        <f>B251</f>
        <v>0.64</v>
      </c>
      <c r="AG282" s="43"/>
      <c r="AH282" s="43"/>
    </row>
    <row r="283" spans="1:34" x14ac:dyDescent="0.25">
      <c r="A283" s="169" t="e">
        <f>#REF!</f>
        <v>#REF!</v>
      </c>
      <c r="B283" s="169" t="e">
        <f>IF(#REF!&lt;100,"",#REF!-520)</f>
        <v>#REF!</v>
      </c>
      <c r="C283" s="169" t="e">
        <f>IF(#REF!&lt;100,"",#REF!-520)</f>
        <v>#REF!</v>
      </c>
      <c r="D283" s="169" t="e">
        <f>IF(#REF!&lt;100,"",#REF!-520)</f>
        <v>#REF!</v>
      </c>
      <c r="E283" s="169" t="e">
        <f>IF(#REF!&lt;100,"",#REF!-520)</f>
        <v>#REF!</v>
      </c>
      <c r="F283" s="169" t="e">
        <f>IF(#REF!&lt;100,"",#REF!-520)</f>
        <v>#REF!</v>
      </c>
      <c r="G283" s="169" t="e">
        <f>IF(#REF!&lt;100,"",#REF!-520)</f>
        <v>#REF!</v>
      </c>
      <c r="H283" s="169" t="e">
        <f>IF(#REF!&lt;100,"",#REF!-520)</f>
        <v>#REF!</v>
      </c>
      <c r="I283" s="169" t="e">
        <f>IF(#REF!&lt;100,"",#REF!-520)</f>
        <v>#REF!</v>
      </c>
      <c r="J283" s="169" t="e">
        <f>IF(#REF!&lt;100,"",#REF!-520)</f>
        <v>#REF!</v>
      </c>
      <c r="K283" s="169" t="e">
        <f>IF(#REF!&lt;100,"",#REF!-520)</f>
        <v>#REF!</v>
      </c>
      <c r="L283" s="169" t="e">
        <f>IF(#REF!&lt;100,"",#REF!-520)</f>
        <v>#REF!</v>
      </c>
      <c r="M283" s="169" t="e">
        <f>IF(#REF!&lt;100,"",#REF!-520)</f>
        <v>#REF!</v>
      </c>
      <c r="N283" s="169" t="e">
        <f>IF(#REF!&lt;100,"",#REF!-520)</f>
        <v>#REF!</v>
      </c>
      <c r="O283" s="169" t="e">
        <f>IF(#REF!&lt;100,"",#REF!-520)</f>
        <v>#REF!</v>
      </c>
      <c r="P283" s="169" t="e">
        <f>IF(#REF!&lt;100,"",#REF!-520)</f>
        <v>#REF!</v>
      </c>
      <c r="Q283" s="169" t="e">
        <f>IF(#REF!&lt;100,"",#REF!-520)</f>
        <v>#REF!</v>
      </c>
      <c r="R283" s="169" t="e">
        <f>IF(#REF!&lt;100,"",#REF!-520)</f>
        <v>#REF!</v>
      </c>
      <c r="S283" s="169" t="e">
        <f>IF(#REF!&lt;100,"",#REF!-520)</f>
        <v>#REF!</v>
      </c>
      <c r="T283" s="169" t="e">
        <f>IF(#REF!&lt;100,"",#REF!-520)</f>
        <v>#REF!</v>
      </c>
      <c r="U283" s="169" t="e">
        <f>IF(#REF!&lt;100,"",#REF!-520)</f>
        <v>#REF!</v>
      </c>
      <c r="V283" s="169" t="e">
        <f>IF(#REF!&lt;100,"",#REF!-520)</f>
        <v>#REF!</v>
      </c>
      <c r="W283" s="169" t="e">
        <f>IF(#REF!&lt;100,"",#REF!-520)</f>
        <v>#REF!</v>
      </c>
      <c r="X283" s="169" t="e">
        <f>IF(#REF!&lt;100,"",#REF!-520)</f>
        <v>#REF!</v>
      </c>
      <c r="Y283" s="169" t="e">
        <f>IF(#REF!&lt;100,"",#REF!-520)</f>
        <v>#REF!</v>
      </c>
      <c r="Z283" s="169" t="e">
        <f>IF(#REF!&lt;100,"",#REF!-520)</f>
        <v>#REF!</v>
      </c>
      <c r="AA283" s="169" t="e">
        <f>IF(#REF!&lt;100,"",#REF!-520)</f>
        <v>#REF!</v>
      </c>
      <c r="AB283" s="169" t="e">
        <f>IF(#REF!&lt;100,"",#REF!-520)</f>
        <v>#REF!</v>
      </c>
      <c r="AC283" s="169" t="e">
        <f>IF(#REF!&lt;100,"",#REF!-520)</f>
        <v>#REF!</v>
      </c>
      <c r="AD283" s="169" t="e">
        <f>IF(#REF!&lt;100,"",#REF!-520)</f>
        <v>#REF!</v>
      </c>
      <c r="AE283" s="169" t="e">
        <f>IF(#REF!&lt;100,"",#REF!-520)</f>
        <v>#REF!</v>
      </c>
      <c r="AF283" s="169" t="e">
        <f>IF(#REF!&lt;100,"",#REF!-520)</f>
        <v>#REF!</v>
      </c>
      <c r="AG283" s="43"/>
      <c r="AH283" s="43"/>
    </row>
    <row r="284" spans="1:34" x14ac:dyDescent="0.25">
      <c r="A284" s="169" t="e">
        <f>#REF!</f>
        <v>#REF!</v>
      </c>
      <c r="B284" s="169" t="e">
        <f>IF(#REF!&lt;100,"",#REF!-620)</f>
        <v>#REF!</v>
      </c>
      <c r="C284" s="169" t="e">
        <f>IF(#REF!&lt;100,"",#REF!-620)</f>
        <v>#REF!</v>
      </c>
      <c r="D284" s="169" t="e">
        <f>IF(#REF!&lt;100,"",#REF!-620)</f>
        <v>#REF!</v>
      </c>
      <c r="E284" s="169" t="e">
        <f>IF(#REF!&lt;100,"",#REF!-620)</f>
        <v>#REF!</v>
      </c>
      <c r="F284" s="169" t="e">
        <f>IF(#REF!&lt;100,"",#REF!-620)</f>
        <v>#REF!</v>
      </c>
      <c r="G284" s="169" t="e">
        <f>IF(#REF!&lt;100,"",#REF!-620)</f>
        <v>#REF!</v>
      </c>
      <c r="H284" s="169" t="e">
        <f>IF(#REF!&lt;100,"",#REF!-620)</f>
        <v>#REF!</v>
      </c>
      <c r="I284" s="169" t="e">
        <f>IF(#REF!&lt;100,"",#REF!-620)</f>
        <v>#REF!</v>
      </c>
      <c r="J284" s="169" t="e">
        <f>IF(#REF!&lt;100,"",#REF!-620)</f>
        <v>#REF!</v>
      </c>
      <c r="K284" s="169" t="e">
        <f>IF(#REF!&lt;100,"",#REF!-620)</f>
        <v>#REF!</v>
      </c>
      <c r="L284" s="169" t="e">
        <f>IF(#REF!&lt;100,"",#REF!-620)</f>
        <v>#REF!</v>
      </c>
      <c r="M284" s="169" t="e">
        <f>IF(#REF!&lt;100,"",#REF!-620)</f>
        <v>#REF!</v>
      </c>
      <c r="N284" s="169" t="e">
        <f>IF(#REF!&lt;100,"",#REF!-620)</f>
        <v>#REF!</v>
      </c>
      <c r="O284" s="169" t="e">
        <f>IF(#REF!&lt;100,"",#REF!-620)</f>
        <v>#REF!</v>
      </c>
      <c r="P284" s="169" t="e">
        <f>IF(#REF!&lt;100,"",#REF!-620)</f>
        <v>#REF!</v>
      </c>
      <c r="Q284" s="169" t="e">
        <f>IF(#REF!&lt;100,"",#REF!-620)</f>
        <v>#REF!</v>
      </c>
      <c r="R284" s="169" t="e">
        <f>IF(#REF!&lt;100,"",#REF!-620)</f>
        <v>#REF!</v>
      </c>
      <c r="S284" s="169" t="e">
        <f>IF(#REF!&lt;100,"",#REF!-620)</f>
        <v>#REF!</v>
      </c>
      <c r="T284" s="169" t="e">
        <f>IF(#REF!&lt;100,"",#REF!-620)</f>
        <v>#REF!</v>
      </c>
      <c r="U284" s="169" t="e">
        <f>IF(#REF!&lt;100,"",#REF!-620)</f>
        <v>#REF!</v>
      </c>
      <c r="V284" s="169" t="e">
        <f>IF(#REF!&lt;100,"",#REF!-620)</f>
        <v>#REF!</v>
      </c>
      <c r="W284" s="169" t="e">
        <f>IF(#REF!&lt;100,"",#REF!-620)</f>
        <v>#REF!</v>
      </c>
      <c r="X284" s="169" t="e">
        <f>IF(#REF!&lt;100,"",#REF!-620)</f>
        <v>#REF!</v>
      </c>
      <c r="Y284" s="169" t="e">
        <f>IF(#REF!&lt;100,"",#REF!-620)</f>
        <v>#REF!</v>
      </c>
      <c r="Z284" s="169" t="e">
        <f>IF(#REF!&lt;100,"",#REF!-620)</f>
        <v>#REF!</v>
      </c>
      <c r="AA284" s="169" t="e">
        <f>IF(#REF!&lt;100,"",#REF!-620)</f>
        <v>#REF!</v>
      </c>
      <c r="AB284" s="169" t="e">
        <f>IF(#REF!&lt;100,"",#REF!-620)</f>
        <v>#REF!</v>
      </c>
      <c r="AC284" s="169" t="e">
        <f>IF(#REF!&lt;100,"",#REF!-620)</f>
        <v>#REF!</v>
      </c>
      <c r="AD284" s="169" t="e">
        <f>IF(#REF!&lt;100,"",#REF!-620)</f>
        <v>#REF!</v>
      </c>
      <c r="AE284" s="169" t="e">
        <f>IF(#REF!&lt;100,"",#REF!-620)</f>
        <v>#REF!</v>
      </c>
      <c r="AF284" s="169" t="e">
        <f>IF(#REF!&lt;100,"",#REF!-620)</f>
        <v>#REF!</v>
      </c>
      <c r="AG284" s="43"/>
      <c r="AH284" s="43"/>
    </row>
    <row r="285" spans="1:34" x14ac:dyDescent="0.25">
      <c r="A285" s="169" t="e">
        <f>#REF!</f>
        <v>#REF!</v>
      </c>
      <c r="B285" s="169" t="e">
        <f>IF(#REF!&lt;100,"",#REF!-330)</f>
        <v>#REF!</v>
      </c>
      <c r="C285" s="169" t="e">
        <f>IF(#REF!&lt;100,"",#REF!-330)</f>
        <v>#REF!</v>
      </c>
      <c r="D285" s="169" t="e">
        <f>IF(#REF!&lt;100,"",#REF!-330)</f>
        <v>#REF!</v>
      </c>
      <c r="E285" s="169" t="e">
        <f>IF(#REF!&lt;100,"",#REF!-330)</f>
        <v>#REF!</v>
      </c>
      <c r="F285" s="169" t="e">
        <f>IF(#REF!&lt;100,"",#REF!-330)</f>
        <v>#REF!</v>
      </c>
      <c r="G285" s="169" t="e">
        <f>IF(#REF!&lt;100,"",#REF!-330)</f>
        <v>#REF!</v>
      </c>
      <c r="H285" s="169" t="e">
        <f>IF(#REF!&lt;100,"",#REF!-330)</f>
        <v>#REF!</v>
      </c>
      <c r="I285" s="169" t="e">
        <f>IF(#REF!&lt;100,"",#REF!-330)</f>
        <v>#REF!</v>
      </c>
      <c r="J285" s="169" t="e">
        <f>IF(#REF!&lt;100,"",#REF!-330)</f>
        <v>#REF!</v>
      </c>
      <c r="K285" s="169" t="e">
        <f>IF(#REF!&lt;100,"",#REF!-330)</f>
        <v>#REF!</v>
      </c>
      <c r="L285" s="169" t="e">
        <f>IF(#REF!&lt;100,"",#REF!-330)</f>
        <v>#REF!</v>
      </c>
      <c r="M285" s="169" t="e">
        <f>IF(#REF!&lt;100,"",#REF!-330)</f>
        <v>#REF!</v>
      </c>
      <c r="N285" s="169" t="e">
        <f>IF(#REF!&lt;100,"",#REF!-330)</f>
        <v>#REF!</v>
      </c>
      <c r="O285" s="169" t="e">
        <f>IF(#REF!&lt;100,"",#REF!-330)</f>
        <v>#REF!</v>
      </c>
      <c r="P285" s="169" t="e">
        <f>IF(#REF!&lt;100,"",#REF!-330)</f>
        <v>#REF!</v>
      </c>
      <c r="Q285" s="169" t="e">
        <f>IF(#REF!&lt;100,"",#REF!-330)</f>
        <v>#REF!</v>
      </c>
      <c r="R285" s="169" t="e">
        <f>IF(#REF!&lt;100,"",#REF!-330)</f>
        <v>#REF!</v>
      </c>
      <c r="S285" s="169" t="e">
        <f>IF(#REF!&lt;100,"",#REF!-330)</f>
        <v>#REF!</v>
      </c>
      <c r="T285" s="169" t="e">
        <f>IF(#REF!&lt;100,"",#REF!-330)</f>
        <v>#REF!</v>
      </c>
      <c r="U285" s="169" t="e">
        <f>IF(#REF!&lt;100,"",#REF!-330)</f>
        <v>#REF!</v>
      </c>
      <c r="V285" s="169" t="e">
        <f>IF(#REF!&lt;100,"",#REF!-330)</f>
        <v>#REF!</v>
      </c>
      <c r="W285" s="169" t="e">
        <f>IF(#REF!&lt;100,"",#REF!-330)</f>
        <v>#REF!</v>
      </c>
      <c r="X285" s="169" t="e">
        <f>IF(#REF!&lt;100,"",#REF!-330)</f>
        <v>#REF!</v>
      </c>
      <c r="Y285" s="169" t="e">
        <f>IF(#REF!&lt;100,"",#REF!-330)</f>
        <v>#REF!</v>
      </c>
      <c r="Z285" s="169" t="e">
        <f>IF(#REF!&lt;100,"",#REF!-330)</f>
        <v>#REF!</v>
      </c>
      <c r="AA285" s="169" t="e">
        <f>IF(#REF!&lt;100,"",#REF!-330)</f>
        <v>#REF!</v>
      </c>
      <c r="AB285" s="169" t="e">
        <f>IF(#REF!&lt;100,"",#REF!-330)</f>
        <v>#REF!</v>
      </c>
      <c r="AC285" s="169" t="e">
        <f>IF(#REF!&lt;100,"",#REF!-330)</f>
        <v>#REF!</v>
      </c>
      <c r="AD285" s="169" t="e">
        <f>IF(#REF!&lt;100,"",#REF!-330)</f>
        <v>#REF!</v>
      </c>
      <c r="AE285" s="169" t="e">
        <f>IF(#REF!&lt;100,"",#REF!-330)</f>
        <v>#REF!</v>
      </c>
      <c r="AF285" s="169" t="e">
        <f>IF(#REF!&lt;100,"",#REF!-330)</f>
        <v>#REF!</v>
      </c>
      <c r="AG285" s="43"/>
      <c r="AH285" s="43"/>
    </row>
    <row r="286" spans="1:34" x14ac:dyDescent="0.25">
      <c r="A286" s="169" t="e">
        <f>#REF!</f>
        <v>#REF!</v>
      </c>
      <c r="B286" s="169" t="e">
        <f>IF(#REF!&lt;100,"",#REF!-1500)</f>
        <v>#REF!</v>
      </c>
      <c r="C286" s="169" t="e">
        <f>IF(#REF!&lt;100,"",#REF!-1500)</f>
        <v>#REF!</v>
      </c>
      <c r="D286" s="169" t="e">
        <f>IF(#REF!&lt;100,"",#REF!-1500)</f>
        <v>#REF!</v>
      </c>
      <c r="E286" s="169" t="e">
        <f>IF(#REF!&lt;100,"",#REF!-1500)</f>
        <v>#REF!</v>
      </c>
      <c r="F286" s="169" t="e">
        <f>IF(#REF!&lt;100,"",#REF!-1500)</f>
        <v>#REF!</v>
      </c>
      <c r="G286" s="169" t="e">
        <f>IF(#REF!&lt;100,"",#REF!-1500)</f>
        <v>#REF!</v>
      </c>
      <c r="H286" s="169" t="e">
        <f>IF(#REF!&lt;100,"",#REF!-1500)</f>
        <v>#REF!</v>
      </c>
      <c r="I286" s="169" t="e">
        <f>IF(#REF!&lt;100,"",#REF!-1500)</f>
        <v>#REF!</v>
      </c>
      <c r="J286" s="169" t="e">
        <f>IF(#REF!&lt;100,"",#REF!-1500)</f>
        <v>#REF!</v>
      </c>
      <c r="K286" s="169" t="e">
        <f>IF(#REF!&lt;100,"",#REF!-1500)</f>
        <v>#REF!</v>
      </c>
      <c r="L286" s="169" t="e">
        <f>IF(#REF!&lt;100,"",#REF!-1500)</f>
        <v>#REF!</v>
      </c>
      <c r="M286" s="169" t="e">
        <f>IF(#REF!&lt;100,"",#REF!-1500)</f>
        <v>#REF!</v>
      </c>
      <c r="N286" s="169" t="e">
        <f>IF(#REF!&lt;100,"",#REF!-1500)</f>
        <v>#REF!</v>
      </c>
      <c r="O286" s="169" t="e">
        <f>IF(#REF!&lt;100,"",#REF!-1500)</f>
        <v>#REF!</v>
      </c>
      <c r="P286" s="169" t="e">
        <f>IF(#REF!&lt;100,"",#REF!-1500)</f>
        <v>#REF!</v>
      </c>
      <c r="Q286" s="169" t="e">
        <f>IF(#REF!&lt;100,"",#REF!-1500)</f>
        <v>#REF!</v>
      </c>
      <c r="R286" s="169" t="e">
        <f>IF(#REF!&lt;100,"",#REF!-1500)</f>
        <v>#REF!</v>
      </c>
      <c r="S286" s="169" t="e">
        <f>IF(#REF!&lt;100,"",#REF!-1500)</f>
        <v>#REF!</v>
      </c>
      <c r="T286" s="169" t="e">
        <f>IF(#REF!&lt;100,"",#REF!-1500)</f>
        <v>#REF!</v>
      </c>
      <c r="U286" s="169" t="e">
        <f>IF(#REF!&lt;100,"",#REF!-1500)</f>
        <v>#REF!</v>
      </c>
      <c r="V286" s="169" t="e">
        <f>IF(#REF!&lt;100,"",#REF!-1500)</f>
        <v>#REF!</v>
      </c>
      <c r="W286" s="169" t="e">
        <f>IF(#REF!&lt;100,"",#REF!-1500)</f>
        <v>#REF!</v>
      </c>
      <c r="X286" s="169" t="e">
        <f>IF(#REF!&lt;100,"",#REF!-1500)</f>
        <v>#REF!</v>
      </c>
      <c r="Y286" s="169" t="e">
        <f>IF(#REF!&lt;100,"",#REF!-1500)</f>
        <v>#REF!</v>
      </c>
      <c r="Z286" s="169" t="e">
        <f>IF(#REF!&lt;100,"",#REF!-1500)</f>
        <v>#REF!</v>
      </c>
      <c r="AA286" s="169" t="e">
        <f>IF(#REF!&lt;100,"",#REF!-1500)</f>
        <v>#REF!</v>
      </c>
      <c r="AB286" s="169" t="e">
        <f>IF(#REF!&lt;100,"",#REF!-1500)</f>
        <v>#REF!</v>
      </c>
      <c r="AC286" s="169" t="e">
        <f>IF(#REF!&lt;100,"",#REF!-1500)</f>
        <v>#REF!</v>
      </c>
      <c r="AD286" s="169" t="e">
        <f>IF(#REF!&lt;100,"",#REF!-1500)</f>
        <v>#REF!</v>
      </c>
      <c r="AE286" s="169" t="e">
        <f>IF(#REF!&lt;100,"",#REF!-1500)</f>
        <v>#REF!</v>
      </c>
      <c r="AF286" s="169" t="e">
        <f>IF(#REF!&lt;100,"",#REF!-1500)</f>
        <v>#REF!</v>
      </c>
      <c r="AG286" s="43"/>
      <c r="AH286" s="43"/>
    </row>
    <row r="287" spans="1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1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2:34" x14ac:dyDescent="0.25"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2:34" x14ac:dyDescent="0.25"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2:34" x14ac:dyDescent="0.25"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2:34" x14ac:dyDescent="0.25"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2:34" x14ac:dyDescent="0.25"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1445" priority="1">
      <formula>$AH11=0</formula>
    </cfRule>
  </conditionalFormatting>
  <conditionalFormatting sqref="A132:A253">
    <cfRule type="expression" dxfId="1444" priority="6">
      <formula>$AH132=0</formula>
    </cfRule>
  </conditionalFormatting>
  <conditionalFormatting sqref="B8 M8 S8 AB8">
    <cfRule type="expression" dxfId="1443" priority="116">
      <formula>C$9&lt;8/24</formula>
    </cfRule>
    <cfRule type="expression" dxfId="1442" priority="115">
      <formula>AND(C$9&gt;=8/24,C$9&lt;14/24)</formula>
    </cfRule>
    <cfRule type="expression" dxfId="1441" priority="114">
      <formula>AND(C$9&gt;=14/24,C$9&lt;20/24)</formula>
    </cfRule>
  </conditionalFormatting>
  <conditionalFormatting sqref="B63:J74 H68:L74 M69:X74">
    <cfRule type="expression" dxfId="1440" priority="21">
      <formula>B$9&gt;=20/24</formula>
    </cfRule>
    <cfRule type="expression" dxfId="1439" priority="22">
      <formula>AND(B$9&gt;=14/24,B$9&lt;20/24)</formula>
    </cfRule>
    <cfRule type="expression" dxfId="1438" priority="23">
      <formula>AND(B$9&gt;=8/24,B$9&lt;14/24)</formula>
    </cfRule>
    <cfRule type="expression" dxfId="1437" priority="24">
      <formula>B$9&lt;8/24</formula>
    </cfRule>
  </conditionalFormatting>
  <conditionalFormatting sqref="B11:X54">
    <cfRule type="expression" dxfId="1436" priority="15">
      <formula>B11&gt;$AG11</formula>
    </cfRule>
  </conditionalFormatting>
  <conditionalFormatting sqref="B53:X54">
    <cfRule type="expression" dxfId="1435" priority="14">
      <formula>B$9&lt;8/24</formula>
    </cfRule>
  </conditionalFormatting>
  <conditionalFormatting sqref="B55:X55">
    <cfRule type="expression" dxfId="1434" priority="35">
      <formula>B55&gt;$AG55</formula>
    </cfRule>
  </conditionalFormatting>
  <conditionalFormatting sqref="B55:X57">
    <cfRule type="expression" dxfId="1433" priority="34">
      <formula>B$9&lt;8/24</formula>
    </cfRule>
  </conditionalFormatting>
  <conditionalFormatting sqref="B9:AF52">
    <cfRule type="expression" dxfId="1432" priority="26">
      <formula>B$9&gt;=20/24</formula>
    </cfRule>
    <cfRule type="expression" dxfId="1431" priority="27">
      <formula>AND(B$9&gt;=14/24,B$9&lt;20/24)</formula>
    </cfRule>
    <cfRule type="expression" dxfId="1430" priority="28">
      <formula>AND(B$9&gt;=8/24,B$9&lt;14/24)</formula>
    </cfRule>
    <cfRule type="expression" dxfId="1429" priority="29">
      <formula>B$9&lt;8/24</formula>
    </cfRule>
  </conditionalFormatting>
  <conditionalFormatting sqref="B53:AF54">
    <cfRule type="expression" dxfId="1428" priority="11">
      <formula>B$9&gt;=20/24</formula>
    </cfRule>
    <cfRule type="expression" dxfId="1427" priority="12">
      <formula>AND(B$9&gt;=14/24,B$9&lt;20/24)</formula>
    </cfRule>
    <cfRule type="expression" dxfId="1426" priority="13">
      <formula>AND(B$9&gt;=8/24,B$9&lt;14/24)</formula>
    </cfRule>
  </conditionalFormatting>
  <conditionalFormatting sqref="B55:AF57">
    <cfRule type="expression" dxfId="1425" priority="33">
      <formula>AND(B$9&gt;=8/24,B$9&lt;14/24)</formula>
    </cfRule>
    <cfRule type="expression" dxfId="1424" priority="31">
      <formula>B$9&gt;=20/24</formula>
    </cfRule>
    <cfRule type="expression" dxfId="1423" priority="32">
      <formula>AND(B$9&gt;=14/24,B$9&lt;20/24)</formula>
    </cfRule>
  </conditionalFormatting>
  <conditionalFormatting sqref="B56:AF61">
    <cfRule type="expression" dxfId="1422" priority="30">
      <formula>B56&gt;$AG56</formula>
    </cfRule>
  </conditionalFormatting>
  <conditionalFormatting sqref="B59:AF61">
    <cfRule type="expression" dxfId="1421" priority="41">
      <formula>B$9&gt;=20/24</formula>
    </cfRule>
    <cfRule type="expression" dxfId="1420" priority="42">
      <formula>AND(B$9&gt;=14/24,B$9&lt;20/24)</formula>
    </cfRule>
    <cfRule type="expression" dxfId="1419" priority="43">
      <formula>AND(B$9&gt;=8/24,B$9&lt;14/24)</formula>
    </cfRule>
    <cfRule type="expression" dxfId="1418" priority="44">
      <formula>B$9&lt;8/24</formula>
    </cfRule>
  </conditionalFormatting>
  <conditionalFormatting sqref="B63:AF74">
    <cfRule type="expression" dxfId="1417" priority="20">
      <formula>B63&gt;$AG63</formula>
    </cfRule>
  </conditionalFormatting>
  <conditionalFormatting sqref="B77:AF79">
    <cfRule type="expression" dxfId="1416" priority="47">
      <formula>AND(B$9&gt;=14/24,B$9&lt;20/24)</formula>
    </cfRule>
    <cfRule type="expression" dxfId="1415" priority="45">
      <formula>B77&gt;$AG77</formula>
    </cfRule>
    <cfRule type="expression" dxfId="1414" priority="46">
      <formula>B$9&gt;=20/24</formula>
    </cfRule>
    <cfRule type="expression" dxfId="1413" priority="48">
      <formula>AND(B$9&gt;=8/24,B$9&lt;14/24)</formula>
    </cfRule>
    <cfRule type="expression" dxfId="1412" priority="49">
      <formula>B$9&lt;8/24</formula>
    </cfRule>
  </conditionalFormatting>
  <conditionalFormatting sqref="B81:AF99">
    <cfRule type="expression" dxfId="1411" priority="19">
      <formula>B$9&lt;8/24</formula>
    </cfRule>
    <cfRule type="expression" dxfId="1410" priority="18">
      <formula>AND(B$9&gt;=8/24,B$9&lt;14/24)</formula>
    </cfRule>
    <cfRule type="expression" dxfId="1409" priority="16">
      <formula>B$9&gt;=20/24</formula>
    </cfRule>
    <cfRule type="expression" dxfId="1408" priority="17">
      <formula>AND(B$9&gt;=14/24,B$9&lt;20/24)</formula>
    </cfRule>
  </conditionalFormatting>
  <conditionalFormatting sqref="B101:AF117">
    <cfRule type="expression" dxfId="1407" priority="7">
      <formula>B$9&gt;=20/24</formula>
    </cfRule>
    <cfRule type="expression" dxfId="1406" priority="8">
      <formula>AND(B$9&gt;=14/24,B$9&lt;20/24)</formula>
    </cfRule>
    <cfRule type="expression" dxfId="1405" priority="10">
      <formula>B$9&lt;8/24</formula>
    </cfRule>
    <cfRule type="expression" dxfId="1404" priority="9">
      <formula>AND(B$9&gt;=8/24,B$9&lt;14/24)</formula>
    </cfRule>
  </conditionalFormatting>
  <conditionalFormatting sqref="B119:AF137">
    <cfRule type="expression" dxfId="1403" priority="3">
      <formula>AND(B$9&gt;=14/24,B$9&lt;20/24)</formula>
    </cfRule>
    <cfRule type="expression" dxfId="1402" priority="4">
      <formula>AND(B$9&gt;=8/24,B$9&lt;14/24)</formula>
    </cfRule>
    <cfRule type="expression" dxfId="1401" priority="5">
      <formula>B$9&lt;8/24</formula>
    </cfRule>
    <cfRule type="expression" dxfId="1400" priority="2">
      <formula>B$9&gt;=20/24</formula>
    </cfRule>
  </conditionalFormatting>
  <conditionalFormatting sqref="B244:AF244 B246:B252 D246:AF252 U260:AF260">
    <cfRule type="expression" dxfId="1399" priority="110">
      <formula>B$9&lt;8/24</formula>
    </cfRule>
    <cfRule type="expression" dxfId="1398" priority="109">
      <formula>AND(B$9&gt;=8/24,B$9&lt;14/24)</formula>
    </cfRule>
    <cfRule type="expression" dxfId="1397" priority="108">
      <formula>AND(B$9&gt;=14/24,B$9&lt;20/24)</formula>
    </cfRule>
    <cfRule type="expression" dxfId="1396" priority="107">
      <formula>B$9&gt;=20/24</formula>
    </cfRule>
  </conditionalFormatting>
  <conditionalFormatting sqref="B62:AG62">
    <cfRule type="expression" dxfId="1395" priority="50">
      <formula>B62&gt;$AG62</formula>
    </cfRule>
    <cfRule type="expression" dxfId="1394" priority="51">
      <formula>B$9&gt;=20/24</formula>
    </cfRule>
    <cfRule type="expression" dxfId="1393" priority="52">
      <formula>AND(B$9&gt;=14/24,B$9&lt;20/24)</formula>
    </cfRule>
    <cfRule type="expression" dxfId="1392" priority="53">
      <formula>AND(B$9&gt;=8/24,B$9&lt;14/24)</formula>
    </cfRule>
    <cfRule type="expression" dxfId="1391" priority="54">
      <formula>B$9&lt;8/24</formula>
    </cfRule>
  </conditionalFormatting>
  <conditionalFormatting sqref="B75:AG76 B80:AG80">
    <cfRule type="expression" dxfId="1390" priority="36">
      <formula>B75&gt;$AG75</formula>
    </cfRule>
  </conditionalFormatting>
  <conditionalFormatting sqref="B80:AG80">
    <cfRule type="expression" dxfId="1389" priority="37">
      <formula>B$9&gt;=20/24</formula>
    </cfRule>
    <cfRule type="expression" dxfId="1388" priority="40">
      <formula>B$9&lt;8/24</formula>
    </cfRule>
    <cfRule type="expression" dxfId="1387" priority="39">
      <formula>AND(B$9&gt;=8/24,B$9&lt;14/24)</formula>
    </cfRule>
    <cfRule type="expression" dxfId="1386" priority="38">
      <formula>AND(B$9&gt;=14/24,B$9&lt;20/24)</formula>
    </cfRule>
  </conditionalFormatting>
  <conditionalFormatting sqref="F63:L65">
    <cfRule type="expression" dxfId="1385" priority="91">
      <formula>F$9&lt;8/24</formula>
    </cfRule>
    <cfRule type="expression" dxfId="1384" priority="90">
      <formula>AND(F$9&gt;=8/24,F$9&lt;14/24)</formula>
    </cfRule>
    <cfRule type="expression" dxfId="1383" priority="89">
      <formula>AND(F$9&gt;=14/24,F$9&lt;20/24)</formula>
    </cfRule>
    <cfRule type="expression" dxfId="1382" priority="88">
      <formula>F$9&gt;=20/24</formula>
    </cfRule>
  </conditionalFormatting>
  <conditionalFormatting sqref="F68:X68">
    <cfRule type="expression" dxfId="1381" priority="65">
      <formula>F$9&gt;=20/24</formula>
    </cfRule>
    <cfRule type="expression" dxfId="1380" priority="66">
      <formula>AND(F$9&gt;=14/24,F$9&lt;20/24)</formula>
    </cfRule>
    <cfRule type="expression" dxfId="1379" priority="67">
      <formula>AND(F$9&gt;=8/24,F$9&lt;14/24)</formula>
    </cfRule>
    <cfRule type="expression" dxfId="1378" priority="68">
      <formula>F$9&lt;8/24</formula>
    </cfRule>
  </conditionalFormatting>
  <conditionalFormatting sqref="F69:AF74">
    <cfRule type="expression" dxfId="1377" priority="55">
      <formula>F$9&gt;=20/24</formula>
    </cfRule>
    <cfRule type="expression" dxfId="1376" priority="56">
      <formula>AND(F$9&gt;=14/24,F$9&lt;20/24)</formula>
    </cfRule>
    <cfRule type="expression" dxfId="1375" priority="57">
      <formula>AND(F$9&gt;=8/24,F$9&lt;14/24)</formula>
    </cfRule>
    <cfRule type="expression" dxfId="1374" priority="58">
      <formula>F$9&lt;8/24</formula>
    </cfRule>
  </conditionalFormatting>
  <conditionalFormatting sqref="M63:U67 V67:X67">
    <cfRule type="expression" dxfId="1373" priority="93">
      <formula>AND(M$9&gt;=14/24,M$9&lt;20/24)</formula>
    </cfRule>
    <cfRule type="expression" dxfId="1372" priority="94">
      <formula>AND(M$9&gt;=8/24,M$9&lt;14/24)</formula>
    </cfRule>
    <cfRule type="expression" dxfId="1371" priority="95">
      <formula>M$9&lt;8/24</formula>
    </cfRule>
  </conditionalFormatting>
  <conditionalFormatting sqref="O3:P3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1370" priority="113">
      <formula>C$9&gt;=20/24</formula>
    </cfRule>
  </conditionalFormatting>
  <conditionalFormatting sqref="S8">
    <cfRule type="expression" dxfId="1369" priority="101">
      <formula>AND(U$9&gt;=14/24,U$9&lt;20/24)</formula>
    </cfRule>
    <cfRule type="expression" dxfId="1368" priority="103">
      <formula>U$9&lt;8/24</formula>
    </cfRule>
    <cfRule type="expression" dxfId="1367" priority="102">
      <formula>AND(U$9&gt;=8/24,U$9&lt;14/24)</formula>
    </cfRule>
    <cfRule type="expression" dxfId="1366" priority="100">
      <formula>U$9&gt;=20/24</formula>
    </cfRule>
  </conditionalFormatting>
  <conditionalFormatting sqref="T260">
    <cfRule type="expression" dxfId="1365" priority="128">
      <formula>AX$9&lt;8/24</formula>
    </cfRule>
    <cfRule type="expression" dxfId="1364" priority="125">
      <formula>AX$9&gt;=20/24</formula>
    </cfRule>
    <cfRule type="expression" dxfId="1363" priority="126">
      <formula>AND(AX$9&gt;=14/24,AX$9&lt;20/24)</formula>
    </cfRule>
    <cfRule type="expression" dxfId="1362" priority="127">
      <formula>AND(AX$9&gt;=8/24,AX$9&lt;14/24)</formula>
    </cfRule>
  </conditionalFormatting>
  <conditionalFormatting sqref="V3 AB3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V67:X67 M63:U67">
    <cfRule type="expression" dxfId="1361" priority="92">
      <formula>M$9&gt;=20/24</formula>
    </cfRule>
  </conditionalFormatting>
  <conditionalFormatting sqref="V63:AF68">
    <cfRule type="expression" dxfId="1360" priority="59">
      <formula>V$9&gt;=20/24</formula>
    </cfRule>
    <cfRule type="expression" dxfId="1359" priority="60">
      <formula>AND(V$9&gt;=14/24,V$9&lt;20/24)</formula>
    </cfRule>
    <cfRule type="expression" dxfId="1358" priority="62">
      <formula>V$9&lt;8/24</formula>
    </cfRule>
    <cfRule type="expression" dxfId="1357" priority="61">
      <formula>AND(V$9&gt;=8/24,V$9&lt;14/24)</formula>
    </cfRule>
  </conditionalFormatting>
  <conditionalFormatting sqref="Y11:AF52">
    <cfRule type="expression" dxfId="1356" priority="25">
      <formula>Y11&gt;$AG11</formula>
    </cfRule>
  </conditionalFormatting>
  <conditionalFormatting sqref="Y53:AF55">
    <cfRule type="expression" dxfId="1355" priority="64">
      <formula>Y53&gt;$AG53</formula>
    </cfRule>
  </conditionalFormatting>
  <conditionalFormatting sqref="Y53:AF57">
    <cfRule type="expression" dxfId="1354" priority="63">
      <formula>Y$9&lt;8/24</formula>
    </cfRule>
  </conditionalFormatting>
  <conditionalFormatting sqref="AB8">
    <cfRule type="expression" dxfId="1353" priority="96">
      <formula>AD$9&gt;=20/24</formula>
    </cfRule>
    <cfRule type="expression" dxfId="1352" priority="97">
      <formula>AND(AD$9&gt;=14/24,AD$9&lt;20/24)</formula>
    </cfRule>
    <cfRule type="expression" dxfId="1351" priority="98">
      <formula>AND(AD$9&gt;=8/24,AD$9&lt;14/24)</formula>
    </cfRule>
    <cfRule type="expression" dxfId="1350" priority="99">
      <formula>AD$9&lt;8/24</formula>
    </cfRule>
  </conditionalFormatting>
  <conditionalFormatting sqref="AG58">
    <cfRule type="expression" dxfId="1349" priority="83">
      <formula>AG58&gt;$AG58</formula>
    </cfRule>
  </conditionalFormatting>
  <conditionalFormatting sqref="AG97">
    <cfRule type="expression" dxfId="1348" priority="84">
      <formula>AG$9&gt;=20/24</formula>
    </cfRule>
    <cfRule type="expression" dxfId="1347" priority="85">
      <formula>AND(AG$9&gt;=14/24,AG$9&lt;20/24)</formula>
    </cfRule>
    <cfRule type="expression" dxfId="1346" priority="87">
      <formula>AG$9&lt;8/24</formula>
    </cfRule>
    <cfRule type="expression" dxfId="1345" priority="86">
      <formula>AND(AG$9&gt;=8/24,AG$9&lt;14/24)</formula>
    </cfRule>
  </conditionalFormatting>
  <conditionalFormatting sqref="AG260">
    <cfRule type="expression" dxfId="1344" priority="120">
      <formula>B$9&lt;8/24</formula>
    </cfRule>
    <cfRule type="expression" dxfId="1343" priority="117">
      <formula>B$9&gt;=20/24</formula>
    </cfRule>
    <cfRule type="expression" dxfId="1342" priority="118">
      <formula>AND(B$9&gt;=14/24,B$9&lt;20/24)</formula>
    </cfRule>
    <cfRule type="expression" dxfId="1341" priority="119">
      <formula>AND(B$9&gt;=8/24,B$9&lt;14/24)</formula>
    </cfRule>
  </conditionalFormatting>
  <conditionalFormatting sqref="AH260:AX260">
    <cfRule type="expression" dxfId="1340" priority="121">
      <formula>AG$9&gt;=20/24</formula>
    </cfRule>
    <cfRule type="expression" dxfId="1339" priority="122">
      <formula>AND(AG$9&gt;=14/24,AG$9&lt;20/24)</formula>
    </cfRule>
    <cfRule type="expression" dxfId="1338" priority="123">
      <formula>AND(AG$9&gt;=8/24,AG$9&lt;14/24)</formula>
    </cfRule>
    <cfRule type="expression" dxfId="1337" priority="124">
      <formula>AG$9&lt;8/24</formula>
    </cfRule>
  </conditionalFormatting>
  <conditionalFormatting sqref="AL4:AL6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19:AL20">
    <cfRule type="iconSet" priority="71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8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70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8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82">
      <iconSet iconSet="3TrafficLights2" reverse="1">
        <cfvo type="percent" val="0"/>
        <cfvo type="num" val="1"/>
        <cfvo type="num" val="1"/>
      </iconSet>
    </cfRule>
  </conditionalFormatting>
  <conditionalFormatting sqref="AL48 AL45:AL46 AL21:AL24 AL7:AL18 AL26:AL37 AL39:AL43 AL54:AL55">
    <cfRule type="iconSet" priority="129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04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69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1336" priority="130">
      <formula>AJ$9&gt;=20/24</formula>
    </cfRule>
    <cfRule type="expression" dxfId="1335" priority="131">
      <formula>AND(AJ$9&gt;=14/24,AJ$9&lt;20/24)</formula>
    </cfRule>
    <cfRule type="expression" dxfId="1334" priority="132">
      <formula>AND(AJ$9&gt;=8/24,AJ$9&lt;14/24)</formula>
    </cfRule>
    <cfRule type="expression" dxfId="1333" priority="133">
      <formula>AJ$9&lt;8/24</formula>
    </cfRule>
  </conditionalFormatting>
  <conditionalFormatting sqref="AL88:AN88 AL94:AN94">
    <cfRule type="expression" dxfId="1332" priority="79">
      <formula>AL$9&lt;8/24</formula>
    </cfRule>
    <cfRule type="expression" dxfId="1331" priority="78">
      <formula>AND(AL$9&gt;=8/24,AL$9&lt;14/24)</formula>
    </cfRule>
    <cfRule type="expression" dxfId="1330" priority="76">
      <formula>AL$9&gt;=20/24</formula>
    </cfRule>
    <cfRule type="expression" dxfId="1329" priority="77">
      <formula>AND(AL$9&gt;=14/24,AL$9&lt;20/24)</formula>
    </cfRule>
  </conditionalFormatting>
  <conditionalFormatting sqref="AN89:AN92">
    <cfRule type="expression" dxfId="1328" priority="75">
      <formula>AN$9&lt;8/24</formula>
    </cfRule>
    <cfRule type="expression" dxfId="1327" priority="74">
      <formula>AND(AN$9&gt;=8/24,AN$9&lt;14/24)</formula>
    </cfRule>
    <cfRule type="expression" dxfId="1326" priority="73">
      <formula>AND(AN$9&gt;=14/24,AN$9&lt;20/24)</formula>
    </cfRule>
    <cfRule type="expression" dxfId="1325" priority="72">
      <formula>AN$9&gt;=20/24</formula>
    </cfRule>
  </conditionalFormatting>
  <pageMargins left="0.7" right="0.7" top="0.75" bottom="0.75" header="0.3" footer="0.3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EF14E-B124-4C71-B00A-66F1C62A5B5F}">
  <sheetPr codeName="Sheet34"/>
  <dimension ref="A1:CJ293"/>
  <sheetViews>
    <sheetView zoomScale="120" zoomScaleNormal="120" workbookViewId="0">
      <pane xSplit="1" ySplit="10" topLeftCell="BR60" activePane="bottomRight" state="frozen"/>
      <selection activeCell="M136" sqref="M136"/>
      <selection pane="topRight" activeCell="M136" sqref="M136"/>
      <selection pane="bottomLeft" activeCell="M136" sqref="M136"/>
      <selection pane="bottomRight" activeCell="AY1" sqref="AY1:BW1048576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1" width="6.5703125" style="1" bestFit="1" customWidth="1"/>
    <col min="12" max="12" width="6" style="1" bestFit="1" customWidth="1"/>
    <col min="13" max="13" width="6.5703125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7.140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57" width="9.140625" style="1"/>
    <col min="58" max="58" width="22.28515625" style="1" bestFit="1" customWidth="1"/>
    <col min="59" max="16384" width="9.140625" style="1"/>
  </cols>
  <sheetData>
    <row r="1" spans="1:88" ht="36" hidden="1" customHeight="1" thickBot="1" x14ac:dyDescent="0.3">
      <c r="A1" s="275" t="s">
        <v>0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  <c r="AD1" s="275"/>
      <c r="AE1" s="275"/>
      <c r="AF1" s="275"/>
      <c r="AG1" s="276" t="s">
        <v>1</v>
      </c>
      <c r="AH1" s="276"/>
      <c r="AI1" s="276"/>
      <c r="AL1" s="2"/>
    </row>
    <row r="2" spans="1:88" ht="20.25" hidden="1" x14ac:dyDescent="0.25">
      <c r="A2" s="3"/>
      <c r="B2" s="277" t="s">
        <v>2</v>
      </c>
      <c r="C2" s="4"/>
      <c r="D2" s="279" t="s">
        <v>3</v>
      </c>
      <c r="E2" s="4"/>
      <c r="F2" s="279" t="s">
        <v>4</v>
      </c>
      <c r="G2" s="4"/>
      <c r="H2" s="279" t="s">
        <v>5</v>
      </c>
      <c r="I2" s="5"/>
      <c r="J2" s="281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78"/>
      <c r="C3" s="16"/>
      <c r="D3" s="280"/>
      <c r="E3" s="16"/>
      <c r="F3" s="280"/>
      <c r="G3" s="16"/>
      <c r="H3" s="280"/>
      <c r="I3" s="17"/>
      <c r="J3" s="281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70" t="str">
        <f ca="1">"2080/"&amp;"10/"&amp;INT(MID(CELL("filename",D6),FIND("]",CELL("filename",D6))+1,200))</f>
        <v>2080/10/15</v>
      </c>
      <c r="C4" s="270"/>
      <c r="D4" s="270"/>
      <c r="E4" s="271" t="str">
        <f ca="1">"2080/"&amp;"10/"&amp;INT(MID(CELL("filename",G6),FIND("]",CELL("filename",G6))+1,200))</f>
        <v>2080/10/15</v>
      </c>
      <c r="F4" s="271"/>
      <c r="G4" s="271"/>
      <c r="H4" s="271" t="str">
        <f ca="1">TEXT(E4,"dddd")</f>
        <v>Tuesday</v>
      </c>
      <c r="I4" s="271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C92</f>
        <v>487.8</v>
      </c>
      <c r="C5" s="30">
        <f t="shared" si="0"/>
        <v>478.9</v>
      </c>
      <c r="D5" s="30">
        <f t="shared" si="0"/>
        <v>512</v>
      </c>
      <c r="E5" s="30">
        <f t="shared" si="0"/>
        <v>501.3</v>
      </c>
      <c r="F5" s="30">
        <f t="shared" si="0"/>
        <v>519.4</v>
      </c>
      <c r="G5" s="30">
        <f t="shared" si="0"/>
        <v>504.7</v>
      </c>
      <c r="H5" s="30">
        <f t="shared" si="0"/>
        <v>543</v>
      </c>
      <c r="I5" s="30">
        <f t="shared" si="0"/>
        <v>541.20000000000005</v>
      </c>
      <c r="J5" s="30">
        <f t="shared" si="0"/>
        <v>475</v>
      </c>
      <c r="K5" s="30">
        <f t="shared" si="0"/>
        <v>264.10000000000002</v>
      </c>
      <c r="L5" s="30">
        <f t="shared" si="0"/>
        <v>131</v>
      </c>
      <c r="M5" s="30">
        <f t="shared" si="0"/>
        <v>187.6</v>
      </c>
      <c r="N5" s="30">
        <f t="shared" si="0"/>
        <v>241.7</v>
      </c>
      <c r="O5" s="30">
        <f t="shared" si="0"/>
        <v>441.8</v>
      </c>
      <c r="P5" s="30">
        <f t="shared" si="0"/>
        <v>630.5</v>
      </c>
      <c r="Q5" s="30">
        <f t="shared" si="0"/>
        <v>677.6</v>
      </c>
      <c r="R5" s="30">
        <f t="shared" si="0"/>
        <v>654</v>
      </c>
      <c r="S5" s="30">
        <f t="shared" si="0"/>
        <v>700</v>
      </c>
      <c r="T5" s="30">
        <f t="shared" si="0"/>
        <v>686.6</v>
      </c>
      <c r="U5" s="30">
        <f t="shared" si="0"/>
        <v>532.6</v>
      </c>
      <c r="V5" s="30">
        <f t="shared" si="0"/>
        <v>448.3</v>
      </c>
      <c r="W5" s="30">
        <f t="shared" si="0"/>
        <v>354.7</v>
      </c>
      <c r="X5" s="30">
        <f t="shared" si="0"/>
        <v>323</v>
      </c>
      <c r="Y5" s="30">
        <f t="shared" si="0"/>
        <v>334.7</v>
      </c>
      <c r="Z5" s="30">
        <f t="shared" si="0"/>
        <v>357.7</v>
      </c>
      <c r="AA5" s="30">
        <f t="shared" si="0"/>
        <v>376.1</v>
      </c>
      <c r="AB5" s="30">
        <f t="shared" si="0"/>
        <v>464.9</v>
      </c>
      <c r="AC5" s="30">
        <f t="shared" si="0"/>
        <v>500.5</v>
      </c>
      <c r="AD5" s="30">
        <f t="shared" si="0"/>
        <v>570.1</v>
      </c>
      <c r="AE5" s="30">
        <f t="shared" si="0"/>
        <v>599.79999999999995</v>
      </c>
      <c r="AF5" s="30">
        <f>B92</f>
        <v>518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1887MW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Load=1096</v>
      </c>
      <c r="B7" s="35">
        <f>B100</f>
        <v>1197.44</v>
      </c>
      <c r="C7" s="35">
        <f t="shared" ref="C7:AF7" si="1">C100</f>
        <v>1167.24</v>
      </c>
      <c r="D7" s="35">
        <f t="shared" si="1"/>
        <v>1095.54</v>
      </c>
      <c r="E7" s="35">
        <f t="shared" si="1"/>
        <v>1147.8400000000001</v>
      </c>
      <c r="F7" s="35">
        <f t="shared" si="1"/>
        <v>1174.44</v>
      </c>
      <c r="G7" s="35">
        <f t="shared" si="1"/>
        <v>1252.1399999999999</v>
      </c>
      <c r="H7" s="35">
        <f t="shared" si="1"/>
        <v>1316.34</v>
      </c>
      <c r="I7" s="35">
        <f t="shared" si="1"/>
        <v>1428.14</v>
      </c>
      <c r="J7" s="35">
        <f t="shared" si="1"/>
        <v>1534.24</v>
      </c>
      <c r="K7" s="35">
        <f t="shared" si="1"/>
        <v>1673.6399999999999</v>
      </c>
      <c r="L7" s="35">
        <f t="shared" si="1"/>
        <v>1886.7399999999998</v>
      </c>
      <c r="M7" s="35">
        <f t="shared" si="1"/>
        <v>1777.04</v>
      </c>
      <c r="N7" s="35">
        <f t="shared" si="1"/>
        <v>1795.8399999999997</v>
      </c>
      <c r="O7" s="35">
        <f t="shared" si="1"/>
        <v>1684.94</v>
      </c>
      <c r="P7" s="35">
        <f t="shared" si="1"/>
        <v>1675.34</v>
      </c>
      <c r="Q7" s="35">
        <f t="shared" si="1"/>
        <v>1599.6399999999999</v>
      </c>
      <c r="R7" s="35">
        <f t="shared" si="1"/>
        <v>1538.44</v>
      </c>
      <c r="S7" s="35">
        <f t="shared" si="1"/>
        <v>1497.94</v>
      </c>
      <c r="T7" s="35">
        <f t="shared" si="1"/>
        <v>1556.54</v>
      </c>
      <c r="U7" s="35">
        <f t="shared" si="1"/>
        <v>1578.8400000000001</v>
      </c>
      <c r="V7" s="35">
        <f t="shared" si="1"/>
        <v>1623.98</v>
      </c>
      <c r="W7" s="35">
        <f t="shared" si="1"/>
        <v>1723.4799999999998</v>
      </c>
      <c r="X7" s="35">
        <f t="shared" si="1"/>
        <v>1881.8799999999999</v>
      </c>
      <c r="Y7" s="35">
        <f t="shared" si="1"/>
        <v>1973.1799999999998</v>
      </c>
      <c r="Z7" s="35">
        <f t="shared" si="1"/>
        <v>1963.4800000000002</v>
      </c>
      <c r="AA7" s="35">
        <f t="shared" si="1"/>
        <v>1922.88</v>
      </c>
      <c r="AB7" s="35">
        <f t="shared" si="1"/>
        <v>1875.44</v>
      </c>
      <c r="AC7" s="35">
        <f t="shared" si="1"/>
        <v>1801.94</v>
      </c>
      <c r="AD7" s="35">
        <f t="shared" si="1"/>
        <v>1701.64</v>
      </c>
      <c r="AE7" s="35">
        <f t="shared" si="1"/>
        <v>1455.44</v>
      </c>
      <c r="AF7" s="35">
        <f t="shared" si="1"/>
        <v>1341.54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72" t="s">
        <v>14</v>
      </c>
      <c r="C8" s="273"/>
      <c r="D8" s="273"/>
      <c r="E8" s="273"/>
      <c r="F8" s="273"/>
      <c r="G8" s="273"/>
      <c r="H8" s="273"/>
      <c r="I8" s="273"/>
      <c r="J8" s="273"/>
      <c r="K8" s="273"/>
      <c r="L8" s="274"/>
      <c r="M8" s="265" t="s">
        <v>15</v>
      </c>
      <c r="N8" s="266"/>
      <c r="O8" s="266"/>
      <c r="P8" s="266"/>
      <c r="Q8" s="266"/>
      <c r="R8" s="267"/>
      <c r="S8" s="265" t="s">
        <v>16</v>
      </c>
      <c r="T8" s="266"/>
      <c r="U8" s="266"/>
      <c r="V8" s="266"/>
      <c r="W8" s="266"/>
      <c r="X8" s="266"/>
      <c r="Y8" s="266"/>
      <c r="Z8" s="266"/>
      <c r="AA8" s="267"/>
      <c r="AB8" s="265" t="s">
        <v>17</v>
      </c>
      <c r="AC8" s="266"/>
      <c r="AD8" s="266"/>
      <c r="AE8" s="266"/>
      <c r="AF8" s="267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68" t="s">
        <v>18</v>
      </c>
      <c r="B9" s="264">
        <v>0</v>
      </c>
      <c r="C9" s="264">
        <v>4.1666666666666664E-2</v>
      </c>
      <c r="D9" s="264">
        <v>8.3333333333333301E-2</v>
      </c>
      <c r="E9" s="264">
        <v>0.125</v>
      </c>
      <c r="F9" s="264">
        <v>0.16666666666666699</v>
      </c>
      <c r="G9" s="264">
        <v>0.20833333333333301</v>
      </c>
      <c r="H9" s="264">
        <v>0.22916666666666666</v>
      </c>
      <c r="I9" s="264">
        <v>0.25</v>
      </c>
      <c r="J9" s="264">
        <v>0.27083333333333331</v>
      </c>
      <c r="K9" s="264">
        <v>0.29166666666666669</v>
      </c>
      <c r="L9" s="264">
        <v>0.3125</v>
      </c>
      <c r="M9" s="262">
        <v>0.33333333333333331</v>
      </c>
      <c r="N9" s="262">
        <v>0.375</v>
      </c>
      <c r="O9" s="262">
        <v>0.41666666666666702</v>
      </c>
      <c r="P9" s="262">
        <v>0.45833333333333298</v>
      </c>
      <c r="Q9" s="262">
        <v>0.5</v>
      </c>
      <c r="R9" s="262">
        <v>0.54166666666666696</v>
      </c>
      <c r="S9" s="258">
        <v>0.58333333333333304</v>
      </c>
      <c r="T9" s="258">
        <v>0.625</v>
      </c>
      <c r="U9" s="258">
        <v>0.66666666666666696</v>
      </c>
      <c r="V9" s="258">
        <v>0.70833333333333304</v>
      </c>
      <c r="W9" s="258">
        <v>0.72916666666666663</v>
      </c>
      <c r="X9" s="258">
        <v>0.75</v>
      </c>
      <c r="Y9" s="258">
        <v>0.77083333333333337</v>
      </c>
      <c r="Z9" s="258">
        <v>0.79166666666666663</v>
      </c>
      <c r="AA9" s="258">
        <v>0.8125</v>
      </c>
      <c r="AB9" s="258">
        <v>0.83333333333333337</v>
      </c>
      <c r="AC9" s="258">
        <v>0.85416666666666663</v>
      </c>
      <c r="AD9" s="258">
        <v>0.875</v>
      </c>
      <c r="AE9" s="258">
        <v>0.91666666666666696</v>
      </c>
      <c r="AF9" s="258">
        <v>0.95833333333333304</v>
      </c>
      <c r="AG9" s="260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69"/>
      <c r="B10" s="259"/>
      <c r="C10" s="259"/>
      <c r="D10" s="259"/>
      <c r="E10" s="259"/>
      <c r="F10" s="259"/>
      <c r="G10" s="259"/>
      <c r="H10" s="259"/>
      <c r="I10" s="259"/>
      <c r="J10" s="259"/>
      <c r="K10" s="259"/>
      <c r="L10" s="259"/>
      <c r="M10" s="263"/>
      <c r="N10" s="263"/>
      <c r="O10" s="263"/>
      <c r="P10" s="263"/>
      <c r="Q10" s="263"/>
      <c r="R10" s="263"/>
      <c r="S10" s="259"/>
      <c r="T10" s="259"/>
      <c r="U10" s="259"/>
      <c r="V10" s="259"/>
      <c r="W10" s="259"/>
      <c r="X10" s="259"/>
      <c r="Y10" s="259"/>
      <c r="Z10" s="259"/>
      <c r="AA10" s="259"/>
      <c r="AB10" s="259"/>
      <c r="AC10" s="259"/>
      <c r="AD10" s="259"/>
      <c r="AE10" s="259"/>
      <c r="AF10" s="259"/>
      <c r="AG10" s="261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32.299999999999997</v>
      </c>
      <c r="C11" s="45">
        <v>32.299999999999997</v>
      </c>
      <c r="D11" s="45">
        <v>32.299999999999997</v>
      </c>
      <c r="E11" s="45">
        <v>32.299999999999997</v>
      </c>
      <c r="F11" s="45">
        <v>32.299999999999997</v>
      </c>
      <c r="G11" s="45">
        <v>32.299999999999997</v>
      </c>
      <c r="H11" s="45">
        <v>32.299999999999997</v>
      </c>
      <c r="I11" s="45">
        <v>32.299999999999997</v>
      </c>
      <c r="J11" s="45">
        <v>32.299999999999997</v>
      </c>
      <c r="K11" s="45">
        <v>32.299999999999997</v>
      </c>
      <c r="L11" s="45">
        <v>32.299999999999997</v>
      </c>
      <c r="M11" s="45">
        <v>32.299999999999997</v>
      </c>
      <c r="N11" s="45">
        <v>31.3</v>
      </c>
      <c r="O11" s="45">
        <v>30.7</v>
      </c>
      <c r="P11" s="45">
        <v>30.1</v>
      </c>
      <c r="Q11" s="45">
        <v>28.3</v>
      </c>
      <c r="R11" s="45">
        <v>28.9</v>
      </c>
      <c r="S11" s="45">
        <v>28.9</v>
      </c>
      <c r="T11" s="45">
        <v>28.9</v>
      </c>
      <c r="U11" s="45">
        <v>28.9</v>
      </c>
      <c r="V11" s="45">
        <v>30.6</v>
      </c>
      <c r="W11" s="45">
        <v>30.6</v>
      </c>
      <c r="X11" s="45">
        <v>30.6</v>
      </c>
      <c r="Y11" s="45">
        <v>30.6</v>
      </c>
      <c r="Z11" s="45">
        <v>30.6</v>
      </c>
      <c r="AA11" s="45">
        <v>30.6</v>
      </c>
      <c r="AB11" s="45">
        <v>30.6</v>
      </c>
      <c r="AC11" s="45">
        <v>30.7</v>
      </c>
      <c r="AD11" s="45">
        <v>30.7</v>
      </c>
      <c r="AE11" s="45">
        <v>30.7</v>
      </c>
      <c r="AF11" s="45">
        <v>30.7</v>
      </c>
      <c r="AG11" s="46">
        <v>86</v>
      </c>
      <c r="AH11" s="47">
        <f t="shared" ref="AH11:AH84" si="2">MAX(B11:AF11)</f>
        <v>32.299999999999997</v>
      </c>
      <c r="AI11" s="48">
        <f t="shared" ref="AI11:AI84" si="3">MIN(B11:AF11)</f>
        <v>28.3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262</v>
      </c>
      <c r="B12" s="45">
        <v>10</v>
      </c>
      <c r="C12" s="45">
        <v>10</v>
      </c>
      <c r="D12" s="45">
        <v>10</v>
      </c>
      <c r="E12" s="45">
        <v>10</v>
      </c>
      <c r="F12" s="45">
        <v>10</v>
      </c>
      <c r="G12" s="45">
        <v>10</v>
      </c>
      <c r="H12" s="45">
        <v>10</v>
      </c>
      <c r="I12" s="45">
        <v>10</v>
      </c>
      <c r="J12" s="45">
        <v>10</v>
      </c>
      <c r="K12" s="45">
        <v>10</v>
      </c>
      <c r="L12" s="45">
        <v>10</v>
      </c>
      <c r="M12" s="45">
        <v>10</v>
      </c>
      <c r="N12" s="45">
        <v>10</v>
      </c>
      <c r="O12" s="45">
        <v>10</v>
      </c>
      <c r="P12" s="45">
        <v>10</v>
      </c>
      <c r="Q12" s="45">
        <v>10</v>
      </c>
      <c r="R12" s="45">
        <v>10</v>
      </c>
      <c r="S12" s="45">
        <v>10</v>
      </c>
      <c r="T12" s="45">
        <v>10</v>
      </c>
      <c r="U12" s="45">
        <v>10</v>
      </c>
      <c r="V12" s="45">
        <v>10</v>
      </c>
      <c r="W12" s="45">
        <v>10</v>
      </c>
      <c r="X12" s="45">
        <v>10</v>
      </c>
      <c r="Y12" s="45">
        <v>10</v>
      </c>
      <c r="Z12" s="45">
        <v>10</v>
      </c>
      <c r="AA12" s="45">
        <v>10</v>
      </c>
      <c r="AB12" s="45">
        <v>10</v>
      </c>
      <c r="AC12" s="45">
        <v>10</v>
      </c>
      <c r="AD12" s="45">
        <v>10</v>
      </c>
      <c r="AE12" s="45">
        <v>10</v>
      </c>
      <c r="AF12" s="45">
        <v>10</v>
      </c>
      <c r="AG12" s="49">
        <v>54</v>
      </c>
      <c r="AH12" s="47">
        <f t="shared" si="2"/>
        <v>10</v>
      </c>
      <c r="AI12" s="48">
        <f t="shared" si="3"/>
        <v>10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15.5</v>
      </c>
      <c r="C13" s="45">
        <v>15.5</v>
      </c>
      <c r="D13" s="45">
        <v>0</v>
      </c>
      <c r="E13" s="45">
        <v>12.1</v>
      </c>
      <c r="F13" s="45">
        <v>12.1</v>
      </c>
      <c r="G13" s="45">
        <v>12.1</v>
      </c>
      <c r="H13" s="45">
        <v>12.1</v>
      </c>
      <c r="I13" s="45">
        <v>12.1</v>
      </c>
      <c r="J13" s="45">
        <v>12.1</v>
      </c>
      <c r="K13" s="45">
        <v>12.1</v>
      </c>
      <c r="L13" s="45">
        <v>12.1</v>
      </c>
      <c r="M13" s="45">
        <v>12.1</v>
      </c>
      <c r="N13" s="45">
        <v>12.1</v>
      </c>
      <c r="O13" s="45">
        <v>12.1</v>
      </c>
      <c r="P13" s="45">
        <v>12.1</v>
      </c>
      <c r="Q13" s="45">
        <v>12.1</v>
      </c>
      <c r="R13" s="45">
        <v>12.1</v>
      </c>
      <c r="S13" s="45">
        <v>12.1</v>
      </c>
      <c r="T13" s="45">
        <v>12.1</v>
      </c>
      <c r="U13" s="45">
        <v>12.1</v>
      </c>
      <c r="V13" s="45">
        <v>12.9</v>
      </c>
      <c r="W13" s="45">
        <v>12.9</v>
      </c>
      <c r="X13" s="45">
        <v>12.9</v>
      </c>
      <c r="Y13" s="45">
        <v>12.9</v>
      </c>
      <c r="Z13" s="45">
        <v>12.9</v>
      </c>
      <c r="AA13" s="45">
        <v>12.9</v>
      </c>
      <c r="AB13" s="45">
        <v>12.9</v>
      </c>
      <c r="AC13" s="45">
        <v>12.9</v>
      </c>
      <c r="AD13" s="45">
        <v>12.9</v>
      </c>
      <c r="AE13" s="45">
        <v>12.9</v>
      </c>
      <c r="AF13" s="45">
        <v>12.9</v>
      </c>
      <c r="AG13" s="49">
        <v>54</v>
      </c>
      <c r="AH13" s="47">
        <f t="shared" si="2"/>
        <v>15.5</v>
      </c>
      <c r="AI13" s="48">
        <f t="shared" si="3"/>
        <v>0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14</v>
      </c>
      <c r="C14" s="45">
        <v>14</v>
      </c>
      <c r="D14" s="45">
        <v>15.6</v>
      </c>
      <c r="E14" s="45">
        <v>15.5</v>
      </c>
      <c r="F14" s="45">
        <v>15.5</v>
      </c>
      <c r="G14" s="45">
        <v>15.5</v>
      </c>
      <c r="H14" s="45">
        <v>15.5</v>
      </c>
      <c r="I14" s="45">
        <v>15.5</v>
      </c>
      <c r="J14" s="45">
        <v>15.5</v>
      </c>
      <c r="K14" s="45">
        <v>15.5</v>
      </c>
      <c r="L14" s="45">
        <v>15.5</v>
      </c>
      <c r="M14" s="45">
        <v>15.5</v>
      </c>
      <c r="N14" s="45">
        <v>15.5</v>
      </c>
      <c r="O14" s="45">
        <v>15.5</v>
      </c>
      <c r="P14" s="45">
        <v>15.5</v>
      </c>
      <c r="Q14" s="45">
        <v>15.5</v>
      </c>
      <c r="R14" s="45">
        <v>15.5</v>
      </c>
      <c r="S14" s="45">
        <v>15.5</v>
      </c>
      <c r="T14" s="45">
        <v>15.5</v>
      </c>
      <c r="U14" s="45">
        <v>15.5</v>
      </c>
      <c r="V14" s="45">
        <v>14.2</v>
      </c>
      <c r="W14" s="45">
        <v>14.2</v>
      </c>
      <c r="X14" s="45">
        <v>13.6</v>
      </c>
      <c r="Y14" s="45">
        <v>13.6</v>
      </c>
      <c r="Z14" s="45">
        <v>13.6</v>
      </c>
      <c r="AA14" s="45">
        <v>13.6</v>
      </c>
      <c r="AB14" s="45">
        <v>13.6</v>
      </c>
      <c r="AC14" s="45">
        <v>14.6</v>
      </c>
      <c r="AD14" s="45">
        <v>14.6</v>
      </c>
      <c r="AE14" s="45">
        <v>15.4</v>
      </c>
      <c r="AF14" s="45">
        <v>15.3</v>
      </c>
      <c r="AG14" s="46">
        <v>52.4</v>
      </c>
      <c r="AH14" s="47">
        <f t="shared" si="2"/>
        <v>15.6</v>
      </c>
      <c r="AI14" s="48">
        <f t="shared" si="3"/>
        <v>13.6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32.200000000000003</v>
      </c>
      <c r="C15" s="45">
        <v>32.200000000000003</v>
      </c>
      <c r="D15" s="45">
        <v>0</v>
      </c>
      <c r="E15" s="45">
        <v>0</v>
      </c>
      <c r="F15" s="45">
        <v>24.6</v>
      </c>
      <c r="G15" s="45">
        <v>25.5</v>
      </c>
      <c r="H15" s="45">
        <v>25.5</v>
      </c>
      <c r="I15" s="45">
        <v>25.5</v>
      </c>
      <c r="J15" s="45">
        <v>25.5</v>
      </c>
      <c r="K15" s="45">
        <v>25.5</v>
      </c>
      <c r="L15" s="45">
        <v>25.5</v>
      </c>
      <c r="M15" s="45">
        <v>25.5</v>
      </c>
      <c r="N15" s="45">
        <v>25.5</v>
      </c>
      <c r="O15" s="45">
        <v>25.5</v>
      </c>
      <c r="P15" s="45">
        <v>25.5</v>
      </c>
      <c r="Q15" s="45">
        <v>25.5</v>
      </c>
      <c r="R15" s="45">
        <v>25.5</v>
      </c>
      <c r="S15" s="45">
        <v>25.5</v>
      </c>
      <c r="T15" s="45">
        <v>25.5</v>
      </c>
      <c r="U15" s="45">
        <v>25.5</v>
      </c>
      <c r="V15" s="51">
        <v>25.2</v>
      </c>
      <c r="W15" s="51">
        <v>25.2</v>
      </c>
      <c r="X15" s="51">
        <v>25.2</v>
      </c>
      <c r="Y15" s="51">
        <v>25.2</v>
      </c>
      <c r="Z15" s="51">
        <v>25.2</v>
      </c>
      <c r="AA15" s="51">
        <v>25.2</v>
      </c>
      <c r="AB15" s="51">
        <v>25.2</v>
      </c>
      <c r="AC15" s="51">
        <v>25.3</v>
      </c>
      <c r="AD15" s="51">
        <v>25.3</v>
      </c>
      <c r="AE15" s="51">
        <v>25.3</v>
      </c>
      <c r="AF15" s="51">
        <v>25.3</v>
      </c>
      <c r="AG15" s="49">
        <v>50</v>
      </c>
      <c r="AH15" s="47">
        <f t="shared" si="2"/>
        <v>32.200000000000003</v>
      </c>
      <c r="AI15" s="48">
        <f t="shared" si="3"/>
        <v>0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19</v>
      </c>
      <c r="C16" s="45">
        <v>19</v>
      </c>
      <c r="D16" s="45">
        <v>18</v>
      </c>
      <c r="E16" s="45">
        <v>17.899999999999999</v>
      </c>
      <c r="F16" s="45">
        <v>17.899999999999999</v>
      </c>
      <c r="G16" s="45">
        <v>17.899999999999999</v>
      </c>
      <c r="H16" s="45">
        <v>17.899999999999999</v>
      </c>
      <c r="I16" s="45">
        <v>17.899999999999999</v>
      </c>
      <c r="J16" s="45">
        <v>17.899999999999999</v>
      </c>
      <c r="K16" s="45">
        <v>17.899999999999999</v>
      </c>
      <c r="L16" s="45">
        <v>17.899999999999999</v>
      </c>
      <c r="M16" s="45">
        <v>17.899999999999999</v>
      </c>
      <c r="N16" s="45">
        <v>17.899999999999999</v>
      </c>
      <c r="O16" s="45">
        <v>17.899999999999999</v>
      </c>
      <c r="P16" s="45">
        <v>17.899999999999999</v>
      </c>
      <c r="Q16" s="45">
        <v>17.899999999999999</v>
      </c>
      <c r="R16" s="45">
        <v>17.899999999999999</v>
      </c>
      <c r="S16" s="45">
        <v>17.899999999999999</v>
      </c>
      <c r="T16" s="45">
        <v>17.899999999999999</v>
      </c>
      <c r="U16" s="45">
        <v>17.899999999999999</v>
      </c>
      <c r="V16" s="45">
        <v>18.399999999999999</v>
      </c>
      <c r="W16" s="45">
        <v>18.399999999999999</v>
      </c>
      <c r="X16" s="45">
        <v>18.600000000000001</v>
      </c>
      <c r="Y16" s="45">
        <v>18.7</v>
      </c>
      <c r="Z16" s="45">
        <v>18.600000000000001</v>
      </c>
      <c r="AA16" s="45">
        <v>18.600000000000001</v>
      </c>
      <c r="AB16" s="45">
        <v>18.600000000000001</v>
      </c>
      <c r="AC16" s="45">
        <v>18.600000000000001</v>
      </c>
      <c r="AD16" s="45">
        <v>18.600000000000001</v>
      </c>
      <c r="AE16" s="45">
        <v>18.7</v>
      </c>
      <c r="AF16" s="45">
        <v>18.7</v>
      </c>
      <c r="AG16" s="49">
        <v>45</v>
      </c>
      <c r="AH16" s="47">
        <f t="shared" si="2"/>
        <v>19</v>
      </c>
      <c r="AI16" s="48">
        <f t="shared" si="3"/>
        <v>17.899999999999999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16.5</v>
      </c>
      <c r="C17" s="45">
        <v>16.5</v>
      </c>
      <c r="D17" s="45">
        <v>16.5</v>
      </c>
      <c r="E17" s="45">
        <v>16.5</v>
      </c>
      <c r="F17" s="45">
        <v>16.5</v>
      </c>
      <c r="G17" s="45">
        <v>16.5</v>
      </c>
      <c r="H17" s="45">
        <v>16.5</v>
      </c>
      <c r="I17" s="45">
        <v>16.5</v>
      </c>
      <c r="J17" s="45">
        <v>16.5</v>
      </c>
      <c r="K17" s="45">
        <v>16.5</v>
      </c>
      <c r="L17" s="45">
        <v>16.5</v>
      </c>
      <c r="M17" s="45">
        <v>16.5</v>
      </c>
      <c r="N17" s="45">
        <v>16.5</v>
      </c>
      <c r="O17" s="45">
        <v>16.5</v>
      </c>
      <c r="P17" s="45">
        <v>16.5</v>
      </c>
      <c r="Q17" s="45">
        <v>16.5</v>
      </c>
      <c r="R17" s="45">
        <v>16.5</v>
      </c>
      <c r="S17" s="45">
        <v>16.5</v>
      </c>
      <c r="T17" s="45">
        <v>16.5</v>
      </c>
      <c r="U17" s="45">
        <v>16.5</v>
      </c>
      <c r="V17" s="45">
        <v>16.5</v>
      </c>
      <c r="W17" s="45">
        <v>16.5</v>
      </c>
      <c r="X17" s="45">
        <v>16.5</v>
      </c>
      <c r="Y17" s="45">
        <v>16.5</v>
      </c>
      <c r="Z17" s="45">
        <v>16.5</v>
      </c>
      <c r="AA17" s="45">
        <v>16.5</v>
      </c>
      <c r="AB17" s="45">
        <v>16.5</v>
      </c>
      <c r="AC17" s="45">
        <v>16.5</v>
      </c>
      <c r="AD17" s="45">
        <v>16.5</v>
      </c>
      <c r="AE17" s="45">
        <v>16.5</v>
      </c>
      <c r="AF17" s="45">
        <v>16.5</v>
      </c>
      <c r="AG17" s="49">
        <v>44</v>
      </c>
      <c r="AH17" s="47">
        <f>MAX(B17:AG17)</f>
        <v>44</v>
      </c>
      <c r="AI17" s="48">
        <f>MIN(B17:AG17)</f>
        <v>16.5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9</v>
      </c>
      <c r="C18" s="45">
        <v>9</v>
      </c>
      <c r="D18" s="45">
        <v>14</v>
      </c>
      <c r="E18" s="45">
        <v>9</v>
      </c>
      <c r="F18" s="45">
        <v>9</v>
      </c>
      <c r="G18" s="45">
        <v>9.5</v>
      </c>
      <c r="H18" s="45">
        <v>9.5</v>
      </c>
      <c r="I18" s="45">
        <v>9.5</v>
      </c>
      <c r="J18" s="45">
        <v>9.5</v>
      </c>
      <c r="K18" s="45">
        <v>9.5</v>
      </c>
      <c r="L18" s="45">
        <v>9.5</v>
      </c>
      <c r="M18" s="45">
        <v>9.5</v>
      </c>
      <c r="N18" s="45">
        <v>9.5</v>
      </c>
      <c r="O18" s="45">
        <v>9.5</v>
      </c>
      <c r="P18" s="45">
        <v>9.5</v>
      </c>
      <c r="Q18" s="45">
        <v>9.5</v>
      </c>
      <c r="R18" s="45">
        <v>9.5</v>
      </c>
      <c r="S18" s="45">
        <v>9.5</v>
      </c>
      <c r="T18" s="45">
        <v>9.5</v>
      </c>
      <c r="U18" s="45">
        <v>9.5</v>
      </c>
      <c r="V18" s="45">
        <v>9</v>
      </c>
      <c r="W18" s="45">
        <v>9</v>
      </c>
      <c r="X18" s="45">
        <v>9</v>
      </c>
      <c r="Y18" s="45">
        <v>9</v>
      </c>
      <c r="Z18" s="45">
        <v>9</v>
      </c>
      <c r="AA18" s="45">
        <v>9</v>
      </c>
      <c r="AB18" s="45">
        <v>9</v>
      </c>
      <c r="AC18" s="45">
        <v>8.5</v>
      </c>
      <c r="AD18" s="45">
        <v>8.5</v>
      </c>
      <c r="AE18" s="45">
        <v>8.5</v>
      </c>
      <c r="AF18" s="45">
        <v>8.5</v>
      </c>
      <c r="AG18" s="49">
        <v>42</v>
      </c>
      <c r="AH18" s="47">
        <f t="shared" si="2"/>
        <v>14</v>
      </c>
      <c r="AI18" s="48">
        <f t="shared" si="3"/>
        <v>8.5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263</v>
      </c>
      <c r="B19" s="45">
        <v>15.4</v>
      </c>
      <c r="C19" s="45">
        <v>15.4</v>
      </c>
      <c r="D19" s="45">
        <v>15.4</v>
      </c>
      <c r="E19" s="45">
        <v>15.4</v>
      </c>
      <c r="F19" s="45">
        <v>15.4</v>
      </c>
      <c r="G19" s="45">
        <v>15.4</v>
      </c>
      <c r="H19" s="45">
        <v>15.4</v>
      </c>
      <c r="I19" s="45">
        <v>15.4</v>
      </c>
      <c r="J19" s="45">
        <v>15.4</v>
      </c>
      <c r="K19" s="45">
        <v>15.4</v>
      </c>
      <c r="L19" s="45">
        <v>15.4</v>
      </c>
      <c r="M19" s="45">
        <v>15.4</v>
      </c>
      <c r="N19" s="45">
        <v>15.4</v>
      </c>
      <c r="O19" s="45">
        <v>15.4</v>
      </c>
      <c r="P19" s="45">
        <v>15.4</v>
      </c>
      <c r="Q19" s="45">
        <v>15.4</v>
      </c>
      <c r="R19" s="45">
        <v>15.4</v>
      </c>
      <c r="S19" s="45">
        <v>15.4</v>
      </c>
      <c r="T19" s="45">
        <v>15.4</v>
      </c>
      <c r="U19" s="45">
        <v>15.4</v>
      </c>
      <c r="V19" s="45">
        <v>15.4</v>
      </c>
      <c r="W19" s="45">
        <v>15.4</v>
      </c>
      <c r="X19" s="45">
        <v>15.4</v>
      </c>
      <c r="Y19" s="45">
        <v>15.4</v>
      </c>
      <c r="Z19" s="45">
        <v>15.4</v>
      </c>
      <c r="AA19" s="45">
        <v>15.4</v>
      </c>
      <c r="AB19" s="45">
        <v>15.4</v>
      </c>
      <c r="AC19" s="45">
        <v>15.4</v>
      </c>
      <c r="AD19" s="45">
        <v>15.4</v>
      </c>
      <c r="AE19" s="45">
        <v>15.4</v>
      </c>
      <c r="AF19" s="45">
        <v>15.4</v>
      </c>
      <c r="AG19" s="49">
        <v>38.46</v>
      </c>
      <c r="AH19" s="47">
        <f t="shared" si="2"/>
        <v>15.4</v>
      </c>
      <c r="AI19" s="48">
        <f t="shared" si="3"/>
        <v>15.4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10.199999999999999</v>
      </c>
      <c r="C20" s="45">
        <v>10.199999999999999</v>
      </c>
      <c r="D20" s="45">
        <v>10.199999999999999</v>
      </c>
      <c r="E20" s="45">
        <v>10.199999999999999</v>
      </c>
      <c r="F20" s="45">
        <v>10.199999999999999</v>
      </c>
      <c r="G20" s="45">
        <v>10.199999999999999</v>
      </c>
      <c r="H20" s="45">
        <v>10.199999999999999</v>
      </c>
      <c r="I20" s="45">
        <v>10.199999999999999</v>
      </c>
      <c r="J20" s="45">
        <v>10.199999999999999</v>
      </c>
      <c r="K20" s="45">
        <v>10.199999999999999</v>
      </c>
      <c r="L20" s="45">
        <v>10.199999999999999</v>
      </c>
      <c r="M20" s="45">
        <v>10.199999999999999</v>
      </c>
      <c r="N20" s="45">
        <v>10.199999999999999</v>
      </c>
      <c r="O20" s="45">
        <v>10.199999999999999</v>
      </c>
      <c r="P20" s="45">
        <v>10.199999999999999</v>
      </c>
      <c r="Q20" s="45">
        <v>10.199999999999999</v>
      </c>
      <c r="R20" s="45">
        <v>10.199999999999999</v>
      </c>
      <c r="S20" s="45">
        <v>10.199999999999999</v>
      </c>
      <c r="T20" s="45">
        <v>10.199999999999999</v>
      </c>
      <c r="U20" s="45">
        <v>10.199999999999999</v>
      </c>
      <c r="V20" s="45">
        <v>10.199999999999999</v>
      </c>
      <c r="W20" s="45">
        <v>10.199999999999999</v>
      </c>
      <c r="X20" s="45">
        <v>10.199999999999999</v>
      </c>
      <c r="Y20" s="45">
        <v>10.199999999999999</v>
      </c>
      <c r="Z20" s="45">
        <v>10.199999999999999</v>
      </c>
      <c r="AA20" s="45">
        <v>10.199999999999999</v>
      </c>
      <c r="AB20" s="45">
        <v>10.199999999999999</v>
      </c>
      <c r="AC20" s="45">
        <v>10.199999999999999</v>
      </c>
      <c r="AD20" s="45">
        <v>10.199999999999999</v>
      </c>
      <c r="AE20" s="45">
        <v>10.199999999999999</v>
      </c>
      <c r="AF20" s="45">
        <v>10.199999999999999</v>
      </c>
      <c r="AG20" s="49">
        <v>38.46</v>
      </c>
      <c r="AH20" s="47">
        <f t="shared" si="2"/>
        <v>10.199999999999999</v>
      </c>
      <c r="AI20" s="48">
        <f t="shared" si="3"/>
        <v>10.199999999999999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13.6</v>
      </c>
      <c r="C21" s="45">
        <v>13.6</v>
      </c>
      <c r="D21" s="45">
        <v>13.6</v>
      </c>
      <c r="E21" s="45">
        <v>13.6</v>
      </c>
      <c r="F21" s="45">
        <v>13.6</v>
      </c>
      <c r="G21" s="45">
        <v>13.6</v>
      </c>
      <c r="H21" s="45">
        <v>13.6</v>
      </c>
      <c r="I21" s="45">
        <v>13.6</v>
      </c>
      <c r="J21" s="45">
        <v>13.6</v>
      </c>
      <c r="K21" s="45">
        <v>13.6</v>
      </c>
      <c r="L21" s="45">
        <v>13.6</v>
      </c>
      <c r="M21" s="45">
        <v>13.6</v>
      </c>
      <c r="N21" s="45">
        <v>13.6</v>
      </c>
      <c r="O21" s="45">
        <v>13.6</v>
      </c>
      <c r="P21" s="45">
        <v>13.6</v>
      </c>
      <c r="Q21" s="45">
        <v>13.6</v>
      </c>
      <c r="R21" s="45">
        <v>13.6</v>
      </c>
      <c r="S21" s="45">
        <v>13.6</v>
      </c>
      <c r="T21" s="45">
        <v>13.6</v>
      </c>
      <c r="U21" s="45">
        <v>13.6</v>
      </c>
      <c r="V21" s="45">
        <v>13.6</v>
      </c>
      <c r="W21" s="45">
        <v>13.6</v>
      </c>
      <c r="X21" s="45">
        <v>13.6</v>
      </c>
      <c r="Y21" s="45">
        <v>13.6</v>
      </c>
      <c r="Z21" s="45">
        <v>13.6</v>
      </c>
      <c r="AA21" s="45">
        <v>13.6</v>
      </c>
      <c r="AB21" s="45">
        <v>13.6</v>
      </c>
      <c r="AC21" s="45">
        <v>13.6</v>
      </c>
      <c r="AD21" s="45">
        <v>13.6</v>
      </c>
      <c r="AE21" s="45">
        <v>13.6</v>
      </c>
      <c r="AF21" s="45">
        <v>13.6</v>
      </c>
      <c r="AG21" s="49">
        <v>36</v>
      </c>
      <c r="AH21" s="47">
        <f t="shared" si="2"/>
        <v>13.6</v>
      </c>
      <c r="AI21" s="48">
        <f t="shared" si="3"/>
        <v>13.6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9.6999999999999993</v>
      </c>
      <c r="C22" s="45">
        <v>9.6999999999999993</v>
      </c>
      <c r="D22" s="45">
        <v>0</v>
      </c>
      <c r="E22" s="45">
        <v>0</v>
      </c>
      <c r="F22" s="45">
        <v>12.7</v>
      </c>
      <c r="G22" s="45">
        <v>9.1</v>
      </c>
      <c r="H22" s="45">
        <v>9.1</v>
      </c>
      <c r="I22" s="45">
        <v>9.1</v>
      </c>
      <c r="J22" s="45">
        <v>9.1</v>
      </c>
      <c r="K22" s="45">
        <v>9.1</v>
      </c>
      <c r="L22" s="45">
        <v>9.1</v>
      </c>
      <c r="M22" s="45">
        <v>9.1</v>
      </c>
      <c r="N22" s="45">
        <v>9.1</v>
      </c>
      <c r="O22" s="45">
        <v>9.1</v>
      </c>
      <c r="P22" s="45">
        <v>9.1</v>
      </c>
      <c r="Q22" s="45">
        <v>9.1</v>
      </c>
      <c r="R22" s="45">
        <v>9.1</v>
      </c>
      <c r="S22" s="45">
        <v>9.1</v>
      </c>
      <c r="T22" s="45">
        <v>9.1</v>
      </c>
      <c r="U22" s="45">
        <v>9.1</v>
      </c>
      <c r="V22" s="45">
        <v>8.4</v>
      </c>
      <c r="W22" s="45">
        <v>8.4</v>
      </c>
      <c r="X22" s="45">
        <v>9.1</v>
      </c>
      <c r="Y22" s="45">
        <v>9.4</v>
      </c>
      <c r="Z22" s="45">
        <v>9.1</v>
      </c>
      <c r="AA22" s="45">
        <v>9.1</v>
      </c>
      <c r="AB22" s="45">
        <v>9.1</v>
      </c>
      <c r="AC22" s="45">
        <v>9.6999999999999993</v>
      </c>
      <c r="AD22" s="45">
        <v>9.6999999999999993</v>
      </c>
      <c r="AE22" s="45">
        <v>9.3000000000000007</v>
      </c>
      <c r="AF22" s="45">
        <v>9.3000000000000007</v>
      </c>
      <c r="AG22" s="52">
        <v>30</v>
      </c>
      <c r="AH22" s="47">
        <f t="shared" si="2"/>
        <v>12.7</v>
      </c>
      <c r="AI22" s="48">
        <f t="shared" si="3"/>
        <v>0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9</v>
      </c>
      <c r="C23" s="45">
        <v>9</v>
      </c>
      <c r="D23" s="45">
        <v>9</v>
      </c>
      <c r="E23" s="45">
        <v>9</v>
      </c>
      <c r="F23" s="45">
        <v>9</v>
      </c>
      <c r="G23" s="45">
        <v>9</v>
      </c>
      <c r="H23" s="45">
        <v>9</v>
      </c>
      <c r="I23" s="45">
        <v>9</v>
      </c>
      <c r="J23" s="45">
        <v>9</v>
      </c>
      <c r="K23" s="45">
        <v>9</v>
      </c>
      <c r="L23" s="45">
        <v>9</v>
      </c>
      <c r="M23" s="45">
        <v>9</v>
      </c>
      <c r="N23" s="45">
        <v>9</v>
      </c>
      <c r="O23" s="45">
        <v>9</v>
      </c>
      <c r="P23" s="45">
        <v>9</v>
      </c>
      <c r="Q23" s="45">
        <v>9</v>
      </c>
      <c r="R23" s="45">
        <v>9</v>
      </c>
      <c r="S23" s="45">
        <v>9</v>
      </c>
      <c r="T23" s="45">
        <v>9</v>
      </c>
      <c r="U23" s="45">
        <v>9</v>
      </c>
      <c r="V23" s="45">
        <v>9</v>
      </c>
      <c r="W23" s="45">
        <v>9</v>
      </c>
      <c r="X23" s="45">
        <v>9</v>
      </c>
      <c r="Y23" s="45">
        <v>9</v>
      </c>
      <c r="Z23" s="45">
        <v>9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9</v>
      </c>
      <c r="AG23" s="49">
        <v>24.2</v>
      </c>
      <c r="AH23" s="47">
        <f t="shared" si="2"/>
        <v>9</v>
      </c>
      <c r="AI23" s="48">
        <f t="shared" si="3"/>
        <v>9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9.1</v>
      </c>
      <c r="C24" s="45">
        <v>9.1</v>
      </c>
      <c r="D24" s="45">
        <v>9.1</v>
      </c>
      <c r="E24" s="45">
        <v>9.6</v>
      </c>
      <c r="F24" s="45">
        <v>9.6</v>
      </c>
      <c r="G24" s="45">
        <v>9.6</v>
      </c>
      <c r="H24" s="45">
        <v>9.6</v>
      </c>
      <c r="I24" s="45">
        <v>9.6</v>
      </c>
      <c r="J24" s="45">
        <v>9.6</v>
      </c>
      <c r="K24" s="45">
        <v>9.6</v>
      </c>
      <c r="L24" s="45">
        <v>9.6</v>
      </c>
      <c r="M24" s="45">
        <v>9.6</v>
      </c>
      <c r="N24" s="45">
        <v>9.6</v>
      </c>
      <c r="O24" s="45">
        <v>9.6</v>
      </c>
      <c r="P24" s="45">
        <v>9.6</v>
      </c>
      <c r="Q24" s="45">
        <v>9.6</v>
      </c>
      <c r="R24" s="45">
        <v>9.6</v>
      </c>
      <c r="S24" s="45">
        <v>9.6</v>
      </c>
      <c r="T24" s="45">
        <v>9.6</v>
      </c>
      <c r="U24" s="45">
        <v>9.6</v>
      </c>
      <c r="V24" s="45">
        <v>9</v>
      </c>
      <c r="W24" s="45">
        <v>9</v>
      </c>
      <c r="X24" s="45">
        <v>8.4</v>
      </c>
      <c r="Y24" s="45">
        <v>8.4</v>
      </c>
      <c r="Z24" s="45">
        <v>8.4</v>
      </c>
      <c r="AA24" s="45">
        <v>8.4</v>
      </c>
      <c r="AB24" s="45">
        <v>8.4</v>
      </c>
      <c r="AC24" s="45">
        <v>8.3000000000000007</v>
      </c>
      <c r="AD24" s="45">
        <v>8.3000000000000007</v>
      </c>
      <c r="AE24" s="45">
        <v>8.9</v>
      </c>
      <c r="AF24" s="45">
        <v>8.9</v>
      </c>
      <c r="AG24" s="49">
        <v>28</v>
      </c>
      <c r="AH24" s="47">
        <f t="shared" si="2"/>
        <v>9.6</v>
      </c>
      <c r="AI24" s="48">
        <f t="shared" si="3"/>
        <v>8.3000000000000007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8</v>
      </c>
      <c r="C25" s="45">
        <v>8</v>
      </c>
      <c r="D25" s="45">
        <v>1.9</v>
      </c>
      <c r="E25" s="45">
        <v>6.5</v>
      </c>
      <c r="F25" s="45">
        <v>6.5</v>
      </c>
      <c r="G25" s="45">
        <v>7.8</v>
      </c>
      <c r="H25" s="45">
        <v>7.8</v>
      </c>
      <c r="I25" s="45">
        <v>7.8</v>
      </c>
      <c r="J25" s="45">
        <v>7.8</v>
      </c>
      <c r="K25" s="45">
        <v>7.8</v>
      </c>
      <c r="L25" s="45">
        <v>7.8</v>
      </c>
      <c r="M25" s="45">
        <v>7.8</v>
      </c>
      <c r="N25" s="45">
        <v>7.8</v>
      </c>
      <c r="O25" s="45">
        <v>7.8</v>
      </c>
      <c r="P25" s="45">
        <v>7.8</v>
      </c>
      <c r="Q25" s="45">
        <v>7.8</v>
      </c>
      <c r="R25" s="45">
        <v>7.8</v>
      </c>
      <c r="S25" s="45">
        <v>7.8</v>
      </c>
      <c r="T25" s="45">
        <v>7.8</v>
      </c>
      <c r="U25" s="45">
        <v>7.8</v>
      </c>
      <c r="V25" s="45">
        <v>7.6</v>
      </c>
      <c r="W25" s="45">
        <v>7.6</v>
      </c>
      <c r="X25" s="45">
        <v>7.1</v>
      </c>
      <c r="Y25" s="45">
        <v>7.1</v>
      </c>
      <c r="Z25" s="45">
        <v>7.1</v>
      </c>
      <c r="AA25" s="45">
        <v>7.1</v>
      </c>
      <c r="AB25" s="45">
        <v>7.1</v>
      </c>
      <c r="AC25" s="45">
        <v>8.3000000000000007</v>
      </c>
      <c r="AD25" s="45">
        <v>8.3000000000000007</v>
      </c>
      <c r="AE25" s="45">
        <v>7.9</v>
      </c>
      <c r="AF25" s="45">
        <v>7.9</v>
      </c>
      <c r="AG25" s="52">
        <v>30</v>
      </c>
      <c r="AH25" s="47">
        <f t="shared" si="2"/>
        <v>8.3000000000000007</v>
      </c>
      <c r="AI25" s="48">
        <f t="shared" si="3"/>
        <v>1.9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8.5</v>
      </c>
      <c r="C26" s="45">
        <v>8.5</v>
      </c>
      <c r="D26" s="45">
        <v>8.5</v>
      </c>
      <c r="E26" s="45">
        <v>9.1</v>
      </c>
      <c r="F26" s="45">
        <v>9.1</v>
      </c>
      <c r="G26" s="45">
        <v>9.1</v>
      </c>
      <c r="H26" s="45">
        <v>9.1</v>
      </c>
      <c r="I26" s="45">
        <v>9.1</v>
      </c>
      <c r="J26" s="45">
        <v>9.1</v>
      </c>
      <c r="K26" s="45">
        <v>9.1</v>
      </c>
      <c r="L26" s="45">
        <v>9.1</v>
      </c>
      <c r="M26" s="45">
        <v>9.1</v>
      </c>
      <c r="N26" s="45">
        <v>9.1</v>
      </c>
      <c r="O26" s="45">
        <v>9.1</v>
      </c>
      <c r="P26" s="45">
        <v>9.1</v>
      </c>
      <c r="Q26" s="45">
        <v>9.1</v>
      </c>
      <c r="R26" s="45">
        <v>9.1</v>
      </c>
      <c r="S26" s="45">
        <v>9.1</v>
      </c>
      <c r="T26" s="45">
        <v>9.1</v>
      </c>
      <c r="U26" s="45">
        <v>9.1</v>
      </c>
      <c r="V26" s="45">
        <v>9.1</v>
      </c>
      <c r="W26" s="45">
        <v>9.1</v>
      </c>
      <c r="X26" s="45">
        <v>9.1</v>
      </c>
      <c r="Y26" s="45">
        <v>9.1</v>
      </c>
      <c r="Z26" s="45">
        <v>9.1</v>
      </c>
      <c r="AA26" s="45">
        <v>9.1</v>
      </c>
      <c r="AB26" s="45">
        <v>9.1</v>
      </c>
      <c r="AC26" s="45">
        <v>8.5</v>
      </c>
      <c r="AD26" s="45">
        <v>8.5</v>
      </c>
      <c r="AE26" s="45">
        <v>8.5</v>
      </c>
      <c r="AF26" s="45">
        <v>8.5</v>
      </c>
      <c r="AG26" s="49">
        <v>25</v>
      </c>
      <c r="AH26" s="47">
        <f t="shared" si="2"/>
        <v>9.1</v>
      </c>
      <c r="AI26" s="48">
        <f t="shared" si="3"/>
        <v>8.5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5</v>
      </c>
      <c r="C27" s="45">
        <v>5</v>
      </c>
      <c r="D27" s="45">
        <v>5</v>
      </c>
      <c r="E27" s="45">
        <v>5</v>
      </c>
      <c r="F27" s="45">
        <v>5</v>
      </c>
      <c r="G27" s="45">
        <v>5</v>
      </c>
      <c r="H27" s="45">
        <v>5</v>
      </c>
      <c r="I27" s="45">
        <v>5</v>
      </c>
      <c r="J27" s="45">
        <v>5</v>
      </c>
      <c r="K27" s="45">
        <v>5</v>
      </c>
      <c r="L27" s="45">
        <v>5</v>
      </c>
      <c r="M27" s="45">
        <v>5</v>
      </c>
      <c r="N27" s="45">
        <v>5</v>
      </c>
      <c r="O27" s="45">
        <v>5</v>
      </c>
      <c r="P27" s="45">
        <v>5</v>
      </c>
      <c r="Q27" s="45">
        <v>5</v>
      </c>
      <c r="R27" s="45">
        <v>5</v>
      </c>
      <c r="S27" s="45">
        <v>5</v>
      </c>
      <c r="T27" s="45">
        <v>5</v>
      </c>
      <c r="U27" s="45">
        <v>5</v>
      </c>
      <c r="V27" s="45">
        <v>5</v>
      </c>
      <c r="W27" s="45">
        <v>5</v>
      </c>
      <c r="X27" s="45">
        <v>5</v>
      </c>
      <c r="Y27" s="45">
        <v>5</v>
      </c>
      <c r="Z27" s="45">
        <v>5</v>
      </c>
      <c r="AA27" s="45">
        <v>5</v>
      </c>
      <c r="AB27" s="45">
        <v>5</v>
      </c>
      <c r="AC27" s="45">
        <v>5</v>
      </c>
      <c r="AD27" s="45">
        <v>5</v>
      </c>
      <c r="AE27" s="45">
        <v>5</v>
      </c>
      <c r="AF27" s="45">
        <v>5</v>
      </c>
      <c r="AG27" s="49">
        <v>25</v>
      </c>
      <c r="AH27" s="47">
        <f t="shared" si="2"/>
        <v>5</v>
      </c>
      <c r="AI27" s="48">
        <f t="shared" si="3"/>
        <v>5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7.5</v>
      </c>
      <c r="C28" s="45">
        <v>7.5</v>
      </c>
      <c r="D28" s="45">
        <v>7.5</v>
      </c>
      <c r="E28" s="45">
        <v>7.5</v>
      </c>
      <c r="F28" s="45">
        <v>7.5</v>
      </c>
      <c r="G28" s="45">
        <v>7.5</v>
      </c>
      <c r="H28" s="45">
        <v>7.5</v>
      </c>
      <c r="I28" s="45">
        <v>7.5</v>
      </c>
      <c r="J28" s="45">
        <v>7.5</v>
      </c>
      <c r="K28" s="45">
        <v>7.5</v>
      </c>
      <c r="L28" s="45">
        <v>7.5</v>
      </c>
      <c r="M28" s="45">
        <v>7.5</v>
      </c>
      <c r="N28" s="45">
        <v>7.5</v>
      </c>
      <c r="O28" s="45">
        <v>7.5</v>
      </c>
      <c r="P28" s="45">
        <v>7.5</v>
      </c>
      <c r="Q28" s="45">
        <v>7.5</v>
      </c>
      <c r="R28" s="45">
        <v>7.5</v>
      </c>
      <c r="S28" s="45">
        <v>7.5</v>
      </c>
      <c r="T28" s="45">
        <v>7.5</v>
      </c>
      <c r="U28" s="45">
        <v>7.5</v>
      </c>
      <c r="V28" s="45">
        <v>7.5</v>
      </c>
      <c r="W28" s="45">
        <v>7.5</v>
      </c>
      <c r="X28" s="45">
        <v>7.5</v>
      </c>
      <c r="Y28" s="45">
        <v>7.5</v>
      </c>
      <c r="Z28" s="45">
        <v>7.5</v>
      </c>
      <c r="AA28" s="45">
        <v>7.5</v>
      </c>
      <c r="AB28" s="45">
        <v>7.5</v>
      </c>
      <c r="AC28" s="45">
        <v>7.5</v>
      </c>
      <c r="AD28" s="45">
        <v>7.5</v>
      </c>
      <c r="AE28" s="45">
        <v>7.5</v>
      </c>
      <c r="AF28" s="45">
        <v>7.5</v>
      </c>
      <c r="AG28" s="49">
        <v>25</v>
      </c>
      <c r="AH28" s="47">
        <f t="shared" si="2"/>
        <v>7.5</v>
      </c>
      <c r="AI28" s="48">
        <f t="shared" si="3"/>
        <v>7.5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9</v>
      </c>
      <c r="C29" s="45">
        <v>9</v>
      </c>
      <c r="D29" s="45">
        <v>2.4</v>
      </c>
      <c r="E29" s="45">
        <v>9</v>
      </c>
      <c r="F29" s="45">
        <v>9</v>
      </c>
      <c r="G29" s="45">
        <v>12.8</v>
      </c>
      <c r="H29" s="45">
        <v>12.8</v>
      </c>
      <c r="I29" s="45">
        <v>12.8</v>
      </c>
      <c r="J29" s="45">
        <v>12.8</v>
      </c>
      <c r="K29" s="45">
        <v>12.8</v>
      </c>
      <c r="L29" s="45">
        <v>12.8</v>
      </c>
      <c r="M29" s="45">
        <v>12.8</v>
      </c>
      <c r="N29" s="45">
        <v>12.8</v>
      </c>
      <c r="O29" s="45">
        <v>12.8</v>
      </c>
      <c r="P29" s="45">
        <v>12.8</v>
      </c>
      <c r="Q29" s="45">
        <v>12.8</v>
      </c>
      <c r="R29" s="45">
        <v>12.8</v>
      </c>
      <c r="S29" s="45">
        <v>12.8</v>
      </c>
      <c r="T29" s="45">
        <v>12.8</v>
      </c>
      <c r="U29" s="45">
        <v>12.8</v>
      </c>
      <c r="V29" s="45">
        <v>12.9</v>
      </c>
      <c r="W29" s="45">
        <v>12.9</v>
      </c>
      <c r="X29" s="45">
        <v>12.9</v>
      </c>
      <c r="Y29" s="45">
        <v>8.8000000000000007</v>
      </c>
      <c r="Z29" s="45">
        <v>12.9</v>
      </c>
      <c r="AA29" s="45">
        <v>12.9</v>
      </c>
      <c r="AB29" s="45">
        <v>12.9</v>
      </c>
      <c r="AC29" s="45">
        <v>8.8000000000000007</v>
      </c>
      <c r="AD29" s="45">
        <v>8.8000000000000007</v>
      </c>
      <c r="AE29" s="45">
        <v>8.5</v>
      </c>
      <c r="AF29" s="45">
        <v>8.5</v>
      </c>
      <c r="AG29" s="49">
        <v>25</v>
      </c>
      <c r="AH29" s="47">
        <f t="shared" si="2"/>
        <v>12.9</v>
      </c>
      <c r="AI29" s="48">
        <f t="shared" si="3"/>
        <v>2.4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10.9</v>
      </c>
      <c r="C30" s="45">
        <v>10.9</v>
      </c>
      <c r="D30" s="45">
        <v>10.9</v>
      </c>
      <c r="E30" s="45">
        <v>10.9</v>
      </c>
      <c r="F30" s="45">
        <v>10.9</v>
      </c>
      <c r="G30" s="45">
        <v>10.9</v>
      </c>
      <c r="H30" s="45">
        <v>10.9</v>
      </c>
      <c r="I30" s="45">
        <v>10.9</v>
      </c>
      <c r="J30" s="45">
        <v>10.9</v>
      </c>
      <c r="K30" s="45">
        <v>10.9</v>
      </c>
      <c r="L30" s="45">
        <v>10.9</v>
      </c>
      <c r="M30" s="45">
        <v>10.9</v>
      </c>
      <c r="N30" s="45">
        <v>10.9</v>
      </c>
      <c r="O30" s="45">
        <v>10.9</v>
      </c>
      <c r="P30" s="45">
        <v>10.9</v>
      </c>
      <c r="Q30" s="45">
        <v>10.9</v>
      </c>
      <c r="R30" s="45">
        <v>10.9</v>
      </c>
      <c r="S30" s="45">
        <v>10.9</v>
      </c>
      <c r="T30" s="45">
        <v>10.9</v>
      </c>
      <c r="U30" s="45">
        <v>10.9</v>
      </c>
      <c r="V30" s="45">
        <v>10.9</v>
      </c>
      <c r="W30" s="45">
        <v>10.9</v>
      </c>
      <c r="X30" s="45">
        <v>10.9</v>
      </c>
      <c r="Y30" s="45">
        <v>10.9</v>
      </c>
      <c r="Z30" s="45">
        <v>10.9</v>
      </c>
      <c r="AA30" s="45">
        <v>10.9</v>
      </c>
      <c r="AB30" s="45">
        <v>10.9</v>
      </c>
      <c r="AC30" s="45">
        <v>8.6999999999999993</v>
      </c>
      <c r="AD30" s="45">
        <v>8.6999999999999993</v>
      </c>
      <c r="AE30" s="45">
        <v>8.4</v>
      </c>
      <c r="AF30" s="45">
        <v>8.4</v>
      </c>
      <c r="AG30" s="49">
        <v>23.5</v>
      </c>
      <c r="AH30" s="47">
        <f t="shared" si="2"/>
        <v>10.9</v>
      </c>
      <c r="AI30" s="48">
        <f t="shared" si="3"/>
        <v>8.4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4.5</v>
      </c>
      <c r="C31" s="45">
        <v>4.5</v>
      </c>
      <c r="D31" s="45">
        <v>4.5</v>
      </c>
      <c r="E31" s="45">
        <v>4.5</v>
      </c>
      <c r="F31" s="45">
        <v>4.5</v>
      </c>
      <c r="G31" s="45">
        <v>4.5</v>
      </c>
      <c r="H31" s="45">
        <v>4.5</v>
      </c>
      <c r="I31" s="45">
        <v>4.5</v>
      </c>
      <c r="J31" s="45">
        <v>4.5</v>
      </c>
      <c r="K31" s="45">
        <v>4.5</v>
      </c>
      <c r="L31" s="45">
        <v>4.5</v>
      </c>
      <c r="M31" s="45">
        <v>4.5</v>
      </c>
      <c r="N31" s="45">
        <v>4.5</v>
      </c>
      <c r="O31" s="45">
        <v>4.5</v>
      </c>
      <c r="P31" s="45">
        <v>4.5</v>
      </c>
      <c r="Q31" s="45">
        <v>4.5</v>
      </c>
      <c r="R31" s="45">
        <v>4.5</v>
      </c>
      <c r="S31" s="45">
        <v>4.5</v>
      </c>
      <c r="T31" s="45">
        <v>4.5</v>
      </c>
      <c r="U31" s="45">
        <v>4.5</v>
      </c>
      <c r="V31" s="45">
        <v>4.5</v>
      </c>
      <c r="W31" s="45">
        <v>4.5</v>
      </c>
      <c r="X31" s="45">
        <v>4.5</v>
      </c>
      <c r="Y31" s="45">
        <v>4.5</v>
      </c>
      <c r="Z31" s="45">
        <v>4.5</v>
      </c>
      <c r="AA31" s="45">
        <v>4.5</v>
      </c>
      <c r="AB31" s="45">
        <v>4.5</v>
      </c>
      <c r="AC31" s="45">
        <v>4.5</v>
      </c>
      <c r="AD31" s="45">
        <v>4.5</v>
      </c>
      <c r="AE31" s="45">
        <v>4.5</v>
      </c>
      <c r="AF31" s="45">
        <v>4.5</v>
      </c>
      <c r="AG31" s="49">
        <v>22.2</v>
      </c>
      <c r="AH31" s="47">
        <f t="shared" si="2"/>
        <v>4.5</v>
      </c>
      <c r="AI31" s="48">
        <f t="shared" si="3"/>
        <v>4.5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>
        <v>5.5</v>
      </c>
      <c r="N32" s="45">
        <v>5.5</v>
      </c>
      <c r="O32" s="45">
        <v>5.5</v>
      </c>
      <c r="P32" s="45">
        <v>5.5</v>
      </c>
      <c r="Q32" s="45">
        <v>5.5</v>
      </c>
      <c r="R32" s="45">
        <v>5.5</v>
      </c>
      <c r="S32" s="45">
        <v>5.5</v>
      </c>
      <c r="T32" s="45">
        <v>5.5</v>
      </c>
      <c r="U32" s="45">
        <v>5.5</v>
      </c>
      <c r="V32" s="45">
        <v>5.5</v>
      </c>
      <c r="W32" s="45">
        <v>5.5</v>
      </c>
      <c r="X32" s="45">
        <v>5.5</v>
      </c>
      <c r="Y32" s="45">
        <v>5.5</v>
      </c>
      <c r="Z32" s="45">
        <v>5.5</v>
      </c>
      <c r="AA32" s="45">
        <v>5.5</v>
      </c>
      <c r="AB32" s="45">
        <v>5.5</v>
      </c>
      <c r="AC32" s="45">
        <v>5.5</v>
      </c>
      <c r="AD32" s="45">
        <v>5.5</v>
      </c>
      <c r="AE32" s="45">
        <v>5.5</v>
      </c>
      <c r="AF32" s="45">
        <v>5.5</v>
      </c>
      <c r="AG32" s="49">
        <v>22.1</v>
      </c>
      <c r="AH32" s="47">
        <f t="shared" si="2"/>
        <v>5.5</v>
      </c>
      <c r="AI32" s="48">
        <f t="shared" si="3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22</v>
      </c>
      <c r="AH33" s="47">
        <f t="shared" si="2"/>
        <v>6</v>
      </c>
      <c r="AI33" s="48">
        <f t="shared" si="3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9.5</v>
      </c>
      <c r="C34" s="45">
        <v>9.5</v>
      </c>
      <c r="D34" s="45">
        <v>11.2</v>
      </c>
      <c r="E34" s="45">
        <v>11.2</v>
      </c>
      <c r="F34" s="45">
        <v>11.2</v>
      </c>
      <c r="G34" s="45">
        <v>9.4</v>
      </c>
      <c r="H34" s="45">
        <v>9.4</v>
      </c>
      <c r="I34" s="45">
        <v>9.4</v>
      </c>
      <c r="J34" s="45">
        <v>9.4</v>
      </c>
      <c r="K34" s="45">
        <v>9.4</v>
      </c>
      <c r="L34" s="45">
        <v>9.4</v>
      </c>
      <c r="M34" s="45">
        <v>9.4</v>
      </c>
      <c r="N34" s="45">
        <v>9.4</v>
      </c>
      <c r="O34" s="45">
        <v>9.4</v>
      </c>
      <c r="P34" s="45">
        <v>9.4</v>
      </c>
      <c r="Q34" s="45">
        <v>9.4</v>
      </c>
      <c r="R34" s="45">
        <v>9.4</v>
      </c>
      <c r="S34" s="45">
        <v>9.4</v>
      </c>
      <c r="T34" s="45">
        <v>9.4</v>
      </c>
      <c r="U34" s="45">
        <v>9.4</v>
      </c>
      <c r="V34" s="45">
        <v>7.6</v>
      </c>
      <c r="W34" s="45">
        <v>7.6</v>
      </c>
      <c r="X34" s="45">
        <v>8.1999999999999993</v>
      </c>
      <c r="Y34" s="45">
        <v>8.1999999999999993</v>
      </c>
      <c r="Z34" s="45">
        <v>8.1999999999999993</v>
      </c>
      <c r="AA34" s="45">
        <v>8.1999999999999993</v>
      </c>
      <c r="AB34" s="45">
        <v>8.1999999999999993</v>
      </c>
      <c r="AC34" s="45">
        <v>10.199999999999999</v>
      </c>
      <c r="AD34" s="45">
        <v>10.199999999999999</v>
      </c>
      <c r="AE34" s="45">
        <v>11.6</v>
      </c>
      <c r="AF34" s="45">
        <v>11.6</v>
      </c>
      <c r="AG34" s="49">
        <v>22</v>
      </c>
      <c r="AH34" s="47">
        <f t="shared" si="2"/>
        <v>11.6</v>
      </c>
      <c r="AI34" s="48">
        <f t="shared" si="3"/>
        <v>7.6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6.5</v>
      </c>
      <c r="C35" s="45">
        <v>6.5</v>
      </c>
      <c r="D35" s="45">
        <v>6.5</v>
      </c>
      <c r="E35" s="45">
        <v>6.5</v>
      </c>
      <c r="F35" s="45">
        <v>6.5</v>
      </c>
      <c r="G35" s="45">
        <v>6.5</v>
      </c>
      <c r="H35" s="45">
        <v>6.5</v>
      </c>
      <c r="I35" s="45">
        <v>6.5</v>
      </c>
      <c r="J35" s="45">
        <v>6.5</v>
      </c>
      <c r="K35" s="45">
        <v>6.5</v>
      </c>
      <c r="L35" s="45">
        <v>6.5</v>
      </c>
      <c r="M35" s="45">
        <v>6.5</v>
      </c>
      <c r="N35" s="45">
        <v>6.5</v>
      </c>
      <c r="O35" s="45">
        <v>6.5</v>
      </c>
      <c r="P35" s="45">
        <v>6.5</v>
      </c>
      <c r="Q35" s="45">
        <v>6.5</v>
      </c>
      <c r="R35" s="45">
        <v>6.5</v>
      </c>
      <c r="S35" s="45">
        <v>6.5</v>
      </c>
      <c r="T35" s="45">
        <v>6.5</v>
      </c>
      <c r="U35" s="45">
        <v>6.5</v>
      </c>
      <c r="V35" s="45">
        <v>6.5</v>
      </c>
      <c r="W35" s="45">
        <v>6.5</v>
      </c>
      <c r="X35" s="45">
        <v>6.5</v>
      </c>
      <c r="Y35" s="45">
        <v>6.5</v>
      </c>
      <c r="Z35" s="45">
        <v>6.5</v>
      </c>
      <c r="AA35" s="45">
        <v>6.5</v>
      </c>
      <c r="AB35" s="45">
        <v>6.5</v>
      </c>
      <c r="AC35" s="45">
        <v>6.5</v>
      </c>
      <c r="AD35" s="45">
        <v>6.5</v>
      </c>
      <c r="AE35" s="45">
        <v>6.5</v>
      </c>
      <c r="AF35" s="45">
        <v>6.5</v>
      </c>
      <c r="AG35" s="49">
        <v>20</v>
      </c>
      <c r="AH35" s="47">
        <f t="shared" si="2"/>
        <v>6.5</v>
      </c>
      <c r="AI35" s="48">
        <f t="shared" si="3"/>
        <v>6.5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264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2"/>
        <v>4</v>
      </c>
      <c r="AI36" s="48">
        <f t="shared" si="3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5.5</v>
      </c>
      <c r="C37" s="45">
        <v>5.5</v>
      </c>
      <c r="D37" s="45">
        <v>5.5</v>
      </c>
      <c r="E37" s="45">
        <v>5.5</v>
      </c>
      <c r="F37" s="45">
        <v>5.5</v>
      </c>
      <c r="G37" s="45">
        <v>5.5</v>
      </c>
      <c r="H37" s="45">
        <v>5.5</v>
      </c>
      <c r="I37" s="45">
        <v>5.5</v>
      </c>
      <c r="J37" s="45">
        <v>5.5</v>
      </c>
      <c r="K37" s="45">
        <v>5.5</v>
      </c>
      <c r="L37" s="45">
        <v>5.5</v>
      </c>
      <c r="M37" s="45">
        <v>5.5</v>
      </c>
      <c r="N37" s="45">
        <v>5.5</v>
      </c>
      <c r="O37" s="45">
        <v>5.5</v>
      </c>
      <c r="P37" s="45">
        <v>5.5</v>
      </c>
      <c r="Q37" s="45">
        <v>5.5</v>
      </c>
      <c r="R37" s="45">
        <v>5.5</v>
      </c>
      <c r="S37" s="45">
        <v>5.5</v>
      </c>
      <c r="T37" s="45">
        <v>5.5</v>
      </c>
      <c r="U37" s="45">
        <v>5.5</v>
      </c>
      <c r="V37" s="45">
        <v>5.5</v>
      </c>
      <c r="W37" s="45">
        <v>5.5</v>
      </c>
      <c r="X37" s="45">
        <v>5.5</v>
      </c>
      <c r="Y37" s="45">
        <v>5.5</v>
      </c>
      <c r="Z37" s="45">
        <v>5.5</v>
      </c>
      <c r="AA37" s="45">
        <v>5.5</v>
      </c>
      <c r="AB37" s="45">
        <v>5.5</v>
      </c>
      <c r="AC37" s="45">
        <v>5.5</v>
      </c>
      <c r="AD37" s="45">
        <v>5.5</v>
      </c>
      <c r="AE37" s="45">
        <v>5.5</v>
      </c>
      <c r="AF37" s="45">
        <v>5.5</v>
      </c>
      <c r="AG37" s="49">
        <v>18</v>
      </c>
      <c r="AH37" s="47">
        <f t="shared" si="2"/>
        <v>5.5</v>
      </c>
      <c r="AI37" s="48">
        <f t="shared" si="3"/>
        <v>5.5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>
        <v>7.2</v>
      </c>
      <c r="N38" s="45">
        <v>7.2</v>
      </c>
      <c r="O38" s="45">
        <v>7.2</v>
      </c>
      <c r="P38" s="45">
        <v>7.2</v>
      </c>
      <c r="Q38" s="45">
        <v>7.2</v>
      </c>
      <c r="R38" s="45">
        <v>7.2</v>
      </c>
      <c r="S38" s="45">
        <v>7.2</v>
      </c>
      <c r="T38" s="45">
        <v>7.2</v>
      </c>
      <c r="U38" s="45">
        <v>7.2</v>
      </c>
      <c r="V38" s="45">
        <v>7.2</v>
      </c>
      <c r="W38" s="45">
        <v>7.2</v>
      </c>
      <c r="X38" s="45">
        <v>7.2</v>
      </c>
      <c r="Y38" s="45">
        <v>7.2</v>
      </c>
      <c r="Z38" s="45">
        <v>7.2</v>
      </c>
      <c r="AA38" s="45">
        <v>7.2</v>
      </c>
      <c r="AB38" s="45">
        <v>7.2</v>
      </c>
      <c r="AC38" s="45">
        <v>7.2</v>
      </c>
      <c r="AD38" s="45">
        <v>7.2</v>
      </c>
      <c r="AE38" s="45">
        <v>7.2</v>
      </c>
      <c r="AF38" s="45">
        <v>7.2</v>
      </c>
      <c r="AG38" s="49">
        <v>14.9</v>
      </c>
      <c r="AH38" s="47">
        <f t="shared" si="2"/>
        <v>7.2</v>
      </c>
      <c r="AI38" s="48">
        <f t="shared" si="3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265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2"/>
        <v>5</v>
      </c>
      <c r="AI40" s="48">
        <f t="shared" si="3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266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>
        <v>4</v>
      </c>
      <c r="N41" s="45">
        <v>4</v>
      </c>
      <c r="O41" s="45">
        <v>4</v>
      </c>
      <c r="P41" s="45">
        <v>4</v>
      </c>
      <c r="Q41" s="45">
        <v>4</v>
      </c>
      <c r="R41" s="45">
        <v>4</v>
      </c>
      <c r="S41" s="45">
        <v>4</v>
      </c>
      <c r="T41" s="45">
        <v>4</v>
      </c>
      <c r="U41" s="45">
        <v>4</v>
      </c>
      <c r="V41" s="45">
        <v>4</v>
      </c>
      <c r="W41" s="45">
        <v>4</v>
      </c>
      <c r="X41" s="45">
        <v>4</v>
      </c>
      <c r="Y41" s="45">
        <v>4</v>
      </c>
      <c r="Z41" s="45">
        <v>4</v>
      </c>
      <c r="AA41" s="45">
        <v>4</v>
      </c>
      <c r="AB41" s="45">
        <v>4</v>
      </c>
      <c r="AC41" s="45">
        <v>4</v>
      </c>
      <c r="AD41" s="45">
        <v>4</v>
      </c>
      <c r="AE41" s="45">
        <v>4</v>
      </c>
      <c r="AF41" s="45">
        <v>4</v>
      </c>
      <c r="AG41" s="49">
        <v>14.9</v>
      </c>
      <c r="AH41" s="47">
        <f t="shared" si="2"/>
        <v>4</v>
      </c>
      <c r="AI41" s="48">
        <f t="shared" si="3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2"/>
        <v>1.8</v>
      </c>
      <c r="AI42" s="48">
        <f t="shared" si="3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2"/>
        <v>3.8</v>
      </c>
      <c r="AI43" s="48">
        <f t="shared" si="3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4</v>
      </c>
      <c r="C44" s="45">
        <v>4</v>
      </c>
      <c r="D44" s="45">
        <v>4</v>
      </c>
      <c r="E44" s="45">
        <v>4</v>
      </c>
      <c r="F44" s="45">
        <v>4</v>
      </c>
      <c r="G44" s="45">
        <v>4</v>
      </c>
      <c r="H44" s="45">
        <v>4</v>
      </c>
      <c r="I44" s="45">
        <v>4</v>
      </c>
      <c r="J44" s="45">
        <v>4</v>
      </c>
      <c r="K44" s="45">
        <v>4</v>
      </c>
      <c r="L44" s="45">
        <v>4</v>
      </c>
      <c r="M44" s="45">
        <v>4</v>
      </c>
      <c r="N44" s="45">
        <v>4</v>
      </c>
      <c r="O44" s="45">
        <v>4</v>
      </c>
      <c r="P44" s="45">
        <v>4</v>
      </c>
      <c r="Q44" s="45">
        <v>4</v>
      </c>
      <c r="R44" s="45">
        <v>4</v>
      </c>
      <c r="S44" s="45">
        <v>4</v>
      </c>
      <c r="T44" s="45">
        <v>4</v>
      </c>
      <c r="U44" s="45">
        <v>4</v>
      </c>
      <c r="V44" s="45">
        <v>4</v>
      </c>
      <c r="W44" s="45">
        <v>4</v>
      </c>
      <c r="X44" s="45">
        <v>4</v>
      </c>
      <c r="Y44" s="45">
        <v>4</v>
      </c>
      <c r="Z44" s="45">
        <v>4</v>
      </c>
      <c r="AA44" s="45">
        <v>4</v>
      </c>
      <c r="AB44" s="45">
        <v>4</v>
      </c>
      <c r="AC44" s="45">
        <v>4</v>
      </c>
      <c r="AD44" s="45">
        <v>4</v>
      </c>
      <c r="AE44" s="45">
        <v>4</v>
      </c>
      <c r="AF44" s="45">
        <v>4</v>
      </c>
      <c r="AG44" s="49">
        <v>12</v>
      </c>
      <c r="AH44" s="47">
        <f t="shared" si="2"/>
        <v>4</v>
      </c>
      <c r="AI44" s="48">
        <f t="shared" si="3"/>
        <v>4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7.9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49">
        <v>12</v>
      </c>
      <c r="AH45" s="47">
        <f t="shared" si="2"/>
        <v>9</v>
      </c>
      <c r="AI45" s="48">
        <f t="shared" si="3"/>
        <v>7.9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2"/>
        <v>3</v>
      </c>
      <c r="AI46" s="48">
        <f t="shared" si="3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2"/>
        <v>3.5</v>
      </c>
      <c r="AI47" s="48">
        <f t="shared" si="3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>
        <v>5</v>
      </c>
      <c r="N48" s="45">
        <v>5</v>
      </c>
      <c r="O48" s="45">
        <v>5</v>
      </c>
      <c r="P48" s="45">
        <v>5</v>
      </c>
      <c r="Q48" s="45">
        <v>5</v>
      </c>
      <c r="R48" s="45">
        <v>5</v>
      </c>
      <c r="S48" s="45">
        <v>5</v>
      </c>
      <c r="T48" s="45">
        <v>5</v>
      </c>
      <c r="U48" s="45">
        <v>5</v>
      </c>
      <c r="V48" s="45">
        <v>5</v>
      </c>
      <c r="W48" s="45">
        <v>5</v>
      </c>
      <c r="X48" s="45">
        <v>5</v>
      </c>
      <c r="Y48" s="45">
        <v>5</v>
      </c>
      <c r="Z48" s="45">
        <v>5</v>
      </c>
      <c r="AA48" s="45">
        <v>5</v>
      </c>
      <c r="AB48" s="45">
        <v>5</v>
      </c>
      <c r="AC48" s="45">
        <v>5</v>
      </c>
      <c r="AD48" s="45">
        <v>5</v>
      </c>
      <c r="AE48" s="45">
        <v>5</v>
      </c>
      <c r="AF48" s="45">
        <v>5</v>
      </c>
      <c r="AG48" s="52">
        <v>11.88</v>
      </c>
      <c r="AH48" s="47">
        <f t="shared" si="2"/>
        <v>5</v>
      </c>
      <c r="AI48" s="48">
        <f t="shared" si="3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>
        <v>3</v>
      </c>
      <c r="N49" s="45">
        <v>3</v>
      </c>
      <c r="O49" s="45">
        <v>3</v>
      </c>
      <c r="P49" s="45">
        <v>3</v>
      </c>
      <c r="Q49" s="45">
        <v>3</v>
      </c>
      <c r="R49" s="45">
        <v>3</v>
      </c>
      <c r="S49" s="45">
        <v>3</v>
      </c>
      <c r="T49" s="45">
        <v>3</v>
      </c>
      <c r="U49" s="45">
        <v>3</v>
      </c>
      <c r="V49" s="45">
        <v>3</v>
      </c>
      <c r="W49" s="45">
        <v>3</v>
      </c>
      <c r="X49" s="45">
        <v>3</v>
      </c>
      <c r="Y49" s="45">
        <v>3</v>
      </c>
      <c r="Z49" s="45">
        <v>3</v>
      </c>
      <c r="AA49" s="45">
        <v>3</v>
      </c>
      <c r="AB49" s="45">
        <v>3</v>
      </c>
      <c r="AC49" s="45">
        <v>3</v>
      </c>
      <c r="AD49" s="45">
        <v>3</v>
      </c>
      <c r="AE49" s="45">
        <v>3</v>
      </c>
      <c r="AF49" s="45">
        <v>3</v>
      </c>
      <c r="AG49" s="55">
        <v>11</v>
      </c>
      <c r="AH49" s="47">
        <f t="shared" si="2"/>
        <v>3</v>
      </c>
      <c r="AI49" s="48">
        <f t="shared" si="3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267</v>
      </c>
      <c r="B50" s="45">
        <v>3.3</v>
      </c>
      <c r="C50" s="45">
        <v>3.3</v>
      </c>
      <c r="D50" s="45">
        <v>3.3</v>
      </c>
      <c r="E50" s="45">
        <v>3.3</v>
      </c>
      <c r="F50" s="45">
        <v>3.3</v>
      </c>
      <c r="G50" s="45">
        <v>3.3</v>
      </c>
      <c r="H50" s="45">
        <v>3.3</v>
      </c>
      <c r="I50" s="45">
        <v>3.3</v>
      </c>
      <c r="J50" s="45">
        <v>3.3</v>
      </c>
      <c r="K50" s="45">
        <v>3.3</v>
      </c>
      <c r="L50" s="45">
        <v>3.3</v>
      </c>
      <c r="M50" s="45">
        <v>3.3</v>
      </c>
      <c r="N50" s="45">
        <v>3.3</v>
      </c>
      <c r="O50" s="45">
        <v>3.3</v>
      </c>
      <c r="P50" s="45">
        <v>3.3</v>
      </c>
      <c r="Q50" s="45">
        <v>3.3</v>
      </c>
      <c r="R50" s="45">
        <v>3.3</v>
      </c>
      <c r="S50" s="45">
        <v>3.3</v>
      </c>
      <c r="T50" s="45">
        <v>3.3</v>
      </c>
      <c r="U50" s="45">
        <v>3.3</v>
      </c>
      <c r="V50" s="45">
        <v>3.3</v>
      </c>
      <c r="W50" s="45">
        <v>3.3</v>
      </c>
      <c r="X50" s="45">
        <v>3.3</v>
      </c>
      <c r="Y50" s="45">
        <v>3.3</v>
      </c>
      <c r="Z50" s="45">
        <v>3.3</v>
      </c>
      <c r="AA50" s="45">
        <v>3.3</v>
      </c>
      <c r="AB50" s="45">
        <v>3.3</v>
      </c>
      <c r="AC50" s="45">
        <v>3.3</v>
      </c>
      <c r="AD50" s="45">
        <v>3.3</v>
      </c>
      <c r="AE50" s="45">
        <v>3.3</v>
      </c>
      <c r="AF50" s="45">
        <v>3.3</v>
      </c>
      <c r="AG50" s="55">
        <v>11</v>
      </c>
      <c r="AH50" s="47">
        <f t="shared" si="2"/>
        <v>3.3</v>
      </c>
      <c r="AI50" s="48">
        <f t="shared" si="3"/>
        <v>3.3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268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"/>
        <v>3</v>
      </c>
      <c r="AI51" s="48">
        <f t="shared" si="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2"/>
        <v>4</v>
      </c>
      <c r="AI52" s="48">
        <f t="shared" si="3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"/>
        <v>4.5</v>
      </c>
      <c r="AI53" s="48">
        <f t="shared" si="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269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"/>
        <v>0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175</v>
      </c>
      <c r="C56" s="57">
        <v>175</v>
      </c>
      <c r="D56" s="57">
        <v>175</v>
      </c>
      <c r="E56" s="57">
        <v>175</v>
      </c>
      <c r="F56" s="57">
        <v>175</v>
      </c>
      <c r="G56" s="57">
        <v>175</v>
      </c>
      <c r="H56" s="57">
        <v>175</v>
      </c>
      <c r="I56" s="57">
        <v>175</v>
      </c>
      <c r="J56" s="57">
        <v>175</v>
      </c>
      <c r="K56" s="57">
        <v>175</v>
      </c>
      <c r="L56" s="57">
        <v>175</v>
      </c>
      <c r="M56" s="57">
        <v>175</v>
      </c>
      <c r="N56" s="57">
        <v>175</v>
      </c>
      <c r="O56" s="57">
        <v>175</v>
      </c>
      <c r="P56" s="57">
        <v>175</v>
      </c>
      <c r="Q56" s="57">
        <v>175</v>
      </c>
      <c r="R56" s="57">
        <v>175</v>
      </c>
      <c r="S56" s="57">
        <v>175</v>
      </c>
      <c r="T56" s="57">
        <v>175</v>
      </c>
      <c r="U56" s="57">
        <v>175</v>
      </c>
      <c r="V56" s="57">
        <v>175</v>
      </c>
      <c r="W56" s="57">
        <v>175</v>
      </c>
      <c r="X56" s="57">
        <v>175</v>
      </c>
      <c r="Y56" s="57">
        <v>175</v>
      </c>
      <c r="Z56" s="57">
        <v>175</v>
      </c>
      <c r="AA56" s="57">
        <v>175</v>
      </c>
      <c r="AB56" s="57">
        <v>175</v>
      </c>
      <c r="AC56" s="57">
        <v>175</v>
      </c>
      <c r="AD56" s="57">
        <v>175</v>
      </c>
      <c r="AE56" s="57">
        <v>175</v>
      </c>
      <c r="AF56" s="57">
        <v>175</v>
      </c>
      <c r="AG56" s="55">
        <v>85</v>
      </c>
      <c r="AH56" s="47">
        <f t="shared" si="2"/>
        <v>175</v>
      </c>
      <c r="AI56" s="48">
        <f t="shared" si="3"/>
        <v>175</v>
      </c>
      <c r="AK56" s="50"/>
    </row>
    <row r="57" spans="1:88" ht="15.75" thickBot="1" x14ac:dyDescent="0.3">
      <c r="A57" s="58" t="s">
        <v>57</v>
      </c>
      <c r="B57" s="57">
        <v>32.4</v>
      </c>
      <c r="C57" s="57">
        <v>32.4</v>
      </c>
      <c r="D57" s="57">
        <v>32.4</v>
      </c>
      <c r="E57" s="57">
        <v>32.4</v>
      </c>
      <c r="F57" s="57">
        <v>32.4</v>
      </c>
      <c r="G57" s="57">
        <v>32.4</v>
      </c>
      <c r="H57" s="57">
        <v>32.4</v>
      </c>
      <c r="I57" s="57">
        <v>32.4</v>
      </c>
      <c r="J57" s="57">
        <v>32.4</v>
      </c>
      <c r="K57" s="57">
        <v>32.4</v>
      </c>
      <c r="L57" s="57">
        <v>32.4</v>
      </c>
      <c r="M57" s="57">
        <v>32.4</v>
      </c>
      <c r="N57" s="51">
        <f>19.2+8.3</f>
        <v>27.5</v>
      </c>
      <c r="O57" s="51">
        <f>19.9+8.4</f>
        <v>28.299999999999997</v>
      </c>
      <c r="P57" s="51">
        <f t="shared" ref="P57:U57" si="4">20.6+9</f>
        <v>29.6</v>
      </c>
      <c r="Q57" s="51">
        <f t="shared" si="4"/>
        <v>29.6</v>
      </c>
      <c r="R57" s="51">
        <f t="shared" si="4"/>
        <v>29.6</v>
      </c>
      <c r="S57" s="51">
        <f t="shared" si="4"/>
        <v>29.6</v>
      </c>
      <c r="T57" s="51">
        <f t="shared" si="4"/>
        <v>29.6</v>
      </c>
      <c r="U57" s="51">
        <f t="shared" si="4"/>
        <v>29.6</v>
      </c>
      <c r="V57" s="51">
        <v>27.2</v>
      </c>
      <c r="W57" s="51">
        <v>27.2</v>
      </c>
      <c r="X57" s="51">
        <v>21.7</v>
      </c>
      <c r="Y57" s="51">
        <v>21.7</v>
      </c>
      <c r="Z57" s="51">
        <v>23.6</v>
      </c>
      <c r="AA57" s="51">
        <v>24.5</v>
      </c>
      <c r="AB57" s="51">
        <v>24.5</v>
      </c>
      <c r="AC57" s="51">
        <f>8+17.1</f>
        <v>25.1</v>
      </c>
      <c r="AD57" s="51">
        <f>8.4+17.9</f>
        <v>26.299999999999997</v>
      </c>
      <c r="AE57" s="51">
        <f>9+19.6</f>
        <v>28.6</v>
      </c>
      <c r="AF57" s="51">
        <f>9.3+20.3</f>
        <v>29.6</v>
      </c>
      <c r="AG57" s="55">
        <v>240</v>
      </c>
      <c r="AH57" s="47">
        <f t="shared" si="2"/>
        <v>32.4</v>
      </c>
      <c r="AI57" s="48">
        <f t="shared" si="3"/>
        <v>21.7</v>
      </c>
      <c r="AK57" s="50"/>
    </row>
    <row r="58" spans="1:88" ht="15.75" thickBot="1" x14ac:dyDescent="0.3">
      <c r="A58" s="59" t="s">
        <v>58</v>
      </c>
      <c r="B58" s="60">
        <f>SUM(B11:B56)</f>
        <v>545</v>
      </c>
      <c r="C58" s="60">
        <f>SUM(C11:C56)</f>
        <v>545</v>
      </c>
      <c r="D58" s="60">
        <f t="shared" ref="D58:AA58" si="5">SUM(D11:D56)</f>
        <v>482.2</v>
      </c>
      <c r="E58" s="60">
        <f t="shared" si="5"/>
        <v>501.4</v>
      </c>
      <c r="F58" s="60">
        <f t="shared" si="5"/>
        <v>538.70000000000005</v>
      </c>
      <c r="G58" s="60">
        <f t="shared" si="5"/>
        <v>539.79999999999995</v>
      </c>
      <c r="H58" s="60">
        <f t="shared" si="5"/>
        <v>539.79999999999995</v>
      </c>
      <c r="I58" s="60">
        <f t="shared" si="5"/>
        <v>539.79999999999995</v>
      </c>
      <c r="J58" s="60">
        <f t="shared" si="5"/>
        <v>539.79999999999995</v>
      </c>
      <c r="K58" s="60">
        <f t="shared" si="5"/>
        <v>539.79999999999995</v>
      </c>
      <c r="L58" s="60">
        <f t="shared" si="5"/>
        <v>539.79999999999995</v>
      </c>
      <c r="M58" s="60">
        <f t="shared" si="5"/>
        <v>539.79999999999995</v>
      </c>
      <c r="N58" s="60">
        <f t="shared" si="5"/>
        <v>538.79999999999995</v>
      </c>
      <c r="O58" s="60">
        <f t="shared" si="5"/>
        <v>538.20000000000005</v>
      </c>
      <c r="P58" s="60">
        <f t="shared" si="5"/>
        <v>537.59999999999991</v>
      </c>
      <c r="Q58" s="60">
        <f t="shared" si="5"/>
        <v>535.79999999999995</v>
      </c>
      <c r="R58" s="60">
        <f t="shared" si="5"/>
        <v>536.4</v>
      </c>
      <c r="S58" s="60">
        <f t="shared" ref="S58:T58" si="6">SUM(S11:S56)</f>
        <v>536.4</v>
      </c>
      <c r="T58" s="60">
        <f t="shared" si="6"/>
        <v>536.4</v>
      </c>
      <c r="U58" s="60">
        <f t="shared" si="5"/>
        <v>536.4</v>
      </c>
      <c r="V58" s="60">
        <f t="shared" si="5"/>
        <v>534.1</v>
      </c>
      <c r="W58" s="60">
        <f t="shared" si="5"/>
        <v>534.1</v>
      </c>
      <c r="X58" s="60">
        <f t="shared" si="5"/>
        <v>533.90000000000009</v>
      </c>
      <c r="Y58" s="60">
        <f>SUM(Y11:Y56)</f>
        <v>529.09999999999991</v>
      </c>
      <c r="Z58" s="60">
        <f>SUM(Z11:Z56)</f>
        <v>533.90000000000009</v>
      </c>
      <c r="AA58" s="60">
        <f t="shared" si="5"/>
        <v>533.90000000000009</v>
      </c>
      <c r="AB58" s="60">
        <f t="shared" ref="AB58:AC58" si="7">SUM(AB11:AB56)</f>
        <v>533.90000000000009</v>
      </c>
      <c r="AC58" s="60">
        <f t="shared" si="7"/>
        <v>531.40000000000009</v>
      </c>
      <c r="AD58" s="60">
        <f t="shared" ref="AD58:AE58" si="8">SUM(AD11:AD56)</f>
        <v>531.40000000000009</v>
      </c>
      <c r="AE58" s="60">
        <f t="shared" si="8"/>
        <v>532.90000000000009</v>
      </c>
      <c r="AF58" s="60">
        <f t="shared" ref="AF58" si="9">SUM(AF11:AF56)</f>
        <v>532.80000000000007</v>
      </c>
      <c r="AG58" s="61">
        <f>SUM(AG14:AG56)</f>
        <v>1042.4000000000001</v>
      </c>
      <c r="AH58" s="47">
        <f t="shared" si="2"/>
        <v>545</v>
      </c>
      <c r="AI58" s="48">
        <f t="shared" si="3"/>
        <v>482.2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40</v>
      </c>
      <c r="J59" s="45">
        <v>80</v>
      </c>
      <c r="K59" s="45">
        <v>120</v>
      </c>
      <c r="L59" s="45">
        <v>350</v>
      </c>
      <c r="M59" s="45">
        <v>375</v>
      </c>
      <c r="N59" s="63">
        <v>320</v>
      </c>
      <c r="O59" s="63">
        <v>190</v>
      </c>
      <c r="P59" s="63">
        <v>70</v>
      </c>
      <c r="Q59" s="63">
        <v>30</v>
      </c>
      <c r="R59" s="63">
        <v>30</v>
      </c>
      <c r="S59" s="63">
        <v>15</v>
      </c>
      <c r="T59" s="63">
        <v>15</v>
      </c>
      <c r="U59" s="45">
        <v>15</v>
      </c>
      <c r="V59" s="45">
        <v>15</v>
      </c>
      <c r="W59" s="45">
        <v>120</v>
      </c>
      <c r="X59" s="45">
        <v>250</v>
      </c>
      <c r="Y59" s="45">
        <v>300</v>
      </c>
      <c r="Z59" s="45">
        <v>280</v>
      </c>
      <c r="AA59" s="45">
        <v>280</v>
      </c>
      <c r="AB59" s="45">
        <v>280</v>
      </c>
      <c r="AC59" s="45">
        <v>150</v>
      </c>
      <c r="AD59" s="45">
        <v>50</v>
      </c>
      <c r="AE59" s="45">
        <v>90</v>
      </c>
      <c r="AF59" s="45">
        <v>0</v>
      </c>
      <c r="AG59" s="52">
        <v>456</v>
      </c>
      <c r="AH59" s="47">
        <f t="shared" si="2"/>
        <v>375</v>
      </c>
      <c r="AI59" s="48">
        <f t="shared" si="3"/>
        <v>0</v>
      </c>
      <c r="AK59" s="50"/>
    </row>
    <row r="60" spans="1:88" x14ac:dyDescent="0.25">
      <c r="A60" s="64" t="s">
        <v>60</v>
      </c>
      <c r="B60" s="65">
        <v>36</v>
      </c>
      <c r="C60" s="65">
        <v>36</v>
      </c>
      <c r="D60" s="65">
        <v>36</v>
      </c>
      <c r="E60" s="65">
        <v>36</v>
      </c>
      <c r="F60" s="65">
        <v>36</v>
      </c>
      <c r="G60" s="65">
        <v>36</v>
      </c>
      <c r="H60" s="65">
        <v>36</v>
      </c>
      <c r="I60" s="65">
        <v>36</v>
      </c>
      <c r="J60" s="65">
        <v>36</v>
      </c>
      <c r="K60" s="65">
        <v>36</v>
      </c>
      <c r="L60" s="65">
        <v>36</v>
      </c>
      <c r="M60" s="65">
        <v>36</v>
      </c>
      <c r="N60" s="65">
        <v>36</v>
      </c>
      <c r="O60" s="65">
        <v>36</v>
      </c>
      <c r="P60" s="65">
        <v>36</v>
      </c>
      <c r="Q60" s="65">
        <v>36</v>
      </c>
      <c r="R60" s="65">
        <v>36</v>
      </c>
      <c r="S60" s="65">
        <v>36</v>
      </c>
      <c r="T60" s="65">
        <v>36</v>
      </c>
      <c r="U60" s="65">
        <v>36</v>
      </c>
      <c r="V60" s="65">
        <v>36</v>
      </c>
      <c r="W60" s="65">
        <v>36</v>
      </c>
      <c r="X60" s="65">
        <v>36</v>
      </c>
      <c r="Y60" s="65">
        <v>36</v>
      </c>
      <c r="Z60" s="65">
        <v>36</v>
      </c>
      <c r="AA60" s="65">
        <v>36</v>
      </c>
      <c r="AB60" s="65">
        <v>36</v>
      </c>
      <c r="AC60" s="65">
        <v>36</v>
      </c>
      <c r="AD60" s="65">
        <v>36</v>
      </c>
      <c r="AE60" s="65">
        <v>36</v>
      </c>
      <c r="AF60" s="65">
        <v>36</v>
      </c>
      <c r="AG60" s="55">
        <v>60</v>
      </c>
      <c r="AH60" s="47">
        <f t="shared" si="2"/>
        <v>36</v>
      </c>
      <c r="AI60" s="48">
        <f t="shared" si="3"/>
        <v>36</v>
      </c>
      <c r="AK60" s="50"/>
    </row>
    <row r="61" spans="1:88" ht="15.75" thickBot="1" x14ac:dyDescent="0.3">
      <c r="A61" s="66" t="s">
        <v>61</v>
      </c>
      <c r="B61" s="67">
        <v>10.199999999999999</v>
      </c>
      <c r="C61" s="67">
        <v>10.199999999999999</v>
      </c>
      <c r="D61" s="67">
        <v>10.199999999999999</v>
      </c>
      <c r="E61" s="67">
        <v>10.199999999999999</v>
      </c>
      <c r="F61" s="67">
        <v>10.199999999999999</v>
      </c>
      <c r="G61" s="67">
        <v>10.199999999999999</v>
      </c>
      <c r="H61" s="67">
        <v>10.199999999999999</v>
      </c>
      <c r="I61" s="67">
        <v>10.199999999999999</v>
      </c>
      <c r="J61" s="67">
        <v>11.2</v>
      </c>
      <c r="K61" s="67">
        <v>11.2</v>
      </c>
      <c r="L61" s="67">
        <v>11.2</v>
      </c>
      <c r="M61" s="67">
        <v>10.199999999999999</v>
      </c>
      <c r="N61" s="67">
        <v>16.399999999999999</v>
      </c>
      <c r="O61" s="67">
        <v>11.3</v>
      </c>
      <c r="P61" s="67">
        <v>11.4</v>
      </c>
      <c r="Q61" s="67">
        <v>11.2</v>
      </c>
      <c r="R61" s="67">
        <v>9.6999999999999993</v>
      </c>
      <c r="S61" s="67">
        <v>9.6999999999999993</v>
      </c>
      <c r="T61" s="67">
        <v>9.6999999999999993</v>
      </c>
      <c r="U61" s="67">
        <v>9.6999999999999993</v>
      </c>
      <c r="V61" s="67">
        <v>9.6999999999999993</v>
      </c>
      <c r="W61" s="67">
        <v>9.6999999999999993</v>
      </c>
      <c r="X61" s="67">
        <v>14.8</v>
      </c>
      <c r="Y61" s="67">
        <v>15.2</v>
      </c>
      <c r="Z61" s="67">
        <v>15.1</v>
      </c>
      <c r="AA61" s="67">
        <v>15.1</v>
      </c>
      <c r="AB61" s="67">
        <v>15.1</v>
      </c>
      <c r="AC61" s="67">
        <v>15.1</v>
      </c>
      <c r="AD61" s="67">
        <v>11.2</v>
      </c>
      <c r="AE61" s="67">
        <v>11.2</v>
      </c>
      <c r="AF61" s="67">
        <v>11.2</v>
      </c>
      <c r="AG61" s="68">
        <v>22.1</v>
      </c>
      <c r="AH61" s="47">
        <f t="shared" si="2"/>
        <v>16.399999999999999</v>
      </c>
      <c r="AI61" s="48">
        <f t="shared" si="3"/>
        <v>9.6999999999999993</v>
      </c>
      <c r="AK61" s="50"/>
    </row>
    <row r="62" spans="1:88" ht="15.75" thickBot="1" x14ac:dyDescent="0.3">
      <c r="A62" s="69" t="s">
        <v>62</v>
      </c>
      <c r="B62" s="60">
        <f t="shared" ref="B62:AG62" si="10">SUM(B59:B61)</f>
        <v>46.2</v>
      </c>
      <c r="C62" s="60">
        <f t="shared" ref="C62" si="11">SUM(C59:C61)</f>
        <v>46.2</v>
      </c>
      <c r="D62" s="60">
        <f t="shared" si="10"/>
        <v>46.2</v>
      </c>
      <c r="E62" s="60">
        <f t="shared" si="10"/>
        <v>46.2</v>
      </c>
      <c r="F62" s="60">
        <f t="shared" si="10"/>
        <v>46.2</v>
      </c>
      <c r="G62" s="60">
        <f t="shared" si="10"/>
        <v>46.2</v>
      </c>
      <c r="H62" s="60">
        <f t="shared" si="10"/>
        <v>46.2</v>
      </c>
      <c r="I62" s="60">
        <f t="shared" si="10"/>
        <v>86.2</v>
      </c>
      <c r="J62" s="60">
        <f t="shared" si="10"/>
        <v>127.2</v>
      </c>
      <c r="K62" s="60">
        <f t="shared" si="10"/>
        <v>167.2</v>
      </c>
      <c r="L62" s="60">
        <f t="shared" si="10"/>
        <v>397.2</v>
      </c>
      <c r="M62" s="60">
        <f t="shared" si="10"/>
        <v>421.2</v>
      </c>
      <c r="N62" s="60">
        <f t="shared" si="10"/>
        <v>372.4</v>
      </c>
      <c r="O62" s="60">
        <f t="shared" si="10"/>
        <v>237.3</v>
      </c>
      <c r="P62" s="60">
        <f t="shared" si="10"/>
        <v>117.4</v>
      </c>
      <c r="Q62" s="60">
        <f t="shared" si="10"/>
        <v>77.2</v>
      </c>
      <c r="R62" s="60">
        <f t="shared" si="10"/>
        <v>75.7</v>
      </c>
      <c r="S62" s="60">
        <f t="shared" ref="S62:T62" si="12">SUM(S59:S61)</f>
        <v>60.7</v>
      </c>
      <c r="T62" s="60">
        <f t="shared" si="12"/>
        <v>60.7</v>
      </c>
      <c r="U62" s="60">
        <f t="shared" si="10"/>
        <v>60.7</v>
      </c>
      <c r="V62" s="60">
        <f t="shared" si="10"/>
        <v>60.7</v>
      </c>
      <c r="W62" s="60">
        <f t="shared" si="10"/>
        <v>165.7</v>
      </c>
      <c r="X62" s="60">
        <f t="shared" si="10"/>
        <v>300.8</v>
      </c>
      <c r="Y62" s="60">
        <f>SUM(Y59:Y61)</f>
        <v>351.2</v>
      </c>
      <c r="Z62" s="60">
        <f>SUM(Z59:Z61)</f>
        <v>331.1</v>
      </c>
      <c r="AA62" s="60">
        <f t="shared" si="10"/>
        <v>331.1</v>
      </c>
      <c r="AB62" s="60">
        <f t="shared" ref="AB62:AC62" si="13">SUM(AB59:AB61)</f>
        <v>331.1</v>
      </c>
      <c r="AC62" s="60">
        <f t="shared" si="13"/>
        <v>201.1</v>
      </c>
      <c r="AD62" s="60">
        <f t="shared" ref="AD62:AE62" si="14">SUM(AD59:AD61)</f>
        <v>97.2</v>
      </c>
      <c r="AE62" s="60">
        <f t="shared" si="14"/>
        <v>137.19999999999999</v>
      </c>
      <c r="AF62" s="60">
        <f t="shared" ref="AF62" si="15">SUM(AF59:AF61)</f>
        <v>47.2</v>
      </c>
      <c r="AG62" s="61">
        <f t="shared" si="10"/>
        <v>538.1</v>
      </c>
      <c r="AH62" s="47">
        <f t="shared" si="2"/>
        <v>421.2</v>
      </c>
      <c r="AI62" s="48">
        <f t="shared" si="3"/>
        <v>46.2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29.3</v>
      </c>
      <c r="I63" s="45">
        <v>42.5</v>
      </c>
      <c r="J63" s="45">
        <v>98</v>
      </c>
      <c r="K63" s="45">
        <v>97.4</v>
      </c>
      <c r="L63" s="45">
        <v>139.5</v>
      </c>
      <c r="M63" s="45">
        <v>143.19999999999999</v>
      </c>
      <c r="N63" s="45">
        <v>144.30000000000001</v>
      </c>
      <c r="O63" s="45">
        <v>142.80000000000001</v>
      </c>
      <c r="P63" s="45">
        <v>88.2</v>
      </c>
      <c r="Q63" s="45">
        <v>61.2</v>
      </c>
      <c r="R63" s="45">
        <v>61.2</v>
      </c>
      <c r="S63" s="45">
        <v>61.2</v>
      </c>
      <c r="T63" s="45">
        <v>61.2</v>
      </c>
      <c r="U63" s="45">
        <v>71.5</v>
      </c>
      <c r="V63" s="45">
        <v>61.1</v>
      </c>
      <c r="W63" s="45">
        <v>58.8</v>
      </c>
      <c r="X63" s="45">
        <v>120</v>
      </c>
      <c r="Y63" s="45">
        <v>140.69999999999999</v>
      </c>
      <c r="Z63" s="45">
        <v>140.30000000000001</v>
      </c>
      <c r="AA63" s="45">
        <v>102</v>
      </c>
      <c r="AB63" s="45">
        <v>70.7</v>
      </c>
      <c r="AC63" s="45">
        <v>61</v>
      </c>
      <c r="AD63" s="45">
        <v>30.4</v>
      </c>
      <c r="AE63" s="45">
        <v>0</v>
      </c>
      <c r="AF63" s="45">
        <v>0</v>
      </c>
      <c r="AG63" s="52">
        <v>144</v>
      </c>
      <c r="AH63" s="47">
        <f t="shared" si="2"/>
        <v>144.30000000000001</v>
      </c>
      <c r="AI63" s="48">
        <f t="shared" si="3"/>
        <v>0</v>
      </c>
      <c r="AK63" s="50"/>
    </row>
    <row r="64" spans="1:88" x14ac:dyDescent="0.25">
      <c r="A64" s="54" t="s">
        <v>64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21.9</v>
      </c>
      <c r="H64" s="65">
        <v>45.3</v>
      </c>
      <c r="I64" s="65">
        <v>54</v>
      </c>
      <c r="J64" s="65">
        <v>64.7</v>
      </c>
      <c r="K64" s="65">
        <v>67.900000000000006</v>
      </c>
      <c r="L64" s="65">
        <v>70</v>
      </c>
      <c r="M64" s="65">
        <v>69.5</v>
      </c>
      <c r="N64" s="65">
        <v>67.5</v>
      </c>
      <c r="O64" s="65">
        <v>67.3</v>
      </c>
      <c r="P64" s="65">
        <v>43.3</v>
      </c>
      <c r="Q64" s="65">
        <v>21.7</v>
      </c>
      <c r="R64" s="65">
        <v>21.7</v>
      </c>
      <c r="S64" s="65">
        <v>23</v>
      </c>
      <c r="T64" s="65">
        <v>23</v>
      </c>
      <c r="U64" s="45">
        <v>21.9</v>
      </c>
      <c r="V64" s="45">
        <v>22.4</v>
      </c>
      <c r="W64" s="45">
        <v>22.3</v>
      </c>
      <c r="X64" s="45">
        <v>54.4</v>
      </c>
      <c r="Y64" s="45">
        <v>67.5</v>
      </c>
      <c r="Z64" s="45">
        <v>64.5</v>
      </c>
      <c r="AA64" s="45">
        <v>46.4</v>
      </c>
      <c r="AB64" s="45">
        <v>32.9</v>
      </c>
      <c r="AC64" s="45">
        <v>33.6</v>
      </c>
      <c r="AD64" s="45">
        <v>26.3</v>
      </c>
      <c r="AE64" s="45">
        <v>25.1</v>
      </c>
      <c r="AF64" s="45">
        <v>0</v>
      </c>
      <c r="AG64" s="55">
        <v>70</v>
      </c>
      <c r="AH64" s="47">
        <f t="shared" si="2"/>
        <v>70</v>
      </c>
      <c r="AI64" s="48">
        <f t="shared" si="3"/>
        <v>0</v>
      </c>
      <c r="AK64" s="50"/>
    </row>
    <row r="65" spans="1:75" x14ac:dyDescent="0.25">
      <c r="A65" s="54" t="s">
        <v>65</v>
      </c>
      <c r="B65" s="65">
        <v>0</v>
      </c>
      <c r="C65" s="65">
        <v>0</v>
      </c>
      <c r="D65" s="65">
        <v>0</v>
      </c>
      <c r="E65" s="65">
        <v>0</v>
      </c>
      <c r="F65" s="65">
        <v>0</v>
      </c>
      <c r="G65" s="65">
        <v>37.5</v>
      </c>
      <c r="H65" s="65">
        <v>53.7</v>
      </c>
      <c r="I65" s="65">
        <v>60.3</v>
      </c>
      <c r="J65" s="65">
        <v>60</v>
      </c>
      <c r="K65" s="65">
        <v>60</v>
      </c>
      <c r="L65" s="65">
        <v>68.5</v>
      </c>
      <c r="M65" s="65">
        <v>67.900000000000006</v>
      </c>
      <c r="N65" s="65">
        <v>67.2</v>
      </c>
      <c r="O65" s="65">
        <v>33.5</v>
      </c>
      <c r="P65" s="65">
        <v>20.100000000000001</v>
      </c>
      <c r="Q65" s="65">
        <v>0</v>
      </c>
      <c r="R65" s="65">
        <v>0</v>
      </c>
      <c r="S65" s="65">
        <v>0</v>
      </c>
      <c r="T65" s="65">
        <v>0</v>
      </c>
      <c r="U65" s="45">
        <v>17</v>
      </c>
      <c r="V65" s="45">
        <v>17.2</v>
      </c>
      <c r="W65" s="45">
        <v>49.2</v>
      </c>
      <c r="X65" s="45">
        <v>68</v>
      </c>
      <c r="Y65" s="45">
        <v>67.599999999999994</v>
      </c>
      <c r="Z65" s="45">
        <v>67.400000000000006</v>
      </c>
      <c r="AA65" s="45">
        <v>68</v>
      </c>
      <c r="AB65" s="45">
        <v>67.7</v>
      </c>
      <c r="AC65" s="45">
        <v>67.7</v>
      </c>
      <c r="AD65" s="45">
        <v>66.599999999999994</v>
      </c>
      <c r="AE65" s="45">
        <v>67.599999999999994</v>
      </c>
      <c r="AF65" s="45">
        <v>60</v>
      </c>
      <c r="AG65" s="55">
        <v>69</v>
      </c>
      <c r="AH65" s="47">
        <f t="shared" si="2"/>
        <v>68.5</v>
      </c>
      <c r="AI65" s="48">
        <f t="shared" si="3"/>
        <v>0</v>
      </c>
      <c r="AK65" s="50"/>
    </row>
    <row r="66" spans="1:75" x14ac:dyDescent="0.25">
      <c r="A66" s="54" t="s">
        <v>66</v>
      </c>
      <c r="B66" s="65">
        <v>43</v>
      </c>
      <c r="C66" s="65">
        <v>43</v>
      </c>
      <c r="D66" s="65">
        <v>43</v>
      </c>
      <c r="E66" s="65">
        <v>43</v>
      </c>
      <c r="F66" s="65">
        <v>43</v>
      </c>
      <c r="G66" s="65">
        <v>42.1</v>
      </c>
      <c r="H66" s="65">
        <v>42.1</v>
      </c>
      <c r="I66" s="65">
        <v>42.1</v>
      </c>
      <c r="J66" s="65">
        <v>43.1</v>
      </c>
      <c r="K66" s="65">
        <v>42.1</v>
      </c>
      <c r="L66" s="65">
        <v>42.1</v>
      </c>
      <c r="M66" s="65">
        <v>44.3</v>
      </c>
      <c r="N66" s="65">
        <v>44.3</v>
      </c>
      <c r="O66" s="65">
        <v>46.4</v>
      </c>
      <c r="P66" s="65">
        <v>46.4</v>
      </c>
      <c r="Q66" s="65">
        <v>46.1</v>
      </c>
      <c r="R66" s="65">
        <v>46.1</v>
      </c>
      <c r="S66" s="65">
        <v>46.1</v>
      </c>
      <c r="T66" s="65">
        <v>41</v>
      </c>
      <c r="U66" s="45">
        <v>41.1</v>
      </c>
      <c r="V66" s="45">
        <v>42.3</v>
      </c>
      <c r="W66" s="45">
        <v>42.3</v>
      </c>
      <c r="X66" s="45">
        <v>42.3</v>
      </c>
      <c r="Y66" s="45">
        <v>44.3</v>
      </c>
      <c r="Z66" s="45">
        <v>42.8</v>
      </c>
      <c r="AA66" s="45">
        <v>43</v>
      </c>
      <c r="AB66" s="45">
        <v>43</v>
      </c>
      <c r="AC66" s="45">
        <v>42.8</v>
      </c>
      <c r="AD66" s="45">
        <v>46.6</v>
      </c>
      <c r="AE66" s="45">
        <v>46.4</v>
      </c>
      <c r="AF66" s="45">
        <v>46.4</v>
      </c>
      <c r="AG66" s="55">
        <v>60</v>
      </c>
      <c r="AH66" s="47">
        <f t="shared" si="2"/>
        <v>46.6</v>
      </c>
      <c r="AI66" s="48">
        <f t="shared" si="3"/>
        <v>41</v>
      </c>
      <c r="AK66" s="50"/>
    </row>
    <row r="67" spans="1:75" x14ac:dyDescent="0.25">
      <c r="A67" s="54" t="s">
        <v>67</v>
      </c>
      <c r="B67" s="65">
        <v>0</v>
      </c>
      <c r="C67" s="65">
        <v>0</v>
      </c>
      <c r="D67" s="65">
        <v>0</v>
      </c>
      <c r="E67" s="65">
        <v>0</v>
      </c>
      <c r="F67" s="65">
        <v>0</v>
      </c>
      <c r="G67" s="65">
        <v>0</v>
      </c>
      <c r="H67" s="65">
        <v>10</v>
      </c>
      <c r="I67" s="65">
        <v>15</v>
      </c>
      <c r="J67" s="65">
        <v>15</v>
      </c>
      <c r="K67" s="65">
        <v>29</v>
      </c>
      <c r="L67" s="65">
        <v>29</v>
      </c>
      <c r="M67" s="65">
        <v>15</v>
      </c>
      <c r="N67" s="65">
        <v>15</v>
      </c>
      <c r="O67" s="65">
        <v>10</v>
      </c>
      <c r="P67" s="65">
        <v>10</v>
      </c>
      <c r="Q67" s="65">
        <v>10</v>
      </c>
      <c r="R67" s="65">
        <v>0</v>
      </c>
      <c r="S67" s="65">
        <v>0</v>
      </c>
      <c r="T67" s="65">
        <v>0</v>
      </c>
      <c r="U67" s="45">
        <v>0</v>
      </c>
      <c r="V67" s="45">
        <v>10</v>
      </c>
      <c r="W67" s="45">
        <v>10</v>
      </c>
      <c r="X67" s="45">
        <v>15</v>
      </c>
      <c r="Y67" s="45">
        <v>28</v>
      </c>
      <c r="Z67" s="45">
        <v>28</v>
      </c>
      <c r="AA67" s="45">
        <v>28</v>
      </c>
      <c r="AB67" s="45">
        <v>23</v>
      </c>
      <c r="AC67" s="45">
        <v>23</v>
      </c>
      <c r="AD67" s="45">
        <v>15</v>
      </c>
      <c r="AE67" s="45">
        <v>15</v>
      </c>
      <c r="AF67" s="45">
        <v>10</v>
      </c>
      <c r="AG67" s="55">
        <v>30</v>
      </c>
      <c r="AH67" s="47">
        <f t="shared" si="2"/>
        <v>29</v>
      </c>
      <c r="AI67" s="48">
        <f t="shared" si="3"/>
        <v>0</v>
      </c>
      <c r="AK67" s="50"/>
      <c r="AZ67" s="251">
        <v>1</v>
      </c>
      <c r="BA67" s="251">
        <v>2</v>
      </c>
      <c r="BB67" s="251">
        <v>3</v>
      </c>
      <c r="BC67" s="251">
        <v>4</v>
      </c>
      <c r="BD67" s="251">
        <v>5</v>
      </c>
      <c r="BE67" s="251">
        <v>6</v>
      </c>
      <c r="BF67" s="251">
        <v>7</v>
      </c>
      <c r="BG67" s="251">
        <v>8</v>
      </c>
      <c r="BH67" s="251">
        <v>9</v>
      </c>
      <c r="BI67" s="251">
        <v>10</v>
      </c>
      <c r="BJ67" s="251">
        <v>11</v>
      </c>
      <c r="BK67" s="251">
        <v>12</v>
      </c>
      <c r="BL67" s="251">
        <v>13</v>
      </c>
      <c r="BM67" s="251">
        <v>14</v>
      </c>
      <c r="BN67" s="251">
        <v>15</v>
      </c>
      <c r="BO67" s="251">
        <v>16</v>
      </c>
      <c r="BP67" s="251">
        <v>17</v>
      </c>
      <c r="BQ67" s="251">
        <v>18</v>
      </c>
      <c r="BR67" s="251">
        <v>19</v>
      </c>
      <c r="BS67" s="251">
        <v>20</v>
      </c>
      <c r="BT67" s="251">
        <v>21</v>
      </c>
      <c r="BU67" s="251">
        <v>22</v>
      </c>
      <c r="BV67" s="251">
        <v>23</v>
      </c>
      <c r="BW67" s="251">
        <v>24</v>
      </c>
    </row>
    <row r="68" spans="1:75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0.5</v>
      </c>
      <c r="M68" s="65">
        <v>2.1</v>
      </c>
      <c r="N68" s="65">
        <v>4.0999999999999996</v>
      </c>
      <c r="O68" s="65">
        <v>12</v>
      </c>
      <c r="P68" s="65">
        <v>14.7</v>
      </c>
      <c r="Q68" s="65">
        <v>15.9</v>
      </c>
      <c r="R68" s="65">
        <v>14.2</v>
      </c>
      <c r="S68" s="65">
        <v>12</v>
      </c>
      <c r="T68" s="65">
        <v>8</v>
      </c>
      <c r="U68" s="45">
        <v>2.7</v>
      </c>
      <c r="V68" s="45">
        <v>0.8</v>
      </c>
      <c r="W68" s="45">
        <v>0</v>
      </c>
      <c r="X68" s="45">
        <v>0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55">
        <v>25</v>
      </c>
      <c r="AH68" s="47">
        <f t="shared" si="2"/>
        <v>15.9</v>
      </c>
      <c r="AI68" s="48">
        <f t="shared" si="3"/>
        <v>0</v>
      </c>
      <c r="AK68" s="50"/>
      <c r="AY68" s="1" t="s">
        <v>381</v>
      </c>
      <c r="AZ68" s="252">
        <f>ROUND(C81,0)</f>
        <v>51</v>
      </c>
      <c r="BA68" s="251">
        <f t="shared" ref="BA68:BD72" si="16">D81</f>
        <v>68.900000000000006</v>
      </c>
      <c r="BB68" s="251">
        <f t="shared" si="16"/>
        <v>60</v>
      </c>
      <c r="BC68" s="251">
        <f t="shared" si="16"/>
        <v>66.3</v>
      </c>
      <c r="BD68" s="251">
        <f t="shared" si="16"/>
        <v>61.4</v>
      </c>
      <c r="BE68" s="252">
        <f>I81</f>
        <v>75</v>
      </c>
      <c r="BF68" s="252">
        <f>K81</f>
        <v>68</v>
      </c>
      <c r="BG68" s="252">
        <f t="shared" ref="BG68:BP68" si="17">M81</f>
        <v>63.1</v>
      </c>
      <c r="BH68" s="252">
        <f t="shared" si="17"/>
        <v>55.7</v>
      </c>
      <c r="BI68" s="252">
        <f t="shared" si="17"/>
        <v>49.4</v>
      </c>
      <c r="BJ68" s="252">
        <f t="shared" si="17"/>
        <v>47</v>
      </c>
      <c r="BK68" s="252">
        <f t="shared" si="17"/>
        <v>58</v>
      </c>
      <c r="BL68" s="252">
        <f t="shared" si="17"/>
        <v>67</v>
      </c>
      <c r="BM68" s="252">
        <f t="shared" si="17"/>
        <v>60</v>
      </c>
      <c r="BN68" s="252">
        <f t="shared" si="17"/>
        <v>63</v>
      </c>
      <c r="BO68" s="252">
        <f t="shared" si="17"/>
        <v>74.599999999999994</v>
      </c>
      <c r="BP68" s="252">
        <f t="shared" si="17"/>
        <v>56</v>
      </c>
      <c r="BQ68" s="252">
        <f>X81</f>
        <v>67</v>
      </c>
      <c r="BR68" s="252">
        <f>Z81</f>
        <v>74</v>
      </c>
      <c r="BS68" s="251">
        <f>AB81</f>
        <v>68</v>
      </c>
      <c r="BT68" s="251">
        <f>AD81</f>
        <v>67.5</v>
      </c>
      <c r="BU68" s="251">
        <f>AE81</f>
        <v>63.1</v>
      </c>
      <c r="BV68" s="251">
        <f>AF81</f>
        <v>68.900000000000006</v>
      </c>
      <c r="BW68" s="251">
        <f>B81</f>
        <v>67</v>
      </c>
    </row>
    <row r="69" spans="1:75" x14ac:dyDescent="0.25">
      <c r="A69" s="54" t="s">
        <v>69</v>
      </c>
      <c r="B69" s="65">
        <v>15</v>
      </c>
      <c r="C69" s="65">
        <v>15</v>
      </c>
      <c r="D69" s="65">
        <v>15</v>
      </c>
      <c r="E69" s="65">
        <v>15</v>
      </c>
      <c r="F69" s="65">
        <v>15</v>
      </c>
      <c r="G69" s="65">
        <v>15</v>
      </c>
      <c r="H69" s="65">
        <v>15</v>
      </c>
      <c r="I69" s="65">
        <v>15</v>
      </c>
      <c r="J69" s="65">
        <v>15</v>
      </c>
      <c r="K69" s="65">
        <v>15</v>
      </c>
      <c r="L69" s="65">
        <v>15</v>
      </c>
      <c r="M69" s="65">
        <v>15</v>
      </c>
      <c r="N69" s="65">
        <v>15</v>
      </c>
      <c r="O69" s="65">
        <v>15</v>
      </c>
      <c r="P69" s="65">
        <v>15</v>
      </c>
      <c r="Q69" s="65">
        <v>15</v>
      </c>
      <c r="R69" s="65">
        <v>15</v>
      </c>
      <c r="S69" s="65">
        <v>15</v>
      </c>
      <c r="T69" s="65">
        <v>15</v>
      </c>
      <c r="U69" s="65">
        <v>15</v>
      </c>
      <c r="V69" s="65">
        <v>15</v>
      </c>
      <c r="W69" s="65">
        <v>15</v>
      </c>
      <c r="X69" s="65">
        <v>15</v>
      </c>
      <c r="Y69" s="65">
        <v>15</v>
      </c>
      <c r="Z69" s="65">
        <v>15</v>
      </c>
      <c r="AA69" s="65">
        <v>15</v>
      </c>
      <c r="AB69" s="65">
        <v>15</v>
      </c>
      <c r="AC69" s="65">
        <v>15</v>
      </c>
      <c r="AD69" s="65">
        <v>15</v>
      </c>
      <c r="AE69" s="65">
        <v>15</v>
      </c>
      <c r="AF69" s="65">
        <v>15</v>
      </c>
      <c r="AG69" s="55">
        <v>24</v>
      </c>
      <c r="AH69" s="47">
        <f t="shared" si="2"/>
        <v>15</v>
      </c>
      <c r="AI69" s="48">
        <f t="shared" si="3"/>
        <v>15</v>
      </c>
      <c r="AK69" s="50"/>
      <c r="AY69" s="1" t="s">
        <v>631</v>
      </c>
      <c r="AZ69" s="252">
        <f>ROUND(C82,0)</f>
        <v>0</v>
      </c>
      <c r="BA69" s="251">
        <f t="shared" si="16"/>
        <v>0</v>
      </c>
      <c r="BB69" s="251">
        <f t="shared" si="16"/>
        <v>0</v>
      </c>
      <c r="BC69" s="251">
        <f t="shared" si="16"/>
        <v>0</v>
      </c>
      <c r="BD69" s="251">
        <f t="shared" si="16"/>
        <v>0</v>
      </c>
      <c r="BE69" s="252">
        <f t="shared" ref="BE69:BE72" si="18">I82</f>
        <v>0</v>
      </c>
      <c r="BF69" s="252">
        <f t="shared" ref="BF69:BF72" si="19">K82</f>
        <v>0</v>
      </c>
      <c r="BG69" s="252">
        <f t="shared" ref="BG69:BG72" si="20">M82</f>
        <v>0</v>
      </c>
      <c r="BH69" s="252">
        <f t="shared" ref="BH69:BP72" si="21">N82</f>
        <v>0</v>
      </c>
      <c r="BI69" s="252">
        <f t="shared" si="21"/>
        <v>0</v>
      </c>
      <c r="BJ69" s="252">
        <f t="shared" si="21"/>
        <v>0</v>
      </c>
      <c r="BK69" s="252">
        <f t="shared" si="21"/>
        <v>0</v>
      </c>
      <c r="BL69" s="252">
        <f t="shared" si="21"/>
        <v>0</v>
      </c>
      <c r="BM69" s="252">
        <f t="shared" si="21"/>
        <v>0</v>
      </c>
      <c r="BN69" s="252">
        <f t="shared" si="21"/>
        <v>0</v>
      </c>
      <c r="BO69" s="252">
        <f t="shared" si="21"/>
        <v>0</v>
      </c>
      <c r="BP69" s="252">
        <f t="shared" si="21"/>
        <v>0</v>
      </c>
      <c r="BQ69" s="252">
        <f t="shared" ref="BQ69:BQ72" si="22">X82</f>
        <v>0</v>
      </c>
      <c r="BR69" s="252">
        <f t="shared" ref="BR69:BR72" si="23">Z82</f>
        <v>0</v>
      </c>
      <c r="BS69" s="251">
        <f t="shared" ref="BS69:BS72" si="24">AB82</f>
        <v>0</v>
      </c>
      <c r="BT69" s="251">
        <f t="shared" ref="BT69:BT72" si="25">AD82</f>
        <v>0</v>
      </c>
      <c r="BU69" s="251">
        <f t="shared" ref="BU69:BV72" si="26">AE82</f>
        <v>0</v>
      </c>
      <c r="BV69" s="251">
        <f t="shared" si="26"/>
        <v>0</v>
      </c>
      <c r="BW69" s="251">
        <f t="shared" ref="BW69:BW72" si="27">B82</f>
        <v>0</v>
      </c>
    </row>
    <row r="70" spans="1:75" x14ac:dyDescent="0.25">
      <c r="A70" s="54" t="s">
        <v>70</v>
      </c>
      <c r="B70" s="65">
        <v>4.4000000000000004</v>
      </c>
      <c r="C70" s="65">
        <v>4.4000000000000004</v>
      </c>
      <c r="D70" s="65">
        <v>4.4000000000000004</v>
      </c>
      <c r="E70" s="65">
        <v>4.4000000000000004</v>
      </c>
      <c r="F70" s="65">
        <v>4.4000000000000004</v>
      </c>
      <c r="G70" s="65">
        <v>4.4000000000000004</v>
      </c>
      <c r="H70" s="65">
        <v>4.4000000000000004</v>
      </c>
      <c r="I70" s="65">
        <v>4.4000000000000004</v>
      </c>
      <c r="J70" s="65">
        <v>4.4000000000000004</v>
      </c>
      <c r="K70" s="65">
        <v>4.4000000000000004</v>
      </c>
      <c r="L70" s="65">
        <v>4.4000000000000004</v>
      </c>
      <c r="M70" s="65">
        <v>4.4000000000000004</v>
      </c>
      <c r="N70" s="65">
        <v>4.4000000000000004</v>
      </c>
      <c r="O70" s="65">
        <v>4.4000000000000004</v>
      </c>
      <c r="P70" s="65">
        <v>4.4000000000000004</v>
      </c>
      <c r="Q70" s="65">
        <v>4.4000000000000004</v>
      </c>
      <c r="R70" s="65">
        <v>4.4000000000000004</v>
      </c>
      <c r="S70" s="65">
        <v>4.4000000000000004</v>
      </c>
      <c r="T70" s="65">
        <v>4.4000000000000004</v>
      </c>
      <c r="U70" s="65">
        <v>4.4000000000000004</v>
      </c>
      <c r="V70" s="65">
        <v>4.4000000000000004</v>
      </c>
      <c r="W70" s="65">
        <v>4.4000000000000004</v>
      </c>
      <c r="X70" s="65">
        <v>4.4000000000000004</v>
      </c>
      <c r="Y70" s="65">
        <v>4.4000000000000004</v>
      </c>
      <c r="Z70" s="65">
        <v>4.4000000000000004</v>
      </c>
      <c r="AA70" s="65">
        <v>4.4000000000000004</v>
      </c>
      <c r="AB70" s="65">
        <v>4.4000000000000004</v>
      </c>
      <c r="AC70" s="65">
        <v>4.4000000000000004</v>
      </c>
      <c r="AD70" s="65">
        <v>4.4000000000000004</v>
      </c>
      <c r="AE70" s="65">
        <v>4.4000000000000004</v>
      </c>
      <c r="AF70" s="65">
        <v>4.4000000000000004</v>
      </c>
      <c r="AG70" s="55">
        <v>15</v>
      </c>
      <c r="AH70" s="47">
        <f t="shared" si="2"/>
        <v>4.4000000000000004</v>
      </c>
      <c r="AI70" s="48">
        <f t="shared" si="3"/>
        <v>4.4000000000000004</v>
      </c>
      <c r="AK70" s="50"/>
      <c r="AL70" s="70"/>
      <c r="AO70" s="70"/>
      <c r="AY70" s="1" t="s">
        <v>632</v>
      </c>
      <c r="AZ70" s="252">
        <f>ROUND(C83,0)</f>
        <v>396</v>
      </c>
      <c r="BA70" s="251">
        <f t="shared" si="16"/>
        <v>372</v>
      </c>
      <c r="BB70" s="251">
        <f t="shared" si="16"/>
        <v>400</v>
      </c>
      <c r="BC70" s="251">
        <f t="shared" si="16"/>
        <v>382</v>
      </c>
      <c r="BD70" s="251">
        <f t="shared" si="16"/>
        <v>406</v>
      </c>
      <c r="BE70" s="252">
        <f t="shared" si="18"/>
        <v>410</v>
      </c>
      <c r="BF70" s="252">
        <f t="shared" si="19"/>
        <v>361</v>
      </c>
      <c r="BG70" s="252">
        <f t="shared" si="20"/>
        <v>30.9</v>
      </c>
      <c r="BH70" s="252">
        <f t="shared" si="21"/>
        <v>88</v>
      </c>
      <c r="BI70" s="252">
        <f t="shared" si="21"/>
        <v>150.6</v>
      </c>
      <c r="BJ70" s="252">
        <f t="shared" si="21"/>
        <v>301.60000000000002</v>
      </c>
      <c r="BK70" s="252">
        <f t="shared" si="21"/>
        <v>414.5</v>
      </c>
      <c r="BL70" s="252">
        <f t="shared" si="21"/>
        <v>441.6</v>
      </c>
      <c r="BM70" s="252">
        <f t="shared" si="21"/>
        <v>443</v>
      </c>
      <c r="BN70" s="252">
        <f t="shared" si="21"/>
        <v>472</v>
      </c>
      <c r="BO70" s="252">
        <f t="shared" si="21"/>
        <v>467</v>
      </c>
      <c r="BP70" s="252">
        <f t="shared" si="21"/>
        <v>372.6</v>
      </c>
      <c r="BQ70" s="252">
        <f t="shared" si="22"/>
        <v>237.7</v>
      </c>
      <c r="BR70" s="252">
        <f t="shared" si="23"/>
        <v>216.7</v>
      </c>
      <c r="BS70" s="251">
        <f t="shared" si="24"/>
        <v>267.3</v>
      </c>
      <c r="BT70" s="251">
        <f t="shared" si="25"/>
        <v>385</v>
      </c>
      <c r="BU70" s="251">
        <f t="shared" si="26"/>
        <v>387</v>
      </c>
      <c r="BV70" s="251">
        <f t="shared" si="26"/>
        <v>405.9</v>
      </c>
      <c r="BW70" s="251">
        <f t="shared" si="27"/>
        <v>409</v>
      </c>
    </row>
    <row r="71" spans="1:75" s="70" customFormat="1" x14ac:dyDescent="0.25">
      <c r="A71" s="54" t="s">
        <v>71</v>
      </c>
      <c r="B71" s="65">
        <v>10.9</v>
      </c>
      <c r="C71" s="65">
        <v>10.9</v>
      </c>
      <c r="D71" s="65">
        <v>10.9</v>
      </c>
      <c r="E71" s="65">
        <v>10.9</v>
      </c>
      <c r="F71" s="65">
        <v>10.9</v>
      </c>
      <c r="G71" s="65">
        <v>10.9</v>
      </c>
      <c r="H71" s="65">
        <v>10.9</v>
      </c>
      <c r="I71" s="65">
        <v>10.9</v>
      </c>
      <c r="J71" s="65">
        <v>10.9</v>
      </c>
      <c r="K71" s="65">
        <v>10.9</v>
      </c>
      <c r="L71" s="65">
        <v>10.9</v>
      </c>
      <c r="M71" s="65">
        <v>10.9</v>
      </c>
      <c r="N71" s="65">
        <v>10.9</v>
      </c>
      <c r="O71" s="65">
        <v>10.9</v>
      </c>
      <c r="P71" s="65">
        <v>10.9</v>
      </c>
      <c r="Q71" s="65">
        <v>10.9</v>
      </c>
      <c r="R71" s="65">
        <v>10.9</v>
      </c>
      <c r="S71" s="65">
        <v>10.9</v>
      </c>
      <c r="T71" s="65">
        <v>10.9</v>
      </c>
      <c r="U71" s="65">
        <v>10.9</v>
      </c>
      <c r="V71" s="65">
        <v>10.9</v>
      </c>
      <c r="W71" s="65">
        <v>10.9</v>
      </c>
      <c r="X71" s="65">
        <v>10.9</v>
      </c>
      <c r="Y71" s="65">
        <v>10.9</v>
      </c>
      <c r="Z71" s="65">
        <v>10.9</v>
      </c>
      <c r="AA71" s="65">
        <v>10.9</v>
      </c>
      <c r="AB71" s="65">
        <v>10.9</v>
      </c>
      <c r="AC71" s="65">
        <v>10.7</v>
      </c>
      <c r="AD71" s="65">
        <v>11.4</v>
      </c>
      <c r="AE71" s="65">
        <v>11.7</v>
      </c>
      <c r="AF71" s="65">
        <v>12</v>
      </c>
      <c r="AG71" s="55">
        <v>14.1</v>
      </c>
      <c r="AH71" s="47">
        <f t="shared" si="2"/>
        <v>12</v>
      </c>
      <c r="AI71" s="48">
        <f t="shared" si="3"/>
        <v>10.7</v>
      </c>
      <c r="AJ71" s="1"/>
      <c r="AK71" s="50"/>
      <c r="AL71" s="1"/>
      <c r="AM71" s="1"/>
      <c r="AN71" s="1"/>
      <c r="AO71" s="1"/>
      <c r="AY71" s="70" t="s">
        <v>633</v>
      </c>
      <c r="AZ71" s="252">
        <f>ROUND(C84,0)</f>
        <v>41</v>
      </c>
      <c r="BA71" s="251">
        <f t="shared" si="16"/>
        <v>38</v>
      </c>
      <c r="BB71" s="251">
        <f t="shared" si="16"/>
        <v>52</v>
      </c>
      <c r="BC71" s="251">
        <f t="shared" si="16"/>
        <v>53</v>
      </c>
      <c r="BD71" s="251">
        <f t="shared" si="16"/>
        <v>52</v>
      </c>
      <c r="BE71" s="252">
        <f t="shared" si="18"/>
        <v>58</v>
      </c>
      <c r="BF71" s="252">
        <f t="shared" si="19"/>
        <v>46</v>
      </c>
      <c r="BG71" s="252">
        <f t="shared" si="20"/>
        <v>25</v>
      </c>
      <c r="BH71" s="252">
        <f t="shared" si="21"/>
        <v>43.9</v>
      </c>
      <c r="BI71" s="252">
        <f t="shared" si="21"/>
        <v>41.7</v>
      </c>
      <c r="BJ71" s="252">
        <f t="shared" si="21"/>
        <v>48.2</v>
      </c>
      <c r="BK71" s="252">
        <f t="shared" si="21"/>
        <v>48</v>
      </c>
      <c r="BL71" s="252">
        <f t="shared" si="21"/>
        <v>49</v>
      </c>
      <c r="BM71" s="252">
        <f t="shared" si="21"/>
        <v>41</v>
      </c>
      <c r="BN71" s="252">
        <f t="shared" si="21"/>
        <v>45</v>
      </c>
      <c r="BO71" s="252">
        <f t="shared" si="21"/>
        <v>45</v>
      </c>
      <c r="BP71" s="252">
        <f t="shared" si="21"/>
        <v>42</v>
      </c>
      <c r="BQ71" s="252">
        <f t="shared" si="22"/>
        <v>10</v>
      </c>
      <c r="BR71" s="252">
        <f t="shared" si="23"/>
        <v>0</v>
      </c>
      <c r="BS71" s="251">
        <f t="shared" si="24"/>
        <v>0</v>
      </c>
      <c r="BT71" s="251">
        <f t="shared" si="25"/>
        <v>0</v>
      </c>
      <c r="BU71" s="251">
        <f t="shared" si="26"/>
        <v>0</v>
      </c>
      <c r="BV71" s="251">
        <f t="shared" si="26"/>
        <v>0</v>
      </c>
      <c r="BW71" s="251">
        <f t="shared" si="27"/>
        <v>42</v>
      </c>
    </row>
    <row r="72" spans="1:75" x14ac:dyDescent="0.25">
      <c r="A72" s="71" t="s">
        <v>72</v>
      </c>
      <c r="B72" s="65">
        <v>4.9000000000000004</v>
      </c>
      <c r="C72" s="65">
        <v>4.9000000000000004</v>
      </c>
      <c r="D72" s="65">
        <v>4.9000000000000004</v>
      </c>
      <c r="E72" s="65">
        <v>4.9000000000000004</v>
      </c>
      <c r="F72" s="65">
        <v>4.9000000000000004</v>
      </c>
      <c r="G72" s="65">
        <v>4.9000000000000004</v>
      </c>
      <c r="H72" s="65">
        <v>4.9000000000000004</v>
      </c>
      <c r="I72" s="65">
        <v>4.9000000000000004</v>
      </c>
      <c r="J72" s="65">
        <v>4.9000000000000004</v>
      </c>
      <c r="K72" s="65">
        <v>4.9000000000000004</v>
      </c>
      <c r="L72" s="65">
        <v>4.9000000000000004</v>
      </c>
      <c r="M72" s="65">
        <v>4.9000000000000004</v>
      </c>
      <c r="N72" s="65">
        <v>4.9000000000000004</v>
      </c>
      <c r="O72" s="65">
        <v>4.9000000000000004</v>
      </c>
      <c r="P72" s="65">
        <v>4.9000000000000004</v>
      </c>
      <c r="Q72" s="65">
        <v>4.9000000000000004</v>
      </c>
      <c r="R72" s="65">
        <v>4.9000000000000004</v>
      </c>
      <c r="S72" s="65">
        <v>4.9000000000000004</v>
      </c>
      <c r="T72" s="65">
        <v>4.9000000000000004</v>
      </c>
      <c r="U72" s="65">
        <v>4.9000000000000004</v>
      </c>
      <c r="V72" s="65">
        <v>4.9000000000000004</v>
      </c>
      <c r="W72" s="65">
        <v>4.9000000000000004</v>
      </c>
      <c r="X72" s="65">
        <v>4.9000000000000004</v>
      </c>
      <c r="Y72" s="65">
        <v>4.9000000000000004</v>
      </c>
      <c r="Z72" s="65">
        <v>4.9000000000000004</v>
      </c>
      <c r="AA72" s="65">
        <v>4.9000000000000004</v>
      </c>
      <c r="AB72" s="65">
        <v>4.9000000000000004</v>
      </c>
      <c r="AC72" s="65">
        <v>3.5</v>
      </c>
      <c r="AD72" s="65">
        <v>5.5</v>
      </c>
      <c r="AE72" s="65">
        <v>5.3</v>
      </c>
      <c r="AF72" s="65">
        <v>4.9000000000000004</v>
      </c>
      <c r="AG72" s="55">
        <v>14</v>
      </c>
      <c r="AH72" s="47">
        <f t="shared" si="2"/>
        <v>5.5</v>
      </c>
      <c r="AI72" s="48">
        <f t="shared" si="3"/>
        <v>3.5</v>
      </c>
      <c r="AK72" s="50"/>
      <c r="AY72" s="1" t="s">
        <v>634</v>
      </c>
      <c r="AZ72" s="252">
        <f>ROUND(C85,0)</f>
        <v>0</v>
      </c>
      <c r="BA72" s="251">
        <f t="shared" si="16"/>
        <v>0</v>
      </c>
      <c r="BB72" s="251">
        <f t="shared" si="16"/>
        <v>0</v>
      </c>
      <c r="BC72" s="251">
        <f t="shared" si="16"/>
        <v>0</v>
      </c>
      <c r="BD72" s="251">
        <f t="shared" si="16"/>
        <v>0</v>
      </c>
      <c r="BE72" s="252">
        <f t="shared" si="18"/>
        <v>0</v>
      </c>
      <c r="BF72" s="252">
        <f t="shared" si="19"/>
        <v>0</v>
      </c>
      <c r="BG72" s="252">
        <f t="shared" si="20"/>
        <v>12</v>
      </c>
      <c r="BH72" s="252">
        <f t="shared" si="21"/>
        <v>0</v>
      </c>
      <c r="BI72" s="252">
        <f t="shared" si="21"/>
        <v>0</v>
      </c>
      <c r="BJ72" s="252">
        <f t="shared" si="21"/>
        <v>45</v>
      </c>
      <c r="BK72" s="252">
        <f t="shared" si="21"/>
        <v>110</v>
      </c>
      <c r="BL72" s="252">
        <f t="shared" si="21"/>
        <v>120</v>
      </c>
      <c r="BM72" s="252">
        <f t="shared" si="21"/>
        <v>110</v>
      </c>
      <c r="BN72" s="252">
        <f t="shared" si="21"/>
        <v>120</v>
      </c>
      <c r="BO72" s="252">
        <f t="shared" si="21"/>
        <v>100</v>
      </c>
      <c r="BP72" s="252">
        <f t="shared" si="21"/>
        <v>62</v>
      </c>
      <c r="BQ72" s="252">
        <f t="shared" si="22"/>
        <v>40</v>
      </c>
      <c r="BR72" s="252">
        <f t="shared" si="23"/>
        <v>44</v>
      </c>
      <c r="BS72" s="251">
        <f t="shared" si="24"/>
        <v>40.799999999999997</v>
      </c>
      <c r="BT72" s="251">
        <f t="shared" si="25"/>
        <v>48</v>
      </c>
      <c r="BU72" s="251">
        <f t="shared" si="26"/>
        <v>120</v>
      </c>
      <c r="BV72" s="251">
        <f t="shared" si="26"/>
        <v>125</v>
      </c>
      <c r="BW72" s="251">
        <f t="shared" si="27"/>
        <v>0</v>
      </c>
    </row>
    <row r="73" spans="1:75" x14ac:dyDescent="0.25">
      <c r="A73" s="54" t="s">
        <v>73</v>
      </c>
      <c r="B73" s="65">
        <v>4.5</v>
      </c>
      <c r="C73" s="65">
        <v>4.5</v>
      </c>
      <c r="D73" s="65">
        <v>4.5</v>
      </c>
      <c r="E73" s="65">
        <v>4.5</v>
      </c>
      <c r="F73" s="65">
        <v>4.5</v>
      </c>
      <c r="G73" s="65">
        <v>4.5</v>
      </c>
      <c r="H73" s="65">
        <v>4.5</v>
      </c>
      <c r="I73" s="65">
        <v>4.5</v>
      </c>
      <c r="J73" s="65">
        <v>4.5</v>
      </c>
      <c r="K73" s="65">
        <v>4.5</v>
      </c>
      <c r="L73" s="65">
        <v>4.5</v>
      </c>
      <c r="M73" s="65">
        <v>4.5</v>
      </c>
      <c r="N73" s="65">
        <v>4.5</v>
      </c>
      <c r="O73" s="65">
        <v>4.5</v>
      </c>
      <c r="P73" s="65">
        <v>4.5</v>
      </c>
      <c r="Q73" s="65">
        <v>4.5</v>
      </c>
      <c r="R73" s="65">
        <v>4.5</v>
      </c>
      <c r="S73" s="65">
        <v>4.5</v>
      </c>
      <c r="T73" s="65">
        <v>4.5</v>
      </c>
      <c r="U73" s="65">
        <v>4.5</v>
      </c>
      <c r="V73" s="65">
        <v>4.5</v>
      </c>
      <c r="W73" s="65">
        <v>4.5</v>
      </c>
      <c r="X73" s="65">
        <v>4.5</v>
      </c>
      <c r="Y73" s="65">
        <v>4.5</v>
      </c>
      <c r="Z73" s="65">
        <v>4.5</v>
      </c>
      <c r="AA73" s="65">
        <v>4.5</v>
      </c>
      <c r="AB73" s="65">
        <v>4.5</v>
      </c>
      <c r="AC73" s="65">
        <v>4.5</v>
      </c>
      <c r="AD73" s="65">
        <v>4.5</v>
      </c>
      <c r="AE73" s="65">
        <v>4.5</v>
      </c>
      <c r="AF73" s="65">
        <v>4.5</v>
      </c>
      <c r="AG73" s="55">
        <v>10.050000000000001</v>
      </c>
      <c r="AH73" s="47">
        <f t="shared" si="2"/>
        <v>4.5</v>
      </c>
      <c r="AI73" s="48">
        <f t="shared" si="3"/>
        <v>4.5</v>
      </c>
      <c r="AK73" s="50"/>
      <c r="AY73" s="1" t="s">
        <v>635</v>
      </c>
      <c r="AZ73" s="252">
        <f>ROUND(C91,0)</f>
        <v>0</v>
      </c>
      <c r="BA73" s="252">
        <f>D91</f>
        <v>0</v>
      </c>
      <c r="BB73" s="252">
        <f>E91</f>
        <v>0</v>
      </c>
      <c r="BC73" s="252">
        <f>F91</f>
        <v>0</v>
      </c>
      <c r="BD73" s="252">
        <f>G91</f>
        <v>0</v>
      </c>
      <c r="BE73" s="252">
        <f>I91</f>
        <v>0</v>
      </c>
      <c r="BF73" s="252">
        <f>K91</f>
        <v>0</v>
      </c>
      <c r="BG73" s="252">
        <f t="shared" ref="BG73:BP73" si="28">M91</f>
        <v>0</v>
      </c>
      <c r="BH73" s="252">
        <f t="shared" si="28"/>
        <v>0</v>
      </c>
      <c r="BI73" s="252">
        <f t="shared" si="28"/>
        <v>0</v>
      </c>
      <c r="BJ73" s="252">
        <f t="shared" si="28"/>
        <v>0</v>
      </c>
      <c r="BK73" s="252">
        <f t="shared" si="28"/>
        <v>0</v>
      </c>
      <c r="BL73" s="252">
        <f t="shared" si="28"/>
        <v>0</v>
      </c>
      <c r="BM73" s="252">
        <f t="shared" si="28"/>
        <v>0</v>
      </c>
      <c r="BN73" s="252">
        <f t="shared" si="28"/>
        <v>0</v>
      </c>
      <c r="BO73" s="252">
        <f t="shared" si="28"/>
        <v>0</v>
      </c>
      <c r="BP73" s="252">
        <f t="shared" si="28"/>
        <v>0</v>
      </c>
      <c r="BQ73" s="252">
        <f>X91</f>
        <v>0</v>
      </c>
      <c r="BR73" s="252">
        <f>Z91</f>
        <v>0</v>
      </c>
      <c r="BS73" s="252">
        <f>AB91</f>
        <v>0</v>
      </c>
      <c r="BT73" s="252">
        <f>AD91</f>
        <v>0</v>
      </c>
      <c r="BU73" s="252">
        <f>AE91</f>
        <v>0</v>
      </c>
      <c r="BV73" s="252">
        <f>AF91</f>
        <v>0</v>
      </c>
      <c r="BW73" s="252">
        <f>B91</f>
        <v>0</v>
      </c>
    </row>
    <row r="74" spans="1:75" x14ac:dyDescent="0.25">
      <c r="A74" s="54" t="s">
        <v>74</v>
      </c>
      <c r="B74" s="65">
        <v>2</v>
      </c>
      <c r="C74" s="65">
        <v>2</v>
      </c>
      <c r="D74" s="65">
        <v>2</v>
      </c>
      <c r="E74" s="65">
        <v>2</v>
      </c>
      <c r="F74" s="65">
        <v>2</v>
      </c>
      <c r="G74" s="65">
        <v>2</v>
      </c>
      <c r="H74" s="65">
        <v>2</v>
      </c>
      <c r="I74" s="65">
        <v>2</v>
      </c>
      <c r="J74" s="65">
        <v>2</v>
      </c>
      <c r="K74" s="65">
        <v>2</v>
      </c>
      <c r="L74" s="65">
        <v>2</v>
      </c>
      <c r="M74" s="65">
        <v>2</v>
      </c>
      <c r="N74" s="65">
        <v>2</v>
      </c>
      <c r="O74" s="65">
        <v>2</v>
      </c>
      <c r="P74" s="65">
        <v>2</v>
      </c>
      <c r="Q74" s="65">
        <v>2</v>
      </c>
      <c r="R74" s="65">
        <v>2</v>
      </c>
      <c r="S74" s="65">
        <v>2</v>
      </c>
      <c r="T74" s="65">
        <v>2</v>
      </c>
      <c r="U74" s="65">
        <v>2</v>
      </c>
      <c r="V74" s="65">
        <v>2</v>
      </c>
      <c r="W74" s="65">
        <v>2</v>
      </c>
      <c r="X74" s="65">
        <v>2</v>
      </c>
      <c r="Y74" s="65">
        <v>2</v>
      </c>
      <c r="Z74" s="65">
        <v>2</v>
      </c>
      <c r="AA74" s="65">
        <v>2</v>
      </c>
      <c r="AB74" s="65">
        <v>2</v>
      </c>
      <c r="AC74" s="65">
        <v>2</v>
      </c>
      <c r="AD74" s="65">
        <v>2</v>
      </c>
      <c r="AE74" s="65">
        <v>2</v>
      </c>
      <c r="AF74" s="65">
        <v>2</v>
      </c>
      <c r="AG74" s="55">
        <v>6.2</v>
      </c>
      <c r="AH74" s="47">
        <f t="shared" si="2"/>
        <v>2</v>
      </c>
      <c r="AI74" s="48">
        <f t="shared" si="3"/>
        <v>2</v>
      </c>
      <c r="AK74" s="50"/>
      <c r="AZ74" s="252"/>
      <c r="BA74" s="251"/>
      <c r="BB74" s="251"/>
      <c r="BC74" s="251"/>
      <c r="BD74" s="251"/>
      <c r="BE74" s="252"/>
      <c r="BF74" s="252"/>
      <c r="BG74" s="252"/>
      <c r="BH74" s="252"/>
      <c r="BI74" s="252"/>
      <c r="BJ74" s="252"/>
      <c r="BK74" s="252"/>
      <c r="BL74" s="252"/>
      <c r="BM74" s="252"/>
      <c r="BN74" s="252"/>
      <c r="BO74" s="252"/>
      <c r="BP74" s="252"/>
      <c r="BQ74" s="252"/>
      <c r="BR74" s="252"/>
      <c r="BS74" s="251"/>
      <c r="BT74" s="251"/>
      <c r="BU74" s="251"/>
      <c r="BV74" s="251"/>
      <c r="BW74" s="251"/>
    </row>
    <row r="75" spans="1:75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3.54</v>
      </c>
      <c r="Z75" s="72">
        <v>3.54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2"/>
        <v>3.54</v>
      </c>
      <c r="AI75" s="48">
        <f t="shared" si="3"/>
        <v>3.54</v>
      </c>
      <c r="AK75" s="50"/>
      <c r="AZ75" s="252">
        <f>VALUE(AZ68)</f>
        <v>51</v>
      </c>
      <c r="BA75" s="252">
        <f t="shared" ref="BA75:BW75" si="29">VALUE(BA68)</f>
        <v>68.900000000000006</v>
      </c>
      <c r="BB75" s="252">
        <f t="shared" si="29"/>
        <v>60</v>
      </c>
      <c r="BC75" s="252">
        <f t="shared" si="29"/>
        <v>66.3</v>
      </c>
      <c r="BD75" s="252">
        <f t="shared" si="29"/>
        <v>61.4</v>
      </c>
      <c r="BE75" s="252">
        <f t="shared" si="29"/>
        <v>75</v>
      </c>
      <c r="BF75" s="252">
        <f t="shared" si="29"/>
        <v>68</v>
      </c>
      <c r="BG75" s="252">
        <f t="shared" si="29"/>
        <v>63.1</v>
      </c>
      <c r="BH75" s="252">
        <f t="shared" si="29"/>
        <v>55.7</v>
      </c>
      <c r="BI75" s="252">
        <f t="shared" si="29"/>
        <v>49.4</v>
      </c>
      <c r="BJ75" s="252">
        <f t="shared" si="29"/>
        <v>47</v>
      </c>
      <c r="BK75" s="252">
        <f t="shared" si="29"/>
        <v>58</v>
      </c>
      <c r="BL75" s="252">
        <f t="shared" si="29"/>
        <v>67</v>
      </c>
      <c r="BM75" s="252">
        <f t="shared" si="29"/>
        <v>60</v>
      </c>
      <c r="BN75" s="252">
        <f t="shared" si="29"/>
        <v>63</v>
      </c>
      <c r="BO75" s="252">
        <f t="shared" si="29"/>
        <v>74.599999999999994</v>
      </c>
      <c r="BP75" s="252">
        <f t="shared" si="29"/>
        <v>56</v>
      </c>
      <c r="BQ75" s="252">
        <f t="shared" si="29"/>
        <v>67</v>
      </c>
      <c r="BR75" s="252">
        <f t="shared" si="29"/>
        <v>74</v>
      </c>
      <c r="BS75" s="252">
        <f t="shared" si="29"/>
        <v>68</v>
      </c>
      <c r="BT75" s="252">
        <f t="shared" si="29"/>
        <v>67.5</v>
      </c>
      <c r="BU75" s="252">
        <f t="shared" si="29"/>
        <v>63.1</v>
      </c>
      <c r="BV75" s="252">
        <f t="shared" si="29"/>
        <v>68.900000000000006</v>
      </c>
      <c r="BW75" s="252">
        <f t="shared" si="29"/>
        <v>67</v>
      </c>
    </row>
    <row r="76" spans="1:75" ht="15.75" thickBot="1" x14ac:dyDescent="0.3">
      <c r="A76" s="74" t="s">
        <v>76</v>
      </c>
      <c r="B76" s="60">
        <f t="shared" ref="B76:AG76" si="30">SUM(B63:B75)</f>
        <v>88.240000000000009</v>
      </c>
      <c r="C76" s="60">
        <f t="shared" si="30"/>
        <v>88.240000000000009</v>
      </c>
      <c r="D76" s="60">
        <f t="shared" si="30"/>
        <v>88.240000000000009</v>
      </c>
      <c r="E76" s="60">
        <f t="shared" si="30"/>
        <v>88.240000000000009</v>
      </c>
      <c r="F76" s="60">
        <f t="shared" si="30"/>
        <v>88.240000000000009</v>
      </c>
      <c r="G76" s="60">
        <f t="shared" si="30"/>
        <v>146.74</v>
      </c>
      <c r="H76" s="60">
        <f t="shared" si="30"/>
        <v>225.64000000000001</v>
      </c>
      <c r="I76" s="60">
        <f t="shared" si="30"/>
        <v>259.14000000000004</v>
      </c>
      <c r="J76" s="60">
        <f t="shared" si="30"/>
        <v>326.03999999999996</v>
      </c>
      <c r="K76" s="60">
        <f t="shared" si="30"/>
        <v>341.64</v>
      </c>
      <c r="L76" s="60">
        <f t="shared" si="30"/>
        <v>394.84</v>
      </c>
      <c r="M76" s="60">
        <f t="shared" si="30"/>
        <v>387.24</v>
      </c>
      <c r="N76" s="60">
        <f t="shared" si="30"/>
        <v>387.64</v>
      </c>
      <c r="O76" s="60">
        <f t="shared" si="30"/>
        <v>357.23999999999995</v>
      </c>
      <c r="P76" s="60">
        <f t="shared" si="30"/>
        <v>267.94</v>
      </c>
      <c r="Q76" s="60">
        <f t="shared" si="30"/>
        <v>200.14000000000001</v>
      </c>
      <c r="R76" s="60">
        <f t="shared" si="30"/>
        <v>188.44</v>
      </c>
      <c r="S76" s="60">
        <f t="shared" ref="S76:T76" si="31">SUM(S63:S75)</f>
        <v>187.54000000000002</v>
      </c>
      <c r="T76" s="60">
        <f t="shared" si="31"/>
        <v>178.44</v>
      </c>
      <c r="U76" s="60">
        <f t="shared" si="30"/>
        <v>199.44</v>
      </c>
      <c r="V76" s="60">
        <f t="shared" si="30"/>
        <v>199.04000000000002</v>
      </c>
      <c r="W76" s="60">
        <f t="shared" si="30"/>
        <v>227.84000000000003</v>
      </c>
      <c r="X76" s="60">
        <f t="shared" si="30"/>
        <v>344.93999999999994</v>
      </c>
      <c r="Y76" s="60">
        <f>SUM(Y63:Y75)</f>
        <v>393.33999999999992</v>
      </c>
      <c r="Z76" s="60">
        <f>SUM(Z63:Z75)</f>
        <v>388.24</v>
      </c>
      <c r="AA76" s="60">
        <f t="shared" si="30"/>
        <v>332.63999999999993</v>
      </c>
      <c r="AB76" s="60">
        <f t="shared" ref="AB76:AC76" si="32">SUM(AB63:AB75)</f>
        <v>282.53999999999996</v>
      </c>
      <c r="AC76" s="60">
        <f t="shared" si="32"/>
        <v>271.74000000000007</v>
      </c>
      <c r="AD76" s="60">
        <f t="shared" ref="AD76:AE76" si="33">SUM(AD63:AD75)</f>
        <v>231.24</v>
      </c>
      <c r="AE76" s="60">
        <f t="shared" si="33"/>
        <v>200.54</v>
      </c>
      <c r="AF76" s="60">
        <f t="shared" ref="AF76" si="34">SUM(AF63:AF75)</f>
        <v>162.74</v>
      </c>
      <c r="AG76" s="61">
        <f t="shared" si="30"/>
        <v>489.91</v>
      </c>
      <c r="AH76" s="47">
        <f t="shared" si="2"/>
        <v>394.84</v>
      </c>
      <c r="AI76" s="48">
        <f t="shared" si="3"/>
        <v>88.240000000000009</v>
      </c>
      <c r="AK76" s="50"/>
      <c r="AZ76" s="252">
        <f t="shared" ref="AZ76:BW80" si="35">VALUE(AZ69)</f>
        <v>0</v>
      </c>
      <c r="BA76" s="252">
        <f t="shared" si="35"/>
        <v>0</v>
      </c>
      <c r="BB76" s="252">
        <f t="shared" si="35"/>
        <v>0</v>
      </c>
      <c r="BC76" s="252">
        <f t="shared" si="35"/>
        <v>0</v>
      </c>
      <c r="BD76" s="252">
        <f t="shared" si="35"/>
        <v>0</v>
      </c>
      <c r="BE76" s="252">
        <f t="shared" si="35"/>
        <v>0</v>
      </c>
      <c r="BF76" s="252">
        <f t="shared" si="35"/>
        <v>0</v>
      </c>
      <c r="BG76" s="252">
        <f t="shared" si="35"/>
        <v>0</v>
      </c>
      <c r="BH76" s="252">
        <f t="shared" si="35"/>
        <v>0</v>
      </c>
      <c r="BI76" s="252">
        <f t="shared" si="35"/>
        <v>0</v>
      </c>
      <c r="BJ76" s="252">
        <f t="shared" si="35"/>
        <v>0</v>
      </c>
      <c r="BK76" s="252">
        <f t="shared" si="35"/>
        <v>0</v>
      </c>
      <c r="BL76" s="252">
        <f t="shared" si="35"/>
        <v>0</v>
      </c>
      <c r="BM76" s="252">
        <f t="shared" si="35"/>
        <v>0</v>
      </c>
      <c r="BN76" s="252">
        <f t="shared" si="35"/>
        <v>0</v>
      </c>
      <c r="BO76" s="252">
        <f t="shared" si="35"/>
        <v>0</v>
      </c>
      <c r="BP76" s="252">
        <f t="shared" si="35"/>
        <v>0</v>
      </c>
      <c r="BQ76" s="252">
        <f t="shared" si="35"/>
        <v>0</v>
      </c>
      <c r="BR76" s="252">
        <f t="shared" si="35"/>
        <v>0</v>
      </c>
      <c r="BS76" s="252">
        <f t="shared" si="35"/>
        <v>0</v>
      </c>
      <c r="BT76" s="252">
        <f t="shared" si="35"/>
        <v>0</v>
      </c>
      <c r="BU76" s="252">
        <f t="shared" si="35"/>
        <v>0</v>
      </c>
      <c r="BV76" s="252">
        <f t="shared" si="35"/>
        <v>0</v>
      </c>
      <c r="BW76" s="252">
        <f t="shared" si="35"/>
        <v>0</v>
      </c>
    </row>
    <row r="77" spans="1:75" x14ac:dyDescent="0.25">
      <c r="A77" s="44" t="s">
        <v>77</v>
      </c>
      <c r="B77" s="45">
        <v>0</v>
      </c>
      <c r="C77" s="45"/>
      <c r="D77" s="45"/>
      <c r="E77" s="45"/>
      <c r="F77" s="45"/>
      <c r="G77" s="45"/>
      <c r="H77" s="45"/>
      <c r="I77" s="45"/>
      <c r="J77" s="45"/>
      <c r="K77" s="45"/>
      <c r="L77" s="45">
        <v>30.8</v>
      </c>
      <c r="M77" s="45">
        <v>60</v>
      </c>
      <c r="N77" s="45">
        <v>30.8</v>
      </c>
      <c r="O77" s="45">
        <v>30.8</v>
      </c>
      <c r="P77" s="45">
        <v>30.9</v>
      </c>
      <c r="Q77" s="45">
        <v>59.3</v>
      </c>
      <c r="R77" s="45">
        <v>40</v>
      </c>
      <c r="S77" s="45">
        <v>40</v>
      </c>
      <c r="T77" s="45">
        <v>50</v>
      </c>
      <c r="U77" s="45">
        <v>59</v>
      </c>
      <c r="V77" s="45">
        <v>59.74</v>
      </c>
      <c r="W77" s="45">
        <v>59.74</v>
      </c>
      <c r="X77" s="45">
        <v>59.74</v>
      </c>
      <c r="Y77" s="45">
        <v>59.74</v>
      </c>
      <c r="Z77" s="45">
        <v>59.74</v>
      </c>
      <c r="AA77" s="45">
        <v>59.74</v>
      </c>
      <c r="AB77" s="45">
        <v>49.1</v>
      </c>
      <c r="AC77" s="45">
        <v>40.4</v>
      </c>
      <c r="AD77" s="45">
        <v>45.1</v>
      </c>
      <c r="AE77" s="45">
        <v>10.1</v>
      </c>
      <c r="AF77" s="45">
        <v>0</v>
      </c>
      <c r="AG77" s="52">
        <v>60</v>
      </c>
      <c r="AH77" s="47">
        <f t="shared" si="2"/>
        <v>60</v>
      </c>
      <c r="AI77" s="48">
        <f t="shared" si="3"/>
        <v>0</v>
      </c>
      <c r="AK77" s="50"/>
      <c r="AZ77" s="252">
        <f t="shared" si="35"/>
        <v>396</v>
      </c>
      <c r="BA77" s="252">
        <f t="shared" si="35"/>
        <v>372</v>
      </c>
      <c r="BB77" s="252">
        <f t="shared" si="35"/>
        <v>400</v>
      </c>
      <c r="BC77" s="252">
        <f t="shared" si="35"/>
        <v>382</v>
      </c>
      <c r="BD77" s="252">
        <f t="shared" si="35"/>
        <v>406</v>
      </c>
      <c r="BE77" s="252">
        <f t="shared" si="35"/>
        <v>410</v>
      </c>
      <c r="BF77" s="252">
        <f t="shared" si="35"/>
        <v>361</v>
      </c>
      <c r="BG77" s="252">
        <f t="shared" si="35"/>
        <v>30.9</v>
      </c>
      <c r="BH77" s="252">
        <f t="shared" si="35"/>
        <v>88</v>
      </c>
      <c r="BI77" s="252">
        <f t="shared" si="35"/>
        <v>150.6</v>
      </c>
      <c r="BJ77" s="252">
        <f t="shared" si="35"/>
        <v>301.60000000000002</v>
      </c>
      <c r="BK77" s="252">
        <f t="shared" si="35"/>
        <v>414.5</v>
      </c>
      <c r="BL77" s="252">
        <f t="shared" si="35"/>
        <v>441.6</v>
      </c>
      <c r="BM77" s="252">
        <f t="shared" si="35"/>
        <v>443</v>
      </c>
      <c r="BN77" s="252">
        <f t="shared" si="35"/>
        <v>472</v>
      </c>
      <c r="BO77" s="252">
        <f t="shared" si="35"/>
        <v>467</v>
      </c>
      <c r="BP77" s="252">
        <f t="shared" si="35"/>
        <v>372.6</v>
      </c>
      <c r="BQ77" s="252">
        <f t="shared" si="35"/>
        <v>237.7</v>
      </c>
      <c r="BR77" s="252">
        <f t="shared" si="35"/>
        <v>216.7</v>
      </c>
      <c r="BS77" s="252">
        <f t="shared" si="35"/>
        <v>267.3</v>
      </c>
      <c r="BT77" s="252">
        <f t="shared" si="35"/>
        <v>385</v>
      </c>
      <c r="BU77" s="252">
        <f t="shared" si="35"/>
        <v>387</v>
      </c>
      <c r="BV77" s="252">
        <f t="shared" si="35"/>
        <v>405.9</v>
      </c>
      <c r="BW77" s="252">
        <f t="shared" si="35"/>
        <v>409</v>
      </c>
    </row>
    <row r="78" spans="1:75" x14ac:dyDescent="0.25">
      <c r="A78" s="54" t="s">
        <v>78</v>
      </c>
      <c r="B78" s="65">
        <v>0</v>
      </c>
      <c r="C78" s="65"/>
      <c r="D78" s="65"/>
      <c r="E78" s="65"/>
      <c r="F78" s="65"/>
      <c r="G78" s="65"/>
      <c r="H78" s="65"/>
      <c r="I78" s="65"/>
      <c r="J78" s="65"/>
      <c r="K78" s="65"/>
      <c r="L78" s="65">
        <v>0</v>
      </c>
      <c r="M78" s="65">
        <v>27.7</v>
      </c>
      <c r="N78" s="65">
        <v>13.6</v>
      </c>
      <c r="O78" s="65">
        <v>14.4</v>
      </c>
      <c r="P78" s="65">
        <v>14.4</v>
      </c>
      <c r="Q78" s="65">
        <v>26.9</v>
      </c>
      <c r="R78" s="65">
        <v>15.3</v>
      </c>
      <c r="S78" s="65">
        <v>15.3</v>
      </c>
      <c r="T78" s="65">
        <v>24</v>
      </c>
      <c r="U78" s="65">
        <v>26.9</v>
      </c>
      <c r="V78" s="65">
        <v>27.7</v>
      </c>
      <c r="W78" s="65">
        <v>27.7</v>
      </c>
      <c r="X78" s="65">
        <v>27.7</v>
      </c>
      <c r="Y78" s="65">
        <v>27.7</v>
      </c>
      <c r="Z78" s="65">
        <v>27.7</v>
      </c>
      <c r="AA78" s="65">
        <v>27.7</v>
      </c>
      <c r="AB78" s="65">
        <v>22.6</v>
      </c>
      <c r="AC78" s="65">
        <v>16.399999999999999</v>
      </c>
      <c r="AD78" s="65">
        <v>19.2</v>
      </c>
      <c r="AE78" s="65">
        <v>4.0999999999999996</v>
      </c>
      <c r="AF78" s="65">
        <v>0</v>
      </c>
      <c r="AG78" s="55">
        <v>32</v>
      </c>
      <c r="AH78" s="47">
        <f t="shared" si="2"/>
        <v>27.7</v>
      </c>
      <c r="AI78" s="48">
        <f t="shared" si="3"/>
        <v>0</v>
      </c>
      <c r="AK78" s="50"/>
      <c r="AZ78" s="252">
        <f t="shared" si="35"/>
        <v>41</v>
      </c>
      <c r="BA78" s="252">
        <f t="shared" si="35"/>
        <v>38</v>
      </c>
      <c r="BB78" s="252">
        <f t="shared" si="35"/>
        <v>52</v>
      </c>
      <c r="BC78" s="252">
        <f t="shared" si="35"/>
        <v>53</v>
      </c>
      <c r="BD78" s="252">
        <f t="shared" si="35"/>
        <v>52</v>
      </c>
      <c r="BE78" s="252">
        <f t="shared" si="35"/>
        <v>58</v>
      </c>
      <c r="BF78" s="252">
        <f t="shared" si="35"/>
        <v>46</v>
      </c>
      <c r="BG78" s="252">
        <f t="shared" si="35"/>
        <v>25</v>
      </c>
      <c r="BH78" s="252">
        <f t="shared" si="35"/>
        <v>43.9</v>
      </c>
      <c r="BI78" s="252">
        <f t="shared" si="35"/>
        <v>41.7</v>
      </c>
      <c r="BJ78" s="252">
        <f t="shared" si="35"/>
        <v>48.2</v>
      </c>
      <c r="BK78" s="252">
        <f t="shared" si="35"/>
        <v>48</v>
      </c>
      <c r="BL78" s="252">
        <f t="shared" si="35"/>
        <v>49</v>
      </c>
      <c r="BM78" s="252">
        <f t="shared" si="35"/>
        <v>41</v>
      </c>
      <c r="BN78" s="252">
        <f t="shared" si="35"/>
        <v>45</v>
      </c>
      <c r="BO78" s="252">
        <f t="shared" si="35"/>
        <v>45</v>
      </c>
      <c r="BP78" s="252">
        <f t="shared" si="35"/>
        <v>42</v>
      </c>
      <c r="BQ78" s="252">
        <f t="shared" si="35"/>
        <v>10</v>
      </c>
      <c r="BR78" s="252">
        <f t="shared" si="35"/>
        <v>0</v>
      </c>
      <c r="BS78" s="252">
        <f t="shared" si="35"/>
        <v>0</v>
      </c>
      <c r="BT78" s="252">
        <f t="shared" si="35"/>
        <v>0</v>
      </c>
      <c r="BU78" s="252">
        <f t="shared" si="35"/>
        <v>0</v>
      </c>
      <c r="BV78" s="252">
        <f t="shared" si="35"/>
        <v>0</v>
      </c>
      <c r="BW78" s="252">
        <f t="shared" si="35"/>
        <v>42</v>
      </c>
    </row>
    <row r="79" spans="1:75" ht="15.75" thickBot="1" x14ac:dyDescent="0.3">
      <c r="A79" s="71" t="s">
        <v>79</v>
      </c>
      <c r="B79" s="67">
        <v>0</v>
      </c>
      <c r="C79" s="67"/>
      <c r="D79" s="67"/>
      <c r="E79" s="67"/>
      <c r="F79" s="67"/>
      <c r="G79" s="67"/>
      <c r="H79" s="67"/>
      <c r="I79" s="67"/>
      <c r="J79" s="67"/>
      <c r="K79" s="67"/>
      <c r="L79" s="67">
        <v>0</v>
      </c>
      <c r="M79" s="67">
        <v>10.1</v>
      </c>
      <c r="N79" s="67">
        <v>5</v>
      </c>
      <c r="O79" s="67">
        <v>5.3</v>
      </c>
      <c r="P79" s="67">
        <v>5.3</v>
      </c>
      <c r="Q79" s="67">
        <v>9.8000000000000007</v>
      </c>
      <c r="R79" s="67">
        <v>5</v>
      </c>
      <c r="S79" s="67">
        <v>5</v>
      </c>
      <c r="T79" s="67">
        <v>9</v>
      </c>
      <c r="U79" s="67">
        <v>9.8000000000000007</v>
      </c>
      <c r="V79" s="67">
        <v>10.1</v>
      </c>
      <c r="W79" s="67">
        <v>10.1</v>
      </c>
      <c r="X79" s="67">
        <v>10.1</v>
      </c>
      <c r="Y79" s="67">
        <v>10.1</v>
      </c>
      <c r="Z79" s="67">
        <v>10.1</v>
      </c>
      <c r="AA79" s="67">
        <v>10.1</v>
      </c>
      <c r="AB79" s="67">
        <v>10.1</v>
      </c>
      <c r="AC79" s="67">
        <v>6</v>
      </c>
      <c r="AD79" s="67">
        <v>7</v>
      </c>
      <c r="AE79" s="67">
        <v>1.5</v>
      </c>
      <c r="AF79" s="67">
        <v>0</v>
      </c>
      <c r="AG79" s="68">
        <v>14</v>
      </c>
      <c r="AH79" s="47">
        <f t="shared" si="2"/>
        <v>10.1</v>
      </c>
      <c r="AI79" s="48">
        <f t="shared" si="3"/>
        <v>0</v>
      </c>
      <c r="AK79" s="50"/>
      <c r="AZ79" s="252">
        <f t="shared" si="35"/>
        <v>0</v>
      </c>
      <c r="BA79" s="252">
        <f t="shared" si="35"/>
        <v>0</v>
      </c>
      <c r="BB79" s="252">
        <f t="shared" si="35"/>
        <v>0</v>
      </c>
      <c r="BC79" s="252">
        <f t="shared" si="35"/>
        <v>0</v>
      </c>
      <c r="BD79" s="252">
        <f t="shared" si="35"/>
        <v>0</v>
      </c>
      <c r="BE79" s="252">
        <f t="shared" si="35"/>
        <v>0</v>
      </c>
      <c r="BF79" s="252">
        <f t="shared" si="35"/>
        <v>0</v>
      </c>
      <c r="BG79" s="252">
        <f t="shared" si="35"/>
        <v>12</v>
      </c>
      <c r="BH79" s="252">
        <f t="shared" si="35"/>
        <v>0</v>
      </c>
      <c r="BI79" s="252">
        <f t="shared" si="35"/>
        <v>0</v>
      </c>
      <c r="BJ79" s="252">
        <f t="shared" si="35"/>
        <v>45</v>
      </c>
      <c r="BK79" s="252">
        <f t="shared" si="35"/>
        <v>110</v>
      </c>
      <c r="BL79" s="252">
        <f t="shared" si="35"/>
        <v>120</v>
      </c>
      <c r="BM79" s="252">
        <f t="shared" si="35"/>
        <v>110</v>
      </c>
      <c r="BN79" s="252">
        <f t="shared" si="35"/>
        <v>120</v>
      </c>
      <c r="BO79" s="252">
        <f t="shared" si="35"/>
        <v>100</v>
      </c>
      <c r="BP79" s="252">
        <f t="shared" si="35"/>
        <v>62</v>
      </c>
      <c r="BQ79" s="252">
        <f t="shared" si="35"/>
        <v>40</v>
      </c>
      <c r="BR79" s="252">
        <f t="shared" si="35"/>
        <v>44</v>
      </c>
      <c r="BS79" s="252">
        <f t="shared" si="35"/>
        <v>40.799999999999997</v>
      </c>
      <c r="BT79" s="252">
        <f t="shared" si="35"/>
        <v>48</v>
      </c>
      <c r="BU79" s="252">
        <f t="shared" si="35"/>
        <v>120</v>
      </c>
      <c r="BV79" s="252">
        <f t="shared" si="35"/>
        <v>125</v>
      </c>
      <c r="BW79" s="252">
        <f t="shared" si="35"/>
        <v>0</v>
      </c>
    </row>
    <row r="80" spans="1:75" ht="15.75" thickBot="1" x14ac:dyDescent="0.3">
      <c r="A80" s="74" t="s">
        <v>80</v>
      </c>
      <c r="B80" s="60">
        <f t="shared" ref="B80:AA80" si="36">B77+B78+B79</f>
        <v>0</v>
      </c>
      <c r="C80" s="60">
        <f t="shared" si="36"/>
        <v>0</v>
      </c>
      <c r="D80" s="60">
        <f t="shared" si="36"/>
        <v>0</v>
      </c>
      <c r="E80" s="60">
        <f t="shared" si="36"/>
        <v>0</v>
      </c>
      <c r="F80" s="60">
        <f t="shared" si="36"/>
        <v>0</v>
      </c>
      <c r="G80" s="60">
        <f t="shared" si="36"/>
        <v>0</v>
      </c>
      <c r="H80" s="60">
        <f t="shared" si="36"/>
        <v>0</v>
      </c>
      <c r="I80" s="60">
        <f t="shared" si="36"/>
        <v>0</v>
      </c>
      <c r="J80" s="60">
        <f t="shared" si="36"/>
        <v>0</v>
      </c>
      <c r="K80" s="60">
        <f t="shared" si="36"/>
        <v>0</v>
      </c>
      <c r="L80" s="60">
        <f t="shared" si="36"/>
        <v>30.8</v>
      </c>
      <c r="M80" s="60">
        <f t="shared" si="36"/>
        <v>97.8</v>
      </c>
      <c r="N80" s="60">
        <f t="shared" si="36"/>
        <v>49.4</v>
      </c>
      <c r="O80" s="60">
        <f t="shared" si="36"/>
        <v>50.5</v>
      </c>
      <c r="P80" s="60">
        <f t="shared" si="36"/>
        <v>50.599999999999994</v>
      </c>
      <c r="Q80" s="60">
        <f t="shared" si="36"/>
        <v>95.999999999999986</v>
      </c>
      <c r="R80" s="60">
        <f t="shared" si="36"/>
        <v>60.3</v>
      </c>
      <c r="S80" s="60">
        <f t="shared" ref="S80:T80" si="37">S77+S78+S79</f>
        <v>60.3</v>
      </c>
      <c r="T80" s="60">
        <f t="shared" si="37"/>
        <v>83</v>
      </c>
      <c r="U80" s="60">
        <f t="shared" si="36"/>
        <v>95.7</v>
      </c>
      <c r="V80" s="60">
        <f t="shared" si="36"/>
        <v>97.539999999999992</v>
      </c>
      <c r="W80" s="60">
        <f t="shared" si="36"/>
        <v>97.539999999999992</v>
      </c>
      <c r="X80" s="60">
        <f t="shared" si="36"/>
        <v>97.539999999999992</v>
      </c>
      <c r="Y80" s="60">
        <f>Y77+Y78+Y79</f>
        <v>97.539999999999992</v>
      </c>
      <c r="Z80" s="60">
        <f>Z77+Z78+Z79</f>
        <v>97.539999999999992</v>
      </c>
      <c r="AA80" s="60">
        <f t="shared" si="36"/>
        <v>97.539999999999992</v>
      </c>
      <c r="AB80" s="60">
        <f t="shared" ref="AB80:AC80" si="38">AB77+AB78+AB79</f>
        <v>81.8</v>
      </c>
      <c r="AC80" s="60">
        <f t="shared" si="38"/>
        <v>62.8</v>
      </c>
      <c r="AD80" s="60">
        <f t="shared" ref="AD80:AE80" si="39">AD77+AD78+AD79</f>
        <v>71.3</v>
      </c>
      <c r="AE80" s="60">
        <f t="shared" si="39"/>
        <v>15.7</v>
      </c>
      <c r="AF80" s="60">
        <f t="shared" ref="AF80" si="40">AF77+AF78+AF79</f>
        <v>0</v>
      </c>
      <c r="AG80" s="61">
        <f>SUM(AG77:AG79)</f>
        <v>106</v>
      </c>
      <c r="AH80" s="47">
        <f t="shared" si="2"/>
        <v>97.8</v>
      </c>
      <c r="AI80" s="48">
        <f t="shared" si="3"/>
        <v>0</v>
      </c>
      <c r="AK80" s="50"/>
      <c r="AZ80" s="252">
        <f t="shared" si="35"/>
        <v>0</v>
      </c>
      <c r="BA80" s="252">
        <f t="shared" si="35"/>
        <v>0</v>
      </c>
      <c r="BB80" s="252">
        <f t="shared" si="35"/>
        <v>0</v>
      </c>
      <c r="BC80" s="252">
        <f t="shared" si="35"/>
        <v>0</v>
      </c>
      <c r="BD80" s="252">
        <f t="shared" si="35"/>
        <v>0</v>
      </c>
      <c r="BE80" s="252">
        <f t="shared" si="35"/>
        <v>0</v>
      </c>
      <c r="BF80" s="252">
        <f t="shared" si="35"/>
        <v>0</v>
      </c>
      <c r="BG80" s="252">
        <f t="shared" si="35"/>
        <v>0</v>
      </c>
      <c r="BH80" s="252">
        <f t="shared" si="35"/>
        <v>0</v>
      </c>
      <c r="BI80" s="252">
        <f t="shared" si="35"/>
        <v>0</v>
      </c>
      <c r="BJ80" s="252">
        <f t="shared" si="35"/>
        <v>0</v>
      </c>
      <c r="BK80" s="252">
        <f t="shared" si="35"/>
        <v>0</v>
      </c>
      <c r="BL80" s="252">
        <f t="shared" si="35"/>
        <v>0</v>
      </c>
      <c r="BM80" s="252">
        <f t="shared" si="35"/>
        <v>0</v>
      </c>
      <c r="BN80" s="252">
        <f t="shared" si="35"/>
        <v>0</v>
      </c>
      <c r="BO80" s="252">
        <f t="shared" si="35"/>
        <v>0</v>
      </c>
      <c r="BP80" s="252">
        <f t="shared" si="35"/>
        <v>0</v>
      </c>
      <c r="BQ80" s="252">
        <f t="shared" si="35"/>
        <v>0</v>
      </c>
      <c r="BR80" s="252">
        <f t="shared" si="35"/>
        <v>0</v>
      </c>
      <c r="BS80" s="252">
        <f t="shared" si="35"/>
        <v>0</v>
      </c>
      <c r="BT80" s="252">
        <f t="shared" si="35"/>
        <v>0</v>
      </c>
      <c r="BU80" s="252">
        <f t="shared" si="35"/>
        <v>0</v>
      </c>
      <c r="BV80" s="252">
        <f t="shared" si="35"/>
        <v>0</v>
      </c>
      <c r="BW80" s="252">
        <f t="shared" si="35"/>
        <v>0</v>
      </c>
    </row>
    <row r="81" spans="1:64" x14ac:dyDescent="0.25">
      <c r="A81" s="44" t="s">
        <v>81</v>
      </c>
      <c r="B81" s="45">
        <v>67</v>
      </c>
      <c r="C81" s="45">
        <v>50.8</v>
      </c>
      <c r="D81" s="45">
        <v>68.900000000000006</v>
      </c>
      <c r="E81" s="45">
        <v>60</v>
      </c>
      <c r="F81" s="45">
        <v>66.3</v>
      </c>
      <c r="G81" s="45">
        <v>61.4</v>
      </c>
      <c r="H81" s="45">
        <v>56.9</v>
      </c>
      <c r="I81" s="45">
        <v>75</v>
      </c>
      <c r="J81" s="45">
        <v>78</v>
      </c>
      <c r="K81" s="45">
        <v>68</v>
      </c>
      <c r="L81" s="45">
        <v>66.2</v>
      </c>
      <c r="M81" s="45">
        <v>63.1</v>
      </c>
      <c r="N81" s="45">
        <v>55.7</v>
      </c>
      <c r="O81" s="45">
        <v>49.4</v>
      </c>
      <c r="P81" s="45">
        <v>47</v>
      </c>
      <c r="Q81" s="45">
        <v>58</v>
      </c>
      <c r="R81" s="45">
        <v>67</v>
      </c>
      <c r="S81" s="45">
        <v>60</v>
      </c>
      <c r="T81" s="45">
        <v>63</v>
      </c>
      <c r="U81" s="45">
        <v>74.599999999999994</v>
      </c>
      <c r="V81" s="45">
        <v>56</v>
      </c>
      <c r="W81" s="45">
        <v>55.3</v>
      </c>
      <c r="X81" s="45">
        <v>67</v>
      </c>
      <c r="Y81" s="45">
        <v>70</v>
      </c>
      <c r="Z81" s="45">
        <v>74</v>
      </c>
      <c r="AA81" s="45">
        <v>68.7</v>
      </c>
      <c r="AB81" s="45">
        <v>68</v>
      </c>
      <c r="AC81" s="45">
        <v>58.9</v>
      </c>
      <c r="AD81" s="45">
        <v>67.5</v>
      </c>
      <c r="AE81" s="45">
        <v>63.1</v>
      </c>
      <c r="AF81" s="45">
        <v>68.900000000000006</v>
      </c>
      <c r="AG81" s="52"/>
      <c r="AH81" s="47">
        <f t="shared" si="2"/>
        <v>78</v>
      </c>
      <c r="AI81" s="48">
        <f t="shared" si="3"/>
        <v>47</v>
      </c>
      <c r="AK81" s="50"/>
      <c r="AY81" s="252"/>
    </row>
    <row r="82" spans="1:64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>
        <v>0</v>
      </c>
      <c r="N82" s="65"/>
      <c r="O82" s="65"/>
      <c r="P82" s="65"/>
      <c r="Q82" s="65"/>
      <c r="R82" s="65"/>
      <c r="S82" s="65">
        <v>0</v>
      </c>
      <c r="T82" s="65">
        <v>0</v>
      </c>
      <c r="U82" s="65">
        <v>0</v>
      </c>
      <c r="V82" s="65">
        <v>0</v>
      </c>
      <c r="W82" s="65">
        <v>0</v>
      </c>
      <c r="X82" s="65">
        <v>0</v>
      </c>
      <c r="Y82" s="65">
        <v>0</v>
      </c>
      <c r="Z82" s="65">
        <v>0</v>
      </c>
      <c r="AA82" s="65">
        <v>0</v>
      </c>
      <c r="AB82" s="65">
        <v>0</v>
      </c>
      <c r="AC82" s="65">
        <v>0</v>
      </c>
      <c r="AD82" s="65">
        <v>0</v>
      </c>
      <c r="AE82" s="65">
        <v>0</v>
      </c>
      <c r="AF82" s="65">
        <v>0</v>
      </c>
      <c r="AG82" s="55"/>
      <c r="AH82" s="47">
        <f t="shared" si="2"/>
        <v>0</v>
      </c>
      <c r="AI82" s="48">
        <f t="shared" si="3"/>
        <v>0</v>
      </c>
      <c r="AK82" s="50"/>
      <c r="AY82" s="252"/>
      <c r="BF82" s="252"/>
      <c r="BG82" s="252"/>
      <c r="BH82" s="252"/>
      <c r="BI82" s="252"/>
      <c r="BJ82" s="252"/>
      <c r="BK82" s="252"/>
    </row>
    <row r="83" spans="1:64" x14ac:dyDescent="0.25">
      <c r="A83" s="54" t="s">
        <v>83</v>
      </c>
      <c r="B83" s="65">
        <v>409</v>
      </c>
      <c r="C83" s="65">
        <v>396</v>
      </c>
      <c r="D83" s="65">
        <v>372</v>
      </c>
      <c r="E83" s="65">
        <v>400</v>
      </c>
      <c r="F83" s="65">
        <v>382</v>
      </c>
      <c r="G83" s="65">
        <v>406</v>
      </c>
      <c r="H83" s="65">
        <v>393.8</v>
      </c>
      <c r="I83" s="65">
        <v>410</v>
      </c>
      <c r="J83" s="65">
        <v>405</v>
      </c>
      <c r="K83" s="65">
        <v>361</v>
      </c>
      <c r="L83" s="65">
        <v>151.9</v>
      </c>
      <c r="M83" s="65">
        <v>30.9</v>
      </c>
      <c r="N83" s="65">
        <v>88</v>
      </c>
      <c r="O83" s="65">
        <v>150.6</v>
      </c>
      <c r="P83" s="65">
        <v>301.60000000000002</v>
      </c>
      <c r="Q83" s="65">
        <v>414.5</v>
      </c>
      <c r="R83" s="65">
        <v>441.6</v>
      </c>
      <c r="S83" s="65">
        <v>443</v>
      </c>
      <c r="T83" s="65">
        <v>472</v>
      </c>
      <c r="U83" s="65">
        <v>467</v>
      </c>
      <c r="V83" s="65">
        <v>372.6</v>
      </c>
      <c r="W83" s="65">
        <v>300</v>
      </c>
      <c r="X83" s="65">
        <v>237.7</v>
      </c>
      <c r="Y83" s="65">
        <v>209</v>
      </c>
      <c r="Z83" s="65">
        <v>216.7</v>
      </c>
      <c r="AA83" s="65">
        <v>247</v>
      </c>
      <c r="AB83" s="65">
        <v>267.3</v>
      </c>
      <c r="AC83" s="65">
        <v>365</v>
      </c>
      <c r="AD83" s="65">
        <v>385</v>
      </c>
      <c r="AE83" s="65">
        <v>387</v>
      </c>
      <c r="AF83" s="65">
        <v>405.9</v>
      </c>
      <c r="AG83" s="75"/>
      <c r="AH83" s="47">
        <f t="shared" si="2"/>
        <v>472</v>
      </c>
      <c r="AI83" s="48">
        <f t="shared" si="3"/>
        <v>30.9</v>
      </c>
      <c r="AK83" s="50"/>
      <c r="AY83" s="252"/>
      <c r="BF83" s="251"/>
      <c r="BG83" s="251"/>
      <c r="BH83" s="251"/>
      <c r="BI83" s="251"/>
      <c r="BJ83" s="251"/>
      <c r="BK83" s="252"/>
    </row>
    <row r="84" spans="1:64" x14ac:dyDescent="0.25">
      <c r="A84" s="54" t="s">
        <v>84</v>
      </c>
      <c r="B84" s="65">
        <v>42</v>
      </c>
      <c r="C84" s="65">
        <v>41</v>
      </c>
      <c r="D84" s="65">
        <v>38</v>
      </c>
      <c r="E84" s="76">
        <v>52</v>
      </c>
      <c r="F84" s="76">
        <v>53</v>
      </c>
      <c r="G84" s="76">
        <v>52</v>
      </c>
      <c r="H84" s="76">
        <v>54</v>
      </c>
      <c r="I84" s="76">
        <v>58</v>
      </c>
      <c r="J84" s="76">
        <v>58.2</v>
      </c>
      <c r="K84" s="76">
        <v>46</v>
      </c>
      <c r="L84" s="76">
        <v>46</v>
      </c>
      <c r="M84" s="76">
        <v>25</v>
      </c>
      <c r="N84" s="76">
        <v>43.9</v>
      </c>
      <c r="O84" s="76">
        <v>41.7</v>
      </c>
      <c r="P84" s="76">
        <v>48.2</v>
      </c>
      <c r="Q84" s="76">
        <v>48</v>
      </c>
      <c r="R84" s="76">
        <v>49</v>
      </c>
      <c r="S84" s="76">
        <v>41</v>
      </c>
      <c r="T84" s="76">
        <v>45</v>
      </c>
      <c r="U84" s="76">
        <v>45</v>
      </c>
      <c r="V84" s="76">
        <v>42</v>
      </c>
      <c r="W84" s="76">
        <v>40</v>
      </c>
      <c r="X84" s="76">
        <v>10</v>
      </c>
      <c r="Y84" s="76">
        <v>0</v>
      </c>
      <c r="Z84" s="76">
        <v>0</v>
      </c>
      <c r="AA84" s="76">
        <v>0</v>
      </c>
      <c r="AB84" s="76">
        <v>0</v>
      </c>
      <c r="AC84" s="76">
        <v>0</v>
      </c>
      <c r="AD84" s="76">
        <v>0</v>
      </c>
      <c r="AE84" s="76">
        <v>0</v>
      </c>
      <c r="AF84" s="76">
        <v>0</v>
      </c>
      <c r="AG84" s="75"/>
      <c r="AH84" s="47">
        <f t="shared" si="2"/>
        <v>58.2</v>
      </c>
      <c r="AI84" s="48">
        <f t="shared" si="3"/>
        <v>0</v>
      </c>
      <c r="AK84" s="50"/>
      <c r="AY84" s="252"/>
      <c r="BF84" s="251"/>
      <c r="BG84" s="252">
        <f t="array" ref="BG84:BL107">TRANSPOSE(AZ68:BW73)</f>
        <v>51</v>
      </c>
      <c r="BH84" s="252">
        <v>0</v>
      </c>
      <c r="BI84" s="252">
        <v>396</v>
      </c>
      <c r="BJ84" s="252">
        <v>41</v>
      </c>
      <c r="BK84" s="252">
        <v>0</v>
      </c>
      <c r="BL84" s="252">
        <v>0</v>
      </c>
    </row>
    <row r="85" spans="1:64" x14ac:dyDescent="0.25">
      <c r="A85" s="54" t="s">
        <v>85</v>
      </c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>
        <v>12</v>
      </c>
      <c r="N85" s="45"/>
      <c r="O85" s="45"/>
      <c r="P85" s="45">
        <v>45</v>
      </c>
      <c r="Q85" s="45">
        <v>110</v>
      </c>
      <c r="R85" s="45">
        <v>120</v>
      </c>
      <c r="S85" s="45">
        <v>110</v>
      </c>
      <c r="T85" s="45">
        <v>120</v>
      </c>
      <c r="U85" s="45">
        <v>100</v>
      </c>
      <c r="V85" s="45">
        <v>62</v>
      </c>
      <c r="W85" s="45">
        <v>53</v>
      </c>
      <c r="X85" s="45">
        <v>40</v>
      </c>
      <c r="Y85" s="45">
        <v>44</v>
      </c>
      <c r="Z85" s="45">
        <v>44</v>
      </c>
      <c r="AA85" s="45">
        <v>42</v>
      </c>
      <c r="AB85" s="45">
        <v>40.799999999999997</v>
      </c>
      <c r="AC85" s="45">
        <v>41</v>
      </c>
      <c r="AD85" s="45">
        <v>48</v>
      </c>
      <c r="AE85" s="45">
        <v>120</v>
      </c>
      <c r="AF85" s="45">
        <v>125</v>
      </c>
      <c r="AG85" s="75"/>
      <c r="AH85" s="47">
        <f t="shared" ref="AH85:AH130" si="41">MAX(B85:AF85)</f>
        <v>125</v>
      </c>
      <c r="AI85" s="48">
        <f t="shared" ref="AI85:AI130" si="42">MIN(B85:AF85)</f>
        <v>12</v>
      </c>
      <c r="AK85" s="50"/>
      <c r="AY85" s="252"/>
      <c r="BF85" s="251"/>
      <c r="BG85" s="252">
        <v>68.900000000000006</v>
      </c>
      <c r="BH85" s="252">
        <v>0</v>
      </c>
      <c r="BI85" s="252">
        <v>372</v>
      </c>
      <c r="BJ85" s="252">
        <v>38</v>
      </c>
      <c r="BK85" s="252">
        <v>0</v>
      </c>
      <c r="BL85" s="252">
        <v>0</v>
      </c>
    </row>
    <row r="86" spans="1:64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>
        <v>0</v>
      </c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5"/>
      <c r="AH86" s="47">
        <f t="shared" si="41"/>
        <v>0</v>
      </c>
      <c r="AI86" s="48">
        <f t="shared" si="42"/>
        <v>0</v>
      </c>
      <c r="AK86" s="50"/>
      <c r="AY86" s="252"/>
      <c r="BF86" s="251"/>
      <c r="BG86" s="252">
        <v>60</v>
      </c>
      <c r="BH86" s="252">
        <v>0</v>
      </c>
      <c r="BI86" s="252">
        <v>400</v>
      </c>
      <c r="BJ86" s="252">
        <v>52</v>
      </c>
      <c r="BK86" s="252">
        <v>0</v>
      </c>
      <c r="BL86" s="252">
        <v>0</v>
      </c>
    </row>
    <row r="87" spans="1:64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>
        <v>0</v>
      </c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5"/>
      <c r="AH87" s="47">
        <f t="shared" si="41"/>
        <v>0</v>
      </c>
      <c r="AI87" s="48">
        <f t="shared" si="42"/>
        <v>0</v>
      </c>
      <c r="AK87" s="50"/>
      <c r="AL87" s="78" t="s">
        <v>88</v>
      </c>
      <c r="AM87" s="78"/>
      <c r="AY87" s="252"/>
      <c r="BF87" s="252"/>
      <c r="BG87" s="252">
        <v>66.3</v>
      </c>
      <c r="BH87" s="252">
        <v>0</v>
      </c>
      <c r="BI87" s="252">
        <v>382</v>
      </c>
      <c r="BJ87" s="252">
        <v>53</v>
      </c>
      <c r="BK87" s="252">
        <v>0</v>
      </c>
      <c r="BL87" s="252">
        <v>0</v>
      </c>
    </row>
    <row r="88" spans="1:64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>
        <v>0</v>
      </c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5"/>
      <c r="AH88" s="47">
        <f t="shared" si="41"/>
        <v>0</v>
      </c>
      <c r="AI88" s="48">
        <f t="shared" si="42"/>
        <v>0</v>
      </c>
      <c r="AK88" s="79"/>
      <c r="AL88" s="80"/>
      <c r="AM88" s="80"/>
      <c r="AN88" s="81"/>
      <c r="AY88" s="252"/>
      <c r="BF88" s="252"/>
      <c r="BG88" s="252">
        <v>61.4</v>
      </c>
      <c r="BH88" s="252">
        <v>0</v>
      </c>
      <c r="BI88" s="252">
        <v>406</v>
      </c>
      <c r="BJ88" s="252">
        <v>52</v>
      </c>
      <c r="BK88" s="252">
        <v>0</v>
      </c>
      <c r="BL88" s="252">
        <v>0</v>
      </c>
    </row>
    <row r="89" spans="1:64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>
        <v>0</v>
      </c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5"/>
      <c r="AH89" s="47">
        <f t="shared" si="41"/>
        <v>0</v>
      </c>
      <c r="AI89" s="48">
        <f t="shared" si="42"/>
        <v>0</v>
      </c>
      <c r="AK89" s="82" t="s">
        <v>91</v>
      </c>
      <c r="AL89" s="65"/>
      <c r="AM89" s="76"/>
      <c r="AN89" s="83"/>
      <c r="AY89" s="252"/>
      <c r="BF89" s="252"/>
      <c r="BG89" s="252">
        <v>75</v>
      </c>
      <c r="BH89" s="252">
        <v>0</v>
      </c>
      <c r="BI89" s="252">
        <v>410</v>
      </c>
      <c r="BJ89" s="252">
        <v>58</v>
      </c>
      <c r="BK89" s="252">
        <v>0</v>
      </c>
      <c r="BL89" s="252">
        <v>0</v>
      </c>
    </row>
    <row r="90" spans="1:64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>
        <v>0</v>
      </c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85"/>
      <c r="AH90" s="47">
        <f t="shared" si="41"/>
        <v>0</v>
      </c>
      <c r="AI90" s="48">
        <f t="shared" si="42"/>
        <v>0</v>
      </c>
      <c r="AK90" s="82" t="s">
        <v>93</v>
      </c>
      <c r="AL90" s="76"/>
      <c r="AM90" s="76"/>
      <c r="AN90" s="83"/>
      <c r="AY90" s="252"/>
      <c r="BF90" s="252"/>
      <c r="BG90" s="252">
        <v>68</v>
      </c>
      <c r="BH90" s="252">
        <v>0</v>
      </c>
      <c r="BI90" s="252">
        <v>361</v>
      </c>
      <c r="BJ90" s="252">
        <v>46</v>
      </c>
      <c r="BK90" s="252">
        <v>0</v>
      </c>
      <c r="BL90" s="252">
        <v>0</v>
      </c>
    </row>
    <row r="91" spans="1:64" ht="15.75" thickBot="1" x14ac:dyDescent="0.3">
      <c r="A91" s="84" t="s">
        <v>421</v>
      </c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>
        <v>0</v>
      </c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85"/>
      <c r="AH91" s="47">
        <f t="shared" si="41"/>
        <v>0</v>
      </c>
      <c r="AI91" s="48">
        <f t="shared" si="42"/>
        <v>0</v>
      </c>
      <c r="AK91" s="86"/>
      <c r="AL91" s="45"/>
      <c r="AM91" s="45"/>
      <c r="AN91" s="87"/>
      <c r="AY91" s="252"/>
      <c r="BF91" s="252"/>
      <c r="BG91" s="252">
        <v>63.1</v>
      </c>
      <c r="BH91" s="252">
        <v>0</v>
      </c>
      <c r="BI91" s="252">
        <v>30.9</v>
      </c>
      <c r="BJ91" s="252">
        <v>25</v>
      </c>
      <c r="BK91" s="252">
        <v>12</v>
      </c>
      <c r="BL91" s="252">
        <v>0</v>
      </c>
    </row>
    <row r="92" spans="1:64" ht="15.75" thickBot="1" x14ac:dyDescent="0.3">
      <c r="A92" s="74" t="s">
        <v>95</v>
      </c>
      <c r="B92" s="60">
        <f t="shared" ref="B92:AA92" si="43">SUMIF(B81:B91,"&gt;0")</f>
        <v>518</v>
      </c>
      <c r="C92" s="60">
        <f t="shared" si="43"/>
        <v>487.8</v>
      </c>
      <c r="D92" s="60">
        <f t="shared" si="43"/>
        <v>478.9</v>
      </c>
      <c r="E92" s="60">
        <f t="shared" si="43"/>
        <v>512</v>
      </c>
      <c r="F92" s="60">
        <f t="shared" si="43"/>
        <v>501.3</v>
      </c>
      <c r="G92" s="60">
        <f t="shared" si="43"/>
        <v>519.4</v>
      </c>
      <c r="H92" s="60">
        <f t="shared" si="43"/>
        <v>504.7</v>
      </c>
      <c r="I92" s="60">
        <f t="shared" si="43"/>
        <v>543</v>
      </c>
      <c r="J92" s="60">
        <f t="shared" si="43"/>
        <v>541.20000000000005</v>
      </c>
      <c r="K92" s="60">
        <f t="shared" si="43"/>
        <v>475</v>
      </c>
      <c r="L92" s="60">
        <f t="shared" si="43"/>
        <v>264.10000000000002</v>
      </c>
      <c r="M92" s="60">
        <f t="shared" si="43"/>
        <v>131</v>
      </c>
      <c r="N92" s="60">
        <f t="shared" si="43"/>
        <v>187.6</v>
      </c>
      <c r="O92" s="60">
        <f t="shared" si="43"/>
        <v>241.7</v>
      </c>
      <c r="P92" s="60">
        <f t="shared" si="43"/>
        <v>441.8</v>
      </c>
      <c r="Q92" s="60">
        <f t="shared" si="43"/>
        <v>630.5</v>
      </c>
      <c r="R92" s="60">
        <f t="shared" si="43"/>
        <v>677.6</v>
      </c>
      <c r="S92" s="60">
        <f t="shared" ref="S92:T92" si="44">SUMIF(S81:S91,"&gt;0")</f>
        <v>654</v>
      </c>
      <c r="T92" s="60">
        <f t="shared" si="44"/>
        <v>700</v>
      </c>
      <c r="U92" s="60">
        <f t="shared" si="43"/>
        <v>686.6</v>
      </c>
      <c r="V92" s="60">
        <f t="shared" si="43"/>
        <v>532.6</v>
      </c>
      <c r="W92" s="60">
        <f t="shared" si="43"/>
        <v>448.3</v>
      </c>
      <c r="X92" s="60">
        <f t="shared" si="43"/>
        <v>354.7</v>
      </c>
      <c r="Y92" s="60">
        <f>SUMIF(Y81:Y91,"&gt;0")</f>
        <v>323</v>
      </c>
      <c r="Z92" s="60">
        <f>SUMIF(Z81:Z91,"&gt;0")</f>
        <v>334.7</v>
      </c>
      <c r="AA92" s="60">
        <f t="shared" si="43"/>
        <v>357.7</v>
      </c>
      <c r="AB92" s="60">
        <f t="shared" ref="AB92:AC92" si="45">SUMIF(AB81:AB91,"&gt;0")</f>
        <v>376.1</v>
      </c>
      <c r="AC92" s="60">
        <f t="shared" si="45"/>
        <v>464.9</v>
      </c>
      <c r="AD92" s="60">
        <f t="shared" ref="AD92:AE92" si="46">SUMIF(AD81:AD91,"&gt;0")</f>
        <v>500.5</v>
      </c>
      <c r="AE92" s="60">
        <f t="shared" si="46"/>
        <v>570.1</v>
      </c>
      <c r="AF92" s="60">
        <f t="shared" ref="AF92" si="47">SUMIF(AF81:AF91,"&gt;0")</f>
        <v>599.79999999999995</v>
      </c>
      <c r="AG92" s="88">
        <f>SUM(AG81:AG91)</f>
        <v>0</v>
      </c>
      <c r="AH92" s="47">
        <f t="shared" si="41"/>
        <v>700</v>
      </c>
      <c r="AI92" s="48">
        <f t="shared" si="42"/>
        <v>131</v>
      </c>
      <c r="AK92" s="86"/>
      <c r="AL92" s="77"/>
      <c r="AM92" s="89"/>
      <c r="AN92" s="255"/>
      <c r="AY92" s="252"/>
      <c r="BF92" s="252"/>
      <c r="BG92" s="252">
        <v>55.7</v>
      </c>
      <c r="BH92" s="252">
        <v>0</v>
      </c>
      <c r="BI92" s="252">
        <v>88</v>
      </c>
      <c r="BJ92" s="252">
        <v>43.9</v>
      </c>
      <c r="BK92" s="252">
        <v>0</v>
      </c>
      <c r="BL92" s="252">
        <v>0</v>
      </c>
    </row>
    <row r="93" spans="1:64" x14ac:dyDescent="0.25">
      <c r="A93" s="44" t="s">
        <v>96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41"/>
        <v>0</v>
      </c>
      <c r="AI93" s="48">
        <f t="shared" si="42"/>
        <v>0</v>
      </c>
      <c r="AK93" s="86"/>
      <c r="AL93" s="77"/>
      <c r="AM93" s="77"/>
      <c r="AN93" s="256"/>
      <c r="BF93" s="252"/>
      <c r="BG93" s="252">
        <v>49.4</v>
      </c>
      <c r="BH93" s="252">
        <v>0</v>
      </c>
      <c r="BI93" s="252">
        <v>150.6</v>
      </c>
      <c r="BJ93" s="252">
        <v>41.7</v>
      </c>
      <c r="BK93" s="252">
        <v>0</v>
      </c>
      <c r="BL93" s="252">
        <v>0</v>
      </c>
    </row>
    <row r="94" spans="1:64" ht="15.75" thickBot="1" x14ac:dyDescent="0.3">
      <c r="A94" s="54" t="s">
        <v>97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41"/>
        <v>0</v>
      </c>
      <c r="AI94" s="48">
        <f t="shared" si="42"/>
        <v>0</v>
      </c>
      <c r="AK94" s="91"/>
      <c r="AL94" s="92"/>
      <c r="AM94" s="92"/>
      <c r="AN94" s="93"/>
      <c r="BF94" s="252"/>
      <c r="BG94" s="252">
        <v>47</v>
      </c>
      <c r="BH94" s="252">
        <v>0</v>
      </c>
      <c r="BI94" s="252">
        <v>301.60000000000002</v>
      </c>
      <c r="BJ94" s="252">
        <v>48.2</v>
      </c>
      <c r="BK94" s="252">
        <v>45</v>
      </c>
      <c r="BL94" s="252">
        <v>0</v>
      </c>
    </row>
    <row r="95" spans="1:64" ht="15.75" thickBot="1" x14ac:dyDescent="0.3">
      <c r="A95" s="84" t="s">
        <v>98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41"/>
        <v>0</v>
      </c>
      <c r="AI95" s="48">
        <f t="shared" si="42"/>
        <v>0</v>
      </c>
      <c r="BF95" s="252"/>
      <c r="BG95" s="252">
        <v>58</v>
      </c>
      <c r="BH95" s="252">
        <v>0</v>
      </c>
      <c r="BI95" s="252">
        <v>414.5</v>
      </c>
      <c r="BJ95" s="252">
        <v>48</v>
      </c>
      <c r="BK95" s="252">
        <v>110</v>
      </c>
      <c r="BL95" s="252">
        <v>0</v>
      </c>
    </row>
    <row r="96" spans="1:64" ht="15.75" thickBot="1" x14ac:dyDescent="0.3">
      <c r="A96" s="74" t="s">
        <v>99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>
        <v>0</v>
      </c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41"/>
        <v>0</v>
      </c>
      <c r="AI96" s="48">
        <f t="shared" si="42"/>
        <v>0</v>
      </c>
      <c r="BF96" s="252"/>
      <c r="BG96" s="252">
        <v>67</v>
      </c>
      <c r="BH96" s="252">
        <v>0</v>
      </c>
      <c r="BI96" s="252">
        <v>441.6</v>
      </c>
      <c r="BJ96" s="252">
        <v>49</v>
      </c>
      <c r="BK96" s="252">
        <v>120</v>
      </c>
      <c r="BL96" s="252">
        <v>0</v>
      </c>
    </row>
    <row r="97" spans="1:64" ht="15.75" thickBot="1" x14ac:dyDescent="0.3">
      <c r="A97" s="74" t="s">
        <v>100</v>
      </c>
      <c r="B97" s="95">
        <f t="shared" ref="B97:AG97" si="48">B58+B62+B80+B76+B92+B96</f>
        <v>1197.44</v>
      </c>
      <c r="C97" s="95">
        <f t="shared" si="48"/>
        <v>1167.24</v>
      </c>
      <c r="D97" s="95">
        <f t="shared" si="48"/>
        <v>1095.54</v>
      </c>
      <c r="E97" s="95">
        <f t="shared" si="48"/>
        <v>1147.8400000000001</v>
      </c>
      <c r="F97" s="95">
        <f t="shared" si="48"/>
        <v>1174.44</v>
      </c>
      <c r="G97" s="95">
        <f t="shared" si="48"/>
        <v>1252.1399999999999</v>
      </c>
      <c r="H97" s="95">
        <f t="shared" si="48"/>
        <v>1316.34</v>
      </c>
      <c r="I97" s="95">
        <f t="shared" si="48"/>
        <v>1428.14</v>
      </c>
      <c r="J97" s="95">
        <f t="shared" si="48"/>
        <v>1534.24</v>
      </c>
      <c r="K97" s="95">
        <f t="shared" si="48"/>
        <v>1523.6399999999999</v>
      </c>
      <c r="L97" s="95">
        <f t="shared" si="48"/>
        <v>1626.7399999999998</v>
      </c>
      <c r="M97" s="95">
        <f t="shared" si="48"/>
        <v>1577.04</v>
      </c>
      <c r="N97" s="95">
        <f t="shared" si="48"/>
        <v>1535.8399999999997</v>
      </c>
      <c r="O97" s="95">
        <f t="shared" si="48"/>
        <v>1424.94</v>
      </c>
      <c r="P97" s="95">
        <f t="shared" si="48"/>
        <v>1415.34</v>
      </c>
      <c r="Q97" s="95">
        <f t="shared" si="48"/>
        <v>1539.6399999999999</v>
      </c>
      <c r="R97" s="95">
        <f t="shared" si="48"/>
        <v>1538.44</v>
      </c>
      <c r="S97" s="95">
        <f t="shared" ref="S97:T97" si="49">S58+S62+S80+S76+S92+S96</f>
        <v>1498.94</v>
      </c>
      <c r="T97" s="95">
        <f t="shared" si="49"/>
        <v>1558.54</v>
      </c>
      <c r="U97" s="95">
        <f t="shared" si="48"/>
        <v>1578.8400000000001</v>
      </c>
      <c r="V97" s="95">
        <f t="shared" si="48"/>
        <v>1423.98</v>
      </c>
      <c r="W97" s="95">
        <f t="shared" si="48"/>
        <v>1473.4799999999998</v>
      </c>
      <c r="X97" s="95">
        <f t="shared" si="48"/>
        <v>1631.8799999999999</v>
      </c>
      <c r="Y97" s="95">
        <f>Y58+Y62+Y80+Y76+Y92+Y96</f>
        <v>1694.1799999999998</v>
      </c>
      <c r="Z97" s="95">
        <f>Z58+Z62+Z80+Z76+Z92+Z96</f>
        <v>1685.4800000000002</v>
      </c>
      <c r="AA97" s="95">
        <f t="shared" si="48"/>
        <v>1652.88</v>
      </c>
      <c r="AB97" s="95">
        <f t="shared" ref="AB97:AC97" si="50">AB58+AB62+AB80+AB76+AB92+AB96</f>
        <v>1605.44</v>
      </c>
      <c r="AC97" s="95">
        <f t="shared" si="50"/>
        <v>1531.94</v>
      </c>
      <c r="AD97" s="95">
        <f t="shared" ref="AD97:AE97" si="51">AD58+AD62+AD80+AD76+AD92+AD96</f>
        <v>1431.64</v>
      </c>
      <c r="AE97" s="95">
        <f t="shared" si="51"/>
        <v>1456.44</v>
      </c>
      <c r="AF97" s="95">
        <f t="shared" ref="AF97" si="52">AF58+AF62+AF80+AF76+AF92+AF96</f>
        <v>1342.54</v>
      </c>
      <c r="AG97" s="61">
        <f t="shared" si="48"/>
        <v>2231.81</v>
      </c>
      <c r="AH97" s="47">
        <f t="shared" si="41"/>
        <v>1694.1799999999998</v>
      </c>
      <c r="AI97" s="48">
        <f t="shared" si="42"/>
        <v>1095.54</v>
      </c>
      <c r="BF97" s="252"/>
      <c r="BG97" s="252">
        <v>60</v>
      </c>
      <c r="BH97" s="252">
        <v>0</v>
      </c>
      <c r="BI97" s="252">
        <v>443</v>
      </c>
      <c r="BJ97" s="252">
        <v>41</v>
      </c>
      <c r="BK97" s="252">
        <v>110</v>
      </c>
      <c r="BL97" s="252">
        <v>0</v>
      </c>
    </row>
    <row r="98" spans="1:64" ht="15.75" thickBot="1" x14ac:dyDescent="0.3">
      <c r="A98" s="96" t="s">
        <v>101</v>
      </c>
      <c r="B98" s="97"/>
      <c r="C98" s="97"/>
      <c r="D98" s="97"/>
      <c r="E98" s="97"/>
      <c r="F98" s="97"/>
      <c r="G98" s="97"/>
      <c r="H98" s="97"/>
      <c r="I98" s="97"/>
      <c r="J98" s="97"/>
      <c r="K98" s="97">
        <v>150</v>
      </c>
      <c r="L98" s="97">
        <v>260</v>
      </c>
      <c r="M98" s="97">
        <v>200</v>
      </c>
      <c r="N98" s="97">
        <v>260</v>
      </c>
      <c r="O98" s="97">
        <v>260</v>
      </c>
      <c r="P98" s="97">
        <v>260</v>
      </c>
      <c r="Q98" s="97">
        <v>60</v>
      </c>
      <c r="R98" s="97"/>
      <c r="S98" s="97"/>
      <c r="T98" s="97"/>
      <c r="U98" s="97"/>
      <c r="V98" s="97">
        <v>200</v>
      </c>
      <c r="W98" s="97">
        <v>250</v>
      </c>
      <c r="X98" s="97">
        <v>250</v>
      </c>
      <c r="Y98" s="97">
        <v>280</v>
      </c>
      <c r="Z98" s="97">
        <v>280</v>
      </c>
      <c r="AA98" s="97">
        <v>270</v>
      </c>
      <c r="AB98" s="97">
        <v>270</v>
      </c>
      <c r="AC98" s="97">
        <v>270</v>
      </c>
      <c r="AD98" s="97">
        <v>270</v>
      </c>
      <c r="AE98" s="97">
        <v>0</v>
      </c>
      <c r="AF98" s="97">
        <v>1</v>
      </c>
      <c r="AG98" s="88"/>
      <c r="AH98" s="47">
        <f t="shared" si="41"/>
        <v>280</v>
      </c>
      <c r="AI98" s="48">
        <f t="shared" si="42"/>
        <v>0</v>
      </c>
      <c r="BF98" s="252"/>
      <c r="BG98" s="252">
        <v>63</v>
      </c>
      <c r="BH98" s="252">
        <v>0</v>
      </c>
      <c r="BI98" s="252">
        <v>472</v>
      </c>
      <c r="BJ98" s="252">
        <v>45</v>
      </c>
      <c r="BK98" s="252">
        <v>120</v>
      </c>
      <c r="BL98" s="252">
        <v>0</v>
      </c>
    </row>
    <row r="99" spans="1:64" ht="15.75" thickBot="1" x14ac:dyDescent="0.3">
      <c r="A99" s="74" t="s">
        <v>102</v>
      </c>
      <c r="B99" s="95">
        <f t="shared" ref="B99:AA99" si="53">B97+B98</f>
        <v>1197.44</v>
      </c>
      <c r="C99" s="95">
        <f t="shared" si="53"/>
        <v>1167.24</v>
      </c>
      <c r="D99" s="95">
        <f t="shared" si="53"/>
        <v>1095.54</v>
      </c>
      <c r="E99" s="95">
        <f t="shared" si="53"/>
        <v>1147.8400000000001</v>
      </c>
      <c r="F99" s="95">
        <f t="shared" si="53"/>
        <v>1174.44</v>
      </c>
      <c r="G99" s="95">
        <f t="shared" si="53"/>
        <v>1252.1399999999999</v>
      </c>
      <c r="H99" s="95">
        <f t="shared" si="53"/>
        <v>1316.34</v>
      </c>
      <c r="I99" s="95">
        <f t="shared" si="53"/>
        <v>1428.14</v>
      </c>
      <c r="J99" s="95">
        <f t="shared" si="53"/>
        <v>1534.24</v>
      </c>
      <c r="K99" s="95">
        <f t="shared" si="53"/>
        <v>1673.6399999999999</v>
      </c>
      <c r="L99" s="95">
        <f t="shared" si="53"/>
        <v>1886.7399999999998</v>
      </c>
      <c r="M99" s="95">
        <f t="shared" si="53"/>
        <v>1777.04</v>
      </c>
      <c r="N99" s="95">
        <f t="shared" si="53"/>
        <v>1795.8399999999997</v>
      </c>
      <c r="O99" s="95">
        <f t="shared" si="53"/>
        <v>1684.94</v>
      </c>
      <c r="P99" s="95">
        <f t="shared" si="53"/>
        <v>1675.34</v>
      </c>
      <c r="Q99" s="95">
        <f t="shared" si="53"/>
        <v>1599.6399999999999</v>
      </c>
      <c r="R99" s="95">
        <f t="shared" si="53"/>
        <v>1538.44</v>
      </c>
      <c r="S99" s="95">
        <f t="shared" ref="S99:T99" si="54">S97+S98</f>
        <v>1498.94</v>
      </c>
      <c r="T99" s="95">
        <f t="shared" si="54"/>
        <v>1558.54</v>
      </c>
      <c r="U99" s="95">
        <f t="shared" si="53"/>
        <v>1578.8400000000001</v>
      </c>
      <c r="V99" s="95">
        <f t="shared" si="53"/>
        <v>1623.98</v>
      </c>
      <c r="W99" s="95">
        <f t="shared" si="53"/>
        <v>1723.4799999999998</v>
      </c>
      <c r="X99" s="95">
        <f t="shared" si="53"/>
        <v>1881.8799999999999</v>
      </c>
      <c r="Y99" s="95">
        <f>Y97+Y98</f>
        <v>1974.1799999999998</v>
      </c>
      <c r="Z99" s="95">
        <f>Z97+Z98</f>
        <v>1965.4800000000002</v>
      </c>
      <c r="AA99" s="95">
        <f t="shared" si="53"/>
        <v>1922.88</v>
      </c>
      <c r="AB99" s="95">
        <f t="shared" ref="AB99:AC99" si="55">AB97+AB98</f>
        <v>1875.44</v>
      </c>
      <c r="AC99" s="95">
        <f t="shared" si="55"/>
        <v>1801.94</v>
      </c>
      <c r="AD99" s="95">
        <f t="shared" ref="AD99:AE99" si="56">AD97+AD98</f>
        <v>1701.64</v>
      </c>
      <c r="AE99" s="95">
        <f t="shared" si="56"/>
        <v>1456.44</v>
      </c>
      <c r="AF99" s="95">
        <f t="shared" ref="AF99" si="57">AF97+AF98</f>
        <v>1343.54</v>
      </c>
      <c r="AG99" s="88">
        <f>AG96+AG92+AG80+AG76+AG58+AG98</f>
        <v>1693.71</v>
      </c>
      <c r="AH99" s="47">
        <f t="shared" si="41"/>
        <v>1974.1799999999998</v>
      </c>
      <c r="AI99" s="48">
        <f t="shared" si="42"/>
        <v>1095.54</v>
      </c>
      <c r="BF99" s="252"/>
      <c r="BG99" s="252">
        <v>74.599999999999994</v>
      </c>
      <c r="BH99" s="252">
        <v>0</v>
      </c>
      <c r="BI99" s="252">
        <v>467</v>
      </c>
      <c r="BJ99" s="252">
        <v>45</v>
      </c>
      <c r="BK99" s="252">
        <v>100</v>
      </c>
      <c r="BL99" s="252">
        <v>0</v>
      </c>
    </row>
    <row r="100" spans="1:64" ht="15.75" thickBot="1" x14ac:dyDescent="0.3">
      <c r="A100" s="74" t="s">
        <v>103</v>
      </c>
      <c r="B100" s="95">
        <f t="shared" ref="B100:M100" si="58">B99-(B107)</f>
        <v>1197.44</v>
      </c>
      <c r="C100" s="95">
        <f t="shared" si="58"/>
        <v>1167.24</v>
      </c>
      <c r="D100" s="95">
        <f t="shared" si="58"/>
        <v>1095.54</v>
      </c>
      <c r="E100" s="95">
        <f t="shared" si="58"/>
        <v>1147.8400000000001</v>
      </c>
      <c r="F100" s="95">
        <f t="shared" si="58"/>
        <v>1174.44</v>
      </c>
      <c r="G100" s="95">
        <f t="shared" si="58"/>
        <v>1252.1399999999999</v>
      </c>
      <c r="H100" s="95">
        <f t="shared" si="58"/>
        <v>1316.34</v>
      </c>
      <c r="I100" s="95">
        <f t="shared" si="58"/>
        <v>1428.14</v>
      </c>
      <c r="J100" s="95">
        <f t="shared" si="58"/>
        <v>1534.24</v>
      </c>
      <c r="K100" s="95">
        <f t="shared" si="58"/>
        <v>1673.6399999999999</v>
      </c>
      <c r="L100" s="95">
        <f t="shared" si="58"/>
        <v>1886.7399999999998</v>
      </c>
      <c r="M100" s="95">
        <f t="shared" si="58"/>
        <v>1777.04</v>
      </c>
      <c r="N100" s="95">
        <f>N99-(N107)</f>
        <v>1795.8399999999997</v>
      </c>
      <c r="O100" s="95">
        <f t="shared" ref="O100:AA100" si="59">O99-(O107)</f>
        <v>1684.94</v>
      </c>
      <c r="P100" s="95">
        <f t="shared" si="59"/>
        <v>1675.34</v>
      </c>
      <c r="Q100" s="95">
        <f t="shared" si="59"/>
        <v>1599.6399999999999</v>
      </c>
      <c r="R100" s="95">
        <f t="shared" si="59"/>
        <v>1538.44</v>
      </c>
      <c r="S100" s="95">
        <f t="shared" ref="S100:T100" si="60">S99-(S107)</f>
        <v>1497.94</v>
      </c>
      <c r="T100" s="95">
        <f t="shared" si="60"/>
        <v>1556.54</v>
      </c>
      <c r="U100" s="95">
        <f t="shared" si="59"/>
        <v>1578.8400000000001</v>
      </c>
      <c r="V100" s="95">
        <f t="shared" si="59"/>
        <v>1623.98</v>
      </c>
      <c r="W100" s="95">
        <f t="shared" si="59"/>
        <v>1723.4799999999998</v>
      </c>
      <c r="X100" s="95">
        <f t="shared" si="59"/>
        <v>1881.8799999999999</v>
      </c>
      <c r="Y100" s="95">
        <f t="shared" si="59"/>
        <v>1973.1799999999998</v>
      </c>
      <c r="Z100" s="95">
        <f t="shared" si="59"/>
        <v>1963.4800000000002</v>
      </c>
      <c r="AA100" s="95">
        <f t="shared" si="59"/>
        <v>1922.88</v>
      </c>
      <c r="AB100" s="95">
        <f t="shared" ref="AB100:AC100" si="61">AB99-(AB107)</f>
        <v>1875.44</v>
      </c>
      <c r="AC100" s="95">
        <f t="shared" si="61"/>
        <v>1801.94</v>
      </c>
      <c r="AD100" s="95">
        <f t="shared" ref="AD100:AE100" si="62">AD99-(AD107)</f>
        <v>1701.64</v>
      </c>
      <c r="AE100" s="95">
        <f t="shared" si="62"/>
        <v>1455.44</v>
      </c>
      <c r="AF100" s="95">
        <f t="shared" ref="AF100" si="63">AF99-(AF107)</f>
        <v>1341.54</v>
      </c>
      <c r="AG100" s="88"/>
      <c r="AH100" s="47">
        <f t="shared" si="41"/>
        <v>1973.1799999999998</v>
      </c>
      <c r="AI100" s="48">
        <f t="shared" si="42"/>
        <v>1095.54</v>
      </c>
      <c r="BF100" s="252"/>
      <c r="BG100" s="252">
        <v>56</v>
      </c>
      <c r="BH100" s="252">
        <v>0</v>
      </c>
      <c r="BI100" s="252">
        <v>372.6</v>
      </c>
      <c r="BJ100" s="252">
        <v>42</v>
      </c>
      <c r="BK100" s="252">
        <v>62</v>
      </c>
      <c r="BL100" s="252">
        <v>0</v>
      </c>
    </row>
    <row r="101" spans="1:64" x14ac:dyDescent="0.25">
      <c r="A101" s="44" t="s">
        <v>84</v>
      </c>
      <c r="B101" s="76">
        <f>IF(B84&lt;0,B84*-1,0)</f>
        <v>0</v>
      </c>
      <c r="C101" s="76">
        <f t="shared" ref="C101:AA101" si="64">IF(C84&lt;0,C84*-1,0)</f>
        <v>0</v>
      </c>
      <c r="D101" s="76">
        <f t="shared" si="64"/>
        <v>0</v>
      </c>
      <c r="E101" s="76">
        <f t="shared" si="64"/>
        <v>0</v>
      </c>
      <c r="F101" s="76">
        <f t="shared" si="64"/>
        <v>0</v>
      </c>
      <c r="G101" s="76">
        <f t="shared" si="64"/>
        <v>0</v>
      </c>
      <c r="H101" s="76">
        <f t="shared" si="64"/>
        <v>0</v>
      </c>
      <c r="I101" s="76">
        <f t="shared" si="64"/>
        <v>0</v>
      </c>
      <c r="J101" s="76">
        <f t="shared" si="64"/>
        <v>0</v>
      </c>
      <c r="K101" s="76">
        <f t="shared" si="64"/>
        <v>0</v>
      </c>
      <c r="L101" s="76">
        <f t="shared" si="64"/>
        <v>0</v>
      </c>
      <c r="M101" s="76">
        <f t="shared" si="64"/>
        <v>0</v>
      </c>
      <c r="N101" s="76">
        <f t="shared" si="64"/>
        <v>0</v>
      </c>
      <c r="O101" s="76">
        <f t="shared" si="64"/>
        <v>0</v>
      </c>
      <c r="P101" s="76">
        <f t="shared" si="64"/>
        <v>0</v>
      </c>
      <c r="Q101" s="76">
        <f t="shared" si="64"/>
        <v>0</v>
      </c>
      <c r="R101" s="76">
        <f t="shared" si="64"/>
        <v>0</v>
      </c>
      <c r="S101" s="76">
        <f t="shared" ref="S101:T101" si="65">IF(S84&lt;0,S84*-1,0)</f>
        <v>0</v>
      </c>
      <c r="T101" s="76">
        <f t="shared" si="65"/>
        <v>0</v>
      </c>
      <c r="U101" s="76">
        <f t="shared" si="64"/>
        <v>0</v>
      </c>
      <c r="V101" s="76">
        <f t="shared" si="64"/>
        <v>0</v>
      </c>
      <c r="W101" s="76">
        <f t="shared" si="64"/>
        <v>0</v>
      </c>
      <c r="X101" s="76">
        <f t="shared" si="64"/>
        <v>0</v>
      </c>
      <c r="Y101" s="76">
        <f t="shared" si="64"/>
        <v>0</v>
      </c>
      <c r="Z101" s="76">
        <f t="shared" si="64"/>
        <v>0</v>
      </c>
      <c r="AA101" s="76">
        <f t="shared" si="64"/>
        <v>0</v>
      </c>
      <c r="AB101" s="76">
        <f t="shared" ref="AB101:AC101" si="66">IF(AB84&lt;0,AB84*-1,0)</f>
        <v>0</v>
      </c>
      <c r="AC101" s="76">
        <f t="shared" si="66"/>
        <v>0</v>
      </c>
      <c r="AD101" s="76">
        <f t="shared" ref="AD101:AE101" si="67">IF(AD84&lt;0,AD84*-1,0)</f>
        <v>0</v>
      </c>
      <c r="AE101" s="76">
        <f t="shared" si="67"/>
        <v>0</v>
      </c>
      <c r="AF101" s="76">
        <f t="shared" ref="AF101" si="68">IF(AF84&lt;0,AF84*-1,0)</f>
        <v>0</v>
      </c>
      <c r="AG101" s="52"/>
      <c r="AH101" s="47">
        <f t="shared" si="41"/>
        <v>0</v>
      </c>
      <c r="AI101" s="48">
        <f t="shared" si="42"/>
        <v>0</v>
      </c>
      <c r="BF101" s="251"/>
      <c r="BG101" s="252">
        <v>67</v>
      </c>
      <c r="BH101" s="252">
        <v>0</v>
      </c>
      <c r="BI101" s="252">
        <v>237.7</v>
      </c>
      <c r="BJ101" s="252">
        <v>10</v>
      </c>
      <c r="BK101" s="252">
        <v>40</v>
      </c>
      <c r="BL101" s="252">
        <v>0</v>
      </c>
    </row>
    <row r="102" spans="1:64" x14ac:dyDescent="0.25">
      <c r="A102" s="54" t="s">
        <v>82</v>
      </c>
      <c r="B102" s="76">
        <f>IF(B82&lt;0,B82*-1,0)</f>
        <v>0</v>
      </c>
      <c r="C102" s="76">
        <f t="shared" ref="C102:AA102" si="69">IF(C82&lt;0,C82*-1,0)</f>
        <v>0</v>
      </c>
      <c r="D102" s="76">
        <f t="shared" si="69"/>
        <v>0</v>
      </c>
      <c r="E102" s="76">
        <f t="shared" si="69"/>
        <v>0</v>
      </c>
      <c r="F102" s="76">
        <f t="shared" si="69"/>
        <v>0</v>
      </c>
      <c r="G102" s="76">
        <f t="shared" si="69"/>
        <v>0</v>
      </c>
      <c r="H102" s="76">
        <f t="shared" si="69"/>
        <v>0</v>
      </c>
      <c r="I102" s="76">
        <f t="shared" si="69"/>
        <v>0</v>
      </c>
      <c r="J102" s="76">
        <f t="shared" si="69"/>
        <v>0</v>
      </c>
      <c r="K102" s="76">
        <f t="shared" si="69"/>
        <v>0</v>
      </c>
      <c r="L102" s="76">
        <f t="shared" si="69"/>
        <v>0</v>
      </c>
      <c r="M102" s="76">
        <f t="shared" si="69"/>
        <v>0</v>
      </c>
      <c r="N102" s="76">
        <f t="shared" si="69"/>
        <v>0</v>
      </c>
      <c r="O102" s="76">
        <f t="shared" si="69"/>
        <v>0</v>
      </c>
      <c r="P102" s="76">
        <f t="shared" si="69"/>
        <v>0</v>
      </c>
      <c r="Q102" s="76">
        <f t="shared" si="69"/>
        <v>0</v>
      </c>
      <c r="R102" s="76">
        <f t="shared" si="69"/>
        <v>0</v>
      </c>
      <c r="S102" s="76">
        <f t="shared" ref="S102:T102" si="70">IF(S82&lt;0,S82*-1,0)</f>
        <v>0</v>
      </c>
      <c r="T102" s="76">
        <f t="shared" si="70"/>
        <v>0</v>
      </c>
      <c r="U102" s="76">
        <f t="shared" si="69"/>
        <v>0</v>
      </c>
      <c r="V102" s="76">
        <f t="shared" si="69"/>
        <v>0</v>
      </c>
      <c r="W102" s="76">
        <f t="shared" si="69"/>
        <v>0</v>
      </c>
      <c r="X102" s="76">
        <f t="shared" si="69"/>
        <v>0</v>
      </c>
      <c r="Y102" s="76">
        <f t="shared" si="69"/>
        <v>0</v>
      </c>
      <c r="Z102" s="76">
        <f t="shared" si="69"/>
        <v>0</v>
      </c>
      <c r="AA102" s="76">
        <f t="shared" si="69"/>
        <v>0</v>
      </c>
      <c r="AB102" s="76">
        <f t="shared" ref="AB102:AC102" si="71">IF(AB82&lt;0,AB82*-1,0)</f>
        <v>0</v>
      </c>
      <c r="AC102" s="76">
        <f t="shared" si="71"/>
        <v>0</v>
      </c>
      <c r="AD102" s="76">
        <f t="shared" ref="AD102:AE102" si="72">IF(AD82&lt;0,AD82*-1,0)</f>
        <v>0</v>
      </c>
      <c r="AE102" s="76">
        <f t="shared" si="72"/>
        <v>0</v>
      </c>
      <c r="AF102" s="76">
        <f t="shared" ref="AF102" si="73">IF(AF82&lt;0,AF82*-1,0)</f>
        <v>0</v>
      </c>
      <c r="AG102" s="55"/>
      <c r="AH102" s="47">
        <f t="shared" si="41"/>
        <v>0</v>
      </c>
      <c r="AI102" s="48">
        <f t="shared" si="42"/>
        <v>0</v>
      </c>
      <c r="BF102" s="251"/>
      <c r="BG102" s="252">
        <v>74</v>
      </c>
      <c r="BH102" s="252">
        <v>0</v>
      </c>
      <c r="BI102" s="252">
        <v>216.7</v>
      </c>
      <c r="BJ102" s="252">
        <v>0</v>
      </c>
      <c r="BK102" s="252">
        <v>44</v>
      </c>
      <c r="BL102" s="252">
        <v>0</v>
      </c>
    </row>
    <row r="103" spans="1:64" x14ac:dyDescent="0.25">
      <c r="A103" s="84" t="s">
        <v>104</v>
      </c>
      <c r="B103" s="76">
        <f>IF(B85&lt;0,B85*-1,0)</f>
        <v>0</v>
      </c>
      <c r="C103" s="76">
        <f t="shared" ref="C103:AA103" si="74">IF(C85&lt;0,C85*-1,0)</f>
        <v>0</v>
      </c>
      <c r="D103" s="76">
        <f t="shared" si="74"/>
        <v>0</v>
      </c>
      <c r="E103" s="76">
        <f t="shared" si="74"/>
        <v>0</v>
      </c>
      <c r="F103" s="76">
        <f t="shared" si="74"/>
        <v>0</v>
      </c>
      <c r="G103" s="76">
        <f t="shared" si="74"/>
        <v>0</v>
      </c>
      <c r="H103" s="76">
        <f t="shared" si="74"/>
        <v>0</v>
      </c>
      <c r="I103" s="76">
        <f t="shared" si="74"/>
        <v>0</v>
      </c>
      <c r="J103" s="76">
        <f t="shared" si="74"/>
        <v>0</v>
      </c>
      <c r="K103" s="76">
        <f t="shared" si="74"/>
        <v>0</v>
      </c>
      <c r="L103" s="76">
        <f t="shared" si="74"/>
        <v>0</v>
      </c>
      <c r="M103" s="76">
        <f t="shared" si="74"/>
        <v>0</v>
      </c>
      <c r="N103" s="76">
        <f t="shared" si="74"/>
        <v>0</v>
      </c>
      <c r="O103" s="76">
        <f t="shared" si="74"/>
        <v>0</v>
      </c>
      <c r="P103" s="76">
        <f t="shared" si="74"/>
        <v>0</v>
      </c>
      <c r="Q103" s="76">
        <f t="shared" si="74"/>
        <v>0</v>
      </c>
      <c r="R103" s="76">
        <f t="shared" si="74"/>
        <v>0</v>
      </c>
      <c r="S103" s="76">
        <f t="shared" ref="S103:T103" si="75">IF(S85&lt;0,S85*-1,0)</f>
        <v>0</v>
      </c>
      <c r="T103" s="76">
        <f t="shared" si="75"/>
        <v>0</v>
      </c>
      <c r="U103" s="76">
        <f t="shared" si="74"/>
        <v>0</v>
      </c>
      <c r="V103" s="76">
        <f t="shared" si="74"/>
        <v>0</v>
      </c>
      <c r="W103" s="76">
        <f t="shared" si="74"/>
        <v>0</v>
      </c>
      <c r="X103" s="76">
        <f t="shared" si="74"/>
        <v>0</v>
      </c>
      <c r="Y103" s="76">
        <f t="shared" si="74"/>
        <v>0</v>
      </c>
      <c r="Z103" s="76">
        <f t="shared" si="74"/>
        <v>0</v>
      </c>
      <c r="AA103" s="76">
        <f t="shared" si="74"/>
        <v>0</v>
      </c>
      <c r="AB103" s="76">
        <f t="shared" ref="AB103:AC103" si="76">IF(AB85&lt;0,AB85*-1,0)</f>
        <v>0</v>
      </c>
      <c r="AC103" s="76">
        <f t="shared" si="76"/>
        <v>0</v>
      </c>
      <c r="AD103" s="76">
        <f t="shared" ref="AD103:AE103" si="77">IF(AD85&lt;0,AD85*-1,0)</f>
        <v>0</v>
      </c>
      <c r="AE103" s="76">
        <f t="shared" si="77"/>
        <v>0</v>
      </c>
      <c r="AF103" s="76">
        <f t="shared" ref="AF103" si="78">IF(AF85&lt;0,AF85*-1,0)</f>
        <v>0</v>
      </c>
      <c r="AG103" s="98"/>
      <c r="AH103" s="47">
        <f t="shared" si="41"/>
        <v>0</v>
      </c>
      <c r="AI103" s="48">
        <f t="shared" si="42"/>
        <v>0</v>
      </c>
      <c r="BF103" s="251"/>
      <c r="BG103" s="252">
        <v>68</v>
      </c>
      <c r="BH103" s="252">
        <v>0</v>
      </c>
      <c r="BI103" s="252">
        <v>267.3</v>
      </c>
      <c r="BJ103" s="252">
        <v>0</v>
      </c>
      <c r="BK103" s="252">
        <v>40.799999999999997</v>
      </c>
      <c r="BL103" s="252">
        <v>0</v>
      </c>
    </row>
    <row r="104" spans="1:64" x14ac:dyDescent="0.25">
      <c r="A104" s="84" t="s">
        <v>105</v>
      </c>
      <c r="B104" s="76">
        <f>IF(B83&lt;0,B83*-1,0)</f>
        <v>0</v>
      </c>
      <c r="C104" s="76">
        <f t="shared" ref="C104:AA104" si="79">IF(C83&lt;0,C83*-1,0)</f>
        <v>0</v>
      </c>
      <c r="D104" s="76">
        <f t="shared" si="79"/>
        <v>0</v>
      </c>
      <c r="E104" s="76">
        <f t="shared" si="79"/>
        <v>0</v>
      </c>
      <c r="F104" s="76">
        <f t="shared" si="79"/>
        <v>0</v>
      </c>
      <c r="G104" s="76">
        <f t="shared" si="79"/>
        <v>0</v>
      </c>
      <c r="H104" s="76">
        <f t="shared" si="79"/>
        <v>0</v>
      </c>
      <c r="I104" s="76">
        <f t="shared" si="79"/>
        <v>0</v>
      </c>
      <c r="J104" s="76">
        <f t="shared" si="79"/>
        <v>0</v>
      </c>
      <c r="K104" s="76">
        <f t="shared" si="79"/>
        <v>0</v>
      </c>
      <c r="L104" s="76">
        <f t="shared" si="79"/>
        <v>0</v>
      </c>
      <c r="M104" s="76">
        <f t="shared" si="79"/>
        <v>0</v>
      </c>
      <c r="N104" s="76">
        <f t="shared" si="79"/>
        <v>0</v>
      </c>
      <c r="O104" s="76">
        <f t="shared" si="79"/>
        <v>0</v>
      </c>
      <c r="P104" s="76">
        <f t="shared" si="79"/>
        <v>0</v>
      </c>
      <c r="Q104" s="76">
        <f t="shared" si="79"/>
        <v>0</v>
      </c>
      <c r="R104" s="76">
        <f t="shared" si="79"/>
        <v>0</v>
      </c>
      <c r="S104" s="76">
        <f t="shared" ref="S104:T104" si="80">IF(S83&lt;0,S83*-1,0)</f>
        <v>0</v>
      </c>
      <c r="T104" s="76">
        <f t="shared" si="80"/>
        <v>0</v>
      </c>
      <c r="U104" s="76">
        <f t="shared" si="79"/>
        <v>0</v>
      </c>
      <c r="V104" s="76">
        <f t="shared" si="79"/>
        <v>0</v>
      </c>
      <c r="W104" s="76">
        <f t="shared" si="79"/>
        <v>0</v>
      </c>
      <c r="X104" s="76">
        <f t="shared" si="79"/>
        <v>0</v>
      </c>
      <c r="Y104" s="76">
        <f t="shared" si="79"/>
        <v>0</v>
      </c>
      <c r="Z104" s="76">
        <f t="shared" si="79"/>
        <v>0</v>
      </c>
      <c r="AA104" s="76">
        <f t="shared" si="79"/>
        <v>0</v>
      </c>
      <c r="AB104" s="76">
        <f t="shared" ref="AB104:AC104" si="81">IF(AB83&lt;0,AB83*-1,0)</f>
        <v>0</v>
      </c>
      <c r="AC104" s="76">
        <f t="shared" si="81"/>
        <v>0</v>
      </c>
      <c r="AD104" s="76">
        <f t="shared" ref="AD104:AE104" si="82">IF(AD83&lt;0,AD83*-1,0)</f>
        <v>0</v>
      </c>
      <c r="AE104" s="76">
        <f t="shared" si="82"/>
        <v>0</v>
      </c>
      <c r="AF104" s="76">
        <f t="shared" ref="AF104" si="83">IF(AF83&lt;0,AF83*-1,0)</f>
        <v>0</v>
      </c>
      <c r="AG104" s="98"/>
      <c r="AH104" s="47">
        <f t="shared" si="41"/>
        <v>0</v>
      </c>
      <c r="AI104" s="48">
        <f t="shared" si="42"/>
        <v>0</v>
      </c>
      <c r="BF104" s="251"/>
      <c r="BG104" s="252">
        <v>67.5</v>
      </c>
      <c r="BH104" s="252">
        <v>0</v>
      </c>
      <c r="BI104" s="252">
        <v>385</v>
      </c>
      <c r="BJ104" s="252">
        <v>0</v>
      </c>
      <c r="BK104" s="252">
        <v>48</v>
      </c>
      <c r="BL104" s="252">
        <v>0</v>
      </c>
    </row>
    <row r="105" spans="1:64" x14ac:dyDescent="0.25">
      <c r="A105" s="84" t="s">
        <v>81</v>
      </c>
      <c r="B105" s="76">
        <f>IF(B81&lt;0,B81*-1,0)</f>
        <v>0</v>
      </c>
      <c r="C105" s="76">
        <f t="shared" ref="C105:AA105" si="84">IF(C81&lt;0,C81*-1,0)</f>
        <v>0</v>
      </c>
      <c r="D105" s="76">
        <f t="shared" si="84"/>
        <v>0</v>
      </c>
      <c r="E105" s="76">
        <f t="shared" si="84"/>
        <v>0</v>
      </c>
      <c r="F105" s="76">
        <f t="shared" si="84"/>
        <v>0</v>
      </c>
      <c r="G105" s="76">
        <f t="shared" si="84"/>
        <v>0</v>
      </c>
      <c r="H105" s="76">
        <f t="shared" si="84"/>
        <v>0</v>
      </c>
      <c r="I105" s="76">
        <f t="shared" si="84"/>
        <v>0</v>
      </c>
      <c r="J105" s="76">
        <f t="shared" si="84"/>
        <v>0</v>
      </c>
      <c r="K105" s="76">
        <f t="shared" si="84"/>
        <v>0</v>
      </c>
      <c r="L105" s="76">
        <f t="shared" si="84"/>
        <v>0</v>
      </c>
      <c r="M105" s="76">
        <f t="shared" si="84"/>
        <v>0</v>
      </c>
      <c r="N105" s="76">
        <f t="shared" si="84"/>
        <v>0</v>
      </c>
      <c r="O105" s="76">
        <f t="shared" si="84"/>
        <v>0</v>
      </c>
      <c r="P105" s="76">
        <f t="shared" si="84"/>
        <v>0</v>
      </c>
      <c r="Q105" s="76">
        <f t="shared" si="84"/>
        <v>0</v>
      </c>
      <c r="R105" s="76">
        <f t="shared" si="84"/>
        <v>0</v>
      </c>
      <c r="S105" s="76">
        <f t="shared" ref="S105:T105" si="85">IF(S81&lt;0,S81*-1,0)</f>
        <v>0</v>
      </c>
      <c r="T105" s="76">
        <f t="shared" si="85"/>
        <v>0</v>
      </c>
      <c r="U105" s="76">
        <f t="shared" si="84"/>
        <v>0</v>
      </c>
      <c r="V105" s="76">
        <f t="shared" si="84"/>
        <v>0</v>
      </c>
      <c r="W105" s="76">
        <f t="shared" si="84"/>
        <v>0</v>
      </c>
      <c r="X105" s="76">
        <f t="shared" si="84"/>
        <v>0</v>
      </c>
      <c r="Y105" s="76">
        <f t="shared" si="84"/>
        <v>0</v>
      </c>
      <c r="Z105" s="76">
        <f t="shared" si="84"/>
        <v>0</v>
      </c>
      <c r="AA105" s="76">
        <f t="shared" si="84"/>
        <v>0</v>
      </c>
      <c r="AB105" s="76">
        <f t="shared" ref="AB105:AC105" si="86">IF(AB81&lt;0,AB81*-1,0)</f>
        <v>0</v>
      </c>
      <c r="AC105" s="76">
        <f t="shared" si="86"/>
        <v>0</v>
      </c>
      <c r="AD105" s="76">
        <f t="shared" ref="AD105:AE105" si="87">IF(AD81&lt;0,AD81*-1,0)</f>
        <v>0</v>
      </c>
      <c r="AE105" s="76">
        <f t="shared" si="87"/>
        <v>0</v>
      </c>
      <c r="AF105" s="76">
        <f t="shared" ref="AF105" si="88">IF(AF81&lt;0,AF81*-1,0)</f>
        <v>0</v>
      </c>
      <c r="AG105" s="98"/>
      <c r="AH105" s="47">
        <f t="shared" si="41"/>
        <v>0</v>
      </c>
      <c r="AI105" s="48">
        <f t="shared" si="42"/>
        <v>0</v>
      </c>
      <c r="BF105" s="251"/>
      <c r="BG105" s="252">
        <v>63.1</v>
      </c>
      <c r="BH105" s="252">
        <v>0</v>
      </c>
      <c r="BI105" s="252">
        <v>387</v>
      </c>
      <c r="BJ105" s="252">
        <v>0</v>
      </c>
      <c r="BK105" s="252">
        <v>120</v>
      </c>
      <c r="BL105" s="252">
        <v>0</v>
      </c>
    </row>
    <row r="106" spans="1:64" ht="15.75" thickBot="1" x14ac:dyDescent="0.3">
      <c r="A106" s="84" t="s">
        <v>106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1</v>
      </c>
      <c r="T106" s="94">
        <v>2</v>
      </c>
      <c r="U106" s="94">
        <v>0</v>
      </c>
      <c r="V106" s="94">
        <v>0</v>
      </c>
      <c r="W106" s="94">
        <v>0</v>
      </c>
      <c r="X106" s="94">
        <v>0</v>
      </c>
      <c r="Y106" s="94">
        <v>1</v>
      </c>
      <c r="Z106" s="94">
        <v>2</v>
      </c>
      <c r="AA106" s="94">
        <v>0</v>
      </c>
      <c r="AB106" s="94">
        <v>0</v>
      </c>
      <c r="AC106" s="94">
        <v>0</v>
      </c>
      <c r="AD106" s="94">
        <v>0</v>
      </c>
      <c r="AE106" s="94">
        <v>1</v>
      </c>
      <c r="AF106" s="94">
        <v>2</v>
      </c>
      <c r="AG106" s="85"/>
      <c r="AH106" s="47">
        <f t="shared" si="41"/>
        <v>2</v>
      </c>
      <c r="AI106" s="48">
        <f t="shared" si="42"/>
        <v>0</v>
      </c>
      <c r="BG106" s="252">
        <v>68.900000000000006</v>
      </c>
      <c r="BH106" s="252">
        <v>0</v>
      </c>
      <c r="BI106" s="252">
        <v>405.9</v>
      </c>
      <c r="BJ106" s="252">
        <v>0</v>
      </c>
      <c r="BK106" s="252">
        <v>125</v>
      </c>
      <c r="BL106" s="252">
        <v>0</v>
      </c>
    </row>
    <row r="107" spans="1:64" ht="15.75" thickBot="1" x14ac:dyDescent="0.3">
      <c r="A107" s="99" t="s">
        <v>107</v>
      </c>
      <c r="B107" s="60">
        <f>SUM(B101:B106)</f>
        <v>0</v>
      </c>
      <c r="C107" s="60">
        <f t="shared" ref="C107:AA107" si="89">SUM(C101:C106)</f>
        <v>0</v>
      </c>
      <c r="D107" s="60">
        <f t="shared" si="89"/>
        <v>0</v>
      </c>
      <c r="E107" s="60">
        <f t="shared" si="89"/>
        <v>0</v>
      </c>
      <c r="F107" s="60">
        <f t="shared" si="89"/>
        <v>0</v>
      </c>
      <c r="G107" s="60">
        <f t="shared" si="89"/>
        <v>0</v>
      </c>
      <c r="H107" s="60">
        <f t="shared" si="89"/>
        <v>0</v>
      </c>
      <c r="I107" s="60">
        <f t="shared" si="89"/>
        <v>0</v>
      </c>
      <c r="J107" s="60">
        <f t="shared" si="89"/>
        <v>0</v>
      </c>
      <c r="K107" s="60">
        <f t="shared" si="89"/>
        <v>0</v>
      </c>
      <c r="L107" s="60">
        <f t="shared" si="89"/>
        <v>0</v>
      </c>
      <c r="M107" s="60">
        <f t="shared" si="89"/>
        <v>0</v>
      </c>
      <c r="N107" s="60">
        <f t="shared" si="89"/>
        <v>0</v>
      </c>
      <c r="O107" s="60">
        <f t="shared" si="89"/>
        <v>0</v>
      </c>
      <c r="P107" s="60">
        <f t="shared" si="89"/>
        <v>0</v>
      </c>
      <c r="Q107" s="60">
        <f t="shared" si="89"/>
        <v>0</v>
      </c>
      <c r="R107" s="60">
        <f t="shared" si="89"/>
        <v>0</v>
      </c>
      <c r="S107" s="60">
        <f t="shared" ref="S107:T107" si="90">SUM(S101:S106)</f>
        <v>1</v>
      </c>
      <c r="T107" s="60">
        <f t="shared" si="90"/>
        <v>2</v>
      </c>
      <c r="U107" s="60">
        <f t="shared" si="89"/>
        <v>0</v>
      </c>
      <c r="V107" s="60">
        <f t="shared" si="89"/>
        <v>0</v>
      </c>
      <c r="W107" s="60">
        <f t="shared" si="89"/>
        <v>0</v>
      </c>
      <c r="X107" s="60">
        <f t="shared" si="89"/>
        <v>0</v>
      </c>
      <c r="Y107" s="60">
        <f t="shared" ref="Y107:Z107" si="91">SUM(Y101:Y106)</f>
        <v>1</v>
      </c>
      <c r="Z107" s="60">
        <f t="shared" si="91"/>
        <v>2</v>
      </c>
      <c r="AA107" s="60">
        <f t="shared" si="89"/>
        <v>0</v>
      </c>
      <c r="AB107" s="60">
        <f t="shared" ref="AB107:AC107" si="92">SUM(AB101:AB106)</f>
        <v>0</v>
      </c>
      <c r="AC107" s="60">
        <f t="shared" si="92"/>
        <v>0</v>
      </c>
      <c r="AD107" s="60">
        <f t="shared" ref="AD107:AE107" si="93">SUM(AD101:AD106)</f>
        <v>0</v>
      </c>
      <c r="AE107" s="60">
        <f t="shared" si="93"/>
        <v>1</v>
      </c>
      <c r="AF107" s="60">
        <f t="shared" ref="AF107" si="94">SUM(AF101:AF106)</f>
        <v>2</v>
      </c>
      <c r="AG107" s="88"/>
      <c r="AH107" s="47">
        <f t="shared" si="41"/>
        <v>2</v>
      </c>
      <c r="AI107" s="48">
        <f t="shared" si="42"/>
        <v>0</v>
      </c>
      <c r="AK107" s="50"/>
      <c r="BG107" s="252">
        <v>67</v>
      </c>
      <c r="BH107" s="252">
        <v>0</v>
      </c>
      <c r="BI107" s="252">
        <v>409</v>
      </c>
      <c r="BJ107" s="252">
        <v>42</v>
      </c>
      <c r="BK107" s="252">
        <v>0</v>
      </c>
      <c r="BL107" s="252">
        <v>0</v>
      </c>
    </row>
    <row r="108" spans="1:64" ht="15.75" thickBot="1" x14ac:dyDescent="0.3">
      <c r="A108" s="74" t="s">
        <v>108</v>
      </c>
      <c r="B108" s="60">
        <f t="shared" ref="B108:AA108" si="95">B92-B107</f>
        <v>518</v>
      </c>
      <c r="C108" s="60">
        <f t="shared" si="95"/>
        <v>487.8</v>
      </c>
      <c r="D108" s="60">
        <f t="shared" si="95"/>
        <v>478.9</v>
      </c>
      <c r="E108" s="60">
        <f t="shared" si="95"/>
        <v>512</v>
      </c>
      <c r="F108" s="60">
        <f t="shared" si="95"/>
        <v>501.3</v>
      </c>
      <c r="G108" s="60">
        <f t="shared" si="95"/>
        <v>519.4</v>
      </c>
      <c r="H108" s="60">
        <f t="shared" si="95"/>
        <v>504.7</v>
      </c>
      <c r="I108" s="60">
        <f t="shared" si="95"/>
        <v>543</v>
      </c>
      <c r="J108" s="60">
        <f t="shared" si="95"/>
        <v>541.20000000000005</v>
      </c>
      <c r="K108" s="60">
        <f t="shared" si="95"/>
        <v>475</v>
      </c>
      <c r="L108" s="60">
        <f t="shared" si="95"/>
        <v>264.10000000000002</v>
      </c>
      <c r="M108" s="60">
        <f t="shared" si="95"/>
        <v>131</v>
      </c>
      <c r="N108" s="60">
        <f t="shared" si="95"/>
        <v>187.6</v>
      </c>
      <c r="O108" s="60">
        <f t="shared" si="95"/>
        <v>241.7</v>
      </c>
      <c r="P108" s="60">
        <f t="shared" si="95"/>
        <v>441.8</v>
      </c>
      <c r="Q108" s="60">
        <f t="shared" si="95"/>
        <v>630.5</v>
      </c>
      <c r="R108" s="60">
        <f t="shared" si="95"/>
        <v>677.6</v>
      </c>
      <c r="S108" s="60">
        <f t="shared" ref="S108:T108" si="96">S92-S107</f>
        <v>653</v>
      </c>
      <c r="T108" s="60">
        <f t="shared" si="96"/>
        <v>698</v>
      </c>
      <c r="U108" s="60">
        <f t="shared" si="95"/>
        <v>686.6</v>
      </c>
      <c r="V108" s="60">
        <f t="shared" si="95"/>
        <v>532.6</v>
      </c>
      <c r="W108" s="60">
        <f t="shared" si="95"/>
        <v>448.3</v>
      </c>
      <c r="X108" s="60">
        <f t="shared" si="95"/>
        <v>354.7</v>
      </c>
      <c r="Y108" s="60">
        <f>Y92-Y107</f>
        <v>322</v>
      </c>
      <c r="Z108" s="60">
        <f>Z92-Z107</f>
        <v>332.7</v>
      </c>
      <c r="AA108" s="60">
        <f t="shared" si="95"/>
        <v>357.7</v>
      </c>
      <c r="AB108" s="60">
        <f t="shared" ref="AB108:AC108" si="97">AB92-AB107</f>
        <v>376.1</v>
      </c>
      <c r="AC108" s="60">
        <f t="shared" si="97"/>
        <v>464.9</v>
      </c>
      <c r="AD108" s="60">
        <f t="shared" ref="AD108:AE108" si="98">AD92-AD107</f>
        <v>500.5</v>
      </c>
      <c r="AE108" s="60">
        <f t="shared" si="98"/>
        <v>569.1</v>
      </c>
      <c r="AF108" s="60">
        <f t="shared" ref="AF108" si="99">AF92-AF107</f>
        <v>597.79999999999995</v>
      </c>
      <c r="AG108" s="88"/>
      <c r="AH108" s="47">
        <f t="shared" si="41"/>
        <v>698</v>
      </c>
      <c r="AI108" s="48">
        <f t="shared" si="42"/>
        <v>131</v>
      </c>
    </row>
    <row r="109" spans="1:64" x14ac:dyDescent="0.25">
      <c r="A109" s="100" t="s">
        <v>109</v>
      </c>
      <c r="B109" s="101">
        <v>50.04</v>
      </c>
      <c r="C109" s="101">
        <v>50.046999999999997</v>
      </c>
      <c r="D109" s="101">
        <v>49.973999999999997</v>
      </c>
      <c r="E109" s="101">
        <v>49.99</v>
      </c>
      <c r="F109" s="101">
        <v>50.011000000000003</v>
      </c>
      <c r="G109" s="101">
        <v>49.99</v>
      </c>
      <c r="H109" s="101">
        <v>49.966000000000001</v>
      </c>
      <c r="I109" s="101">
        <v>50</v>
      </c>
      <c r="J109" s="101">
        <v>50.064999999999998</v>
      </c>
      <c r="K109" s="101">
        <v>50.14</v>
      </c>
      <c r="L109" s="101">
        <v>49.899000000000001</v>
      </c>
      <c r="M109" s="101">
        <v>49.997999999999998</v>
      </c>
      <c r="N109" s="101">
        <v>50.036999999999999</v>
      </c>
      <c r="O109" s="101">
        <v>50.002000000000002</v>
      </c>
      <c r="P109" s="101">
        <v>50.046999999999997</v>
      </c>
      <c r="Q109" s="101">
        <v>49.94</v>
      </c>
      <c r="R109" s="101">
        <v>50.08</v>
      </c>
      <c r="S109" s="101">
        <v>49.96</v>
      </c>
      <c r="T109" s="101">
        <v>50</v>
      </c>
      <c r="U109" s="101">
        <v>50.191000000000003</v>
      </c>
      <c r="V109" s="101">
        <v>49.9878</v>
      </c>
      <c r="W109" s="101">
        <v>50.058999999999997</v>
      </c>
      <c r="X109" s="101">
        <v>50.055</v>
      </c>
      <c r="Y109" s="101">
        <v>49.942</v>
      </c>
      <c r="Z109" s="101">
        <v>49.972999999999999</v>
      </c>
      <c r="AA109" s="101">
        <v>50.029000000000003</v>
      </c>
      <c r="AB109" s="101">
        <v>50.01</v>
      </c>
      <c r="AC109" s="101">
        <v>50.04</v>
      </c>
      <c r="AD109" s="101">
        <v>50.07</v>
      </c>
      <c r="AE109" s="101">
        <v>50.045000000000002</v>
      </c>
      <c r="AF109" s="101">
        <v>49.98</v>
      </c>
      <c r="AG109" s="102"/>
      <c r="AH109" s="47">
        <f t="shared" si="41"/>
        <v>50.191000000000003</v>
      </c>
      <c r="AI109" s="48">
        <f t="shared" si="42"/>
        <v>49.899000000000001</v>
      </c>
    </row>
    <row r="110" spans="1:64" x14ac:dyDescent="0.25">
      <c r="A110" s="103" t="s">
        <v>110</v>
      </c>
      <c r="B110" s="65">
        <v>126.6</v>
      </c>
      <c r="C110" s="65">
        <v>127.4</v>
      </c>
      <c r="D110" s="65">
        <v>127.4</v>
      </c>
      <c r="E110" s="65">
        <v>127.4</v>
      </c>
      <c r="F110" s="65">
        <v>127.4</v>
      </c>
      <c r="G110" s="65">
        <v>126.9</v>
      </c>
      <c r="H110" s="65">
        <v>126.9</v>
      </c>
      <c r="I110" s="65">
        <v>125.6</v>
      </c>
      <c r="J110" s="65">
        <v>124.6</v>
      </c>
      <c r="K110" s="65">
        <v>127.9</v>
      </c>
      <c r="L110" s="65">
        <v>126</v>
      </c>
      <c r="M110" s="65">
        <v>126.3</v>
      </c>
      <c r="N110" s="65">
        <v>126.6</v>
      </c>
      <c r="O110" s="65">
        <v>127.4</v>
      </c>
      <c r="P110" s="65">
        <v>127.6</v>
      </c>
      <c r="Q110" s="65">
        <v>125.3</v>
      </c>
      <c r="R110" s="65">
        <v>124.8</v>
      </c>
      <c r="S110" s="65">
        <v>124.5</v>
      </c>
      <c r="T110" s="65">
        <v>125</v>
      </c>
      <c r="U110" s="65">
        <v>125.3</v>
      </c>
      <c r="V110" s="65">
        <v>128.69999999999999</v>
      </c>
      <c r="W110" s="65">
        <v>128.69999999999999</v>
      </c>
      <c r="X110" s="65">
        <v>128.69999999999999</v>
      </c>
      <c r="Y110" s="65">
        <v>127</v>
      </c>
      <c r="Z110" s="65">
        <v>127</v>
      </c>
      <c r="AA110" s="65">
        <v>129</v>
      </c>
      <c r="AB110" s="65">
        <v>129</v>
      </c>
      <c r="AC110" s="65">
        <v>130.69999999999999</v>
      </c>
      <c r="AD110" s="65">
        <v>127.4</v>
      </c>
      <c r="AE110" s="65">
        <v>127.1</v>
      </c>
      <c r="AF110" s="65">
        <v>127.8</v>
      </c>
      <c r="AG110" s="104"/>
      <c r="AH110" s="47">
        <f t="shared" si="41"/>
        <v>130.69999999999999</v>
      </c>
      <c r="AI110" s="48">
        <f t="shared" si="42"/>
        <v>124.5</v>
      </c>
    </row>
    <row r="111" spans="1:64" x14ac:dyDescent="0.25">
      <c r="A111" s="103" t="s">
        <v>111</v>
      </c>
      <c r="B111" s="65">
        <v>130.9</v>
      </c>
      <c r="C111" s="65">
        <v>131.6</v>
      </c>
      <c r="D111" s="65">
        <v>131.6</v>
      </c>
      <c r="E111" s="65">
        <v>131.6</v>
      </c>
      <c r="F111" s="65">
        <v>131.6</v>
      </c>
      <c r="G111" s="65">
        <v>130.80000000000001</v>
      </c>
      <c r="H111" s="65">
        <v>130.80000000000001</v>
      </c>
      <c r="I111" s="65">
        <v>129</v>
      </c>
      <c r="J111" s="65">
        <v>127.3</v>
      </c>
      <c r="K111" s="65">
        <v>1285.9000000000001</v>
      </c>
      <c r="L111" s="65">
        <v>126.8</v>
      </c>
      <c r="M111" s="65">
        <v>126.7</v>
      </c>
      <c r="N111" s="65">
        <v>127.6</v>
      </c>
      <c r="O111" s="65">
        <v>128.1</v>
      </c>
      <c r="P111" s="65">
        <v>128.4</v>
      </c>
      <c r="Q111" s="65">
        <v>127.1</v>
      </c>
      <c r="R111" s="65">
        <v>127.1</v>
      </c>
      <c r="S111" s="65">
        <v>127</v>
      </c>
      <c r="T111" s="65">
        <v>127</v>
      </c>
      <c r="U111" s="65">
        <v>127.6</v>
      </c>
      <c r="V111" s="65">
        <v>130</v>
      </c>
      <c r="W111" s="65">
        <v>130</v>
      </c>
      <c r="X111" s="65">
        <v>130</v>
      </c>
      <c r="Y111" s="65">
        <v>127.74</v>
      </c>
      <c r="Z111" s="65">
        <v>127.74</v>
      </c>
      <c r="AA111" s="65">
        <v>131</v>
      </c>
      <c r="AB111" s="65">
        <v>131</v>
      </c>
      <c r="AC111" s="65">
        <v>132.30000000000001</v>
      </c>
      <c r="AD111" s="65">
        <v>129.4</v>
      </c>
      <c r="AE111" s="65">
        <v>130</v>
      </c>
      <c r="AF111" s="65">
        <v>131.1</v>
      </c>
      <c r="AG111" s="104"/>
      <c r="AH111" s="47">
        <f t="shared" si="41"/>
        <v>1285.9000000000001</v>
      </c>
      <c r="AI111" s="48">
        <f t="shared" si="42"/>
        <v>126.7</v>
      </c>
    </row>
    <row r="112" spans="1:64" x14ac:dyDescent="0.25">
      <c r="A112" s="103" t="s">
        <v>112</v>
      </c>
      <c r="B112" s="65">
        <v>130.69999999999999</v>
      </c>
      <c r="C112" s="65">
        <v>130.4</v>
      </c>
      <c r="D112" s="65">
        <v>130.4</v>
      </c>
      <c r="E112" s="65">
        <v>130.4</v>
      </c>
      <c r="F112" s="65">
        <v>130.4</v>
      </c>
      <c r="G112" s="65">
        <v>128.69999999999999</v>
      </c>
      <c r="H112" s="65">
        <v>128.69999999999999</v>
      </c>
      <c r="I112" s="65">
        <v>128.6</v>
      </c>
      <c r="J112" s="65">
        <v>126.5</v>
      </c>
      <c r="K112" s="65">
        <v>129.5</v>
      </c>
      <c r="L112" s="65">
        <v>126.2</v>
      </c>
      <c r="M112" s="65">
        <v>129.19999999999999</v>
      </c>
      <c r="N112" s="65">
        <v>127.8</v>
      </c>
      <c r="O112" s="65">
        <v>130.1</v>
      </c>
      <c r="P112" s="65">
        <v>129</v>
      </c>
      <c r="Q112" s="65">
        <v>126.6</v>
      </c>
      <c r="R112" s="65">
        <v>126.6</v>
      </c>
      <c r="S112" s="65">
        <v>125</v>
      </c>
      <c r="T112" s="65">
        <v>127</v>
      </c>
      <c r="U112" s="65">
        <v>124.8</v>
      </c>
      <c r="V112" s="65">
        <v>130.5</v>
      </c>
      <c r="W112" s="65">
        <v>130.5</v>
      </c>
      <c r="X112" s="65">
        <v>130.5</v>
      </c>
      <c r="Y112" s="65">
        <v>129</v>
      </c>
      <c r="Z112" s="65">
        <v>129</v>
      </c>
      <c r="AA112" s="65">
        <v>130</v>
      </c>
      <c r="AB112" s="65">
        <v>130</v>
      </c>
      <c r="AC112" s="65">
        <v>131.69999999999999</v>
      </c>
      <c r="AD112" s="65">
        <v>126.4</v>
      </c>
      <c r="AE112" s="65">
        <v>130.5</v>
      </c>
      <c r="AF112" s="65">
        <v>129.69999999999999</v>
      </c>
      <c r="AG112" s="104"/>
      <c r="AH112" s="47">
        <f t="shared" si="41"/>
        <v>131.69999999999999</v>
      </c>
      <c r="AI112" s="48">
        <f t="shared" si="42"/>
        <v>124.8</v>
      </c>
    </row>
    <row r="113" spans="1:35" x14ac:dyDescent="0.25">
      <c r="A113" s="105" t="s">
        <v>113</v>
      </c>
      <c r="B113" s="65">
        <v>133</v>
      </c>
      <c r="C113" s="65">
        <v>133.6</v>
      </c>
      <c r="D113" s="65">
        <v>133.6</v>
      </c>
      <c r="E113" s="65">
        <v>133.6</v>
      </c>
      <c r="F113" s="65">
        <v>134</v>
      </c>
      <c r="G113" s="65">
        <v>131.9</v>
      </c>
      <c r="H113" s="65">
        <v>131.9</v>
      </c>
      <c r="I113" s="65">
        <v>130.69999999999999</v>
      </c>
      <c r="J113" s="65">
        <v>128.19999999999999</v>
      </c>
      <c r="K113" s="65">
        <v>129.5</v>
      </c>
      <c r="L113" s="65">
        <v>126</v>
      </c>
      <c r="M113" s="65">
        <v>129.80000000000001</v>
      </c>
      <c r="N113" s="65">
        <v>128.1</v>
      </c>
      <c r="O113" s="65">
        <v>130.9</v>
      </c>
      <c r="P113" s="65">
        <v>130.69999999999999</v>
      </c>
      <c r="Q113" s="65">
        <v>130.6</v>
      </c>
      <c r="R113" s="65">
        <v>130.6</v>
      </c>
      <c r="S113" s="65">
        <v>129</v>
      </c>
      <c r="T113" s="65">
        <v>130</v>
      </c>
      <c r="U113" s="65">
        <v>128.19999999999999</v>
      </c>
      <c r="V113" s="65">
        <v>132</v>
      </c>
      <c r="W113" s="65">
        <v>132</v>
      </c>
      <c r="X113" s="65">
        <v>132</v>
      </c>
      <c r="Y113" s="65">
        <v>129.9</v>
      </c>
      <c r="Z113" s="65">
        <v>129.9</v>
      </c>
      <c r="AA113" s="65">
        <v>132</v>
      </c>
      <c r="AB113" s="65">
        <v>132</v>
      </c>
      <c r="AC113" s="65">
        <v>133.1</v>
      </c>
      <c r="AD113" s="65">
        <v>129</v>
      </c>
      <c r="AE113" s="65">
        <v>133.1</v>
      </c>
      <c r="AF113" s="65">
        <v>133.19999999999999</v>
      </c>
      <c r="AG113" s="104"/>
      <c r="AH113" s="47">
        <f t="shared" si="41"/>
        <v>134</v>
      </c>
      <c r="AI113" s="48">
        <f t="shared" si="42"/>
        <v>126</v>
      </c>
    </row>
    <row r="114" spans="1:35" x14ac:dyDescent="0.25">
      <c r="A114" s="105" t="s">
        <v>114</v>
      </c>
      <c r="B114" s="106">
        <v>133</v>
      </c>
      <c r="C114" s="106">
        <v>132.80000000000001</v>
      </c>
      <c r="D114" s="106">
        <v>132.80000000000001</v>
      </c>
      <c r="E114" s="106">
        <v>132.80000000000001</v>
      </c>
      <c r="F114" s="106">
        <v>132</v>
      </c>
      <c r="G114" s="106">
        <v>131</v>
      </c>
      <c r="H114" s="106">
        <v>131</v>
      </c>
      <c r="I114" s="106">
        <v>130</v>
      </c>
      <c r="J114" s="106">
        <v>130.9</v>
      </c>
      <c r="K114" s="106">
        <v>134</v>
      </c>
      <c r="L114" s="106">
        <v>135</v>
      </c>
      <c r="M114" s="106">
        <v>131.9</v>
      </c>
      <c r="N114" s="106">
        <v>133.1</v>
      </c>
      <c r="O114" s="106">
        <v>132.9</v>
      </c>
      <c r="P114" s="106">
        <v>131.4</v>
      </c>
      <c r="Q114" s="106">
        <v>132.6</v>
      </c>
      <c r="R114" s="106">
        <v>132.6</v>
      </c>
      <c r="S114" s="106">
        <v>134</v>
      </c>
      <c r="T114" s="106">
        <v>132.6</v>
      </c>
      <c r="U114" s="106">
        <v>132.6</v>
      </c>
      <c r="V114" s="106">
        <v>135</v>
      </c>
      <c r="W114" s="106">
        <v>135</v>
      </c>
      <c r="X114" s="106">
        <v>135</v>
      </c>
      <c r="Y114" s="106">
        <v>133.69999999999999</v>
      </c>
      <c r="Z114" s="106">
        <v>133.69999999999999</v>
      </c>
      <c r="AA114" s="106">
        <v>135</v>
      </c>
      <c r="AB114" s="106">
        <v>135</v>
      </c>
      <c r="AC114" s="106">
        <v>136.6</v>
      </c>
      <c r="AD114" s="106">
        <v>133</v>
      </c>
      <c r="AE114" s="106">
        <v>130.5</v>
      </c>
      <c r="AF114" s="106">
        <v>131.6</v>
      </c>
      <c r="AG114" s="107"/>
      <c r="AH114" s="47">
        <f t="shared" si="41"/>
        <v>136.6</v>
      </c>
      <c r="AI114" s="48">
        <f t="shared" si="42"/>
        <v>130</v>
      </c>
    </row>
    <row r="115" spans="1:35" x14ac:dyDescent="0.25">
      <c r="A115" s="103" t="s">
        <v>115</v>
      </c>
      <c r="B115" s="65">
        <v>131.4</v>
      </c>
      <c r="C115" s="65">
        <v>131</v>
      </c>
      <c r="D115" s="65">
        <v>131</v>
      </c>
      <c r="E115" s="65">
        <v>131</v>
      </c>
      <c r="F115" s="65">
        <v>131</v>
      </c>
      <c r="G115" s="65">
        <v>132</v>
      </c>
      <c r="H115" s="65">
        <v>132</v>
      </c>
      <c r="I115" s="65">
        <v>130</v>
      </c>
      <c r="J115" s="65">
        <v>128.4</v>
      </c>
      <c r="K115" s="65">
        <v>128.80000000000001</v>
      </c>
      <c r="L115" s="65">
        <v>130.63</v>
      </c>
      <c r="M115" s="65">
        <v>133.19999999999999</v>
      </c>
      <c r="N115" s="65">
        <v>134.30000000000001</v>
      </c>
      <c r="O115" s="65">
        <v>132.6</v>
      </c>
      <c r="P115" s="65">
        <v>133.5</v>
      </c>
      <c r="Q115" s="65">
        <v>132.6</v>
      </c>
      <c r="R115" s="65">
        <v>132.6</v>
      </c>
      <c r="S115" s="65">
        <v>133.9</v>
      </c>
      <c r="T115" s="65">
        <v>134.5</v>
      </c>
      <c r="U115" s="65">
        <v>131</v>
      </c>
      <c r="V115" s="65">
        <v>133.74</v>
      </c>
      <c r="W115" s="65">
        <v>133.74</v>
      </c>
      <c r="X115" s="65">
        <v>133.74</v>
      </c>
      <c r="Y115" s="65">
        <v>128</v>
      </c>
      <c r="Z115" s="65">
        <v>128</v>
      </c>
      <c r="AA115" s="65">
        <v>128</v>
      </c>
      <c r="AB115" s="65">
        <v>128</v>
      </c>
      <c r="AC115" s="65">
        <v>129.80000000000001</v>
      </c>
      <c r="AD115" s="65">
        <v>133.4</v>
      </c>
      <c r="AE115" s="65">
        <v>131.19999999999999</v>
      </c>
      <c r="AF115" s="65">
        <v>131.69999999999999</v>
      </c>
      <c r="AG115" s="104"/>
      <c r="AH115" s="47">
        <f t="shared" si="41"/>
        <v>134.5</v>
      </c>
      <c r="AI115" s="48">
        <f t="shared" si="42"/>
        <v>128</v>
      </c>
    </row>
    <row r="116" spans="1:35" ht="15.75" thickBot="1" x14ac:dyDescent="0.3">
      <c r="A116" s="103" t="s">
        <v>116</v>
      </c>
      <c r="B116" s="92">
        <v>65.400000000000006</v>
      </c>
      <c r="C116" s="92">
        <v>65.8</v>
      </c>
      <c r="D116" s="92">
        <v>65.8</v>
      </c>
      <c r="E116" s="92">
        <v>66</v>
      </c>
      <c r="F116" s="92">
        <v>66</v>
      </c>
      <c r="G116" s="92">
        <v>65.7</v>
      </c>
      <c r="H116" s="92">
        <v>65.7</v>
      </c>
      <c r="I116" s="92">
        <v>64.599999999999994</v>
      </c>
      <c r="J116" s="92">
        <v>63.7</v>
      </c>
      <c r="K116" s="92">
        <v>64.7</v>
      </c>
      <c r="L116" s="92">
        <v>63.5</v>
      </c>
      <c r="M116" s="92">
        <v>63.5</v>
      </c>
      <c r="N116" s="92">
        <v>64</v>
      </c>
      <c r="O116" s="92">
        <v>64.2</v>
      </c>
      <c r="P116" s="92">
        <v>64.3</v>
      </c>
      <c r="Q116" s="92">
        <v>64</v>
      </c>
      <c r="R116" s="92">
        <v>64.2</v>
      </c>
      <c r="S116" s="92">
        <v>64.2</v>
      </c>
      <c r="T116" s="92">
        <v>64.099999999999994</v>
      </c>
      <c r="U116" s="92">
        <v>64.2</v>
      </c>
      <c r="V116" s="92">
        <v>65.2</v>
      </c>
      <c r="W116" s="92">
        <v>65.2</v>
      </c>
      <c r="X116" s="92">
        <v>65.2</v>
      </c>
      <c r="Y116" s="92">
        <v>63.8</v>
      </c>
      <c r="Z116" s="92">
        <v>63.8</v>
      </c>
      <c r="AA116" s="92">
        <v>65.400000000000006</v>
      </c>
      <c r="AB116" s="92">
        <v>65.400000000000006</v>
      </c>
      <c r="AC116" s="92">
        <v>66</v>
      </c>
      <c r="AD116" s="92">
        <v>64.599999999999994</v>
      </c>
      <c r="AE116" s="92">
        <v>65.3</v>
      </c>
      <c r="AF116" s="92">
        <v>66</v>
      </c>
      <c r="AG116" s="108"/>
      <c r="AH116" s="47">
        <f t="shared" si="41"/>
        <v>66</v>
      </c>
      <c r="AI116" s="48">
        <f t="shared" si="42"/>
        <v>63.5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 t="s">
        <v>117</v>
      </c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41"/>
        <v>0</v>
      </c>
      <c r="AI117" s="48">
        <f t="shared" si="42"/>
        <v>0</v>
      </c>
    </row>
    <row r="118" spans="1:35" ht="15.75" thickBot="1" x14ac:dyDescent="0.3">
      <c r="A118" s="110" t="s">
        <v>118</v>
      </c>
      <c r="B118" s="111">
        <f t="shared" ref="B118:O118" si="100">SUM(B22,B28,B31:B32,B66,B68:B69,B71,B73,B119:B123,B155,B161,B167,B176,B178,B190,B197,B200:B201,B208,B210,B212,B216:B218,B220:B222,B227,B233:B234,B236:B238,B246,B251)</f>
        <v>151.13999999999999</v>
      </c>
      <c r="C118" s="111">
        <f t="shared" si="100"/>
        <v>131.54000000000002</v>
      </c>
      <c r="D118" s="111">
        <f t="shared" si="100"/>
        <v>100.34</v>
      </c>
      <c r="E118" s="111">
        <f t="shared" si="100"/>
        <v>103.54</v>
      </c>
      <c r="F118" s="111">
        <f t="shared" si="100"/>
        <v>123.84</v>
      </c>
      <c r="G118" s="111">
        <f t="shared" si="100"/>
        <v>161.44</v>
      </c>
      <c r="H118" s="111">
        <f t="shared" si="100"/>
        <v>203.24</v>
      </c>
      <c r="I118" s="111">
        <f t="shared" si="100"/>
        <v>241.94</v>
      </c>
      <c r="J118" s="111">
        <f t="shared" si="100"/>
        <v>301.54000000000002</v>
      </c>
      <c r="K118" s="111">
        <f t="shared" si="100"/>
        <v>374.74</v>
      </c>
      <c r="L118" s="111">
        <f t="shared" si="100"/>
        <v>431.24</v>
      </c>
      <c r="M118" s="111">
        <f t="shared" si="100"/>
        <v>411.43699999999995</v>
      </c>
      <c r="N118" s="111">
        <f t="shared" si="100"/>
        <v>405.64</v>
      </c>
      <c r="O118" s="111">
        <f t="shared" si="100"/>
        <v>399.72</v>
      </c>
      <c r="P118" s="111">
        <v>42</v>
      </c>
      <c r="Q118" s="111">
        <f t="shared" ref="Q118:AA118" si="101">SUM(Q22,Q28,Q31:Q32,Q66,Q68:Q69,Q71,Q73,Q119:Q123,Q155,Q161,Q167,Q176,Q178,Q190,Q197,Q200:Q201,Q208,Q210,Q212,Q216:Q218,Q220:Q222,Q227,Q233:Q234,Q236:Q238,Q246,Q251)</f>
        <v>342.71999999999997</v>
      </c>
      <c r="R118" s="111">
        <f t="shared" si="101"/>
        <v>332.94</v>
      </c>
      <c r="S118" s="111">
        <f t="shared" ref="S118:T118" si="102">SUM(S22,S28,S31:S32,S66,S68:S69,S71,S73,S119:S123,S155,S161,S167,S176,S178,S190,S197,S200:S201,S208,S210,S212,S216:S218,S220:S222,S227,S233:S234,S236:S238,S246,S251)</f>
        <v>328.14</v>
      </c>
      <c r="T118" s="111">
        <f t="shared" si="102"/>
        <v>325.04000000000002</v>
      </c>
      <c r="U118" s="111">
        <f t="shared" si="101"/>
        <v>317.01000000000005</v>
      </c>
      <c r="V118" s="111">
        <f t="shared" si="101"/>
        <v>328.54</v>
      </c>
      <c r="W118" s="111">
        <f t="shared" si="101"/>
        <v>520.33999999999992</v>
      </c>
      <c r="X118" s="111">
        <f t="shared" si="101"/>
        <v>421.54</v>
      </c>
      <c r="Y118" s="111">
        <f t="shared" ref="Y118:Z118" si="103">SUM(Y20,Y26,Y37:Y38,Y66,Y68:Y69,Y71,Y73,Y119:Y123,Y148,Y154,Y160,Y169,Y171,Y183,Y190,Y193:Y194,Y201,Y203,Y205,Y209:Y211,Y213:Y215,Y220,Y226:Y227,Y229:Y231,Y239,Y244)</f>
        <v>464.9</v>
      </c>
      <c r="Z118" s="111">
        <f t="shared" si="103"/>
        <v>474</v>
      </c>
      <c r="AA118" s="111">
        <f t="shared" si="101"/>
        <v>441.03999999999996</v>
      </c>
      <c r="AB118" s="111">
        <f t="shared" ref="AB118:AC118" si="104">SUM(AB22,AB28,AB31:AB32,AB66,AB68:AB69,AB71,AB73,AB119:AB123,AB155,AB161,AB167,AB176,AB178,AB190,AB197,AB200:AB201,AB208,AB210,AB212,AB216:AB218,AB220:AB222,AB227,AB233:AB234,AB236:AB238,AB246,AB251)</f>
        <v>395.48</v>
      </c>
      <c r="AC118" s="111">
        <f t="shared" si="104"/>
        <v>423.34</v>
      </c>
      <c r="AD118" s="111">
        <f t="shared" ref="AD118:AE118" si="105">SUM(AD22,AD28,AD31:AD32,AD66,AD68:AD69,AD71,AD73,AD119:AD123,AD155,AD161,AD167,AD176,AD178,AD190,AD197,AD200:AD201,AD208,AD210,AD212,AD216:AD218,AD220:AD222,AD227,AD233:AD234,AD236:AD238,AD246,AD251)</f>
        <v>382.12</v>
      </c>
      <c r="AE118" s="111">
        <f t="shared" si="105"/>
        <v>278.33999999999997</v>
      </c>
      <c r="AF118" s="111">
        <f t="shared" ref="AF118" si="106">SUM(AF22,AF28,AF31:AF32,AF66,AF68:AF69,AF71,AF73,AF119:AF123,AF155,AF161,AF167,AF176,AF178,AF190,AF197,AF200:AF201,AF208,AF210,AF212,AF216:AF218,AF220:AF222,AF227,AF233:AF234,AF236:AF238,AF246,AF251)</f>
        <v>214.56</v>
      </c>
      <c r="AG118" s="112"/>
      <c r="AH118" s="47">
        <f t="shared" si="41"/>
        <v>520.33999999999992</v>
      </c>
      <c r="AI118" s="48">
        <f t="shared" si="42"/>
        <v>42</v>
      </c>
    </row>
    <row r="119" spans="1:35" x14ac:dyDescent="0.25">
      <c r="A119" s="172" t="s">
        <v>119</v>
      </c>
      <c r="B119" s="113">
        <v>-2</v>
      </c>
      <c r="C119" s="113">
        <v>-6.8</v>
      </c>
      <c r="D119" s="113">
        <v>-0.9</v>
      </c>
      <c r="E119" s="113">
        <v>-1</v>
      </c>
      <c r="F119" s="113">
        <v>-9.6999999999999993</v>
      </c>
      <c r="G119" s="113">
        <v>3.8</v>
      </c>
      <c r="H119" s="113">
        <v>16.399999999999999</v>
      </c>
      <c r="I119" s="113">
        <v>13.6</v>
      </c>
      <c r="J119" s="113">
        <v>30.6</v>
      </c>
      <c r="K119" s="113">
        <v>34.1</v>
      </c>
      <c r="L119" s="113">
        <v>36.799999999999997</v>
      </c>
      <c r="M119" s="113">
        <v>33.9</v>
      </c>
      <c r="N119" s="113">
        <v>41.5</v>
      </c>
      <c r="O119" s="113">
        <v>37.200000000000003</v>
      </c>
      <c r="P119" s="113">
        <v>20.2</v>
      </c>
      <c r="Q119" s="113">
        <v>-0.9</v>
      </c>
      <c r="R119" s="113">
        <v>-0.9</v>
      </c>
      <c r="S119" s="113">
        <v>-0.9</v>
      </c>
      <c r="T119" s="113">
        <v>-0.9</v>
      </c>
      <c r="U119" s="113">
        <v>3.4</v>
      </c>
      <c r="V119" s="113">
        <v>10.5</v>
      </c>
      <c r="W119" s="113">
        <v>15.1</v>
      </c>
      <c r="X119" s="113">
        <v>31</v>
      </c>
      <c r="Y119" s="113">
        <v>31.4</v>
      </c>
      <c r="Z119" s="113">
        <v>35.9</v>
      </c>
      <c r="AA119" s="113">
        <v>22.5</v>
      </c>
      <c r="AB119" s="113">
        <v>20.5</v>
      </c>
      <c r="AC119" s="113">
        <v>22.1</v>
      </c>
      <c r="AD119" s="113">
        <v>11.5</v>
      </c>
      <c r="AE119" s="113">
        <v>1.1000000000000001</v>
      </c>
      <c r="AF119" s="113">
        <v>0.5</v>
      </c>
      <c r="AG119" s="114">
        <v>75</v>
      </c>
      <c r="AH119" s="47">
        <f t="shared" si="41"/>
        <v>41.5</v>
      </c>
      <c r="AI119" s="48">
        <f t="shared" si="42"/>
        <v>-9.6999999999999993</v>
      </c>
    </row>
    <row r="120" spans="1:35" x14ac:dyDescent="0.25">
      <c r="A120" s="173" t="s">
        <v>120</v>
      </c>
      <c r="B120" s="115">
        <v>1.3</v>
      </c>
      <c r="C120" s="115">
        <v>-4</v>
      </c>
      <c r="D120" s="115">
        <v>-19.8</v>
      </c>
      <c r="E120" s="115">
        <v>-21.6</v>
      </c>
      <c r="F120" s="115">
        <v>-9.1999999999999993</v>
      </c>
      <c r="G120" s="115">
        <v>9</v>
      </c>
      <c r="H120" s="115">
        <v>26.8</v>
      </c>
      <c r="I120" s="115">
        <v>21.5</v>
      </c>
      <c r="J120" s="115">
        <v>45.2</v>
      </c>
      <c r="K120" s="115">
        <v>47.7</v>
      </c>
      <c r="L120" s="115">
        <v>49.4</v>
      </c>
      <c r="M120" s="115">
        <v>46.5</v>
      </c>
      <c r="N120" s="115">
        <v>56.4</v>
      </c>
      <c r="O120" s="115">
        <v>52.8</v>
      </c>
      <c r="P120" s="115">
        <v>29.3</v>
      </c>
      <c r="Q120" s="115">
        <v>3.4</v>
      </c>
      <c r="R120" s="115">
        <v>0</v>
      </c>
      <c r="S120" s="115">
        <v>0</v>
      </c>
      <c r="T120" s="115">
        <v>0</v>
      </c>
      <c r="U120" s="115">
        <v>5</v>
      </c>
      <c r="V120" s="115">
        <v>14.9</v>
      </c>
      <c r="W120" s="115">
        <v>185</v>
      </c>
      <c r="X120" s="115">
        <v>41.1</v>
      </c>
      <c r="Y120" s="115">
        <v>41.2</v>
      </c>
      <c r="Z120" s="115">
        <v>47.6</v>
      </c>
      <c r="AA120" s="115">
        <v>28.2</v>
      </c>
      <c r="AB120" s="115">
        <v>25.6</v>
      </c>
      <c r="AC120" s="115">
        <v>28.2</v>
      </c>
      <c r="AD120" s="115">
        <v>12.9</v>
      </c>
      <c r="AE120" s="115">
        <v>0.9</v>
      </c>
      <c r="AF120" s="115">
        <v>-3.4</v>
      </c>
      <c r="AG120" s="114">
        <v>240</v>
      </c>
      <c r="AH120" s="47">
        <f t="shared" si="41"/>
        <v>185</v>
      </c>
      <c r="AI120" s="48">
        <f t="shared" si="42"/>
        <v>-21.6</v>
      </c>
    </row>
    <row r="121" spans="1:35" x14ac:dyDescent="0.25">
      <c r="A121" s="173" t="s">
        <v>121</v>
      </c>
      <c r="B121" s="115">
        <v>-51</v>
      </c>
      <c r="C121" s="115">
        <v>-54</v>
      </c>
      <c r="D121" s="115">
        <v>-60.9</v>
      </c>
      <c r="E121" s="115">
        <v>-59.2</v>
      </c>
      <c r="F121" s="115">
        <v>-55</v>
      </c>
      <c r="G121" s="115">
        <v>-54</v>
      </c>
      <c r="H121" s="115">
        <v>-44</v>
      </c>
      <c r="I121" s="115">
        <v>-30.4</v>
      </c>
      <c r="J121" s="115">
        <v>-19.7</v>
      </c>
      <c r="K121" s="115">
        <v>29.7</v>
      </c>
      <c r="L121" s="115">
        <v>45.6</v>
      </c>
      <c r="M121" s="115">
        <v>19</v>
      </c>
      <c r="N121" s="115">
        <f>21+18.7</f>
        <v>39.700000000000003</v>
      </c>
      <c r="O121" s="115">
        <f>22.6+20.4</f>
        <v>43</v>
      </c>
      <c r="P121" s="115">
        <f>30.2+28.7</f>
        <v>58.9</v>
      </c>
      <c r="Q121" s="115">
        <f>21+14.6</f>
        <v>35.6</v>
      </c>
      <c r="R121" s="115">
        <f>15+12.5</f>
        <v>27.5</v>
      </c>
      <c r="S121" s="115">
        <v>30</v>
      </c>
      <c r="T121" s="115">
        <v>40</v>
      </c>
      <c r="U121" s="115">
        <v>12</v>
      </c>
      <c r="V121" s="115">
        <v>22</v>
      </c>
      <c r="W121" s="115">
        <v>33</v>
      </c>
      <c r="X121" s="115">
        <v>35.9</v>
      </c>
      <c r="Y121" s="115">
        <v>43.2</v>
      </c>
      <c r="Z121" s="115">
        <v>45.3</v>
      </c>
      <c r="AA121" s="115">
        <v>49.2</v>
      </c>
      <c r="AB121" s="115">
        <v>30</v>
      </c>
      <c r="AC121" s="115">
        <f>38.6+38</f>
        <v>76.599999999999994</v>
      </c>
      <c r="AD121" s="115">
        <f>25.2+21.2</f>
        <v>46.4</v>
      </c>
      <c r="AE121" s="115">
        <f>6.7+5.4</f>
        <v>12.100000000000001</v>
      </c>
      <c r="AF121" s="115">
        <f>-4.3-4.8</f>
        <v>-9.1</v>
      </c>
      <c r="AG121" s="114">
        <v>240</v>
      </c>
      <c r="AH121" s="47">
        <f t="shared" si="41"/>
        <v>76.599999999999994</v>
      </c>
      <c r="AI121" s="48">
        <f t="shared" si="42"/>
        <v>-60.9</v>
      </c>
    </row>
    <row r="122" spans="1:35" ht="15.75" thickBot="1" x14ac:dyDescent="0.3">
      <c r="A122" s="173" t="s">
        <v>122</v>
      </c>
      <c r="B122" s="115">
        <v>1.3</v>
      </c>
      <c r="C122" s="115">
        <v>-0.2</v>
      </c>
      <c r="D122" s="115">
        <v>-1.9</v>
      </c>
      <c r="E122" s="115">
        <v>-2.5</v>
      </c>
      <c r="F122" s="115">
        <v>-0.8</v>
      </c>
      <c r="G122" s="115">
        <v>-2.4</v>
      </c>
      <c r="H122" s="115">
        <v>0</v>
      </c>
      <c r="I122" s="115">
        <v>2.2000000000000002</v>
      </c>
      <c r="J122" s="115">
        <v>4.4000000000000004</v>
      </c>
      <c r="K122" s="115">
        <v>10.199999999999999</v>
      </c>
      <c r="L122" s="115">
        <v>33.9</v>
      </c>
      <c r="M122" s="115">
        <v>58.9</v>
      </c>
      <c r="N122" s="115">
        <v>30.5</v>
      </c>
      <c r="O122" s="115">
        <v>32.299999999999997</v>
      </c>
      <c r="P122" s="115">
        <v>33.700000000000003</v>
      </c>
      <c r="Q122" s="115">
        <v>42</v>
      </c>
      <c r="R122" s="115">
        <v>40.5</v>
      </c>
      <c r="S122" s="115">
        <v>33</v>
      </c>
      <c r="T122" s="115">
        <v>34</v>
      </c>
      <c r="U122" s="115">
        <v>42.9</v>
      </c>
      <c r="V122" s="115">
        <v>53.8</v>
      </c>
      <c r="W122" s="115">
        <v>57.7</v>
      </c>
      <c r="X122" s="115">
        <v>63.3</v>
      </c>
      <c r="Y122" s="115">
        <v>62.4</v>
      </c>
      <c r="Z122" s="115">
        <v>62</v>
      </c>
      <c r="AA122" s="115">
        <v>65.2</v>
      </c>
      <c r="AB122" s="115">
        <v>56.2</v>
      </c>
      <c r="AC122" s="115">
        <v>47.3</v>
      </c>
      <c r="AD122" s="115">
        <v>55.6</v>
      </c>
      <c r="AE122" s="115">
        <v>14.9</v>
      </c>
      <c r="AF122" s="115">
        <v>-0.2</v>
      </c>
      <c r="AG122" s="114">
        <v>60</v>
      </c>
      <c r="AH122" s="47">
        <f t="shared" si="41"/>
        <v>65.2</v>
      </c>
      <c r="AI122" s="48">
        <f t="shared" si="42"/>
        <v>-2.5</v>
      </c>
    </row>
    <row r="123" spans="1:35" x14ac:dyDescent="0.25">
      <c r="A123" s="172" t="s">
        <v>260</v>
      </c>
      <c r="B123" s="117">
        <v>100</v>
      </c>
      <c r="C123" s="117">
        <v>95</v>
      </c>
      <c r="D123" s="117">
        <v>92</v>
      </c>
      <c r="E123" s="117">
        <v>96</v>
      </c>
      <c r="F123" s="117">
        <v>94</v>
      </c>
      <c r="G123" s="117">
        <v>105</v>
      </c>
      <c r="H123" s="117">
        <v>104</v>
      </c>
      <c r="I123" s="117">
        <v>135</v>
      </c>
      <c r="J123" s="117">
        <v>140</v>
      </c>
      <c r="K123" s="117">
        <v>153</v>
      </c>
      <c r="L123" s="117">
        <v>165</v>
      </c>
      <c r="M123" s="117">
        <f>89.1*1.67</f>
        <v>148.797</v>
      </c>
      <c r="N123" s="117">
        <f>80*1.64</f>
        <v>131.19999999999999</v>
      </c>
      <c r="O123" s="117">
        <f>72*1.64</f>
        <v>118.08</v>
      </c>
      <c r="P123" s="117">
        <f>76.6*1.64</f>
        <v>125.62399999999998</v>
      </c>
      <c r="Q123" s="117">
        <f>87*1.64</f>
        <v>142.67999999999998</v>
      </c>
      <c r="R123" s="117">
        <f>90*1.64</f>
        <v>147.6</v>
      </c>
      <c r="S123" s="117">
        <v>150</v>
      </c>
      <c r="T123" s="117">
        <v>145</v>
      </c>
      <c r="U123" s="117">
        <f>91*1.67</f>
        <v>151.97</v>
      </c>
      <c r="V123" s="117">
        <v>127</v>
      </c>
      <c r="W123" s="117">
        <v>130</v>
      </c>
      <c r="X123" s="117">
        <v>150</v>
      </c>
      <c r="Y123" s="117">
        <v>180</v>
      </c>
      <c r="Z123" s="117">
        <v>178</v>
      </c>
      <c r="AA123" s="117">
        <v>175</v>
      </c>
      <c r="AB123" s="117">
        <f>101.4*1.6</f>
        <v>162.24</v>
      </c>
      <c r="AC123" s="117">
        <f>92.5*1.6</f>
        <v>148</v>
      </c>
      <c r="AD123" s="117">
        <f>93.8*1.6</f>
        <v>150.08000000000001</v>
      </c>
      <c r="AE123" s="117">
        <f>90*1.6</f>
        <v>144</v>
      </c>
      <c r="AF123" s="117">
        <f>75.7*1.6</f>
        <v>121.12</v>
      </c>
      <c r="AG123" s="118">
        <v>120</v>
      </c>
      <c r="AH123" s="47">
        <f t="shared" si="41"/>
        <v>180</v>
      </c>
      <c r="AI123" s="48">
        <f t="shared" si="42"/>
        <v>92</v>
      </c>
    </row>
    <row r="124" spans="1:35" x14ac:dyDescent="0.25">
      <c r="A124" s="173" t="s">
        <v>259</v>
      </c>
      <c r="B124" s="117">
        <v>82</v>
      </c>
      <c r="C124" s="117">
        <v>80.3</v>
      </c>
      <c r="D124" s="117">
        <v>77.2</v>
      </c>
      <c r="E124" s="117">
        <v>82.8</v>
      </c>
      <c r="F124" s="117">
        <v>84.6</v>
      </c>
      <c r="G124" s="117">
        <v>83.2</v>
      </c>
      <c r="H124" s="117">
        <v>78.8</v>
      </c>
      <c r="I124" s="117">
        <v>94.7</v>
      </c>
      <c r="J124" s="117">
        <v>94.2</v>
      </c>
      <c r="K124" s="117">
        <v>101.6</v>
      </c>
      <c r="L124" s="117">
        <v>106.6</v>
      </c>
      <c r="M124" s="117">
        <v>98.6</v>
      </c>
      <c r="N124" s="117">
        <v>91.2</v>
      </c>
      <c r="O124" s="117">
        <v>84.9</v>
      </c>
      <c r="P124" s="117">
        <v>87.9</v>
      </c>
      <c r="Q124" s="117">
        <v>96.2</v>
      </c>
      <c r="R124" s="117">
        <v>99.6</v>
      </c>
      <c r="S124" s="117">
        <v>100</v>
      </c>
      <c r="T124" s="117">
        <v>102</v>
      </c>
      <c r="U124" s="117">
        <v>101.1</v>
      </c>
      <c r="V124" s="117">
        <v>90.7</v>
      </c>
      <c r="W124" s="117">
        <v>97.6</v>
      </c>
      <c r="X124" s="117">
        <v>100.5</v>
      </c>
      <c r="Y124" s="117">
        <v>110.9</v>
      </c>
      <c r="Z124" s="117">
        <v>108.8</v>
      </c>
      <c r="AA124" s="117">
        <v>111.2</v>
      </c>
      <c r="AB124" s="117">
        <v>108.8</v>
      </c>
      <c r="AC124" s="117">
        <v>102.5</v>
      </c>
      <c r="AD124" s="117">
        <v>104.2</v>
      </c>
      <c r="AE124" s="117">
        <v>101.9</v>
      </c>
      <c r="AF124" s="117">
        <v>94.5</v>
      </c>
      <c r="AG124" s="118"/>
      <c r="AH124" s="47">
        <f t="shared" si="41"/>
        <v>111.2</v>
      </c>
      <c r="AI124" s="48">
        <f t="shared" si="42"/>
        <v>77.2</v>
      </c>
    </row>
    <row r="125" spans="1:35" x14ac:dyDescent="0.25">
      <c r="A125" s="173" t="s">
        <v>256</v>
      </c>
      <c r="B125" s="117">
        <v>77</v>
      </c>
      <c r="C125" s="117">
        <v>35</v>
      </c>
      <c r="D125" s="117">
        <v>66.8</v>
      </c>
      <c r="E125" s="117">
        <v>80</v>
      </c>
      <c r="F125" s="117">
        <v>74.599999999999994</v>
      </c>
      <c r="G125" s="117">
        <v>59.1</v>
      </c>
      <c r="H125" s="117">
        <v>33.5</v>
      </c>
      <c r="I125" s="117">
        <v>37.5</v>
      </c>
      <c r="J125" s="117">
        <v>8.5</v>
      </c>
      <c r="K125" s="117">
        <v>-18.899999999999999</v>
      </c>
      <c r="L125" s="117">
        <v>-34.1</v>
      </c>
      <c r="M125" s="117">
        <v>-34.6</v>
      </c>
      <c r="N125" s="117">
        <v>-42.4</v>
      </c>
      <c r="O125" s="117">
        <v>-34</v>
      </c>
      <c r="P125" s="117">
        <v>-12.7</v>
      </c>
      <c r="Q125" s="117">
        <v>23.1</v>
      </c>
      <c r="R125" s="117">
        <v>30.7</v>
      </c>
      <c r="S125" s="117">
        <v>6.5</v>
      </c>
      <c r="T125" s="117">
        <v>0</v>
      </c>
      <c r="U125" s="117">
        <v>14.1</v>
      </c>
      <c r="V125" s="117">
        <v>-5.2</v>
      </c>
      <c r="W125" s="117">
        <v>-12</v>
      </c>
      <c r="X125" s="117">
        <v>-34.6</v>
      </c>
      <c r="Y125" s="117">
        <v>-35.85</v>
      </c>
      <c r="Z125" s="117">
        <v>-47</v>
      </c>
      <c r="AA125" s="117">
        <v>-28</v>
      </c>
      <c r="AB125" s="117">
        <v>-26.6</v>
      </c>
      <c r="AC125" s="117">
        <v>-26.6</v>
      </c>
      <c r="AD125" s="117">
        <v>0.3</v>
      </c>
      <c r="AE125" s="117">
        <v>48.1</v>
      </c>
      <c r="AF125" s="117">
        <v>63.2</v>
      </c>
      <c r="AG125" s="118"/>
      <c r="AH125" s="47">
        <f t="shared" si="41"/>
        <v>80</v>
      </c>
      <c r="AI125" s="48">
        <f t="shared" si="42"/>
        <v>-47</v>
      </c>
    </row>
    <row r="126" spans="1:35" ht="15.75" thickBot="1" x14ac:dyDescent="0.3">
      <c r="A126" s="173" t="s">
        <v>255</v>
      </c>
      <c r="B126" s="117">
        <v>97</v>
      </c>
      <c r="C126" s="117">
        <v>105</v>
      </c>
      <c r="D126" s="117">
        <v>91.3</v>
      </c>
      <c r="E126" s="117">
        <v>103.7</v>
      </c>
      <c r="F126" s="117">
        <v>102</v>
      </c>
      <c r="G126" s="117">
        <v>103.3</v>
      </c>
      <c r="H126" s="117">
        <v>95.9</v>
      </c>
      <c r="I126" s="117">
        <v>108</v>
      </c>
      <c r="J126" s="117">
        <v>105</v>
      </c>
      <c r="K126" s="117">
        <v>96.2</v>
      </c>
      <c r="L126" s="117">
        <v>82.3</v>
      </c>
      <c r="M126" s="117">
        <v>73.400000000000006</v>
      </c>
      <c r="N126" s="117">
        <v>64.900000000000006</v>
      </c>
      <c r="O126" s="117">
        <v>62.9</v>
      </c>
      <c r="P126" s="117">
        <v>68.8</v>
      </c>
      <c r="Q126" s="117">
        <v>84</v>
      </c>
      <c r="R126" s="117">
        <v>92.6</v>
      </c>
      <c r="S126" s="117">
        <v>85</v>
      </c>
      <c r="T126" s="117">
        <v>92</v>
      </c>
      <c r="U126" s="117">
        <v>88.3</v>
      </c>
      <c r="V126" s="117">
        <v>74.41</v>
      </c>
      <c r="W126" s="117">
        <v>73.400000000000006</v>
      </c>
      <c r="X126" s="117">
        <v>68.900000000000006</v>
      </c>
      <c r="Y126" s="117">
        <v>79.3</v>
      </c>
      <c r="Z126" s="117">
        <v>81.2</v>
      </c>
      <c r="AA126" s="117">
        <v>96.6</v>
      </c>
      <c r="AB126" s="117">
        <v>90.1</v>
      </c>
      <c r="AC126" s="117">
        <v>92.9</v>
      </c>
      <c r="AD126" s="117">
        <v>95.6</v>
      </c>
      <c r="AE126" s="117">
        <v>93.7</v>
      </c>
      <c r="AF126" s="117">
        <v>89.8</v>
      </c>
      <c r="AG126" s="114"/>
      <c r="AH126" s="47">
        <f t="shared" si="41"/>
        <v>108</v>
      </c>
      <c r="AI126" s="48">
        <f t="shared" si="42"/>
        <v>62.9</v>
      </c>
    </row>
    <row r="127" spans="1:35" x14ac:dyDescent="0.25">
      <c r="A127" s="172" t="s">
        <v>257</v>
      </c>
      <c r="B127" s="117">
        <v>18</v>
      </c>
      <c r="C127" s="117">
        <v>19</v>
      </c>
      <c r="D127" s="117">
        <v>11.9</v>
      </c>
      <c r="E127" s="117">
        <v>17.600000000000001</v>
      </c>
      <c r="F127" s="117">
        <v>18.100000000000001</v>
      </c>
      <c r="G127" s="117">
        <v>21.3</v>
      </c>
      <c r="H127" s="117">
        <v>19.100000000000001</v>
      </c>
      <c r="I127" s="117">
        <v>17.8</v>
      </c>
      <c r="J127" s="117">
        <v>5.9</v>
      </c>
      <c r="K127" s="117">
        <v>9.1</v>
      </c>
      <c r="L127" s="117">
        <v>16</v>
      </c>
      <c r="M127" s="117">
        <v>0</v>
      </c>
      <c r="N127" s="117">
        <v>-1.4</v>
      </c>
      <c r="O127" s="117">
        <v>0</v>
      </c>
      <c r="P127" s="117">
        <v>-2.5</v>
      </c>
      <c r="Q127" s="117">
        <v>-11.5</v>
      </c>
      <c r="R127" s="117">
        <v>-10</v>
      </c>
      <c r="S127" s="117">
        <v>-11</v>
      </c>
      <c r="T127" s="117">
        <v>-12</v>
      </c>
      <c r="U127" s="117">
        <v>-10.6</v>
      </c>
      <c r="V127" s="117">
        <v>43</v>
      </c>
      <c r="W127" s="117">
        <v>48</v>
      </c>
      <c r="X127" s="117">
        <v>22</v>
      </c>
      <c r="Y127" s="117">
        <v>22</v>
      </c>
      <c r="Z127" s="117">
        <v>21</v>
      </c>
      <c r="AA127" s="117">
        <v>31</v>
      </c>
      <c r="AB127" s="117">
        <v>-2</v>
      </c>
      <c r="AC127" s="117">
        <v>-3.6</v>
      </c>
      <c r="AD127" s="117">
        <v>-9.1</v>
      </c>
      <c r="AE127" s="117">
        <v>-9.1999999999999993</v>
      </c>
      <c r="AF127" s="117">
        <v>-9.6999999999999993</v>
      </c>
      <c r="AG127" s="114"/>
      <c r="AH127" s="47">
        <f t="shared" si="41"/>
        <v>48</v>
      </c>
      <c r="AI127" s="48">
        <f t="shared" si="42"/>
        <v>-12</v>
      </c>
    </row>
    <row r="128" spans="1:35" x14ac:dyDescent="0.25">
      <c r="A128" s="173" t="s">
        <v>124</v>
      </c>
      <c r="B128" s="106">
        <v>-1.4</v>
      </c>
      <c r="C128" s="106">
        <v>0.7</v>
      </c>
      <c r="D128" s="106">
        <v>2.1</v>
      </c>
      <c r="E128" s="106">
        <v>2.9</v>
      </c>
      <c r="F128" s="106">
        <v>1.85</v>
      </c>
      <c r="G128" s="106">
        <v>-0.85</v>
      </c>
      <c r="H128" s="106">
        <v>-5.9</v>
      </c>
      <c r="I128" s="106">
        <v>-14</v>
      </c>
      <c r="J128" s="106">
        <v>-21.5</v>
      </c>
      <c r="K128" s="106">
        <v>-30.4</v>
      </c>
      <c r="L128" s="106">
        <v>-35.85</v>
      </c>
      <c r="M128" s="106">
        <v>-29.6</v>
      </c>
      <c r="N128" s="106">
        <v>-30.3</v>
      </c>
      <c r="O128" s="106">
        <v>-21.4</v>
      </c>
      <c r="P128" s="106">
        <v>-15.2</v>
      </c>
      <c r="Q128" s="106">
        <v>-9.4</v>
      </c>
      <c r="R128" s="106">
        <v>-7.5</v>
      </c>
      <c r="S128" s="106">
        <v>-8</v>
      </c>
      <c r="T128" s="106">
        <v>-12</v>
      </c>
      <c r="U128" s="106">
        <v>-22.9</v>
      </c>
      <c r="V128" s="106">
        <v>-27.6</v>
      </c>
      <c r="W128" s="106">
        <v>-36.700000000000003</v>
      </c>
      <c r="X128" s="106">
        <v>-51</v>
      </c>
      <c r="Y128" s="106">
        <v>-46</v>
      </c>
      <c r="Z128" s="106">
        <v>-39.299999999999997</v>
      </c>
      <c r="AA128" s="106">
        <v>-34.4</v>
      </c>
      <c r="AB128" s="106">
        <v>-27.2</v>
      </c>
      <c r="AC128" s="106">
        <v>-24.6</v>
      </c>
      <c r="AD128" s="106">
        <v>-17.3</v>
      </c>
      <c r="AE128" s="106">
        <v>-8.9</v>
      </c>
      <c r="AF128" s="106">
        <v>-4.4000000000000004</v>
      </c>
      <c r="AG128" s="114"/>
      <c r="AH128" s="47">
        <f t="shared" si="41"/>
        <v>2.9</v>
      </c>
      <c r="AI128" s="48">
        <f t="shared" si="42"/>
        <v>-51</v>
      </c>
    </row>
    <row r="129" spans="1:37" x14ac:dyDescent="0.25">
      <c r="A129" s="173" t="s">
        <v>261</v>
      </c>
      <c r="B129" s="106">
        <v>27</v>
      </c>
      <c r="C129" s="106">
        <v>26</v>
      </c>
      <c r="D129" s="106">
        <v>24.2</v>
      </c>
      <c r="E129" s="106">
        <v>26.74</v>
      </c>
      <c r="F129" s="106">
        <v>26.96</v>
      </c>
      <c r="G129" s="106">
        <v>27.7</v>
      </c>
      <c r="H129" s="106">
        <v>28.7</v>
      </c>
      <c r="I129" s="106">
        <v>29.1</v>
      </c>
      <c r="J129" s="106">
        <v>30.7</v>
      </c>
      <c r="K129" s="106">
        <v>12.4</v>
      </c>
      <c r="L129" s="106">
        <v>13</v>
      </c>
      <c r="M129" s="106">
        <v>13.5</v>
      </c>
      <c r="N129" s="106">
        <v>13.1</v>
      </c>
      <c r="O129" s="106">
        <v>11.8</v>
      </c>
      <c r="P129" s="106">
        <v>10.3</v>
      </c>
      <c r="Q129" s="106">
        <v>30.9</v>
      </c>
      <c r="R129" s="106">
        <v>30.5</v>
      </c>
      <c r="S129" s="106">
        <v>31</v>
      </c>
      <c r="T129" s="106">
        <v>32</v>
      </c>
      <c r="U129" s="106">
        <v>30.5</v>
      </c>
      <c r="V129" s="106">
        <v>11.5</v>
      </c>
      <c r="W129" s="106">
        <v>9.8000000000000007</v>
      </c>
      <c r="X129" s="106">
        <v>11.4</v>
      </c>
      <c r="Y129" s="106">
        <v>12.8</v>
      </c>
      <c r="Z129" s="106">
        <v>11.9</v>
      </c>
      <c r="AA129" s="106">
        <v>11.6</v>
      </c>
      <c r="AB129" s="106">
        <v>9.9</v>
      </c>
      <c r="AC129" s="106">
        <v>9.4</v>
      </c>
      <c r="AD129" s="106">
        <v>9.8000000000000007</v>
      </c>
      <c r="AE129" s="106">
        <v>26.1</v>
      </c>
      <c r="AF129" s="106">
        <v>26.6</v>
      </c>
      <c r="AG129" s="114"/>
      <c r="AH129" s="47">
        <f t="shared" si="41"/>
        <v>32</v>
      </c>
      <c r="AI129" s="48">
        <f t="shared" si="42"/>
        <v>9.4</v>
      </c>
    </row>
    <row r="130" spans="1:37" ht="15.75" thickBot="1" x14ac:dyDescent="0.3">
      <c r="A130" s="173" t="s">
        <v>258</v>
      </c>
      <c r="B130" s="106">
        <v>90</v>
      </c>
      <c r="C130" s="106">
        <v>84</v>
      </c>
      <c r="D130" s="106">
        <v>82.8</v>
      </c>
      <c r="E130" s="106">
        <v>75.7</v>
      </c>
      <c r="F130" s="106">
        <v>78.900000000000006</v>
      </c>
      <c r="G130" s="106">
        <v>81.8</v>
      </c>
      <c r="H130" s="106">
        <v>89.6</v>
      </c>
      <c r="I130" s="106">
        <v>90.4</v>
      </c>
      <c r="J130" s="106">
        <v>100.5</v>
      </c>
      <c r="K130" s="106">
        <v>105.7</v>
      </c>
      <c r="L130" s="106">
        <v>102.4</v>
      </c>
      <c r="M130" s="106">
        <v>83.4</v>
      </c>
      <c r="N130" s="106">
        <v>102</v>
      </c>
      <c r="O130" s="106">
        <v>89.3</v>
      </c>
      <c r="P130" s="106">
        <v>90.1</v>
      </c>
      <c r="Q130" s="106">
        <v>100.2</v>
      </c>
      <c r="R130" s="106">
        <v>96.1</v>
      </c>
      <c r="S130" s="106">
        <v>100</v>
      </c>
      <c r="T130" s="106">
        <v>102</v>
      </c>
      <c r="U130" s="106">
        <v>104.9</v>
      </c>
      <c r="V130" s="106">
        <v>92.7</v>
      </c>
      <c r="W130" s="106">
        <v>97.9</v>
      </c>
      <c r="X130" s="106">
        <v>117.3</v>
      </c>
      <c r="Y130" s="106">
        <v>111</v>
      </c>
      <c r="Z130" s="106">
        <v>108.6</v>
      </c>
      <c r="AA130" s="106">
        <v>108</v>
      </c>
      <c r="AB130" s="106">
        <v>104.8</v>
      </c>
      <c r="AC130" s="106">
        <v>100.8</v>
      </c>
      <c r="AD130" s="106">
        <v>102.8</v>
      </c>
      <c r="AE130" s="106">
        <v>100.6</v>
      </c>
      <c r="AF130" s="106">
        <v>94.8</v>
      </c>
      <c r="AG130" s="114"/>
      <c r="AH130" s="47">
        <f t="shared" si="41"/>
        <v>117.3</v>
      </c>
      <c r="AI130" s="48">
        <f t="shared" si="42"/>
        <v>75.7</v>
      </c>
    </row>
    <row r="131" spans="1:37" x14ac:dyDescent="0.25">
      <c r="A131" s="144" t="s">
        <v>238</v>
      </c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5"/>
      <c r="AG131" s="43"/>
      <c r="AH131" s="47"/>
      <c r="AI131" s="48"/>
    </row>
    <row r="132" spans="1:37" x14ac:dyDescent="0.25">
      <c r="A132" s="189" t="s">
        <v>368</v>
      </c>
      <c r="B132" s="191">
        <v>1984.33</v>
      </c>
      <c r="C132" s="191">
        <v>1984.6</v>
      </c>
      <c r="D132" s="191">
        <v>1984.83</v>
      </c>
      <c r="E132" s="191">
        <v>1985.1</v>
      </c>
      <c r="F132" s="191">
        <v>1985.32</v>
      </c>
      <c r="G132" s="191">
        <v>1985.53</v>
      </c>
      <c r="H132" s="191"/>
      <c r="I132" s="191">
        <v>1985.69</v>
      </c>
      <c r="J132" s="191"/>
      <c r="K132" s="191">
        <v>1985.78</v>
      </c>
      <c r="L132" s="191"/>
      <c r="M132" s="191">
        <v>1984.65</v>
      </c>
      <c r="N132" s="191">
        <v>1984.52</v>
      </c>
      <c r="O132" s="147">
        <v>1983.92</v>
      </c>
      <c r="P132" s="147">
        <v>1983.72</v>
      </c>
      <c r="Q132" s="147">
        <v>1983.82</v>
      </c>
      <c r="R132" s="147">
        <v>1983.99</v>
      </c>
      <c r="S132" s="191">
        <v>1984.12</v>
      </c>
      <c r="T132" s="191">
        <v>1984.34</v>
      </c>
      <c r="U132" s="191">
        <v>1984.53</v>
      </c>
      <c r="V132" s="191">
        <v>1984.73</v>
      </c>
      <c r="W132" s="191"/>
      <c r="X132" s="191">
        <v>1984.5</v>
      </c>
      <c r="Y132" s="191"/>
      <c r="Z132" s="191">
        <v>1984</v>
      </c>
      <c r="AA132" s="191">
        <v>1983.55</v>
      </c>
      <c r="AB132" s="147">
        <v>1983.42</v>
      </c>
      <c r="AC132" s="147">
        <v>1983.18</v>
      </c>
      <c r="AD132" s="147">
        <v>1983.12</v>
      </c>
      <c r="AE132" s="147">
        <v>1983.12</v>
      </c>
      <c r="AF132" s="147">
        <v>1983.3</v>
      </c>
      <c r="AG132" s="149"/>
      <c r="AH132" s="47"/>
      <c r="AI132" s="48"/>
    </row>
    <row r="133" spans="1:37" x14ac:dyDescent="0.25">
      <c r="A133" s="189" t="s">
        <v>239</v>
      </c>
      <c r="B133" s="192">
        <v>520.20000000000005</v>
      </c>
      <c r="C133" s="192">
        <v>520.62</v>
      </c>
      <c r="D133" s="192">
        <v>521</v>
      </c>
      <c r="E133" s="192">
        <v>521.38</v>
      </c>
      <c r="F133" s="192">
        <v>521.73</v>
      </c>
      <c r="G133" s="192">
        <v>522.08000000000004</v>
      </c>
      <c r="H133" s="192"/>
      <c r="I133" s="192">
        <v>522.33000000000004</v>
      </c>
      <c r="J133" s="192"/>
      <c r="K133" s="192">
        <v>522.24</v>
      </c>
      <c r="L133" s="192"/>
      <c r="M133" s="192">
        <v>521.08000000000004</v>
      </c>
      <c r="N133" s="191">
        <v>521.34</v>
      </c>
      <c r="O133" s="150">
        <v>520.75</v>
      </c>
      <c r="P133" s="150">
        <v>520.34</v>
      </c>
      <c r="Q133" s="150">
        <v>520.24</v>
      </c>
      <c r="R133" s="150">
        <v>520.23</v>
      </c>
      <c r="S133" s="192"/>
      <c r="T133" s="192">
        <v>520.19000000000005</v>
      </c>
      <c r="U133" s="192">
        <v>520.17999999999995</v>
      </c>
      <c r="V133" s="192">
        <v>520.13</v>
      </c>
      <c r="W133" s="192"/>
      <c r="X133" s="192">
        <v>520.04</v>
      </c>
      <c r="Y133" s="192"/>
      <c r="Z133" s="192">
        <v>519.38</v>
      </c>
      <c r="AA133" s="192">
        <v>519.01</v>
      </c>
      <c r="AB133" s="150">
        <v>519.01</v>
      </c>
      <c r="AC133" s="150"/>
      <c r="AD133" s="150">
        <v>519.01</v>
      </c>
      <c r="AE133" s="150">
        <v>519.28</v>
      </c>
      <c r="AF133" s="150">
        <v>519.78</v>
      </c>
      <c r="AG133" s="149"/>
      <c r="AH133" s="47"/>
      <c r="AI133" s="48"/>
    </row>
    <row r="134" spans="1:37" x14ac:dyDescent="0.25">
      <c r="A134" s="189" t="s">
        <v>240</v>
      </c>
      <c r="B134" s="192">
        <v>623.30999999999995</v>
      </c>
      <c r="C134" s="192">
        <v>623.61</v>
      </c>
      <c r="D134" s="192">
        <v>623.96</v>
      </c>
      <c r="E134" s="192">
        <v>624.38</v>
      </c>
      <c r="F134" s="192">
        <v>624.45000000000005</v>
      </c>
      <c r="G134" s="192">
        <v>624.49</v>
      </c>
      <c r="H134" s="192"/>
      <c r="I134" s="192">
        <v>624.32000000000005</v>
      </c>
      <c r="J134" s="192"/>
      <c r="K134" s="192">
        <v>623.94000000000005</v>
      </c>
      <c r="L134" s="192"/>
      <c r="M134" s="192">
        <v>623.4</v>
      </c>
      <c r="N134" s="191">
        <v>622.75</v>
      </c>
      <c r="O134" s="150">
        <v>622.08000000000004</v>
      </c>
      <c r="P134" s="150">
        <v>621.54</v>
      </c>
      <c r="Q134" s="150">
        <v>621.57000000000005</v>
      </c>
      <c r="R134" s="150">
        <v>621.85</v>
      </c>
      <c r="S134" s="192">
        <v>622.14</v>
      </c>
      <c r="T134" s="192">
        <v>622.33000000000004</v>
      </c>
      <c r="U134" s="192">
        <v>622.59</v>
      </c>
      <c r="V134" s="192">
        <v>622.70000000000005</v>
      </c>
      <c r="W134" s="192"/>
      <c r="X134" s="192">
        <v>622.66999999999996</v>
      </c>
      <c r="Y134" s="192"/>
      <c r="Z134" s="192">
        <v>621.94000000000005</v>
      </c>
      <c r="AA134" s="192">
        <v>621.46</v>
      </c>
      <c r="AB134" s="150">
        <v>621.44000000000005</v>
      </c>
      <c r="AC134" s="150"/>
      <c r="AD134" s="150">
        <v>621.54999999999995</v>
      </c>
      <c r="AE134" s="150">
        <v>621.67999999999995</v>
      </c>
      <c r="AF134" s="150">
        <v>622.15</v>
      </c>
      <c r="AG134" s="149"/>
      <c r="AH134" s="47"/>
      <c r="AI134" s="48"/>
    </row>
    <row r="135" spans="1:37" x14ac:dyDescent="0.25">
      <c r="A135" s="189" t="s">
        <v>241</v>
      </c>
      <c r="B135" s="192">
        <v>335.23</v>
      </c>
      <c r="C135" s="192">
        <v>335.6</v>
      </c>
      <c r="D135" s="192">
        <v>335.98</v>
      </c>
      <c r="E135" s="192">
        <v>336.28</v>
      </c>
      <c r="F135" s="192">
        <v>336.47</v>
      </c>
      <c r="G135" s="192">
        <v>336.61</v>
      </c>
      <c r="H135" s="192"/>
      <c r="I135" s="192">
        <v>336.39</v>
      </c>
      <c r="J135" s="192"/>
      <c r="K135" s="192">
        <v>335.98</v>
      </c>
      <c r="L135" s="192"/>
      <c r="M135" s="192">
        <v>335.52</v>
      </c>
      <c r="N135" s="191">
        <v>334.75</v>
      </c>
      <c r="O135" s="150">
        <v>333.9</v>
      </c>
      <c r="P135" s="150">
        <v>334.01</v>
      </c>
      <c r="Q135" s="150">
        <v>333.9</v>
      </c>
      <c r="R135" s="150">
        <v>334.72</v>
      </c>
      <c r="S135" s="192"/>
      <c r="T135" s="192">
        <v>336.03</v>
      </c>
      <c r="U135" s="192">
        <v>336.56</v>
      </c>
      <c r="V135" s="192">
        <v>336.81</v>
      </c>
      <c r="W135" s="192"/>
      <c r="X135" s="192">
        <v>336.8</v>
      </c>
      <c r="Y135" s="192"/>
      <c r="Z135" s="192">
        <v>336.45</v>
      </c>
      <c r="AA135" s="192"/>
      <c r="AB135" s="150">
        <v>335.72</v>
      </c>
      <c r="AC135" s="150"/>
      <c r="AD135" s="150">
        <v>335.64</v>
      </c>
      <c r="AE135" s="150">
        <v>335.19</v>
      </c>
      <c r="AF135" s="150">
        <v>334.76</v>
      </c>
      <c r="AG135" s="149"/>
      <c r="AH135" s="47"/>
      <c r="AI135" s="48"/>
    </row>
    <row r="136" spans="1:37" x14ac:dyDescent="0.25">
      <c r="A136" s="189" t="s">
        <v>407</v>
      </c>
      <c r="B136" s="192">
        <v>884</v>
      </c>
      <c r="C136" s="192">
        <v>885</v>
      </c>
      <c r="D136" s="192">
        <v>885.6</v>
      </c>
      <c r="E136" s="192">
        <v>886.2</v>
      </c>
      <c r="F136" s="192">
        <v>886.7</v>
      </c>
      <c r="G136" s="192">
        <v>887.1</v>
      </c>
      <c r="H136" s="192"/>
      <c r="I136" s="192">
        <v>886.9</v>
      </c>
      <c r="J136" s="192"/>
      <c r="K136" s="192">
        <v>886.6</v>
      </c>
      <c r="L136" s="192"/>
      <c r="M136" s="192">
        <v>882</v>
      </c>
      <c r="N136" s="191">
        <v>884.4</v>
      </c>
      <c r="O136" s="150">
        <v>884.1</v>
      </c>
      <c r="P136" s="150">
        <v>884.1</v>
      </c>
      <c r="Q136" s="150">
        <v>884</v>
      </c>
      <c r="R136" s="150">
        <v>884.2</v>
      </c>
      <c r="S136" s="192"/>
      <c r="T136" s="192">
        <v>885.5</v>
      </c>
      <c r="U136" s="192"/>
      <c r="V136" s="192">
        <v>886.3</v>
      </c>
      <c r="W136" s="192"/>
      <c r="X136" s="192">
        <v>886.2</v>
      </c>
      <c r="Y136" s="192"/>
      <c r="Z136" s="192">
        <v>885.3</v>
      </c>
      <c r="AA136" s="192">
        <v>884</v>
      </c>
      <c r="AB136" s="150">
        <v>884</v>
      </c>
      <c r="AC136" s="150">
        <v>884</v>
      </c>
      <c r="AD136" s="150">
        <v>882.8</v>
      </c>
      <c r="AE136" s="150">
        <v>882.4</v>
      </c>
      <c r="AF136" s="150">
        <v>882.3</v>
      </c>
      <c r="AG136" s="149"/>
      <c r="AH136" s="47"/>
      <c r="AI136" s="48"/>
    </row>
    <row r="137" spans="1:37" ht="15.75" thickBot="1" x14ac:dyDescent="0.3">
      <c r="A137" s="189" t="s">
        <v>242</v>
      </c>
      <c r="B137" s="193">
        <v>1519.41</v>
      </c>
      <c r="C137" s="193">
        <v>1519.41</v>
      </c>
      <c r="D137" s="193">
        <v>1519.41</v>
      </c>
      <c r="E137" s="193">
        <v>1519.41</v>
      </c>
      <c r="F137" s="193">
        <v>1519.41</v>
      </c>
      <c r="G137" s="193">
        <v>1519.41</v>
      </c>
      <c r="H137" s="193"/>
      <c r="I137" s="193">
        <v>1519.41</v>
      </c>
      <c r="J137" s="193"/>
      <c r="K137" s="193">
        <v>1519.42</v>
      </c>
      <c r="L137" s="193"/>
      <c r="M137" s="193"/>
      <c r="N137" s="152"/>
      <c r="O137" s="152"/>
      <c r="P137" s="152"/>
      <c r="Q137" s="152"/>
      <c r="R137" s="152"/>
      <c r="S137" s="193"/>
      <c r="T137" s="193"/>
      <c r="U137" s="193"/>
      <c r="V137" s="193" t="s">
        <v>438</v>
      </c>
      <c r="W137" s="193"/>
      <c r="X137" s="193">
        <v>1519.25</v>
      </c>
      <c r="Y137" s="193"/>
      <c r="Z137" s="193"/>
      <c r="AA137" s="193"/>
      <c r="AB137" s="152"/>
      <c r="AC137" s="152"/>
      <c r="AD137" s="152"/>
      <c r="AE137" s="152"/>
      <c r="AF137" s="152"/>
      <c r="AG137" s="149"/>
      <c r="AH137" s="47"/>
      <c r="AI137" s="48"/>
    </row>
    <row r="138" spans="1:37" ht="15.75" thickBot="1" x14ac:dyDescent="0.3">
      <c r="A138" s="120" t="s">
        <v>125</v>
      </c>
      <c r="B138" s="121"/>
      <c r="C138" s="121"/>
      <c r="D138" s="121"/>
      <c r="E138" s="121"/>
      <c r="F138" s="170" t="s">
        <v>254</v>
      </c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74"/>
      <c r="AH138" s="47"/>
      <c r="AI138" s="48"/>
      <c r="AK138" s="50"/>
    </row>
    <row r="139" spans="1:37" x14ac:dyDescent="0.25">
      <c r="A139" s="122" t="s">
        <v>126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5">
        <v>9.94</v>
      </c>
      <c r="AH139" s="47"/>
      <c r="AI139" s="48"/>
      <c r="AK139" s="50"/>
    </row>
    <row r="140" spans="1:37" x14ac:dyDescent="0.25">
      <c r="A140" s="103" t="s">
        <v>127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5"/>
      <c r="AH140" s="47"/>
      <c r="AI140" s="48"/>
      <c r="AK140" s="50"/>
    </row>
    <row r="141" spans="1:37" x14ac:dyDescent="0.25">
      <c r="A141" s="103" t="s">
        <v>128</v>
      </c>
      <c r="B141" s="123"/>
      <c r="C141" s="124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5"/>
      <c r="AH141" s="47"/>
      <c r="AI141" s="48"/>
      <c r="AK141" s="50"/>
    </row>
    <row r="142" spans="1:37" x14ac:dyDescent="0.25">
      <c r="A142" s="103" t="s">
        <v>129</v>
      </c>
      <c r="B142" s="123"/>
      <c r="C142" s="124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5"/>
      <c r="AH142" s="47"/>
      <c r="AI142" s="48"/>
      <c r="AK142" s="50"/>
    </row>
    <row r="143" spans="1:37" x14ac:dyDescent="0.25">
      <c r="A143" s="103" t="s">
        <v>130</v>
      </c>
      <c r="B143" s="123"/>
      <c r="C143" s="124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5"/>
      <c r="AH143" s="47"/>
      <c r="AI143" s="48"/>
      <c r="AK143" s="50"/>
    </row>
    <row r="144" spans="1:37" x14ac:dyDescent="0.25">
      <c r="A144" s="103" t="s">
        <v>131</v>
      </c>
      <c r="B144" s="123"/>
      <c r="C144" s="124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5"/>
      <c r="AH144" s="47"/>
      <c r="AI144" s="48"/>
      <c r="AK144" s="50"/>
    </row>
    <row r="145" spans="1:37" x14ac:dyDescent="0.25">
      <c r="A145" s="103" t="s">
        <v>132</v>
      </c>
      <c r="B145" s="123"/>
      <c r="C145" s="124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5"/>
      <c r="AH145" s="47"/>
      <c r="AI145" s="48"/>
      <c r="AK145" s="50"/>
    </row>
    <row r="146" spans="1:37" x14ac:dyDescent="0.25">
      <c r="A146" s="103" t="s">
        <v>133</v>
      </c>
      <c r="B146" s="123"/>
      <c r="C146" s="124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5"/>
      <c r="AH146" s="47"/>
      <c r="AI146" s="48"/>
      <c r="AK146" s="50"/>
    </row>
    <row r="147" spans="1:37" x14ac:dyDescent="0.25">
      <c r="A147" s="103" t="s">
        <v>134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5"/>
      <c r="AH147" s="47"/>
      <c r="AI147" s="48"/>
      <c r="AK147" s="50"/>
    </row>
    <row r="148" spans="1:37" x14ac:dyDescent="0.25">
      <c r="A148" s="103" t="s">
        <v>135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5"/>
      <c r="AH148" s="47"/>
      <c r="AI148" s="48"/>
      <c r="AK148" s="50"/>
    </row>
    <row r="149" spans="1:37" x14ac:dyDescent="0.25">
      <c r="A149" s="103" t="s">
        <v>136</v>
      </c>
      <c r="B149" s="123"/>
      <c r="C149" s="124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5"/>
      <c r="AH149" s="47"/>
      <c r="AI149" s="48"/>
      <c r="AK149" s="50"/>
    </row>
    <row r="150" spans="1:37" x14ac:dyDescent="0.25">
      <c r="A150" s="103" t="s">
        <v>137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5"/>
      <c r="AH150" s="47"/>
      <c r="AI150" s="48"/>
      <c r="AK150" s="50"/>
    </row>
    <row r="151" spans="1:37" x14ac:dyDescent="0.25">
      <c r="A151" s="103" t="s">
        <v>138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5"/>
      <c r="AH151" s="47"/>
      <c r="AI151" s="48"/>
      <c r="AK151" s="50"/>
    </row>
    <row r="152" spans="1:37" x14ac:dyDescent="0.25">
      <c r="A152" s="103" t="s">
        <v>139</v>
      </c>
      <c r="B152" s="123"/>
      <c r="C152" s="124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5"/>
      <c r="AH152" s="47"/>
      <c r="AI152" s="48"/>
      <c r="AK152" s="50"/>
    </row>
    <row r="153" spans="1:37" x14ac:dyDescent="0.25">
      <c r="A153" s="103" t="s">
        <v>140</v>
      </c>
      <c r="B153" s="123"/>
      <c r="C153" s="124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5"/>
      <c r="AH153" s="47"/>
      <c r="AI153" s="48"/>
      <c r="AK153" s="50"/>
    </row>
    <row r="154" spans="1:37" x14ac:dyDescent="0.25">
      <c r="A154" s="103" t="s">
        <v>141</v>
      </c>
      <c r="B154" s="123"/>
      <c r="C154" s="124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5"/>
      <c r="AH154" s="47"/>
      <c r="AI154" s="48"/>
      <c r="AK154" s="50"/>
    </row>
    <row r="155" spans="1:37" x14ac:dyDescent="0.25">
      <c r="A155" s="103" t="s">
        <v>142</v>
      </c>
      <c r="B155" s="126"/>
      <c r="C155" s="127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8">
        <v>9.9</v>
      </c>
      <c r="AH155" s="47"/>
      <c r="AI155" s="48"/>
      <c r="AK155" s="50"/>
    </row>
    <row r="156" spans="1:37" x14ac:dyDescent="0.25">
      <c r="A156" s="116" t="s">
        <v>143</v>
      </c>
      <c r="B156" s="126"/>
      <c r="C156" s="127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9">
        <v>9.6579999999999995</v>
      </c>
      <c r="AH156" s="47"/>
      <c r="AI156" s="48"/>
      <c r="AK156" s="50"/>
    </row>
    <row r="157" spans="1:37" x14ac:dyDescent="0.25">
      <c r="A157" s="116" t="s">
        <v>144</v>
      </c>
      <c r="B157" s="126"/>
      <c r="C157" s="127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9">
        <v>9.6</v>
      </c>
      <c r="AH157" s="47"/>
      <c r="AI157" s="48"/>
      <c r="AK157" s="50"/>
    </row>
    <row r="158" spans="1:37" x14ac:dyDescent="0.25">
      <c r="A158" s="116" t="s">
        <v>145</v>
      </c>
      <c r="B158" s="126"/>
      <c r="C158" s="127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9">
        <v>9.51</v>
      </c>
      <c r="AH158" s="47"/>
      <c r="AI158" s="48"/>
      <c r="AK158" s="50"/>
    </row>
    <row r="159" spans="1:37" x14ac:dyDescent="0.25">
      <c r="A159" s="116" t="s">
        <v>146</v>
      </c>
      <c r="B159" s="126"/>
      <c r="C159" s="127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9">
        <v>9.4</v>
      </c>
      <c r="AH159" s="47"/>
      <c r="AI159" s="48"/>
      <c r="AK159" s="50"/>
    </row>
    <row r="160" spans="1:37" x14ac:dyDescent="0.25">
      <c r="A160" s="116" t="s">
        <v>147</v>
      </c>
      <c r="B160" s="126"/>
      <c r="C160" s="127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9">
        <v>8.8000000000000007</v>
      </c>
      <c r="AH160" s="47"/>
      <c r="AI160" s="48"/>
      <c r="AK160" s="50"/>
    </row>
    <row r="161" spans="1:37" x14ac:dyDescent="0.25">
      <c r="A161" s="116" t="s">
        <v>148</v>
      </c>
      <c r="B161" s="126"/>
      <c r="C161" s="127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9">
        <v>8.5</v>
      </c>
      <c r="AH161" s="47"/>
      <c r="AI161" s="48"/>
      <c r="AK161" s="50"/>
    </row>
    <row r="162" spans="1:37" x14ac:dyDescent="0.25">
      <c r="A162" s="116" t="s">
        <v>149</v>
      </c>
      <c r="B162" s="126"/>
      <c r="C162" s="127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9">
        <v>8.5</v>
      </c>
      <c r="AH162" s="47"/>
      <c r="AI162" s="48"/>
      <c r="AK162" s="50"/>
    </row>
    <row r="163" spans="1:37" x14ac:dyDescent="0.25">
      <c r="A163" s="116" t="s">
        <v>150</v>
      </c>
      <c r="B163" s="126"/>
      <c r="C163" s="127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9">
        <v>8.4</v>
      </c>
      <c r="AH163" s="47"/>
      <c r="AI163" s="48"/>
      <c r="AK163" s="50"/>
    </row>
    <row r="164" spans="1:37" ht="13.5" customHeight="1" x14ac:dyDescent="0.25">
      <c r="A164" s="116" t="s">
        <v>151</v>
      </c>
      <c r="B164" s="126"/>
      <c r="C164" s="127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9">
        <v>8</v>
      </c>
      <c r="AH164" s="47"/>
      <c r="AI164" s="48"/>
      <c r="AK164" s="50"/>
    </row>
    <row r="165" spans="1:37" x14ac:dyDescent="0.25">
      <c r="A165" s="116" t="s">
        <v>152</v>
      </c>
      <c r="B165" s="126"/>
      <c r="C165" s="127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9">
        <v>8</v>
      </c>
      <c r="AH165" s="47"/>
      <c r="AI165" s="48"/>
      <c r="AK165" s="50"/>
    </row>
    <row r="166" spans="1:37" x14ac:dyDescent="0.25">
      <c r="A166" s="116" t="s">
        <v>153</v>
      </c>
      <c r="B166" s="126"/>
      <c r="C166" s="127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9">
        <v>8</v>
      </c>
      <c r="AH166" s="47"/>
      <c r="AI166" s="48"/>
      <c r="AK166" s="50"/>
    </row>
    <row r="167" spans="1:37" x14ac:dyDescent="0.25">
      <c r="A167" s="116" t="s">
        <v>154</v>
      </c>
      <c r="B167" s="126"/>
      <c r="C167" s="127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9">
        <v>7.8</v>
      </c>
      <c r="AH167" s="47"/>
      <c r="AI167" s="48"/>
      <c r="AK167" s="50"/>
    </row>
    <row r="168" spans="1:37" x14ac:dyDescent="0.25">
      <c r="A168" s="116" t="s">
        <v>155</v>
      </c>
      <c r="B168" s="126"/>
      <c r="C168" s="127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9">
        <v>7.6</v>
      </c>
      <c r="AH168" s="47"/>
      <c r="AI168" s="48"/>
      <c r="AK168" s="50"/>
    </row>
    <row r="169" spans="1:37" x14ac:dyDescent="0.25">
      <c r="A169" s="116" t="s">
        <v>156</v>
      </c>
      <c r="B169" s="126"/>
      <c r="C169" s="127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9">
        <v>7.5</v>
      </c>
      <c r="AH169" s="47"/>
      <c r="AI169" s="48"/>
      <c r="AK169" s="50"/>
    </row>
    <row r="170" spans="1:37" x14ac:dyDescent="0.25">
      <c r="A170" s="116" t="s">
        <v>157</v>
      </c>
      <c r="B170" s="126"/>
      <c r="C170" s="127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9">
        <v>7.5</v>
      </c>
      <c r="AH170" s="47"/>
      <c r="AI170" s="48"/>
      <c r="AK170" s="50"/>
    </row>
    <row r="171" spans="1:37" x14ac:dyDescent="0.25">
      <c r="A171" s="116" t="s">
        <v>158</v>
      </c>
      <c r="B171" s="126"/>
      <c r="C171" s="127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9">
        <v>7</v>
      </c>
      <c r="AH171" s="47"/>
      <c r="AI171" s="48"/>
      <c r="AK171" s="50"/>
    </row>
    <row r="172" spans="1:37" x14ac:dyDescent="0.25">
      <c r="A172" s="116" t="s">
        <v>159</v>
      </c>
      <c r="B172" s="126"/>
      <c r="C172" s="127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9">
        <v>7</v>
      </c>
      <c r="AH172" s="47"/>
      <c r="AI172" s="48"/>
      <c r="AK172" s="50"/>
    </row>
    <row r="173" spans="1:37" x14ac:dyDescent="0.25">
      <c r="A173" s="116" t="s">
        <v>160</v>
      </c>
      <c r="B173" s="126"/>
      <c r="C173" s="127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9">
        <v>7</v>
      </c>
      <c r="AH173" s="47"/>
      <c r="AI173" s="48"/>
      <c r="AK173" s="50"/>
    </row>
    <row r="174" spans="1:37" x14ac:dyDescent="0.25">
      <c r="A174" s="116" t="s">
        <v>161</v>
      </c>
      <c r="B174" s="126"/>
      <c r="C174" s="127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9">
        <v>7</v>
      </c>
      <c r="AH174" s="47"/>
      <c r="AI174" s="48"/>
      <c r="AK174" s="50"/>
    </row>
    <row r="175" spans="1:37" x14ac:dyDescent="0.25">
      <c r="A175" s="116" t="s">
        <v>162</v>
      </c>
      <c r="B175" s="126"/>
      <c r="C175" s="127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9">
        <v>6.6</v>
      </c>
      <c r="AH175" s="47"/>
      <c r="AI175" s="48"/>
      <c r="AK175" s="50"/>
    </row>
    <row r="176" spans="1:37" x14ac:dyDescent="0.25">
      <c r="A176" s="116" t="s">
        <v>163</v>
      </c>
      <c r="B176" s="126"/>
      <c r="C176" s="127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9">
        <v>6.6</v>
      </c>
      <c r="AH176" s="47"/>
      <c r="AI176" s="48"/>
      <c r="AK176" s="50"/>
    </row>
    <row r="177" spans="1:37" x14ac:dyDescent="0.25">
      <c r="A177" s="116" t="s">
        <v>164</v>
      </c>
      <c r="B177" s="126"/>
      <c r="C177" s="127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9">
        <v>6.4</v>
      </c>
      <c r="AH177" s="47"/>
      <c r="AI177" s="48"/>
      <c r="AK177" s="50"/>
    </row>
    <row r="178" spans="1:37" x14ac:dyDescent="0.25">
      <c r="A178" s="116" t="s">
        <v>165</v>
      </c>
      <c r="B178" s="126"/>
      <c r="C178" s="127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9">
        <v>6</v>
      </c>
      <c r="AH178" s="47"/>
      <c r="AI178" s="48"/>
      <c r="AK178" s="50"/>
    </row>
    <row r="179" spans="1:37" x14ac:dyDescent="0.25">
      <c r="A179" s="116" t="s">
        <v>166</v>
      </c>
      <c r="B179" s="126"/>
      <c r="C179" s="127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9">
        <v>5.0999999999999996</v>
      </c>
      <c r="AH179" s="47"/>
      <c r="AI179" s="48"/>
      <c r="AK179" s="50"/>
    </row>
    <row r="180" spans="1:37" x14ac:dyDescent="0.25">
      <c r="A180" s="116" t="s">
        <v>167</v>
      </c>
      <c r="B180" s="126"/>
      <c r="C180" s="127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9">
        <v>5</v>
      </c>
      <c r="AH180" s="47"/>
      <c r="AI180" s="48"/>
      <c r="AK180" s="50"/>
    </row>
    <row r="181" spans="1:37" x14ac:dyDescent="0.25">
      <c r="A181" s="103" t="s">
        <v>168</v>
      </c>
      <c r="B181" s="126"/>
      <c r="C181" s="127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8">
        <v>5</v>
      </c>
      <c r="AH181" s="47"/>
      <c r="AI181" s="48"/>
      <c r="AK181" s="50"/>
    </row>
    <row r="182" spans="1:37" x14ac:dyDescent="0.25">
      <c r="A182" s="116" t="s">
        <v>169</v>
      </c>
      <c r="B182" s="126"/>
      <c r="C182" s="127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9">
        <v>5</v>
      </c>
      <c r="AH182" s="47"/>
      <c r="AI182" s="48"/>
      <c r="AK182" s="50"/>
    </row>
    <row r="183" spans="1:37" x14ac:dyDescent="0.25">
      <c r="A183" s="116" t="s">
        <v>170</v>
      </c>
      <c r="B183" s="126"/>
      <c r="C183" s="127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9">
        <v>5</v>
      </c>
      <c r="AH183" s="47"/>
      <c r="AI183" s="48"/>
      <c r="AK183" s="50"/>
    </row>
    <row r="184" spans="1:37" x14ac:dyDescent="0.25">
      <c r="A184" s="116" t="s">
        <v>171</v>
      </c>
      <c r="B184" s="126"/>
      <c r="C184" s="127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9">
        <v>5</v>
      </c>
      <c r="AH184" s="47"/>
      <c r="AI184" s="48"/>
      <c r="AK184" s="50"/>
    </row>
    <row r="185" spans="1:37" x14ac:dyDescent="0.25">
      <c r="A185" s="116" t="s">
        <v>172</v>
      </c>
      <c r="B185" s="126"/>
      <c r="C185" s="127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9">
        <v>5</v>
      </c>
      <c r="AH185" s="47"/>
      <c r="AI185" s="48"/>
      <c r="AK185" s="50"/>
    </row>
    <row r="186" spans="1:37" x14ac:dyDescent="0.25">
      <c r="A186" s="116" t="s">
        <v>173</v>
      </c>
      <c r="B186" s="126"/>
      <c r="C186" s="127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9">
        <v>5</v>
      </c>
      <c r="AH186" s="47"/>
      <c r="AI186" s="48"/>
      <c r="AK186" s="50"/>
    </row>
    <row r="187" spans="1:37" x14ac:dyDescent="0.25">
      <c r="A187" s="116" t="s">
        <v>174</v>
      </c>
      <c r="B187" s="126"/>
      <c r="C187" s="127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9">
        <v>4.9930000000000003</v>
      </c>
      <c r="AH187" s="47"/>
      <c r="AI187" s="48"/>
      <c r="AK187" s="50"/>
    </row>
    <row r="188" spans="1:37" x14ac:dyDescent="0.25">
      <c r="A188" s="116" t="s">
        <v>175</v>
      </c>
      <c r="B188" s="126"/>
      <c r="C188" s="127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9">
        <v>4.9800000000000004</v>
      </c>
      <c r="AH188" s="47"/>
      <c r="AI188" s="48"/>
      <c r="AK188" s="50"/>
    </row>
    <row r="189" spans="1:37" x14ac:dyDescent="0.25">
      <c r="A189" s="116" t="s">
        <v>176</v>
      </c>
      <c r="B189" s="126"/>
      <c r="C189" s="127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9">
        <v>4.95</v>
      </c>
      <c r="AH189" s="47"/>
      <c r="AI189" s="48"/>
      <c r="AK189" s="50"/>
    </row>
    <row r="190" spans="1:37" x14ac:dyDescent="0.25">
      <c r="A190" s="116" t="s">
        <v>177</v>
      </c>
      <c r="B190" s="126"/>
      <c r="C190" s="127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9">
        <v>4.95</v>
      </c>
      <c r="AH190" s="47"/>
      <c r="AI190" s="48"/>
      <c r="AK190" s="50"/>
    </row>
    <row r="191" spans="1:37" x14ac:dyDescent="0.25">
      <c r="A191" s="116" t="s">
        <v>178</v>
      </c>
      <c r="B191" s="126"/>
      <c r="C191" s="127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9">
        <v>4.8</v>
      </c>
      <c r="AH191" s="47"/>
      <c r="AI191" s="48"/>
      <c r="AK191" s="50"/>
    </row>
    <row r="192" spans="1:37" x14ac:dyDescent="0.25">
      <c r="A192" s="116" t="s">
        <v>179</v>
      </c>
      <c r="B192" s="126"/>
      <c r="C192" s="127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9">
        <v>4.8</v>
      </c>
      <c r="AH192" s="47"/>
      <c r="AI192" s="48"/>
      <c r="AK192" s="50"/>
    </row>
    <row r="193" spans="1:37" x14ac:dyDescent="0.25">
      <c r="A193" s="116" t="s">
        <v>180</v>
      </c>
      <c r="B193" s="126"/>
      <c r="C193" s="127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9">
        <v>4.8</v>
      </c>
      <c r="AH193" s="47"/>
      <c r="AI193" s="48"/>
      <c r="AK193" s="50"/>
    </row>
    <row r="194" spans="1:37" x14ac:dyDescent="0.25">
      <c r="A194" s="116" t="s">
        <v>181</v>
      </c>
      <c r="B194" s="126"/>
      <c r="C194" s="127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9">
        <v>4.5</v>
      </c>
      <c r="AH194" s="47"/>
      <c r="AI194" s="48"/>
      <c r="AK194" s="50"/>
    </row>
    <row r="195" spans="1:37" x14ac:dyDescent="0.25">
      <c r="A195" s="116" t="s">
        <v>182</v>
      </c>
      <c r="B195" s="126"/>
      <c r="C195" s="127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9">
        <v>4.5</v>
      </c>
      <c r="AH195" s="47"/>
      <c r="AI195" s="48"/>
      <c r="AK195" s="50"/>
    </row>
    <row r="196" spans="1:37" x14ac:dyDescent="0.25">
      <c r="A196" s="116" t="s">
        <v>183</v>
      </c>
      <c r="B196" s="126"/>
      <c r="C196" s="127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9">
        <v>4.4550000000000001</v>
      </c>
      <c r="AH196" s="47"/>
      <c r="AI196" s="48"/>
      <c r="AK196" s="50"/>
    </row>
    <row r="197" spans="1:37" x14ac:dyDescent="0.25">
      <c r="A197" s="116" t="s">
        <v>184</v>
      </c>
      <c r="B197" s="126"/>
      <c r="C197" s="127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9">
        <v>4.41</v>
      </c>
      <c r="AH197" s="47"/>
      <c r="AI197" s="48"/>
      <c r="AK197" s="50"/>
    </row>
    <row r="198" spans="1:37" x14ac:dyDescent="0.25">
      <c r="A198" s="116" t="s">
        <v>185</v>
      </c>
      <c r="B198" s="126"/>
      <c r="C198" s="127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9">
        <v>4.4000000000000004</v>
      </c>
      <c r="AH198" s="47"/>
      <c r="AI198" s="48"/>
      <c r="AK198" s="50"/>
    </row>
    <row r="199" spans="1:37" x14ac:dyDescent="0.25">
      <c r="A199" s="116" t="s">
        <v>186</v>
      </c>
      <c r="B199" s="126"/>
      <c r="C199" s="127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9">
        <v>4.3600000000000003</v>
      </c>
      <c r="AH199" s="47"/>
      <c r="AI199" s="48"/>
      <c r="AK199" s="50"/>
    </row>
    <row r="200" spans="1:37" x14ac:dyDescent="0.25">
      <c r="A200" s="116" t="s">
        <v>187</v>
      </c>
      <c r="B200" s="126"/>
      <c r="C200" s="127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9">
        <v>4.2</v>
      </c>
      <c r="AH200" s="47"/>
      <c r="AI200" s="48"/>
      <c r="AK200" s="50"/>
    </row>
    <row r="201" spans="1:37" x14ac:dyDescent="0.25">
      <c r="A201" s="116" t="s">
        <v>188</v>
      </c>
      <c r="B201" s="126"/>
      <c r="C201" s="127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9">
        <v>4</v>
      </c>
      <c r="AH201" s="47"/>
      <c r="AI201" s="48"/>
      <c r="AK201" s="50"/>
    </row>
    <row r="202" spans="1:37" x14ac:dyDescent="0.25">
      <c r="A202" s="116" t="s">
        <v>189</v>
      </c>
      <c r="B202" s="126"/>
      <c r="C202" s="127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9">
        <v>4</v>
      </c>
      <c r="AH202" s="47"/>
      <c r="AI202" s="48"/>
      <c r="AK202" s="50"/>
    </row>
    <row r="203" spans="1:37" x14ac:dyDescent="0.25">
      <c r="A203" s="116" t="s">
        <v>190</v>
      </c>
      <c r="B203" s="126"/>
      <c r="C203" s="127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9">
        <v>4</v>
      </c>
      <c r="AH203" s="47"/>
      <c r="AI203" s="48"/>
      <c r="AK203" s="50"/>
    </row>
    <row r="204" spans="1:37" x14ac:dyDescent="0.25">
      <c r="A204" s="116" t="s">
        <v>191</v>
      </c>
      <c r="B204" s="126"/>
      <c r="C204" s="127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9">
        <v>4</v>
      </c>
      <c r="AH204" s="47"/>
      <c r="AI204" s="48"/>
      <c r="AK204" s="50"/>
    </row>
    <row r="205" spans="1:37" x14ac:dyDescent="0.25">
      <c r="A205" s="116" t="s">
        <v>192</v>
      </c>
      <c r="B205" s="126"/>
      <c r="C205" s="127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9">
        <v>4</v>
      </c>
      <c r="AH205" s="47"/>
      <c r="AI205" s="48"/>
      <c r="AK205" s="50"/>
    </row>
    <row r="206" spans="1:37" x14ac:dyDescent="0.25">
      <c r="A206" s="116" t="s">
        <v>193</v>
      </c>
      <c r="B206" s="126"/>
      <c r="C206" s="127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9">
        <v>4</v>
      </c>
      <c r="AH206" s="47"/>
      <c r="AI206" s="48"/>
      <c r="AK206" s="50"/>
    </row>
    <row r="207" spans="1:37" x14ac:dyDescent="0.25">
      <c r="A207" s="116" t="s">
        <v>194</v>
      </c>
      <c r="B207" s="126"/>
      <c r="C207" s="127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9">
        <v>4</v>
      </c>
      <c r="AH207" s="47"/>
      <c r="AI207" s="48"/>
      <c r="AK207" s="50"/>
    </row>
    <row r="208" spans="1:37" x14ac:dyDescent="0.25">
      <c r="A208" s="116" t="s">
        <v>195</v>
      </c>
      <c r="B208" s="126"/>
      <c r="C208" s="127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9">
        <v>4</v>
      </c>
      <c r="AH208" s="47"/>
      <c r="AI208" s="48"/>
      <c r="AK208" s="50"/>
    </row>
    <row r="209" spans="1:37" x14ac:dyDescent="0.25">
      <c r="A209" s="116" t="s">
        <v>196</v>
      </c>
      <c r="B209" s="126"/>
      <c r="C209" s="127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9">
        <v>3.75</v>
      </c>
      <c r="AH209" s="47"/>
      <c r="AI209" s="48"/>
      <c r="AK209" s="50"/>
    </row>
    <row r="210" spans="1:37" x14ac:dyDescent="0.25">
      <c r="A210" s="116" t="s">
        <v>197</v>
      </c>
      <c r="B210" s="126"/>
      <c r="C210" s="127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9">
        <v>3.52</v>
      </c>
      <c r="AH210" s="47"/>
      <c r="AI210" s="48"/>
      <c r="AK210" s="50"/>
    </row>
    <row r="211" spans="1:37" x14ac:dyDescent="0.25">
      <c r="A211" s="116" t="s">
        <v>198</v>
      </c>
      <c r="B211" s="126"/>
      <c r="C211" s="127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9">
        <v>3.33</v>
      </c>
      <c r="AH211" s="47"/>
      <c r="AI211" s="48"/>
      <c r="AK211" s="50"/>
    </row>
    <row r="212" spans="1:37" x14ac:dyDescent="0.25">
      <c r="A212" s="116" t="s">
        <v>199</v>
      </c>
      <c r="B212" s="126"/>
      <c r="C212" s="127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9">
        <v>3.2</v>
      </c>
      <c r="AH212" s="47"/>
      <c r="AI212" s="48"/>
      <c r="AK212" s="50"/>
    </row>
    <row r="213" spans="1:37" x14ac:dyDescent="0.25">
      <c r="A213" s="116" t="s">
        <v>200</v>
      </c>
      <c r="B213" s="126"/>
      <c r="C213" s="127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9">
        <v>3</v>
      </c>
      <c r="AH213" s="47"/>
      <c r="AI213" s="48"/>
      <c r="AK213" s="50"/>
    </row>
    <row r="214" spans="1:37" x14ac:dyDescent="0.25">
      <c r="A214" s="116" t="s">
        <v>201</v>
      </c>
      <c r="B214" s="126"/>
      <c r="C214" s="127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9">
        <v>3</v>
      </c>
      <c r="AH214" s="47"/>
      <c r="AI214" s="48"/>
      <c r="AK214" s="50"/>
    </row>
    <row r="215" spans="1:37" x14ac:dyDescent="0.25">
      <c r="A215" s="116" t="s">
        <v>202</v>
      </c>
      <c r="B215" s="126"/>
      <c r="C215" s="127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9">
        <v>3</v>
      </c>
      <c r="AH215" s="47"/>
      <c r="AI215" s="48"/>
      <c r="AK215" s="50"/>
    </row>
    <row r="216" spans="1:37" x14ac:dyDescent="0.25">
      <c r="A216" s="116" t="s">
        <v>203</v>
      </c>
      <c r="B216" s="126"/>
      <c r="C216" s="127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9">
        <v>3</v>
      </c>
      <c r="AH216" s="47"/>
      <c r="AI216" s="48"/>
      <c r="AK216" s="50"/>
    </row>
    <row r="217" spans="1:37" x14ac:dyDescent="0.25">
      <c r="A217" s="116" t="s">
        <v>204</v>
      </c>
      <c r="B217" s="126"/>
      <c r="C217" s="127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9">
        <v>3</v>
      </c>
      <c r="AH217" s="47"/>
      <c r="AI217" s="48"/>
      <c r="AK217" s="50"/>
    </row>
    <row r="218" spans="1:37" x14ac:dyDescent="0.25">
      <c r="A218" s="116" t="s">
        <v>205</v>
      </c>
      <c r="B218" s="126"/>
      <c r="C218" s="127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9">
        <v>3</v>
      </c>
      <c r="AH218" s="47"/>
      <c r="AI218" s="48"/>
      <c r="AK218" s="50"/>
    </row>
    <row r="219" spans="1:37" x14ac:dyDescent="0.25">
      <c r="A219" s="116" t="s">
        <v>206</v>
      </c>
      <c r="B219" s="126"/>
      <c r="C219" s="127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9">
        <v>3</v>
      </c>
      <c r="AH219" s="47"/>
      <c r="AI219" s="48"/>
      <c r="AK219" s="50"/>
    </row>
    <row r="220" spans="1:37" x14ac:dyDescent="0.25">
      <c r="A220" s="116" t="s">
        <v>207</v>
      </c>
      <c r="B220" s="126"/>
      <c r="C220" s="127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9">
        <v>3</v>
      </c>
      <c r="AH220" s="47"/>
      <c r="AI220" s="48"/>
      <c r="AK220" s="50"/>
    </row>
    <row r="221" spans="1:37" x14ac:dyDescent="0.25">
      <c r="A221" s="116" t="s">
        <v>208</v>
      </c>
      <c r="B221" s="126"/>
      <c r="C221" s="127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9">
        <v>2.83</v>
      </c>
      <c r="AH221" s="47"/>
      <c r="AI221" s="48"/>
      <c r="AK221" s="50"/>
    </row>
    <row r="222" spans="1:37" x14ac:dyDescent="0.25">
      <c r="A222" s="116" t="s">
        <v>209</v>
      </c>
      <c r="B222" s="126"/>
      <c r="C222" s="127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9">
        <v>2.5</v>
      </c>
      <c r="AH222" s="47"/>
      <c r="AI222" s="48"/>
      <c r="AK222" s="50"/>
    </row>
    <row r="223" spans="1:37" x14ac:dyDescent="0.25">
      <c r="A223" s="116" t="s">
        <v>210</v>
      </c>
      <c r="B223" s="126"/>
      <c r="C223" s="127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9">
        <v>2.5</v>
      </c>
      <c r="AH223" s="47"/>
      <c r="AI223" s="48"/>
      <c r="AK223" s="50"/>
    </row>
    <row r="224" spans="1:37" x14ac:dyDescent="0.25">
      <c r="A224" s="116" t="s">
        <v>211</v>
      </c>
      <c r="B224" s="126"/>
      <c r="C224" s="127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9">
        <v>2.4</v>
      </c>
      <c r="AH224" s="47"/>
      <c r="AI224" s="48"/>
      <c r="AK224" s="50"/>
    </row>
    <row r="225" spans="1:37" x14ac:dyDescent="0.25">
      <c r="A225" s="116" t="s">
        <v>212</v>
      </c>
      <c r="B225" s="126"/>
      <c r="C225" s="127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9">
        <v>2.4</v>
      </c>
      <c r="AH225" s="47"/>
      <c r="AI225" s="48"/>
      <c r="AK225" s="50"/>
    </row>
    <row r="226" spans="1:37" x14ac:dyDescent="0.25">
      <c r="A226" s="116" t="s">
        <v>213</v>
      </c>
      <c r="B226" s="126"/>
      <c r="C226" s="127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9">
        <v>2.2000000000000002</v>
      </c>
      <c r="AH226" s="47"/>
      <c r="AI226" s="48"/>
      <c r="AK226" s="50"/>
    </row>
    <row r="227" spans="1:37" x14ac:dyDescent="0.25">
      <c r="A227" s="116" t="s">
        <v>214</v>
      </c>
      <c r="B227" s="126"/>
      <c r="C227" s="127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9">
        <v>2</v>
      </c>
      <c r="AH227" s="47"/>
      <c r="AI227" s="48"/>
      <c r="AK227" s="50"/>
    </row>
    <row r="228" spans="1:37" x14ac:dyDescent="0.25">
      <c r="A228" s="116" t="s">
        <v>215</v>
      </c>
      <c r="B228" s="126"/>
      <c r="C228" s="127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9">
        <v>2</v>
      </c>
      <c r="AH228" s="47"/>
      <c r="AI228" s="48"/>
      <c r="AK228" s="50"/>
    </row>
    <row r="229" spans="1:37" x14ac:dyDescent="0.25">
      <c r="A229" s="116" t="s">
        <v>216</v>
      </c>
      <c r="B229" s="126"/>
      <c r="C229" s="127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9">
        <v>2</v>
      </c>
      <c r="AH229" s="47"/>
      <c r="AI229" s="48"/>
      <c r="AK229" s="50"/>
    </row>
    <row r="230" spans="1:37" x14ac:dyDescent="0.25">
      <c r="A230" s="116" t="s">
        <v>217</v>
      </c>
      <c r="B230" s="126"/>
      <c r="C230" s="127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9">
        <v>1.8</v>
      </c>
      <c r="AH230" s="47"/>
      <c r="AI230" s="48"/>
      <c r="AK230" s="50"/>
    </row>
    <row r="231" spans="1:37" x14ac:dyDescent="0.25">
      <c r="A231" s="116" t="s">
        <v>218</v>
      </c>
      <c r="B231" s="126"/>
      <c r="C231" s="127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9">
        <v>1.8</v>
      </c>
      <c r="AH231" s="47"/>
      <c r="AI231" s="48"/>
      <c r="AK231" s="50"/>
    </row>
    <row r="232" spans="1:37" x14ac:dyDescent="0.25">
      <c r="A232" s="116" t="s">
        <v>219</v>
      </c>
      <c r="B232" s="126"/>
      <c r="C232" s="127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9">
        <v>1.65</v>
      </c>
      <c r="AH232" s="47"/>
      <c r="AI232" s="48"/>
      <c r="AK232" s="50"/>
    </row>
    <row r="233" spans="1:37" x14ac:dyDescent="0.25">
      <c r="A233" s="116" t="s">
        <v>220</v>
      </c>
      <c r="B233" s="126"/>
      <c r="C233" s="127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9">
        <v>1.5</v>
      </c>
      <c r="AH233" s="47"/>
      <c r="AI233" s="48"/>
      <c r="AK233" s="50"/>
    </row>
    <row r="234" spans="1:37" x14ac:dyDescent="0.25">
      <c r="A234" s="116" t="s">
        <v>221</v>
      </c>
      <c r="B234" s="126"/>
      <c r="C234" s="127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9">
        <v>0.998</v>
      </c>
      <c r="AH234" s="47"/>
      <c r="AI234" s="48"/>
      <c r="AK234" s="50"/>
    </row>
    <row r="235" spans="1:37" x14ac:dyDescent="0.25">
      <c r="A235" s="116" t="s">
        <v>222</v>
      </c>
      <c r="B235" s="126"/>
      <c r="C235" s="127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9">
        <v>0.997</v>
      </c>
      <c r="AH235" s="47"/>
      <c r="AI235" s="48"/>
      <c r="AK235" s="50"/>
    </row>
    <row r="236" spans="1:37" x14ac:dyDescent="0.25">
      <c r="A236" s="116" t="s">
        <v>223</v>
      </c>
      <c r="B236" s="126"/>
      <c r="C236" s="127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9">
        <v>0.997</v>
      </c>
      <c r="AH236" s="47"/>
      <c r="AI236" s="48"/>
      <c r="AK236" s="50"/>
    </row>
    <row r="237" spans="1:37" x14ac:dyDescent="0.25">
      <c r="A237" s="116" t="s">
        <v>224</v>
      </c>
      <c r="B237" s="126"/>
      <c r="C237" s="127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9">
        <v>0.996</v>
      </c>
      <c r="AH237" s="47"/>
      <c r="AI237" s="48"/>
      <c r="AK237" s="50"/>
    </row>
    <row r="238" spans="1:37" x14ac:dyDescent="0.25">
      <c r="A238" s="116" t="s">
        <v>225</v>
      </c>
      <c r="B238" s="126"/>
      <c r="C238" s="127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9">
        <v>0.996</v>
      </c>
      <c r="AH238" s="47"/>
      <c r="AI238" s="48"/>
      <c r="AK238" s="50"/>
    </row>
    <row r="239" spans="1:37" x14ac:dyDescent="0.25">
      <c r="A239" s="116" t="s">
        <v>226</v>
      </c>
      <c r="B239" s="126"/>
      <c r="C239" s="127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9">
        <v>0.996</v>
      </c>
      <c r="AH239" s="47"/>
      <c r="AI239" s="48"/>
      <c r="AK239" s="50"/>
    </row>
    <row r="240" spans="1:37" x14ac:dyDescent="0.25">
      <c r="A240" s="116" t="s">
        <v>227</v>
      </c>
      <c r="B240" s="126"/>
      <c r="C240" s="127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9">
        <v>0.995</v>
      </c>
      <c r="AH240" s="47"/>
      <c r="AI240" s="48"/>
      <c r="AK240" s="50"/>
    </row>
    <row r="241" spans="1:37" x14ac:dyDescent="0.25">
      <c r="A241" s="116" t="s">
        <v>228</v>
      </c>
      <c r="B241" s="126"/>
      <c r="C241" s="127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9">
        <v>0.99299999999999999</v>
      </c>
      <c r="AH241" s="47"/>
      <c r="AI241" s="48"/>
      <c r="AK241" s="50"/>
    </row>
    <row r="242" spans="1:37" x14ac:dyDescent="0.25">
      <c r="A242" s="116" t="s">
        <v>229</v>
      </c>
      <c r="B242" s="126"/>
      <c r="C242" s="124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9">
        <v>0.99</v>
      </c>
      <c r="AH242" s="47"/>
      <c r="AI242" s="48"/>
      <c r="AK242" s="50"/>
    </row>
    <row r="243" spans="1:37" ht="15.75" thickBot="1" x14ac:dyDescent="0.3">
      <c r="A243" s="116" t="s">
        <v>230</v>
      </c>
      <c r="B243" s="130"/>
      <c r="C243" s="131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29">
        <v>0.97899999999999998</v>
      </c>
      <c r="AH243" s="47"/>
      <c r="AI243" s="48"/>
      <c r="AK243" s="50"/>
    </row>
    <row r="244" spans="1:37" ht="15.75" thickBot="1" x14ac:dyDescent="0.3">
      <c r="A244" s="132" t="s">
        <v>231</v>
      </c>
      <c r="B244" s="133">
        <f t="shared" ref="B244:AG244" si="107">SUM(B139:B243)</f>
        <v>0</v>
      </c>
      <c r="C244" s="134">
        <f t="shared" si="107"/>
        <v>0</v>
      </c>
      <c r="D244" s="134">
        <f t="shared" si="107"/>
        <v>0</v>
      </c>
      <c r="E244" s="134">
        <f t="shared" si="107"/>
        <v>0</v>
      </c>
      <c r="F244" s="134">
        <f t="shared" si="107"/>
        <v>0</v>
      </c>
      <c r="G244" s="134">
        <f t="shared" si="107"/>
        <v>0</v>
      </c>
      <c r="H244" s="134">
        <f t="shared" si="107"/>
        <v>0</v>
      </c>
      <c r="I244" s="134">
        <f t="shared" si="107"/>
        <v>0</v>
      </c>
      <c r="J244" s="134">
        <f t="shared" si="107"/>
        <v>0</v>
      </c>
      <c r="K244" s="134">
        <f t="shared" si="107"/>
        <v>0</v>
      </c>
      <c r="L244" s="134">
        <f t="shared" si="107"/>
        <v>0</v>
      </c>
      <c r="M244" s="134">
        <f t="shared" si="107"/>
        <v>0</v>
      </c>
      <c r="N244" s="134">
        <f t="shared" si="107"/>
        <v>0</v>
      </c>
      <c r="O244" s="134">
        <f t="shared" si="107"/>
        <v>0</v>
      </c>
      <c r="P244" s="134">
        <f t="shared" si="107"/>
        <v>0</v>
      </c>
      <c r="Q244" s="134">
        <f t="shared" si="107"/>
        <v>0</v>
      </c>
      <c r="R244" s="134">
        <f t="shared" si="107"/>
        <v>0</v>
      </c>
      <c r="S244" s="134">
        <f t="shared" si="107"/>
        <v>0</v>
      </c>
      <c r="T244" s="134">
        <f t="shared" si="107"/>
        <v>0</v>
      </c>
      <c r="U244" s="134">
        <f t="shared" si="107"/>
        <v>0</v>
      </c>
      <c r="V244" s="134">
        <f t="shared" si="107"/>
        <v>0</v>
      </c>
      <c r="W244" s="134">
        <f t="shared" si="107"/>
        <v>0</v>
      </c>
      <c r="X244" s="134">
        <f t="shared" si="107"/>
        <v>0</v>
      </c>
      <c r="Y244" s="134">
        <f t="shared" si="107"/>
        <v>0</v>
      </c>
      <c r="Z244" s="134">
        <f t="shared" si="107"/>
        <v>0</v>
      </c>
      <c r="AA244" s="134">
        <f t="shared" si="107"/>
        <v>0</v>
      </c>
      <c r="AB244" s="134">
        <f t="shared" si="107"/>
        <v>0</v>
      </c>
      <c r="AC244" s="134">
        <f t="shared" si="107"/>
        <v>0</v>
      </c>
      <c r="AD244" s="134">
        <f t="shared" si="107"/>
        <v>0</v>
      </c>
      <c r="AE244" s="134">
        <f t="shared" si="107"/>
        <v>0</v>
      </c>
      <c r="AF244" s="135">
        <f t="shared" si="107"/>
        <v>0</v>
      </c>
      <c r="AG244" s="136">
        <f t="shared" si="107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19"/>
      <c r="AH245" s="47"/>
      <c r="AI245" s="48"/>
      <c r="AK245" s="50"/>
    </row>
    <row r="246" spans="1:37" x14ac:dyDescent="0.25">
      <c r="A246" s="100" t="s">
        <v>232</v>
      </c>
      <c r="B246" s="138">
        <f t="shared" ref="B246:B251" si="108">AF246</f>
        <v>0.3</v>
      </c>
      <c r="C246" s="138">
        <v>0.3</v>
      </c>
      <c r="D246" s="138">
        <f t="shared" ref="D246:S251" si="109">C246</f>
        <v>0.3</v>
      </c>
      <c r="E246" s="138">
        <f t="shared" si="109"/>
        <v>0.3</v>
      </c>
      <c r="F246" s="138">
        <f t="shared" si="109"/>
        <v>0.3</v>
      </c>
      <c r="G246" s="138">
        <f t="shared" si="109"/>
        <v>0.3</v>
      </c>
      <c r="H246" s="138">
        <f t="shared" si="109"/>
        <v>0.3</v>
      </c>
      <c r="I246" s="138">
        <f t="shared" si="109"/>
        <v>0.3</v>
      </c>
      <c r="J246" s="138">
        <f t="shared" si="109"/>
        <v>0.3</v>
      </c>
      <c r="K246" s="138">
        <f t="shared" si="109"/>
        <v>0.3</v>
      </c>
      <c r="L246" s="138">
        <f t="shared" si="109"/>
        <v>0.3</v>
      </c>
      <c r="M246" s="138">
        <f t="shared" si="109"/>
        <v>0.3</v>
      </c>
      <c r="N246" s="138">
        <f t="shared" si="109"/>
        <v>0.3</v>
      </c>
      <c r="O246" s="138">
        <f t="shared" si="109"/>
        <v>0.3</v>
      </c>
      <c r="P246" s="138">
        <f t="shared" si="109"/>
        <v>0.3</v>
      </c>
      <c r="Q246" s="138">
        <f t="shared" si="109"/>
        <v>0.3</v>
      </c>
      <c r="R246" s="138">
        <f t="shared" si="109"/>
        <v>0.3</v>
      </c>
      <c r="S246" s="138">
        <f t="shared" si="109"/>
        <v>0.3</v>
      </c>
      <c r="T246" s="138">
        <f t="shared" ref="T246:AF251" si="110">S246</f>
        <v>0.3</v>
      </c>
      <c r="U246" s="138">
        <f t="shared" si="110"/>
        <v>0.3</v>
      </c>
      <c r="V246" s="138">
        <f t="shared" si="110"/>
        <v>0.3</v>
      </c>
      <c r="W246" s="138">
        <f t="shared" si="110"/>
        <v>0.3</v>
      </c>
      <c r="X246" s="138">
        <f t="shared" si="110"/>
        <v>0.3</v>
      </c>
      <c r="Y246" s="138">
        <f t="shared" si="110"/>
        <v>0.3</v>
      </c>
      <c r="Z246" s="138">
        <f t="shared" si="110"/>
        <v>0.3</v>
      </c>
      <c r="AA246" s="138">
        <f t="shared" si="110"/>
        <v>0.3</v>
      </c>
      <c r="AB246" s="138">
        <f t="shared" si="110"/>
        <v>0.3</v>
      </c>
      <c r="AC246" s="138">
        <f t="shared" si="110"/>
        <v>0.3</v>
      </c>
      <c r="AD246" s="138">
        <f t="shared" si="110"/>
        <v>0.3</v>
      </c>
      <c r="AE246" s="138">
        <f t="shared" si="110"/>
        <v>0.3</v>
      </c>
      <c r="AF246" s="138">
        <f t="shared" si="110"/>
        <v>0.3</v>
      </c>
      <c r="AG246" s="139">
        <v>2.4</v>
      </c>
      <c r="AH246" s="47"/>
      <c r="AI246" s="48"/>
      <c r="AK246" s="50"/>
    </row>
    <row r="247" spans="1:37" x14ac:dyDescent="0.25">
      <c r="A247" s="103" t="s">
        <v>233</v>
      </c>
      <c r="B247" s="126">
        <f t="shared" si="108"/>
        <v>0.4</v>
      </c>
      <c r="C247" s="126">
        <v>0.4</v>
      </c>
      <c r="D247" s="126">
        <f t="shared" si="109"/>
        <v>0.4</v>
      </c>
      <c r="E247" s="126">
        <f t="shared" si="109"/>
        <v>0.4</v>
      </c>
      <c r="F247" s="126">
        <f t="shared" si="109"/>
        <v>0.4</v>
      </c>
      <c r="G247" s="126">
        <f t="shared" si="109"/>
        <v>0.4</v>
      </c>
      <c r="H247" s="126">
        <f t="shared" si="109"/>
        <v>0.4</v>
      </c>
      <c r="I247" s="126">
        <f t="shared" si="109"/>
        <v>0.4</v>
      </c>
      <c r="J247" s="126">
        <f t="shared" si="109"/>
        <v>0.4</v>
      </c>
      <c r="K247" s="126">
        <f t="shared" si="109"/>
        <v>0.4</v>
      </c>
      <c r="L247" s="126">
        <f t="shared" si="109"/>
        <v>0.4</v>
      </c>
      <c r="M247" s="126">
        <f t="shared" si="109"/>
        <v>0.4</v>
      </c>
      <c r="N247" s="126">
        <f t="shared" si="109"/>
        <v>0.4</v>
      </c>
      <c r="O247" s="126">
        <f t="shared" si="109"/>
        <v>0.4</v>
      </c>
      <c r="P247" s="126">
        <f t="shared" si="109"/>
        <v>0.4</v>
      </c>
      <c r="Q247" s="126">
        <f t="shared" si="109"/>
        <v>0.4</v>
      </c>
      <c r="R247" s="126">
        <f t="shared" si="109"/>
        <v>0.4</v>
      </c>
      <c r="S247" s="126">
        <f t="shared" si="109"/>
        <v>0.4</v>
      </c>
      <c r="T247" s="126">
        <f t="shared" si="110"/>
        <v>0.4</v>
      </c>
      <c r="U247" s="126">
        <f t="shared" si="110"/>
        <v>0.4</v>
      </c>
      <c r="V247" s="126">
        <f t="shared" si="110"/>
        <v>0.4</v>
      </c>
      <c r="W247" s="126">
        <f t="shared" si="110"/>
        <v>0.4</v>
      </c>
      <c r="X247" s="126">
        <f t="shared" si="110"/>
        <v>0.4</v>
      </c>
      <c r="Y247" s="126">
        <f t="shared" si="110"/>
        <v>0.4</v>
      </c>
      <c r="Z247" s="126">
        <f t="shared" si="110"/>
        <v>0.4</v>
      </c>
      <c r="AA247" s="126">
        <f t="shared" si="110"/>
        <v>0.4</v>
      </c>
      <c r="AB247" s="126">
        <f t="shared" si="110"/>
        <v>0.4</v>
      </c>
      <c r="AC247" s="126">
        <f t="shared" si="110"/>
        <v>0.4</v>
      </c>
      <c r="AD247" s="126">
        <f t="shared" si="110"/>
        <v>0.4</v>
      </c>
      <c r="AE247" s="126">
        <f t="shared" si="110"/>
        <v>0.4</v>
      </c>
      <c r="AF247" s="126">
        <f t="shared" si="110"/>
        <v>0.4</v>
      </c>
      <c r="AG247" s="140">
        <v>2</v>
      </c>
      <c r="AH247" s="47"/>
      <c r="AI247" s="48"/>
      <c r="AK247" s="50"/>
    </row>
    <row r="248" spans="1:37" x14ac:dyDescent="0.25">
      <c r="A248" s="103" t="s">
        <v>234</v>
      </c>
      <c r="B248" s="126">
        <f t="shared" si="108"/>
        <v>1.5</v>
      </c>
      <c r="C248" s="126">
        <v>1.5</v>
      </c>
      <c r="D248" s="126">
        <f t="shared" si="109"/>
        <v>1.5</v>
      </c>
      <c r="E248" s="126">
        <f t="shared" si="109"/>
        <v>1.5</v>
      </c>
      <c r="F248" s="126">
        <f t="shared" si="109"/>
        <v>1.5</v>
      </c>
      <c r="G248" s="126">
        <f t="shared" si="109"/>
        <v>1.5</v>
      </c>
      <c r="H248" s="126">
        <f t="shared" si="109"/>
        <v>1.5</v>
      </c>
      <c r="I248" s="126">
        <f t="shared" si="109"/>
        <v>1.5</v>
      </c>
      <c r="J248" s="126">
        <f t="shared" si="109"/>
        <v>1.5</v>
      </c>
      <c r="K248" s="126">
        <f t="shared" si="109"/>
        <v>1.5</v>
      </c>
      <c r="L248" s="126">
        <f t="shared" si="109"/>
        <v>1.5</v>
      </c>
      <c r="M248" s="126">
        <f t="shared" si="109"/>
        <v>1.5</v>
      </c>
      <c r="N248" s="126">
        <f t="shared" si="109"/>
        <v>1.5</v>
      </c>
      <c r="O248" s="126">
        <f t="shared" si="109"/>
        <v>1.5</v>
      </c>
      <c r="P248" s="126">
        <f t="shared" si="109"/>
        <v>1.5</v>
      </c>
      <c r="Q248" s="126">
        <f t="shared" si="109"/>
        <v>1.5</v>
      </c>
      <c r="R248" s="126">
        <f t="shared" si="109"/>
        <v>1.5</v>
      </c>
      <c r="S248" s="126">
        <f t="shared" si="109"/>
        <v>1.5</v>
      </c>
      <c r="T248" s="126">
        <f t="shared" si="110"/>
        <v>1.5</v>
      </c>
      <c r="U248" s="126">
        <f t="shared" si="110"/>
        <v>1.5</v>
      </c>
      <c r="V248" s="126">
        <f t="shared" si="110"/>
        <v>1.5</v>
      </c>
      <c r="W248" s="126">
        <f t="shared" si="110"/>
        <v>1.5</v>
      </c>
      <c r="X248" s="126">
        <f t="shared" si="110"/>
        <v>1.5</v>
      </c>
      <c r="Y248" s="126">
        <f t="shared" si="110"/>
        <v>1.5</v>
      </c>
      <c r="Z248" s="126">
        <f t="shared" si="110"/>
        <v>1.5</v>
      </c>
      <c r="AA248" s="126">
        <f t="shared" si="110"/>
        <v>1.5</v>
      </c>
      <c r="AB248" s="126">
        <f t="shared" si="110"/>
        <v>1.5</v>
      </c>
      <c r="AC248" s="126">
        <f t="shared" si="110"/>
        <v>1.5</v>
      </c>
      <c r="AD248" s="126">
        <f t="shared" si="110"/>
        <v>1.5</v>
      </c>
      <c r="AE248" s="126">
        <f t="shared" si="110"/>
        <v>1.5</v>
      </c>
      <c r="AF248" s="126">
        <f t="shared" si="110"/>
        <v>1.5</v>
      </c>
      <c r="AG248" s="140">
        <v>1.5</v>
      </c>
      <c r="AH248" s="47"/>
      <c r="AI248" s="48"/>
      <c r="AK248" s="50"/>
    </row>
    <row r="249" spans="1:37" x14ac:dyDescent="0.25">
      <c r="A249" s="103" t="s">
        <v>235</v>
      </c>
      <c r="B249" s="126">
        <f t="shared" si="108"/>
        <v>0.3</v>
      </c>
      <c r="C249" s="126">
        <v>0.3</v>
      </c>
      <c r="D249" s="126">
        <f t="shared" si="109"/>
        <v>0.3</v>
      </c>
      <c r="E249" s="126">
        <f t="shared" si="109"/>
        <v>0.3</v>
      </c>
      <c r="F249" s="126">
        <f t="shared" si="109"/>
        <v>0.3</v>
      </c>
      <c r="G249" s="126">
        <f t="shared" si="109"/>
        <v>0.3</v>
      </c>
      <c r="H249" s="126">
        <f t="shared" si="109"/>
        <v>0.3</v>
      </c>
      <c r="I249" s="126">
        <f t="shared" si="109"/>
        <v>0.3</v>
      </c>
      <c r="J249" s="126">
        <f t="shared" si="109"/>
        <v>0.3</v>
      </c>
      <c r="K249" s="126">
        <f t="shared" si="109"/>
        <v>0.3</v>
      </c>
      <c r="L249" s="126">
        <f t="shared" si="109"/>
        <v>0.3</v>
      </c>
      <c r="M249" s="126">
        <f t="shared" si="109"/>
        <v>0.3</v>
      </c>
      <c r="N249" s="126">
        <f t="shared" si="109"/>
        <v>0.3</v>
      </c>
      <c r="O249" s="126">
        <f t="shared" si="109"/>
        <v>0.3</v>
      </c>
      <c r="P249" s="126">
        <f t="shared" si="109"/>
        <v>0.3</v>
      </c>
      <c r="Q249" s="126">
        <f t="shared" si="109"/>
        <v>0.3</v>
      </c>
      <c r="R249" s="126">
        <f t="shared" si="109"/>
        <v>0.3</v>
      </c>
      <c r="S249" s="126">
        <f t="shared" si="109"/>
        <v>0.3</v>
      </c>
      <c r="T249" s="126">
        <f t="shared" si="110"/>
        <v>0.3</v>
      </c>
      <c r="U249" s="126">
        <f t="shared" si="110"/>
        <v>0.3</v>
      </c>
      <c r="V249" s="126">
        <f t="shared" si="110"/>
        <v>0.3</v>
      </c>
      <c r="W249" s="126">
        <f t="shared" si="110"/>
        <v>0.3</v>
      </c>
      <c r="X249" s="126">
        <f t="shared" si="110"/>
        <v>0.3</v>
      </c>
      <c r="Y249" s="126">
        <f t="shared" si="110"/>
        <v>0.3</v>
      </c>
      <c r="Z249" s="126">
        <f t="shared" si="110"/>
        <v>0.3</v>
      </c>
      <c r="AA249" s="126">
        <f t="shared" si="110"/>
        <v>0.3</v>
      </c>
      <c r="AB249" s="126">
        <f t="shared" si="110"/>
        <v>0.3</v>
      </c>
      <c r="AC249" s="126">
        <f t="shared" si="110"/>
        <v>0.3</v>
      </c>
      <c r="AD249" s="126">
        <f t="shared" si="110"/>
        <v>0.3</v>
      </c>
      <c r="AE249" s="126">
        <f t="shared" si="110"/>
        <v>0.3</v>
      </c>
      <c r="AF249" s="126">
        <f t="shared" si="110"/>
        <v>0.3</v>
      </c>
      <c r="AG249" s="140">
        <v>1</v>
      </c>
      <c r="AH249" s="47"/>
      <c r="AI249" s="48"/>
      <c r="AK249" s="50"/>
    </row>
    <row r="250" spans="1:37" x14ac:dyDescent="0.25">
      <c r="A250" s="103" t="s">
        <v>236</v>
      </c>
      <c r="B250" s="126">
        <f t="shared" si="108"/>
        <v>0.4</v>
      </c>
      <c r="C250" s="126">
        <v>0.4</v>
      </c>
      <c r="D250" s="126">
        <f t="shared" si="109"/>
        <v>0.4</v>
      </c>
      <c r="E250" s="126">
        <f t="shared" si="109"/>
        <v>0.4</v>
      </c>
      <c r="F250" s="126">
        <f t="shared" si="109"/>
        <v>0.4</v>
      </c>
      <c r="G250" s="126">
        <f t="shared" si="109"/>
        <v>0.4</v>
      </c>
      <c r="H250" s="126">
        <f t="shared" si="109"/>
        <v>0.4</v>
      </c>
      <c r="I250" s="126">
        <f t="shared" si="109"/>
        <v>0.4</v>
      </c>
      <c r="J250" s="126">
        <f t="shared" si="109"/>
        <v>0.4</v>
      </c>
      <c r="K250" s="126">
        <f t="shared" si="109"/>
        <v>0.4</v>
      </c>
      <c r="L250" s="126">
        <f t="shared" si="109"/>
        <v>0.4</v>
      </c>
      <c r="M250" s="126">
        <f t="shared" si="109"/>
        <v>0.4</v>
      </c>
      <c r="N250" s="126">
        <f t="shared" si="109"/>
        <v>0.4</v>
      </c>
      <c r="O250" s="126">
        <f t="shared" si="109"/>
        <v>0.4</v>
      </c>
      <c r="P250" s="126">
        <f t="shared" si="109"/>
        <v>0.4</v>
      </c>
      <c r="Q250" s="126">
        <f t="shared" si="109"/>
        <v>0.4</v>
      </c>
      <c r="R250" s="126">
        <f t="shared" si="109"/>
        <v>0.4</v>
      </c>
      <c r="S250" s="126">
        <f t="shared" si="109"/>
        <v>0.4</v>
      </c>
      <c r="T250" s="126">
        <f t="shared" si="110"/>
        <v>0.4</v>
      </c>
      <c r="U250" s="126">
        <f t="shared" si="110"/>
        <v>0.4</v>
      </c>
      <c r="V250" s="126">
        <f t="shared" si="110"/>
        <v>0.4</v>
      </c>
      <c r="W250" s="126">
        <f t="shared" si="110"/>
        <v>0.4</v>
      </c>
      <c r="X250" s="126">
        <f t="shared" si="110"/>
        <v>0.4</v>
      </c>
      <c r="Y250" s="126">
        <f t="shared" si="110"/>
        <v>0.4</v>
      </c>
      <c r="Z250" s="126">
        <f t="shared" si="110"/>
        <v>0.4</v>
      </c>
      <c r="AA250" s="126">
        <f t="shared" si="110"/>
        <v>0.4</v>
      </c>
      <c r="AB250" s="126">
        <f t="shared" si="110"/>
        <v>0.4</v>
      </c>
      <c r="AC250" s="126">
        <f t="shared" si="110"/>
        <v>0.4</v>
      </c>
      <c r="AD250" s="126">
        <f t="shared" si="110"/>
        <v>0.4</v>
      </c>
      <c r="AE250" s="126">
        <f t="shared" si="110"/>
        <v>0.4</v>
      </c>
      <c r="AF250" s="126">
        <f t="shared" si="110"/>
        <v>0.4</v>
      </c>
      <c r="AG250" s="140">
        <v>1</v>
      </c>
      <c r="AH250" s="47"/>
      <c r="AI250" s="48"/>
      <c r="AK250" s="50"/>
    </row>
    <row r="251" spans="1:37" ht="15.75" thickBot="1" x14ac:dyDescent="0.3">
      <c r="A251" s="116" t="s">
        <v>237</v>
      </c>
      <c r="B251" s="130">
        <f t="shared" si="108"/>
        <v>0.64</v>
      </c>
      <c r="C251" s="130">
        <v>0.64</v>
      </c>
      <c r="D251" s="130">
        <f t="shared" si="109"/>
        <v>0.64</v>
      </c>
      <c r="E251" s="130">
        <f t="shared" si="109"/>
        <v>0.64</v>
      </c>
      <c r="F251" s="130">
        <f t="shared" si="109"/>
        <v>0.64</v>
      </c>
      <c r="G251" s="130">
        <f t="shared" si="109"/>
        <v>0.64</v>
      </c>
      <c r="H251" s="130">
        <f t="shared" si="109"/>
        <v>0.64</v>
      </c>
      <c r="I251" s="130">
        <f t="shared" si="109"/>
        <v>0.64</v>
      </c>
      <c r="J251" s="130">
        <f t="shared" si="109"/>
        <v>0.64</v>
      </c>
      <c r="K251" s="130">
        <f t="shared" si="109"/>
        <v>0.64</v>
      </c>
      <c r="L251" s="130">
        <f t="shared" si="109"/>
        <v>0.64</v>
      </c>
      <c r="M251" s="130">
        <f t="shared" si="109"/>
        <v>0.64</v>
      </c>
      <c r="N251" s="130">
        <f t="shared" si="109"/>
        <v>0.64</v>
      </c>
      <c r="O251" s="130">
        <f t="shared" si="109"/>
        <v>0.64</v>
      </c>
      <c r="P251" s="130">
        <f t="shared" si="109"/>
        <v>0.64</v>
      </c>
      <c r="Q251" s="130">
        <f t="shared" si="109"/>
        <v>0.64</v>
      </c>
      <c r="R251" s="130">
        <f t="shared" si="109"/>
        <v>0.64</v>
      </c>
      <c r="S251" s="130">
        <f t="shared" si="109"/>
        <v>0.64</v>
      </c>
      <c r="T251" s="130">
        <f t="shared" si="110"/>
        <v>0.64</v>
      </c>
      <c r="U251" s="130">
        <f t="shared" si="110"/>
        <v>0.64</v>
      </c>
      <c r="V251" s="130">
        <f t="shared" si="110"/>
        <v>0.64</v>
      </c>
      <c r="W251" s="130">
        <f t="shared" si="110"/>
        <v>0.64</v>
      </c>
      <c r="X251" s="130">
        <f t="shared" si="110"/>
        <v>0.64</v>
      </c>
      <c r="Y251" s="130">
        <f t="shared" si="110"/>
        <v>0.64</v>
      </c>
      <c r="Z251" s="130">
        <f t="shared" si="110"/>
        <v>0.64</v>
      </c>
      <c r="AA251" s="130">
        <f t="shared" si="110"/>
        <v>0.64</v>
      </c>
      <c r="AB251" s="130">
        <f t="shared" si="110"/>
        <v>0.64</v>
      </c>
      <c r="AC251" s="130">
        <f t="shared" si="110"/>
        <v>0.64</v>
      </c>
      <c r="AD251" s="130">
        <f t="shared" si="110"/>
        <v>0.64</v>
      </c>
      <c r="AE251" s="130">
        <f t="shared" si="110"/>
        <v>0.64</v>
      </c>
      <c r="AF251" s="130">
        <f t="shared" si="110"/>
        <v>0.64</v>
      </c>
      <c r="AG251" s="141">
        <v>0.66</v>
      </c>
      <c r="AH251" s="47"/>
      <c r="AI251" s="48"/>
    </row>
    <row r="252" spans="1:37" ht="15.75" thickBot="1" x14ac:dyDescent="0.3">
      <c r="A252" s="142" t="s">
        <v>75</v>
      </c>
      <c r="B252" s="134">
        <f t="shared" ref="B252:AG252" si="111">SUM(B246:B251)</f>
        <v>3.54</v>
      </c>
      <c r="C252" s="134">
        <f t="shared" si="111"/>
        <v>3.54</v>
      </c>
      <c r="D252" s="134">
        <f t="shared" si="111"/>
        <v>3.54</v>
      </c>
      <c r="E252" s="134">
        <f t="shared" si="111"/>
        <v>3.54</v>
      </c>
      <c r="F252" s="134">
        <f t="shared" si="111"/>
        <v>3.54</v>
      </c>
      <c r="G252" s="134">
        <f t="shared" si="111"/>
        <v>3.54</v>
      </c>
      <c r="H252" s="134">
        <f t="shared" si="111"/>
        <v>3.54</v>
      </c>
      <c r="I252" s="134">
        <f t="shared" si="111"/>
        <v>3.54</v>
      </c>
      <c r="J252" s="134">
        <f t="shared" si="111"/>
        <v>3.54</v>
      </c>
      <c r="K252" s="134">
        <f t="shared" si="111"/>
        <v>3.54</v>
      </c>
      <c r="L252" s="134">
        <f t="shared" si="111"/>
        <v>3.54</v>
      </c>
      <c r="M252" s="134">
        <f t="shared" si="111"/>
        <v>3.54</v>
      </c>
      <c r="N252" s="134">
        <f t="shared" si="111"/>
        <v>3.54</v>
      </c>
      <c r="O252" s="134">
        <f t="shared" si="111"/>
        <v>3.54</v>
      </c>
      <c r="P252" s="134">
        <f t="shared" si="111"/>
        <v>3.54</v>
      </c>
      <c r="Q252" s="134">
        <f t="shared" si="111"/>
        <v>3.54</v>
      </c>
      <c r="R252" s="134">
        <f t="shared" si="111"/>
        <v>3.54</v>
      </c>
      <c r="S252" s="134">
        <f t="shared" si="111"/>
        <v>3.54</v>
      </c>
      <c r="T252" s="134">
        <f t="shared" si="111"/>
        <v>3.54</v>
      </c>
      <c r="U252" s="134">
        <f t="shared" si="111"/>
        <v>3.54</v>
      </c>
      <c r="V252" s="134">
        <f t="shared" si="111"/>
        <v>3.54</v>
      </c>
      <c r="W252" s="134">
        <f t="shared" si="111"/>
        <v>3.54</v>
      </c>
      <c r="X252" s="134">
        <f t="shared" si="111"/>
        <v>3.54</v>
      </c>
      <c r="Y252" s="134">
        <f t="shared" si="111"/>
        <v>3.54</v>
      </c>
      <c r="Z252" s="134">
        <f t="shared" si="111"/>
        <v>3.54</v>
      </c>
      <c r="AA252" s="134">
        <f t="shared" si="111"/>
        <v>3.54</v>
      </c>
      <c r="AB252" s="134">
        <f t="shared" si="111"/>
        <v>3.54</v>
      </c>
      <c r="AC252" s="134">
        <f t="shared" si="111"/>
        <v>3.54</v>
      </c>
      <c r="AD252" s="134">
        <f t="shared" si="111"/>
        <v>3.54</v>
      </c>
      <c r="AE252" s="134">
        <f t="shared" si="111"/>
        <v>3.54</v>
      </c>
      <c r="AF252" s="134">
        <f t="shared" si="111"/>
        <v>3.54</v>
      </c>
      <c r="AG252" s="143">
        <f t="shared" si="111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37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54" t="s">
        <v>243</v>
      </c>
      <c r="B256" s="155">
        <f>MAX(G99:N99)</f>
        <v>1886.7399999999998</v>
      </c>
      <c r="C256" s="156">
        <f>INDEX(G9:N9,1,MATCH(MAX(G99:N99),G99:N99,0))</f>
        <v>0.3125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50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157" t="str">
        <f ca="1">MID(CELL("filename",C7),FIND("]",CELL("filename",C7))+1,600)</f>
        <v>15</v>
      </c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50" x14ac:dyDescent="0.25">
      <c r="A258" s="257" t="s">
        <v>244</v>
      </c>
      <c r="B258" s="257"/>
      <c r="C258" s="43"/>
      <c r="D258" s="157" t="str">
        <f ca="1">"Pie Chart of Daily Peak Demand(Inclusive of Export) of Nepal ("&amp;A4&amp;" "&amp;B4&amp;")"</f>
        <v>Pie Chart of Daily Peak Demand(Inclusive of Export) of Nepal (Nepali Date: 2080/10/15)</v>
      </c>
      <c r="E258" s="43"/>
      <c r="F258" s="43"/>
      <c r="G258" s="157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157" t="str">
        <f ca="1">"Daily Load Curve(Excluding of Export) of Nepal ("&amp;A4&amp;" "&amp;B4&amp;")"</f>
        <v>Daily Load Curve(Excluding of Export) of Nepal (Nepali Date: 2080/10/15)</v>
      </c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50" ht="12.75" customHeight="1" thickBot="1" x14ac:dyDescent="0.3">
      <c r="A259" s="158" t="s">
        <v>7</v>
      </c>
      <c r="B259" s="159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50" ht="15.75" thickTop="1" x14ac:dyDescent="0.25">
      <c r="A260" s="158" t="s">
        <v>245</v>
      </c>
      <c r="B260" s="15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160" t="s">
        <v>246</v>
      </c>
      <c r="T260" s="161">
        <v>0</v>
      </c>
      <c r="U260" s="162">
        <v>4.1666666666666664E-2</v>
      </c>
      <c r="V260" s="163">
        <v>8.3333333333333301E-2</v>
      </c>
      <c r="W260" s="163">
        <v>0.125</v>
      </c>
      <c r="X260" s="163">
        <v>0.16666666666666699</v>
      </c>
      <c r="Y260" s="163">
        <v>0.20833333333333301</v>
      </c>
      <c r="Z260" s="163">
        <v>0.22916666666666666</v>
      </c>
      <c r="AA260" s="163">
        <v>0.25</v>
      </c>
      <c r="AB260" s="163">
        <v>0.27083333333333331</v>
      </c>
      <c r="AC260" s="163">
        <v>0.29166666666666669</v>
      </c>
      <c r="AD260" s="163">
        <v>0.3125</v>
      </c>
      <c r="AE260" s="164">
        <v>0.33333333333333331</v>
      </c>
      <c r="AF260" s="164">
        <v>0.375</v>
      </c>
      <c r="AG260" s="164">
        <v>0.41666666666666702</v>
      </c>
      <c r="AH260" s="164">
        <v>0.45833333333333298</v>
      </c>
      <c r="AI260" s="164">
        <v>0.5</v>
      </c>
      <c r="AJ260" s="164">
        <v>0.54166666666666696</v>
      </c>
      <c r="AK260" s="164">
        <v>0.58333333333333304</v>
      </c>
      <c r="AL260" s="164">
        <v>0.625</v>
      </c>
      <c r="AM260" s="164">
        <v>0.66666666666666696</v>
      </c>
      <c r="AN260" s="164">
        <v>0.70833333333333304</v>
      </c>
      <c r="AO260" s="164">
        <v>0.72916666666666663</v>
      </c>
      <c r="AP260" s="164">
        <v>0.75</v>
      </c>
      <c r="AQ260" s="164">
        <v>0.77083333333333337</v>
      </c>
      <c r="AR260" s="164">
        <v>0.79166666666666663</v>
      </c>
      <c r="AS260" s="164">
        <v>0.8125</v>
      </c>
      <c r="AT260" s="163">
        <v>0.83333333333333337</v>
      </c>
      <c r="AU260" s="163">
        <v>0.85416666666666663</v>
      </c>
      <c r="AV260" s="163">
        <v>0.875</v>
      </c>
      <c r="AW260" s="163">
        <v>0.91666666666666696</v>
      </c>
      <c r="AX260" s="163">
        <v>0.95833333333333304</v>
      </c>
    </row>
    <row r="261" spans="1:50" x14ac:dyDescent="0.25">
      <c r="A261" s="158" t="s">
        <v>247</v>
      </c>
      <c r="B261" s="15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 t="s">
        <v>248</v>
      </c>
      <c r="T261" s="165">
        <f t="shared" ref="T261:AX261" si="112">B99</f>
        <v>1197.44</v>
      </c>
      <c r="U261" s="165">
        <f t="shared" si="112"/>
        <v>1167.24</v>
      </c>
      <c r="V261" s="165">
        <f t="shared" si="112"/>
        <v>1095.54</v>
      </c>
      <c r="W261" s="165">
        <f t="shared" si="112"/>
        <v>1147.8400000000001</v>
      </c>
      <c r="X261" s="165">
        <f t="shared" si="112"/>
        <v>1174.44</v>
      </c>
      <c r="Y261" s="165">
        <f t="shared" si="112"/>
        <v>1252.1399999999999</v>
      </c>
      <c r="Z261" s="165">
        <f t="shared" si="112"/>
        <v>1316.34</v>
      </c>
      <c r="AA261" s="165">
        <f t="shared" si="112"/>
        <v>1428.14</v>
      </c>
      <c r="AB261" s="165">
        <f t="shared" si="112"/>
        <v>1534.24</v>
      </c>
      <c r="AC261" s="165">
        <f t="shared" si="112"/>
        <v>1673.6399999999999</v>
      </c>
      <c r="AD261" s="165">
        <f t="shared" si="112"/>
        <v>1886.7399999999998</v>
      </c>
      <c r="AE261" s="165">
        <f t="shared" si="112"/>
        <v>1777.04</v>
      </c>
      <c r="AF261" s="165">
        <f t="shared" si="112"/>
        <v>1795.8399999999997</v>
      </c>
      <c r="AG261" s="165">
        <f t="shared" si="112"/>
        <v>1684.94</v>
      </c>
      <c r="AH261" s="165">
        <f t="shared" si="112"/>
        <v>1675.34</v>
      </c>
      <c r="AI261" s="165">
        <f t="shared" si="112"/>
        <v>1599.6399999999999</v>
      </c>
      <c r="AJ261" s="165">
        <f t="shared" si="112"/>
        <v>1538.44</v>
      </c>
      <c r="AK261" s="165">
        <f t="shared" si="112"/>
        <v>1498.94</v>
      </c>
      <c r="AL261" s="165">
        <f t="shared" si="112"/>
        <v>1558.54</v>
      </c>
      <c r="AM261" s="165">
        <f t="shared" si="112"/>
        <v>1578.8400000000001</v>
      </c>
      <c r="AN261" s="165">
        <f t="shared" si="112"/>
        <v>1623.98</v>
      </c>
      <c r="AO261" s="165">
        <f t="shared" si="112"/>
        <v>1723.4799999999998</v>
      </c>
      <c r="AP261" s="165">
        <f t="shared" si="112"/>
        <v>1881.8799999999999</v>
      </c>
      <c r="AQ261" s="165">
        <f t="shared" si="112"/>
        <v>1974.1799999999998</v>
      </c>
      <c r="AR261" s="165">
        <f t="shared" si="112"/>
        <v>1965.4800000000002</v>
      </c>
      <c r="AS261" s="165">
        <f t="shared" si="112"/>
        <v>1922.88</v>
      </c>
      <c r="AT261" s="165">
        <f t="shared" si="112"/>
        <v>1875.44</v>
      </c>
      <c r="AU261" s="165">
        <f t="shared" si="112"/>
        <v>1801.94</v>
      </c>
      <c r="AV261" s="165">
        <f t="shared" si="112"/>
        <v>1701.64</v>
      </c>
      <c r="AW261" s="165">
        <f t="shared" si="112"/>
        <v>1456.44</v>
      </c>
      <c r="AX261" s="165">
        <f t="shared" si="112"/>
        <v>1343.54</v>
      </c>
    </row>
    <row r="262" spans="1:50" x14ac:dyDescent="0.25">
      <c r="A262" s="158" t="s">
        <v>249</v>
      </c>
      <c r="B262" s="15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50" x14ac:dyDescent="0.25">
      <c r="A263" s="158" t="s">
        <v>250</v>
      </c>
      <c r="B263" s="15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50" x14ac:dyDescent="0.25">
      <c r="A264" s="158" t="s">
        <v>251</v>
      </c>
      <c r="B264" s="15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50" x14ac:dyDescent="0.25">
      <c r="A265" s="158" t="s">
        <v>252</v>
      </c>
      <c r="B265" s="166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50" x14ac:dyDescent="0.25">
      <c r="A266" s="158" t="s">
        <v>253</v>
      </c>
      <c r="B266" s="15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50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50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50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50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50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50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1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1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1:34" x14ac:dyDescent="0.25">
      <c r="A282" s="167" t="s">
        <v>238</v>
      </c>
      <c r="B282" s="168">
        <f t="shared" ref="B282:AE282" si="113">C251</f>
        <v>0.64</v>
      </c>
      <c r="C282" s="168">
        <f t="shared" si="113"/>
        <v>0.64</v>
      </c>
      <c r="D282" s="168">
        <f t="shared" si="113"/>
        <v>0.64</v>
      </c>
      <c r="E282" s="168">
        <f t="shared" si="113"/>
        <v>0.64</v>
      </c>
      <c r="F282" s="168">
        <f t="shared" si="113"/>
        <v>0.64</v>
      </c>
      <c r="G282" s="168">
        <f t="shared" si="113"/>
        <v>0.64</v>
      </c>
      <c r="H282" s="168">
        <f t="shared" si="113"/>
        <v>0.64</v>
      </c>
      <c r="I282" s="168">
        <f t="shared" si="113"/>
        <v>0.64</v>
      </c>
      <c r="J282" s="168">
        <f t="shared" si="113"/>
        <v>0.64</v>
      </c>
      <c r="K282" s="168">
        <f t="shared" si="113"/>
        <v>0.64</v>
      </c>
      <c r="L282" s="168">
        <f t="shared" si="113"/>
        <v>0.64</v>
      </c>
      <c r="M282" s="168">
        <f t="shared" si="113"/>
        <v>0.64</v>
      </c>
      <c r="N282" s="168">
        <f t="shared" si="113"/>
        <v>0.64</v>
      </c>
      <c r="O282" s="168">
        <f t="shared" si="113"/>
        <v>0.64</v>
      </c>
      <c r="P282" s="168">
        <f t="shared" si="113"/>
        <v>0.64</v>
      </c>
      <c r="Q282" s="168">
        <f t="shared" si="113"/>
        <v>0.64</v>
      </c>
      <c r="R282" s="168">
        <f t="shared" si="113"/>
        <v>0.64</v>
      </c>
      <c r="S282" s="168">
        <f t="shared" si="113"/>
        <v>0.64</v>
      </c>
      <c r="T282" s="168">
        <f t="shared" si="113"/>
        <v>0.64</v>
      </c>
      <c r="U282" s="168">
        <f t="shared" si="113"/>
        <v>0.64</v>
      </c>
      <c r="V282" s="168">
        <f t="shared" si="113"/>
        <v>0.64</v>
      </c>
      <c r="W282" s="168">
        <f t="shared" si="113"/>
        <v>0.64</v>
      </c>
      <c r="X282" s="168">
        <f t="shared" si="113"/>
        <v>0.64</v>
      </c>
      <c r="Y282" s="168">
        <f t="shared" si="113"/>
        <v>0.64</v>
      </c>
      <c r="Z282" s="168">
        <f t="shared" si="113"/>
        <v>0.64</v>
      </c>
      <c r="AA282" s="168">
        <f t="shared" si="113"/>
        <v>0.64</v>
      </c>
      <c r="AB282" s="168">
        <f t="shared" si="113"/>
        <v>0.64</v>
      </c>
      <c r="AC282" s="168">
        <f t="shared" si="113"/>
        <v>0.64</v>
      </c>
      <c r="AD282" s="168">
        <f t="shared" si="113"/>
        <v>0.64</v>
      </c>
      <c r="AE282" s="168">
        <f t="shared" si="113"/>
        <v>0.64</v>
      </c>
      <c r="AF282" s="168">
        <f>B251</f>
        <v>0.64</v>
      </c>
      <c r="AG282" s="43"/>
      <c r="AH282" s="43"/>
    </row>
    <row r="283" spans="1:34" x14ac:dyDescent="0.25">
      <c r="A283" s="169" t="e">
        <f>#REF!</f>
        <v>#REF!</v>
      </c>
      <c r="B283" s="169" t="e">
        <f>IF(#REF!&lt;100,"",#REF!-520)</f>
        <v>#REF!</v>
      </c>
      <c r="C283" s="169" t="e">
        <f>IF(#REF!&lt;100,"",#REF!-520)</f>
        <v>#REF!</v>
      </c>
      <c r="D283" s="169" t="e">
        <f>IF(#REF!&lt;100,"",#REF!-520)</f>
        <v>#REF!</v>
      </c>
      <c r="E283" s="169" t="e">
        <f>IF(#REF!&lt;100,"",#REF!-520)</f>
        <v>#REF!</v>
      </c>
      <c r="F283" s="169" t="e">
        <f>IF(#REF!&lt;100,"",#REF!-520)</f>
        <v>#REF!</v>
      </c>
      <c r="G283" s="169" t="e">
        <f>IF(#REF!&lt;100,"",#REF!-520)</f>
        <v>#REF!</v>
      </c>
      <c r="H283" s="169" t="e">
        <f>IF(#REF!&lt;100,"",#REF!-520)</f>
        <v>#REF!</v>
      </c>
      <c r="I283" s="169" t="e">
        <f>IF(#REF!&lt;100,"",#REF!-520)</f>
        <v>#REF!</v>
      </c>
      <c r="J283" s="169" t="e">
        <f>IF(#REF!&lt;100,"",#REF!-520)</f>
        <v>#REF!</v>
      </c>
      <c r="K283" s="169" t="e">
        <f>IF(#REF!&lt;100,"",#REF!-520)</f>
        <v>#REF!</v>
      </c>
      <c r="L283" s="169" t="e">
        <f>IF(#REF!&lt;100,"",#REF!-520)</f>
        <v>#REF!</v>
      </c>
      <c r="M283" s="169" t="e">
        <f>IF(#REF!&lt;100,"",#REF!-520)</f>
        <v>#REF!</v>
      </c>
      <c r="N283" s="169" t="e">
        <f>IF(#REF!&lt;100,"",#REF!-520)</f>
        <v>#REF!</v>
      </c>
      <c r="O283" s="169" t="e">
        <f>IF(#REF!&lt;100,"",#REF!-520)</f>
        <v>#REF!</v>
      </c>
      <c r="P283" s="169" t="e">
        <f>IF(#REF!&lt;100,"",#REF!-520)</f>
        <v>#REF!</v>
      </c>
      <c r="Q283" s="169" t="e">
        <f>IF(#REF!&lt;100,"",#REF!-520)</f>
        <v>#REF!</v>
      </c>
      <c r="R283" s="169" t="e">
        <f>IF(#REF!&lt;100,"",#REF!-520)</f>
        <v>#REF!</v>
      </c>
      <c r="S283" s="169" t="e">
        <f>IF(#REF!&lt;100,"",#REF!-520)</f>
        <v>#REF!</v>
      </c>
      <c r="T283" s="169" t="e">
        <f>IF(#REF!&lt;100,"",#REF!-520)</f>
        <v>#REF!</v>
      </c>
      <c r="U283" s="169" t="e">
        <f>IF(#REF!&lt;100,"",#REF!-520)</f>
        <v>#REF!</v>
      </c>
      <c r="V283" s="169" t="e">
        <f>IF(#REF!&lt;100,"",#REF!-520)</f>
        <v>#REF!</v>
      </c>
      <c r="W283" s="169" t="e">
        <f>IF(#REF!&lt;100,"",#REF!-520)</f>
        <v>#REF!</v>
      </c>
      <c r="X283" s="169" t="e">
        <f>IF(#REF!&lt;100,"",#REF!-520)</f>
        <v>#REF!</v>
      </c>
      <c r="Y283" s="169" t="e">
        <f>IF(#REF!&lt;100,"",#REF!-520)</f>
        <v>#REF!</v>
      </c>
      <c r="Z283" s="169" t="e">
        <f>IF(#REF!&lt;100,"",#REF!-520)</f>
        <v>#REF!</v>
      </c>
      <c r="AA283" s="169" t="e">
        <f>IF(#REF!&lt;100,"",#REF!-520)</f>
        <v>#REF!</v>
      </c>
      <c r="AB283" s="169" t="e">
        <f>IF(#REF!&lt;100,"",#REF!-520)</f>
        <v>#REF!</v>
      </c>
      <c r="AC283" s="169" t="e">
        <f>IF(#REF!&lt;100,"",#REF!-520)</f>
        <v>#REF!</v>
      </c>
      <c r="AD283" s="169" t="e">
        <f>IF(#REF!&lt;100,"",#REF!-520)</f>
        <v>#REF!</v>
      </c>
      <c r="AE283" s="169" t="e">
        <f>IF(#REF!&lt;100,"",#REF!-520)</f>
        <v>#REF!</v>
      </c>
      <c r="AF283" s="169" t="e">
        <f>IF(#REF!&lt;100,"",#REF!-520)</f>
        <v>#REF!</v>
      </c>
      <c r="AG283" s="43"/>
      <c r="AH283" s="43"/>
    </row>
    <row r="284" spans="1:34" x14ac:dyDescent="0.25">
      <c r="A284" s="169" t="e">
        <f>#REF!</f>
        <v>#REF!</v>
      </c>
      <c r="B284" s="169" t="e">
        <f>IF(#REF!&lt;100,"",#REF!-620)</f>
        <v>#REF!</v>
      </c>
      <c r="C284" s="169" t="e">
        <f>IF(#REF!&lt;100,"",#REF!-620)</f>
        <v>#REF!</v>
      </c>
      <c r="D284" s="169" t="e">
        <f>IF(#REF!&lt;100,"",#REF!-620)</f>
        <v>#REF!</v>
      </c>
      <c r="E284" s="169" t="e">
        <f>IF(#REF!&lt;100,"",#REF!-620)</f>
        <v>#REF!</v>
      </c>
      <c r="F284" s="169" t="e">
        <f>IF(#REF!&lt;100,"",#REF!-620)</f>
        <v>#REF!</v>
      </c>
      <c r="G284" s="169" t="e">
        <f>IF(#REF!&lt;100,"",#REF!-620)</f>
        <v>#REF!</v>
      </c>
      <c r="H284" s="169" t="e">
        <f>IF(#REF!&lt;100,"",#REF!-620)</f>
        <v>#REF!</v>
      </c>
      <c r="I284" s="169" t="e">
        <f>IF(#REF!&lt;100,"",#REF!-620)</f>
        <v>#REF!</v>
      </c>
      <c r="J284" s="169" t="e">
        <f>IF(#REF!&lt;100,"",#REF!-620)</f>
        <v>#REF!</v>
      </c>
      <c r="K284" s="169" t="e">
        <f>IF(#REF!&lt;100,"",#REF!-620)</f>
        <v>#REF!</v>
      </c>
      <c r="L284" s="169" t="e">
        <f>IF(#REF!&lt;100,"",#REF!-620)</f>
        <v>#REF!</v>
      </c>
      <c r="M284" s="169" t="e">
        <f>IF(#REF!&lt;100,"",#REF!-620)</f>
        <v>#REF!</v>
      </c>
      <c r="N284" s="169" t="e">
        <f>IF(#REF!&lt;100,"",#REF!-620)</f>
        <v>#REF!</v>
      </c>
      <c r="O284" s="169" t="e">
        <f>IF(#REF!&lt;100,"",#REF!-620)</f>
        <v>#REF!</v>
      </c>
      <c r="P284" s="169" t="e">
        <f>IF(#REF!&lt;100,"",#REF!-620)</f>
        <v>#REF!</v>
      </c>
      <c r="Q284" s="169" t="e">
        <f>IF(#REF!&lt;100,"",#REF!-620)</f>
        <v>#REF!</v>
      </c>
      <c r="R284" s="169" t="e">
        <f>IF(#REF!&lt;100,"",#REF!-620)</f>
        <v>#REF!</v>
      </c>
      <c r="S284" s="169" t="e">
        <f>IF(#REF!&lt;100,"",#REF!-620)</f>
        <v>#REF!</v>
      </c>
      <c r="T284" s="169" t="e">
        <f>IF(#REF!&lt;100,"",#REF!-620)</f>
        <v>#REF!</v>
      </c>
      <c r="U284" s="169" t="e">
        <f>IF(#REF!&lt;100,"",#REF!-620)</f>
        <v>#REF!</v>
      </c>
      <c r="V284" s="169" t="e">
        <f>IF(#REF!&lt;100,"",#REF!-620)</f>
        <v>#REF!</v>
      </c>
      <c r="W284" s="169" t="e">
        <f>IF(#REF!&lt;100,"",#REF!-620)</f>
        <v>#REF!</v>
      </c>
      <c r="X284" s="169" t="e">
        <f>IF(#REF!&lt;100,"",#REF!-620)</f>
        <v>#REF!</v>
      </c>
      <c r="Y284" s="169" t="e">
        <f>IF(#REF!&lt;100,"",#REF!-620)</f>
        <v>#REF!</v>
      </c>
      <c r="Z284" s="169" t="e">
        <f>IF(#REF!&lt;100,"",#REF!-620)</f>
        <v>#REF!</v>
      </c>
      <c r="AA284" s="169" t="e">
        <f>IF(#REF!&lt;100,"",#REF!-620)</f>
        <v>#REF!</v>
      </c>
      <c r="AB284" s="169" t="e">
        <f>IF(#REF!&lt;100,"",#REF!-620)</f>
        <v>#REF!</v>
      </c>
      <c r="AC284" s="169" t="e">
        <f>IF(#REF!&lt;100,"",#REF!-620)</f>
        <v>#REF!</v>
      </c>
      <c r="AD284" s="169" t="e">
        <f>IF(#REF!&lt;100,"",#REF!-620)</f>
        <v>#REF!</v>
      </c>
      <c r="AE284" s="169" t="e">
        <f>IF(#REF!&lt;100,"",#REF!-620)</f>
        <v>#REF!</v>
      </c>
      <c r="AF284" s="169" t="e">
        <f>IF(#REF!&lt;100,"",#REF!-620)</f>
        <v>#REF!</v>
      </c>
      <c r="AG284" s="43"/>
      <c r="AH284" s="43"/>
    </row>
    <row r="285" spans="1:34" x14ac:dyDescent="0.25">
      <c r="A285" s="169" t="e">
        <f>#REF!</f>
        <v>#REF!</v>
      </c>
      <c r="B285" s="169" t="e">
        <f>IF(#REF!&lt;100,"",#REF!-330)</f>
        <v>#REF!</v>
      </c>
      <c r="C285" s="169" t="e">
        <f>IF(#REF!&lt;100,"",#REF!-330)</f>
        <v>#REF!</v>
      </c>
      <c r="D285" s="169" t="e">
        <f>IF(#REF!&lt;100,"",#REF!-330)</f>
        <v>#REF!</v>
      </c>
      <c r="E285" s="169" t="e">
        <f>IF(#REF!&lt;100,"",#REF!-330)</f>
        <v>#REF!</v>
      </c>
      <c r="F285" s="169" t="e">
        <f>IF(#REF!&lt;100,"",#REF!-330)</f>
        <v>#REF!</v>
      </c>
      <c r="G285" s="169" t="e">
        <f>IF(#REF!&lt;100,"",#REF!-330)</f>
        <v>#REF!</v>
      </c>
      <c r="H285" s="169" t="e">
        <f>IF(#REF!&lt;100,"",#REF!-330)</f>
        <v>#REF!</v>
      </c>
      <c r="I285" s="169" t="e">
        <f>IF(#REF!&lt;100,"",#REF!-330)</f>
        <v>#REF!</v>
      </c>
      <c r="J285" s="169" t="e">
        <f>IF(#REF!&lt;100,"",#REF!-330)</f>
        <v>#REF!</v>
      </c>
      <c r="K285" s="169" t="e">
        <f>IF(#REF!&lt;100,"",#REF!-330)</f>
        <v>#REF!</v>
      </c>
      <c r="L285" s="169" t="e">
        <f>IF(#REF!&lt;100,"",#REF!-330)</f>
        <v>#REF!</v>
      </c>
      <c r="M285" s="169" t="e">
        <f>IF(#REF!&lt;100,"",#REF!-330)</f>
        <v>#REF!</v>
      </c>
      <c r="N285" s="169" t="e">
        <f>IF(#REF!&lt;100,"",#REF!-330)</f>
        <v>#REF!</v>
      </c>
      <c r="O285" s="169" t="e">
        <f>IF(#REF!&lt;100,"",#REF!-330)</f>
        <v>#REF!</v>
      </c>
      <c r="P285" s="169" t="e">
        <f>IF(#REF!&lt;100,"",#REF!-330)</f>
        <v>#REF!</v>
      </c>
      <c r="Q285" s="169" t="e">
        <f>IF(#REF!&lt;100,"",#REF!-330)</f>
        <v>#REF!</v>
      </c>
      <c r="R285" s="169" t="e">
        <f>IF(#REF!&lt;100,"",#REF!-330)</f>
        <v>#REF!</v>
      </c>
      <c r="S285" s="169" t="e">
        <f>IF(#REF!&lt;100,"",#REF!-330)</f>
        <v>#REF!</v>
      </c>
      <c r="T285" s="169" t="e">
        <f>IF(#REF!&lt;100,"",#REF!-330)</f>
        <v>#REF!</v>
      </c>
      <c r="U285" s="169" t="e">
        <f>IF(#REF!&lt;100,"",#REF!-330)</f>
        <v>#REF!</v>
      </c>
      <c r="V285" s="169" t="e">
        <f>IF(#REF!&lt;100,"",#REF!-330)</f>
        <v>#REF!</v>
      </c>
      <c r="W285" s="169" t="e">
        <f>IF(#REF!&lt;100,"",#REF!-330)</f>
        <v>#REF!</v>
      </c>
      <c r="X285" s="169" t="e">
        <f>IF(#REF!&lt;100,"",#REF!-330)</f>
        <v>#REF!</v>
      </c>
      <c r="Y285" s="169" t="e">
        <f>IF(#REF!&lt;100,"",#REF!-330)</f>
        <v>#REF!</v>
      </c>
      <c r="Z285" s="169" t="e">
        <f>IF(#REF!&lt;100,"",#REF!-330)</f>
        <v>#REF!</v>
      </c>
      <c r="AA285" s="169" t="e">
        <f>IF(#REF!&lt;100,"",#REF!-330)</f>
        <v>#REF!</v>
      </c>
      <c r="AB285" s="169" t="e">
        <f>IF(#REF!&lt;100,"",#REF!-330)</f>
        <v>#REF!</v>
      </c>
      <c r="AC285" s="169" t="e">
        <f>IF(#REF!&lt;100,"",#REF!-330)</f>
        <v>#REF!</v>
      </c>
      <c r="AD285" s="169" t="e">
        <f>IF(#REF!&lt;100,"",#REF!-330)</f>
        <v>#REF!</v>
      </c>
      <c r="AE285" s="169" t="e">
        <f>IF(#REF!&lt;100,"",#REF!-330)</f>
        <v>#REF!</v>
      </c>
      <c r="AF285" s="169" t="e">
        <f>IF(#REF!&lt;100,"",#REF!-330)</f>
        <v>#REF!</v>
      </c>
      <c r="AG285" s="43"/>
      <c r="AH285" s="43"/>
    </row>
    <row r="286" spans="1:34" x14ac:dyDescent="0.25">
      <c r="A286" s="169" t="e">
        <f>#REF!</f>
        <v>#REF!</v>
      </c>
      <c r="B286" s="169" t="e">
        <f>IF(#REF!&lt;100,"",#REF!-1500)</f>
        <v>#REF!</v>
      </c>
      <c r="C286" s="169" t="e">
        <f>IF(#REF!&lt;100,"",#REF!-1500)</f>
        <v>#REF!</v>
      </c>
      <c r="D286" s="169" t="e">
        <f>IF(#REF!&lt;100,"",#REF!-1500)</f>
        <v>#REF!</v>
      </c>
      <c r="E286" s="169" t="e">
        <f>IF(#REF!&lt;100,"",#REF!-1500)</f>
        <v>#REF!</v>
      </c>
      <c r="F286" s="169" t="e">
        <f>IF(#REF!&lt;100,"",#REF!-1500)</f>
        <v>#REF!</v>
      </c>
      <c r="G286" s="169" t="e">
        <f>IF(#REF!&lt;100,"",#REF!-1500)</f>
        <v>#REF!</v>
      </c>
      <c r="H286" s="169" t="e">
        <f>IF(#REF!&lt;100,"",#REF!-1500)</f>
        <v>#REF!</v>
      </c>
      <c r="I286" s="169" t="e">
        <f>IF(#REF!&lt;100,"",#REF!-1500)</f>
        <v>#REF!</v>
      </c>
      <c r="J286" s="169" t="e">
        <f>IF(#REF!&lt;100,"",#REF!-1500)</f>
        <v>#REF!</v>
      </c>
      <c r="K286" s="169" t="e">
        <f>IF(#REF!&lt;100,"",#REF!-1500)</f>
        <v>#REF!</v>
      </c>
      <c r="L286" s="169" t="e">
        <f>IF(#REF!&lt;100,"",#REF!-1500)</f>
        <v>#REF!</v>
      </c>
      <c r="M286" s="169" t="e">
        <f>IF(#REF!&lt;100,"",#REF!-1500)</f>
        <v>#REF!</v>
      </c>
      <c r="N286" s="169" t="e">
        <f>IF(#REF!&lt;100,"",#REF!-1500)</f>
        <v>#REF!</v>
      </c>
      <c r="O286" s="169" t="e">
        <f>IF(#REF!&lt;100,"",#REF!-1500)</f>
        <v>#REF!</v>
      </c>
      <c r="P286" s="169" t="e">
        <f>IF(#REF!&lt;100,"",#REF!-1500)</f>
        <v>#REF!</v>
      </c>
      <c r="Q286" s="169" t="e">
        <f>IF(#REF!&lt;100,"",#REF!-1500)</f>
        <v>#REF!</v>
      </c>
      <c r="R286" s="169" t="e">
        <f>IF(#REF!&lt;100,"",#REF!-1500)</f>
        <v>#REF!</v>
      </c>
      <c r="S286" s="169" t="e">
        <f>IF(#REF!&lt;100,"",#REF!-1500)</f>
        <v>#REF!</v>
      </c>
      <c r="T286" s="169" t="e">
        <f>IF(#REF!&lt;100,"",#REF!-1500)</f>
        <v>#REF!</v>
      </c>
      <c r="U286" s="169" t="e">
        <f>IF(#REF!&lt;100,"",#REF!-1500)</f>
        <v>#REF!</v>
      </c>
      <c r="V286" s="169" t="e">
        <f>IF(#REF!&lt;100,"",#REF!-1500)</f>
        <v>#REF!</v>
      </c>
      <c r="W286" s="169" t="e">
        <f>IF(#REF!&lt;100,"",#REF!-1500)</f>
        <v>#REF!</v>
      </c>
      <c r="X286" s="169" t="e">
        <f>IF(#REF!&lt;100,"",#REF!-1500)</f>
        <v>#REF!</v>
      </c>
      <c r="Y286" s="169" t="e">
        <f>IF(#REF!&lt;100,"",#REF!-1500)</f>
        <v>#REF!</v>
      </c>
      <c r="Z286" s="169" t="e">
        <f>IF(#REF!&lt;100,"",#REF!-1500)</f>
        <v>#REF!</v>
      </c>
      <c r="AA286" s="169" t="e">
        <f>IF(#REF!&lt;100,"",#REF!-1500)</f>
        <v>#REF!</v>
      </c>
      <c r="AB286" s="169" t="e">
        <f>IF(#REF!&lt;100,"",#REF!-1500)</f>
        <v>#REF!</v>
      </c>
      <c r="AC286" s="169" t="e">
        <f>IF(#REF!&lt;100,"",#REF!-1500)</f>
        <v>#REF!</v>
      </c>
      <c r="AD286" s="169" t="e">
        <f>IF(#REF!&lt;100,"",#REF!-1500)</f>
        <v>#REF!</v>
      </c>
      <c r="AE286" s="169" t="e">
        <f>IF(#REF!&lt;100,"",#REF!-1500)</f>
        <v>#REF!</v>
      </c>
      <c r="AF286" s="169" t="e">
        <f>IF(#REF!&lt;100,"",#REF!-1500)</f>
        <v>#REF!</v>
      </c>
      <c r="AG286" s="43"/>
      <c r="AH286" s="43"/>
    </row>
    <row r="287" spans="1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1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2:34" x14ac:dyDescent="0.25"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2:34" x14ac:dyDescent="0.25"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2:34" x14ac:dyDescent="0.25"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2:34" x14ac:dyDescent="0.25"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2:34" x14ac:dyDescent="0.25"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1324" priority="1">
      <formula>$AH11=0</formula>
    </cfRule>
  </conditionalFormatting>
  <conditionalFormatting sqref="A132:A253">
    <cfRule type="expression" dxfId="1323" priority="6">
      <formula>$AH132=0</formula>
    </cfRule>
  </conditionalFormatting>
  <conditionalFormatting sqref="B8 M8 S8 AB8">
    <cfRule type="expression" dxfId="1322" priority="115">
      <formula>AND(C$9&gt;=8/24,C$9&lt;14/24)</formula>
    </cfRule>
    <cfRule type="expression" dxfId="1321" priority="114">
      <formula>AND(C$9&gt;=14/24,C$9&lt;20/24)</formula>
    </cfRule>
    <cfRule type="expression" dxfId="1320" priority="116">
      <formula>C$9&lt;8/24</formula>
    </cfRule>
  </conditionalFormatting>
  <conditionalFormatting sqref="B63:I74 J64:J74 H66:L74 M69:AF74">
    <cfRule type="expression" dxfId="1319" priority="24">
      <formula>B$9&lt;8/24</formula>
    </cfRule>
    <cfRule type="expression" dxfId="1318" priority="21">
      <formula>B$9&gt;=20/24</formula>
    </cfRule>
    <cfRule type="expression" dxfId="1317" priority="22">
      <formula>AND(B$9&gt;=14/24,B$9&lt;20/24)</formula>
    </cfRule>
    <cfRule type="expression" dxfId="1316" priority="23">
      <formula>AND(B$9&gt;=8/24,B$9&lt;14/24)</formula>
    </cfRule>
  </conditionalFormatting>
  <conditionalFormatting sqref="B9:AF52">
    <cfRule type="expression" dxfId="1315" priority="27">
      <formula>AND(B$9&gt;=14/24,B$9&lt;20/24)</formula>
    </cfRule>
    <cfRule type="expression" dxfId="1314" priority="28">
      <formula>AND(B$9&gt;=8/24,B$9&lt;14/24)</formula>
    </cfRule>
    <cfRule type="expression" dxfId="1313" priority="29">
      <formula>B$9&lt;8/24</formula>
    </cfRule>
    <cfRule type="expression" dxfId="1312" priority="26">
      <formula>B$9&gt;=20/24</formula>
    </cfRule>
  </conditionalFormatting>
  <conditionalFormatting sqref="B11:AF54">
    <cfRule type="expression" dxfId="1311" priority="15">
      <formula>B11&gt;$AG11</formula>
    </cfRule>
  </conditionalFormatting>
  <conditionalFormatting sqref="B53:AF54">
    <cfRule type="expression" dxfId="1310" priority="13">
      <formula>AND(B$9&gt;=8/24,B$9&lt;14/24)</formula>
    </cfRule>
    <cfRule type="expression" dxfId="1309" priority="11">
      <formula>B$9&gt;=20/24</formula>
    </cfRule>
    <cfRule type="expression" dxfId="1308" priority="12">
      <formula>AND(B$9&gt;=14/24,B$9&lt;20/24)</formula>
    </cfRule>
    <cfRule type="expression" dxfId="1307" priority="14">
      <formula>B$9&lt;8/24</formula>
    </cfRule>
  </conditionalFormatting>
  <conditionalFormatting sqref="B55:AF55">
    <cfRule type="expression" dxfId="1306" priority="35">
      <formula>B55&gt;$AG55</formula>
    </cfRule>
  </conditionalFormatting>
  <conditionalFormatting sqref="B55:AF57">
    <cfRule type="expression" dxfId="1305" priority="34">
      <formula>B$9&lt;8/24</formula>
    </cfRule>
    <cfRule type="expression" dxfId="1304" priority="33">
      <formula>AND(B$9&gt;=8/24,B$9&lt;14/24)</formula>
    </cfRule>
    <cfRule type="expression" dxfId="1303" priority="32">
      <formula>AND(B$9&gt;=14/24,B$9&lt;20/24)</formula>
    </cfRule>
    <cfRule type="expression" dxfId="1302" priority="31">
      <formula>B$9&gt;=20/24</formula>
    </cfRule>
  </conditionalFormatting>
  <conditionalFormatting sqref="B56:AF61">
    <cfRule type="expression" dxfId="1301" priority="30">
      <formula>B56&gt;$AG56</formula>
    </cfRule>
  </conditionalFormatting>
  <conditionalFormatting sqref="B59:AF61">
    <cfRule type="expression" dxfId="1300" priority="41">
      <formula>B$9&gt;=20/24</formula>
    </cfRule>
    <cfRule type="expression" dxfId="1299" priority="42">
      <formula>AND(B$9&gt;=14/24,B$9&lt;20/24)</formula>
    </cfRule>
    <cfRule type="expression" dxfId="1298" priority="44">
      <formula>B$9&lt;8/24</formula>
    </cfRule>
    <cfRule type="expression" dxfId="1297" priority="43">
      <formula>AND(B$9&gt;=8/24,B$9&lt;14/24)</formula>
    </cfRule>
  </conditionalFormatting>
  <conditionalFormatting sqref="B63:AF74">
    <cfRule type="expression" dxfId="1296" priority="20">
      <formula>B63&gt;$AG63</formula>
    </cfRule>
  </conditionalFormatting>
  <conditionalFormatting sqref="B77:AF79">
    <cfRule type="expression" dxfId="1295" priority="47">
      <formula>AND(B$9&gt;=14/24,B$9&lt;20/24)</formula>
    </cfRule>
    <cfRule type="expression" dxfId="1294" priority="48">
      <formula>AND(B$9&gt;=8/24,B$9&lt;14/24)</formula>
    </cfRule>
    <cfRule type="expression" dxfId="1293" priority="49">
      <formula>B$9&lt;8/24</formula>
    </cfRule>
    <cfRule type="expression" dxfId="1292" priority="45">
      <formula>B77&gt;$AG77</formula>
    </cfRule>
    <cfRule type="expression" dxfId="1291" priority="46">
      <formula>B$9&gt;=20/24</formula>
    </cfRule>
  </conditionalFormatting>
  <conditionalFormatting sqref="B81:AF99">
    <cfRule type="expression" dxfId="1290" priority="19">
      <formula>B$9&lt;8/24</formula>
    </cfRule>
    <cfRule type="expression" dxfId="1289" priority="18">
      <formula>AND(B$9&gt;=8/24,B$9&lt;14/24)</formula>
    </cfRule>
    <cfRule type="expression" dxfId="1288" priority="17">
      <formula>AND(B$9&gt;=14/24,B$9&lt;20/24)</formula>
    </cfRule>
    <cfRule type="expression" dxfId="1287" priority="16">
      <formula>B$9&gt;=20/24</formula>
    </cfRule>
  </conditionalFormatting>
  <conditionalFormatting sqref="B101:AF117">
    <cfRule type="expression" dxfId="1286" priority="7">
      <formula>B$9&gt;=20/24</formula>
    </cfRule>
    <cfRule type="expression" dxfId="1285" priority="8">
      <formula>AND(B$9&gt;=14/24,B$9&lt;20/24)</formula>
    </cfRule>
    <cfRule type="expression" dxfId="1284" priority="10">
      <formula>B$9&lt;8/24</formula>
    </cfRule>
    <cfRule type="expression" dxfId="1283" priority="9">
      <formula>AND(B$9&gt;=8/24,B$9&lt;14/24)</formula>
    </cfRule>
  </conditionalFormatting>
  <conditionalFormatting sqref="B119:AF137">
    <cfRule type="expression" dxfId="1282" priority="2">
      <formula>B$9&gt;=20/24</formula>
    </cfRule>
    <cfRule type="expression" dxfId="1281" priority="3">
      <formula>AND(B$9&gt;=14/24,B$9&lt;20/24)</formula>
    </cfRule>
    <cfRule type="expression" dxfId="1280" priority="4">
      <formula>AND(B$9&gt;=8/24,B$9&lt;14/24)</formula>
    </cfRule>
    <cfRule type="expression" dxfId="1279" priority="5">
      <formula>B$9&lt;8/24</formula>
    </cfRule>
  </conditionalFormatting>
  <conditionalFormatting sqref="B244:AF244 B246:B252 D246:AF252 U260:AF260">
    <cfRule type="expression" dxfId="1278" priority="108">
      <formula>AND(B$9&gt;=14/24,B$9&lt;20/24)</formula>
    </cfRule>
    <cfRule type="expression" dxfId="1277" priority="107">
      <formula>B$9&gt;=20/24</formula>
    </cfRule>
    <cfRule type="expression" dxfId="1276" priority="109">
      <formula>AND(B$9&gt;=8/24,B$9&lt;14/24)</formula>
    </cfRule>
    <cfRule type="expression" dxfId="1275" priority="110">
      <formula>B$9&lt;8/24</formula>
    </cfRule>
  </conditionalFormatting>
  <conditionalFormatting sqref="B62:AG62">
    <cfRule type="expression" dxfId="1274" priority="50">
      <formula>B62&gt;$AG62</formula>
    </cfRule>
    <cfRule type="expression" dxfId="1273" priority="51">
      <formula>B$9&gt;=20/24</formula>
    </cfRule>
    <cfRule type="expression" dxfId="1272" priority="52">
      <formula>AND(B$9&gt;=14/24,B$9&lt;20/24)</formula>
    </cfRule>
    <cfRule type="expression" dxfId="1271" priority="53">
      <formula>AND(B$9&gt;=8/24,B$9&lt;14/24)</formula>
    </cfRule>
    <cfRule type="expression" dxfId="1270" priority="54">
      <formula>B$9&lt;8/24</formula>
    </cfRule>
  </conditionalFormatting>
  <conditionalFormatting sqref="B75:AG76 B80:AG80">
    <cfRule type="expression" dxfId="1269" priority="36">
      <formula>B75&gt;$AG75</formula>
    </cfRule>
  </conditionalFormatting>
  <conditionalFormatting sqref="B80:AG80">
    <cfRule type="expression" dxfId="1268" priority="38">
      <formula>AND(B$9&gt;=14/24,B$9&lt;20/24)</formula>
    </cfRule>
    <cfRule type="expression" dxfId="1267" priority="37">
      <formula>B$9&gt;=20/24</formula>
    </cfRule>
    <cfRule type="expression" dxfId="1266" priority="39">
      <formula>AND(B$9&gt;=8/24,B$9&lt;14/24)</formula>
    </cfRule>
    <cfRule type="expression" dxfId="1265" priority="40">
      <formula>B$9&lt;8/24</formula>
    </cfRule>
  </conditionalFormatting>
  <conditionalFormatting sqref="F63:L65">
    <cfRule type="expression" dxfId="1264" priority="88">
      <formula>F$9&gt;=20/24</formula>
    </cfRule>
    <cfRule type="expression" dxfId="1263" priority="89">
      <formula>AND(F$9&gt;=14/24,F$9&lt;20/24)</formula>
    </cfRule>
    <cfRule type="expression" dxfId="1262" priority="90">
      <formula>AND(F$9&gt;=8/24,F$9&lt;14/24)</formula>
    </cfRule>
    <cfRule type="expression" dxfId="1261" priority="91">
      <formula>F$9&lt;8/24</formula>
    </cfRule>
  </conditionalFormatting>
  <conditionalFormatting sqref="F68:T68">
    <cfRule type="expression" dxfId="1260" priority="65">
      <formula>F$9&gt;=20/24</formula>
    </cfRule>
    <cfRule type="expression" dxfId="1259" priority="66">
      <formula>AND(F$9&gt;=14/24,F$9&lt;20/24)</formula>
    </cfRule>
    <cfRule type="expression" dxfId="1258" priority="67">
      <formula>AND(F$9&gt;=8/24,F$9&lt;14/24)</formula>
    </cfRule>
    <cfRule type="expression" dxfId="1257" priority="68">
      <formula>F$9&lt;8/24</formula>
    </cfRule>
  </conditionalFormatting>
  <conditionalFormatting sqref="F69:AF74">
    <cfRule type="expression" dxfId="1256" priority="55">
      <formula>F$9&gt;=20/24</formula>
    </cfRule>
    <cfRule type="expression" dxfId="1255" priority="56">
      <formula>AND(F$9&gt;=14/24,F$9&lt;20/24)</formula>
    </cfRule>
    <cfRule type="expression" dxfId="1254" priority="57">
      <formula>AND(F$9&gt;=8/24,F$9&lt;14/24)</formula>
    </cfRule>
    <cfRule type="expression" dxfId="1253" priority="58">
      <formula>F$9&lt;8/24</formula>
    </cfRule>
  </conditionalFormatting>
  <conditionalFormatting sqref="M63:T67">
    <cfRule type="expression" dxfId="1252" priority="93">
      <formula>AND(M$9&gt;=14/24,M$9&lt;20/24)</formula>
    </cfRule>
    <cfRule type="expression" dxfId="1251" priority="92">
      <formula>M$9&gt;=20/24</formula>
    </cfRule>
    <cfRule type="expression" dxfId="1250" priority="94">
      <formula>AND(M$9&gt;=8/24,M$9&lt;14/24)</formula>
    </cfRule>
    <cfRule type="expression" dxfId="1249" priority="95">
      <formula>M$9&lt;8/24</formula>
    </cfRule>
  </conditionalFormatting>
  <conditionalFormatting sqref="O3:P3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1248" priority="113">
      <formula>C$9&gt;=20/24</formula>
    </cfRule>
  </conditionalFormatting>
  <conditionalFormatting sqref="S8">
    <cfRule type="expression" dxfId="1247" priority="100">
      <formula>U$9&gt;=20/24</formula>
    </cfRule>
    <cfRule type="expression" dxfId="1246" priority="103">
      <formula>U$9&lt;8/24</formula>
    </cfRule>
    <cfRule type="expression" dxfId="1245" priority="102">
      <formula>AND(U$9&gt;=8/24,U$9&lt;14/24)</formula>
    </cfRule>
    <cfRule type="expression" dxfId="1244" priority="101">
      <formula>AND(U$9&gt;=14/24,U$9&lt;20/24)</formula>
    </cfRule>
  </conditionalFormatting>
  <conditionalFormatting sqref="T260">
    <cfRule type="expression" dxfId="1243" priority="128">
      <formula>AX$9&lt;8/24</formula>
    </cfRule>
    <cfRule type="expression" dxfId="1242" priority="125">
      <formula>AX$9&gt;=20/24</formula>
    </cfRule>
    <cfRule type="expression" dxfId="1241" priority="126">
      <formula>AND(AX$9&gt;=14/24,AX$9&lt;20/24)</formula>
    </cfRule>
    <cfRule type="expression" dxfId="1240" priority="127">
      <formula>AND(AX$9&gt;=8/24,AX$9&lt;14/24)</formula>
    </cfRule>
  </conditionalFormatting>
  <conditionalFormatting sqref="U63:AF68">
    <cfRule type="expression" dxfId="1239" priority="59">
      <formula>U$9&gt;=20/24</formula>
    </cfRule>
    <cfRule type="expression" dxfId="1238" priority="60">
      <formula>AND(U$9&gt;=14/24,U$9&lt;20/24)</formula>
    </cfRule>
    <cfRule type="expression" dxfId="1237" priority="61">
      <formula>AND(U$9&gt;=8/24,U$9&lt;14/24)</formula>
    </cfRule>
    <cfRule type="expression" dxfId="1236" priority="62">
      <formula>U$9&lt;8/24</formula>
    </cfRule>
  </conditionalFormatting>
  <conditionalFormatting sqref="V3 AB3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1235" priority="97">
      <formula>AND(AD$9&gt;=14/24,AD$9&lt;20/24)</formula>
    </cfRule>
    <cfRule type="expression" dxfId="1234" priority="96">
      <formula>AD$9&gt;=20/24</formula>
    </cfRule>
    <cfRule type="expression" dxfId="1233" priority="99">
      <formula>AD$9&lt;8/24</formula>
    </cfRule>
    <cfRule type="expression" dxfId="1232" priority="98">
      <formula>AND(AD$9&gt;=8/24,AD$9&lt;14/24)</formula>
    </cfRule>
  </conditionalFormatting>
  <conditionalFormatting sqref="AG58">
    <cfRule type="expression" dxfId="1231" priority="83">
      <formula>AG58&gt;$AG58</formula>
    </cfRule>
  </conditionalFormatting>
  <conditionalFormatting sqref="AG97">
    <cfRule type="expression" dxfId="1230" priority="86">
      <formula>AND(AG$9&gt;=8/24,AG$9&lt;14/24)</formula>
    </cfRule>
    <cfRule type="expression" dxfId="1229" priority="87">
      <formula>AG$9&lt;8/24</formula>
    </cfRule>
    <cfRule type="expression" dxfId="1228" priority="85">
      <formula>AND(AG$9&gt;=14/24,AG$9&lt;20/24)</formula>
    </cfRule>
    <cfRule type="expression" dxfId="1227" priority="84">
      <formula>AG$9&gt;=20/24</formula>
    </cfRule>
  </conditionalFormatting>
  <conditionalFormatting sqref="AG260">
    <cfRule type="expression" dxfId="1226" priority="117">
      <formula>B$9&gt;=20/24</formula>
    </cfRule>
    <cfRule type="expression" dxfId="1225" priority="118">
      <formula>AND(B$9&gt;=14/24,B$9&lt;20/24)</formula>
    </cfRule>
    <cfRule type="expression" dxfId="1224" priority="119">
      <formula>AND(B$9&gt;=8/24,B$9&lt;14/24)</formula>
    </cfRule>
    <cfRule type="expression" dxfId="1223" priority="120">
      <formula>B$9&lt;8/24</formula>
    </cfRule>
  </conditionalFormatting>
  <conditionalFormatting sqref="AH260:AX260">
    <cfRule type="expression" dxfId="1222" priority="121">
      <formula>AG$9&gt;=20/24</formula>
    </cfRule>
    <cfRule type="expression" dxfId="1221" priority="122">
      <formula>AND(AG$9&gt;=14/24,AG$9&lt;20/24)</formula>
    </cfRule>
    <cfRule type="expression" dxfId="1220" priority="123">
      <formula>AND(AG$9&gt;=8/24,AG$9&lt;14/24)</formula>
    </cfRule>
    <cfRule type="expression" dxfId="1219" priority="124">
      <formula>AG$9&lt;8/24</formula>
    </cfRule>
  </conditionalFormatting>
  <conditionalFormatting sqref="AL4:AL6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19:AL20">
    <cfRule type="iconSet" priority="71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8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70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8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82">
      <iconSet iconSet="3TrafficLights2" reverse="1">
        <cfvo type="percent" val="0"/>
        <cfvo type="num" val="1"/>
        <cfvo type="num" val="1"/>
      </iconSet>
    </cfRule>
  </conditionalFormatting>
  <conditionalFormatting sqref="AL48 AL45:AL46 AL21:AL24 AL7:AL18 AL26:AL37 AL39:AL43 AL54:AL55">
    <cfRule type="iconSet" priority="129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04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69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1218" priority="130">
      <formula>AJ$9&gt;=20/24</formula>
    </cfRule>
    <cfRule type="expression" dxfId="1217" priority="131">
      <formula>AND(AJ$9&gt;=14/24,AJ$9&lt;20/24)</formula>
    </cfRule>
    <cfRule type="expression" dxfId="1216" priority="132">
      <formula>AND(AJ$9&gt;=8/24,AJ$9&lt;14/24)</formula>
    </cfRule>
    <cfRule type="expression" dxfId="1215" priority="133">
      <formula>AJ$9&lt;8/24</formula>
    </cfRule>
  </conditionalFormatting>
  <conditionalFormatting sqref="AL88:AN88 AL94:AN94">
    <cfRule type="expression" dxfId="1214" priority="76">
      <formula>AL$9&gt;=20/24</formula>
    </cfRule>
    <cfRule type="expression" dxfId="1213" priority="77">
      <formula>AND(AL$9&gt;=14/24,AL$9&lt;20/24)</formula>
    </cfRule>
    <cfRule type="expression" dxfId="1212" priority="78">
      <formula>AND(AL$9&gt;=8/24,AL$9&lt;14/24)</formula>
    </cfRule>
    <cfRule type="expression" dxfId="1211" priority="79">
      <formula>AL$9&lt;8/24</formula>
    </cfRule>
  </conditionalFormatting>
  <conditionalFormatting sqref="AN89:AN92">
    <cfRule type="expression" dxfId="1210" priority="72">
      <formula>AN$9&gt;=20/24</formula>
    </cfRule>
    <cfRule type="expression" dxfId="1209" priority="73">
      <formula>AND(AN$9&gt;=14/24,AN$9&lt;20/24)</formula>
    </cfRule>
    <cfRule type="expression" dxfId="1208" priority="74">
      <formula>AND(AN$9&gt;=8/24,AN$9&lt;14/24)</formula>
    </cfRule>
    <cfRule type="expression" dxfId="1207" priority="75">
      <formula>AN$9&lt;8/24</formula>
    </cfRule>
  </conditionalFormatting>
  <pageMargins left="0.7" right="0.7" top="0.75" bottom="0.75" header="0.3" footer="0.3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AABEB-3D92-4E24-A198-829E4FF26E70}">
  <sheetPr codeName="Sheet15"/>
  <dimension ref="A1:CJ293"/>
  <sheetViews>
    <sheetView zoomScaleNormal="100" workbookViewId="0">
      <pane xSplit="1" ySplit="10" topLeftCell="B71" activePane="bottomRight" state="frozen"/>
      <selection activeCell="M136" sqref="M136"/>
      <selection pane="topRight" activeCell="M136" sqref="M136"/>
      <selection pane="bottomLeft" activeCell="M136" sqref="M136"/>
      <selection pane="bottomRight" activeCell="F104" sqref="F104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hidden="1" customHeight="1" thickBot="1" x14ac:dyDescent="0.3">
      <c r="A1" s="275" t="s">
        <v>0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  <c r="AD1" s="275"/>
      <c r="AE1" s="275"/>
      <c r="AF1" s="275"/>
      <c r="AG1" s="276" t="s">
        <v>1</v>
      </c>
      <c r="AH1" s="276"/>
      <c r="AI1" s="276"/>
      <c r="AL1" s="2"/>
    </row>
    <row r="2" spans="1:88" ht="20.25" hidden="1" x14ac:dyDescent="0.25">
      <c r="A2" s="3"/>
      <c r="B2" s="277" t="s">
        <v>2</v>
      </c>
      <c r="C2" s="4"/>
      <c r="D2" s="279" t="s">
        <v>3</v>
      </c>
      <c r="E2" s="4"/>
      <c r="F2" s="279" t="s">
        <v>4</v>
      </c>
      <c r="G2" s="4"/>
      <c r="H2" s="279" t="s">
        <v>5</v>
      </c>
      <c r="I2" s="5"/>
      <c r="J2" s="281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78"/>
      <c r="C3" s="16"/>
      <c r="D3" s="280"/>
      <c r="E3" s="16"/>
      <c r="F3" s="280"/>
      <c r="G3" s="16"/>
      <c r="H3" s="280"/>
      <c r="I3" s="17"/>
      <c r="J3" s="281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70" t="str">
        <f ca="1">"2080/"&amp;"10/"&amp;INT(MID(CELL("filename",D6),FIND("]",CELL("filename",D6))+1,200))</f>
        <v>2080/10/16</v>
      </c>
      <c r="C4" s="270"/>
      <c r="D4" s="270"/>
      <c r="E4" s="271" t="str">
        <f ca="1">"2080/"&amp;"10/"&amp;INT(MID(CELL("filename",G6),FIND("]",CELL("filename",G6))+1,200))</f>
        <v>2080/10/16</v>
      </c>
      <c r="F4" s="271"/>
      <c r="G4" s="271"/>
      <c r="H4" s="271" t="str">
        <f ca="1">TEXT(E4,"dddd")</f>
        <v>Wednesday</v>
      </c>
      <c r="I4" s="271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C92</f>
        <v>474</v>
      </c>
      <c r="C5" s="30">
        <f t="shared" si="0"/>
        <v>517.4</v>
      </c>
      <c r="D5" s="30">
        <f t="shared" si="0"/>
        <v>494.9</v>
      </c>
      <c r="E5" s="30">
        <f t="shared" si="0"/>
        <v>530.6</v>
      </c>
      <c r="F5" s="30">
        <f t="shared" si="0"/>
        <v>534.5</v>
      </c>
      <c r="G5" s="30">
        <f t="shared" si="0"/>
        <v>548.9</v>
      </c>
      <c r="H5" s="30">
        <f t="shared" si="0"/>
        <v>575.29999999999995</v>
      </c>
      <c r="I5" s="30">
        <f t="shared" si="0"/>
        <v>551.24</v>
      </c>
      <c r="J5" s="30">
        <f t="shared" si="0"/>
        <v>96.3</v>
      </c>
      <c r="K5" s="30">
        <f t="shared" si="0"/>
        <v>172.7</v>
      </c>
      <c r="L5" s="30">
        <f t="shared" si="0"/>
        <v>135.1</v>
      </c>
      <c r="M5" s="30">
        <f t="shared" si="0"/>
        <v>249.7</v>
      </c>
      <c r="N5" s="30">
        <f t="shared" si="0"/>
        <v>280.39999999999998</v>
      </c>
      <c r="O5" s="30">
        <f t="shared" si="0"/>
        <v>487.3</v>
      </c>
      <c r="P5" s="30">
        <f t="shared" si="0"/>
        <v>580.70000000000005</v>
      </c>
      <c r="Q5" s="30">
        <f t="shared" si="0"/>
        <v>710.6</v>
      </c>
      <c r="R5" s="30">
        <f t="shared" si="0"/>
        <v>645.29999999999995</v>
      </c>
      <c r="S5" s="30">
        <f t="shared" si="0"/>
        <v>642</v>
      </c>
      <c r="T5" s="30">
        <f t="shared" si="0"/>
        <v>677</v>
      </c>
      <c r="U5" s="30">
        <f t="shared" si="0"/>
        <v>460.35</v>
      </c>
      <c r="V5" s="30">
        <f t="shared" si="0"/>
        <v>451.9</v>
      </c>
      <c r="W5" s="30">
        <f t="shared" si="0"/>
        <v>327.2</v>
      </c>
      <c r="X5" s="30">
        <f t="shared" si="0"/>
        <v>336</v>
      </c>
      <c r="Y5" s="30">
        <f t="shared" si="0"/>
        <v>324</v>
      </c>
      <c r="Z5" s="30">
        <f t="shared" si="0"/>
        <v>464.4</v>
      </c>
      <c r="AA5" s="30">
        <f t="shared" si="0"/>
        <v>445.6</v>
      </c>
      <c r="AB5" s="30">
        <f t="shared" si="0"/>
        <v>415.8</v>
      </c>
      <c r="AC5" s="30">
        <f t="shared" si="0"/>
        <v>406.20000000000005</v>
      </c>
      <c r="AD5" s="30">
        <f t="shared" si="0"/>
        <v>661.5</v>
      </c>
      <c r="AE5" s="30">
        <f t="shared" si="0"/>
        <v>616.40000000000009</v>
      </c>
      <c r="AF5" s="30">
        <f>B92</f>
        <v>606.6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1805MW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Load=1129</v>
      </c>
      <c r="B7" s="35">
        <f>B100</f>
        <v>1279.1400000000001</v>
      </c>
      <c r="C7" s="35">
        <f t="shared" ref="C7:AF7" si="1">C100</f>
        <v>1146.3400000000001</v>
      </c>
      <c r="D7" s="35">
        <f t="shared" si="1"/>
        <v>1189.94</v>
      </c>
      <c r="E7" s="35">
        <f t="shared" si="1"/>
        <v>1184.1400000000001</v>
      </c>
      <c r="F7" s="35">
        <f t="shared" si="1"/>
        <v>1203.1400000000001</v>
      </c>
      <c r="G7" s="35">
        <f t="shared" si="1"/>
        <v>1280.3400000000001</v>
      </c>
      <c r="H7" s="35">
        <f t="shared" si="1"/>
        <v>1361.94</v>
      </c>
      <c r="I7" s="35">
        <f t="shared" si="1"/>
        <v>1458.04</v>
      </c>
      <c r="J7" s="35">
        <f t="shared" si="1"/>
        <v>1549.58</v>
      </c>
      <c r="K7" s="35">
        <f t="shared" si="1"/>
        <v>1128.54</v>
      </c>
      <c r="L7" s="35">
        <f t="shared" si="1"/>
        <v>1578.64</v>
      </c>
      <c r="M7" s="35">
        <f t="shared" si="1"/>
        <v>1804.7399999999998</v>
      </c>
      <c r="N7" s="35">
        <f t="shared" si="1"/>
        <v>1691.44</v>
      </c>
      <c r="O7" s="35">
        <f t="shared" si="1"/>
        <v>1605.94</v>
      </c>
      <c r="P7" s="35">
        <f t="shared" si="1"/>
        <v>1541.74</v>
      </c>
      <c r="Q7" s="35">
        <f t="shared" si="1"/>
        <v>1485.8400000000001</v>
      </c>
      <c r="R7" s="35">
        <f t="shared" si="1"/>
        <v>1490.04</v>
      </c>
      <c r="S7" s="35">
        <f t="shared" si="1"/>
        <v>1503.8400000000001</v>
      </c>
      <c r="T7" s="35">
        <f t="shared" si="1"/>
        <v>1513.64</v>
      </c>
      <c r="U7" s="35">
        <f t="shared" si="1"/>
        <v>1547.64</v>
      </c>
      <c r="V7" s="35">
        <f t="shared" si="1"/>
        <v>1674.19</v>
      </c>
      <c r="W7" s="35">
        <f t="shared" si="1"/>
        <v>1779.54</v>
      </c>
      <c r="X7" s="35">
        <f t="shared" si="1"/>
        <v>1860.64</v>
      </c>
      <c r="Y7" s="35">
        <f t="shared" si="1"/>
        <v>1956.7</v>
      </c>
      <c r="Z7" s="35">
        <f t="shared" si="1"/>
        <v>1880.7</v>
      </c>
      <c r="AA7" s="35">
        <f t="shared" si="1"/>
        <v>1855.1399999999999</v>
      </c>
      <c r="AB7" s="35">
        <f t="shared" si="1"/>
        <v>1785.04</v>
      </c>
      <c r="AC7" s="35">
        <f t="shared" si="1"/>
        <v>1718.54</v>
      </c>
      <c r="AD7" s="35">
        <f t="shared" si="1"/>
        <v>1661.0400000000004</v>
      </c>
      <c r="AE7" s="35">
        <f t="shared" si="1"/>
        <v>1426.0400000000002</v>
      </c>
      <c r="AF7" s="35">
        <f t="shared" si="1"/>
        <v>1274.94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72" t="s">
        <v>14</v>
      </c>
      <c r="C8" s="273"/>
      <c r="D8" s="273"/>
      <c r="E8" s="273"/>
      <c r="F8" s="273"/>
      <c r="G8" s="273"/>
      <c r="H8" s="273"/>
      <c r="I8" s="273"/>
      <c r="J8" s="273"/>
      <c r="K8" s="273"/>
      <c r="L8" s="274"/>
      <c r="M8" s="265" t="s">
        <v>15</v>
      </c>
      <c r="N8" s="266"/>
      <c r="O8" s="266"/>
      <c r="P8" s="266"/>
      <c r="Q8" s="266"/>
      <c r="R8" s="267"/>
      <c r="S8" s="265" t="s">
        <v>16</v>
      </c>
      <c r="T8" s="266"/>
      <c r="U8" s="266"/>
      <c r="V8" s="266"/>
      <c r="W8" s="266"/>
      <c r="X8" s="266"/>
      <c r="Y8" s="266"/>
      <c r="Z8" s="266"/>
      <c r="AA8" s="267"/>
      <c r="AB8" s="265" t="s">
        <v>17</v>
      </c>
      <c r="AC8" s="266"/>
      <c r="AD8" s="266"/>
      <c r="AE8" s="266"/>
      <c r="AF8" s="267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68" t="s">
        <v>18</v>
      </c>
      <c r="B9" s="264">
        <v>0</v>
      </c>
      <c r="C9" s="264">
        <v>4.1666666666666664E-2</v>
      </c>
      <c r="D9" s="264">
        <v>8.3333333333333301E-2</v>
      </c>
      <c r="E9" s="264">
        <v>0.125</v>
      </c>
      <c r="F9" s="264">
        <v>0.16666666666666699</v>
      </c>
      <c r="G9" s="264">
        <v>0.20833333333333301</v>
      </c>
      <c r="H9" s="264">
        <v>0.22916666666666666</v>
      </c>
      <c r="I9" s="264">
        <v>0.25</v>
      </c>
      <c r="J9" s="264">
        <v>0.27083333333333331</v>
      </c>
      <c r="K9" s="264">
        <v>0.29166666666666669</v>
      </c>
      <c r="L9" s="264">
        <v>0.3125</v>
      </c>
      <c r="M9" s="262">
        <v>0.33333333333333331</v>
      </c>
      <c r="N9" s="262">
        <v>0.375</v>
      </c>
      <c r="O9" s="262">
        <v>0.41666666666666702</v>
      </c>
      <c r="P9" s="262">
        <v>0.45833333333333298</v>
      </c>
      <c r="Q9" s="262">
        <v>0.5</v>
      </c>
      <c r="R9" s="262">
        <v>0.54166666666666696</v>
      </c>
      <c r="S9" s="258">
        <v>0.58333333333333304</v>
      </c>
      <c r="T9" s="258">
        <v>0.625</v>
      </c>
      <c r="U9" s="258">
        <v>0.66666666666666696</v>
      </c>
      <c r="V9" s="258">
        <v>0.70833333333333304</v>
      </c>
      <c r="W9" s="258">
        <v>0.72916666666666663</v>
      </c>
      <c r="X9" s="258">
        <v>0.75</v>
      </c>
      <c r="Y9" s="258">
        <v>0.77083333333333337</v>
      </c>
      <c r="Z9" s="258">
        <v>0.79166666666666663</v>
      </c>
      <c r="AA9" s="258">
        <v>0.8125</v>
      </c>
      <c r="AB9" s="258">
        <v>0.83333333333333337</v>
      </c>
      <c r="AC9" s="258">
        <v>0.85416666666666663</v>
      </c>
      <c r="AD9" s="258">
        <v>0.875</v>
      </c>
      <c r="AE9" s="258">
        <v>0.91666666666666696</v>
      </c>
      <c r="AF9" s="258">
        <v>0.95833333333333304</v>
      </c>
      <c r="AG9" s="260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69"/>
      <c r="B10" s="259"/>
      <c r="C10" s="259"/>
      <c r="D10" s="259"/>
      <c r="E10" s="259"/>
      <c r="F10" s="259"/>
      <c r="G10" s="259"/>
      <c r="H10" s="259"/>
      <c r="I10" s="259"/>
      <c r="J10" s="259"/>
      <c r="K10" s="259"/>
      <c r="L10" s="259"/>
      <c r="M10" s="263"/>
      <c r="N10" s="263"/>
      <c r="O10" s="263"/>
      <c r="P10" s="263"/>
      <c r="Q10" s="263"/>
      <c r="R10" s="263"/>
      <c r="S10" s="259"/>
      <c r="T10" s="259"/>
      <c r="U10" s="259"/>
      <c r="V10" s="259"/>
      <c r="W10" s="259"/>
      <c r="X10" s="259"/>
      <c r="Y10" s="259"/>
      <c r="Z10" s="259"/>
      <c r="AA10" s="259"/>
      <c r="AB10" s="259"/>
      <c r="AC10" s="259"/>
      <c r="AD10" s="259"/>
      <c r="AE10" s="259"/>
      <c r="AF10" s="259"/>
      <c r="AG10" s="261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30.7</v>
      </c>
      <c r="C11" s="45">
        <v>30.7</v>
      </c>
      <c r="D11" s="45">
        <v>30.7</v>
      </c>
      <c r="E11" s="45">
        <v>30.7</v>
      </c>
      <c r="F11" s="45">
        <v>30.7</v>
      </c>
      <c r="G11" s="45">
        <v>30.7</v>
      </c>
      <c r="H11" s="45">
        <v>30.7</v>
      </c>
      <c r="I11" s="45">
        <v>30.7</v>
      </c>
      <c r="J11" s="45">
        <v>30.7</v>
      </c>
      <c r="K11" s="45">
        <v>30.7</v>
      </c>
      <c r="L11" s="45">
        <v>30.7</v>
      </c>
      <c r="M11" s="45">
        <v>30.7</v>
      </c>
      <c r="N11" s="45">
        <v>30.7</v>
      </c>
      <c r="O11" s="45">
        <v>30.7</v>
      </c>
      <c r="P11" s="45">
        <v>30.7</v>
      </c>
      <c r="Q11" s="45">
        <v>30.7</v>
      </c>
      <c r="R11" s="45">
        <v>30.7</v>
      </c>
      <c r="S11" s="45">
        <v>30.7</v>
      </c>
      <c r="T11" s="45">
        <v>30.7</v>
      </c>
      <c r="U11" s="45">
        <v>30.7</v>
      </c>
      <c r="V11" s="45">
        <v>30.7</v>
      </c>
      <c r="W11" s="45">
        <v>30.7</v>
      </c>
      <c r="X11" s="45">
        <v>30.7</v>
      </c>
      <c r="Y11" s="45">
        <v>30.7</v>
      </c>
      <c r="Z11" s="45">
        <v>30.7</v>
      </c>
      <c r="AA11" s="45">
        <v>30.7</v>
      </c>
      <c r="AB11" s="45">
        <v>30.7</v>
      </c>
      <c r="AC11" s="45">
        <v>30.7</v>
      </c>
      <c r="AD11" s="45">
        <v>30.7</v>
      </c>
      <c r="AE11" s="45">
        <v>30.7</v>
      </c>
      <c r="AF11" s="45">
        <v>27.9</v>
      </c>
      <c r="AG11" s="46">
        <v>86</v>
      </c>
      <c r="AH11" s="47">
        <f t="shared" ref="AH11:AH84" si="2">MAX(B11:AF11)</f>
        <v>30.7</v>
      </c>
      <c r="AI11" s="48">
        <f t="shared" ref="AI11:AI84" si="3">MIN(B11:AF11)</f>
        <v>27.9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262</v>
      </c>
      <c r="B12" s="45">
        <v>10</v>
      </c>
      <c r="C12" s="45">
        <v>10</v>
      </c>
      <c r="D12" s="45">
        <v>10</v>
      </c>
      <c r="E12" s="45">
        <v>10</v>
      </c>
      <c r="F12" s="45">
        <v>10</v>
      </c>
      <c r="G12" s="45">
        <v>10</v>
      </c>
      <c r="H12" s="45">
        <v>10</v>
      </c>
      <c r="I12" s="45">
        <v>10</v>
      </c>
      <c r="J12" s="45">
        <v>10</v>
      </c>
      <c r="K12" s="45">
        <v>10</v>
      </c>
      <c r="L12" s="45">
        <v>10</v>
      </c>
      <c r="M12" s="45">
        <v>10</v>
      </c>
      <c r="N12" s="45">
        <v>10</v>
      </c>
      <c r="O12" s="45">
        <v>10</v>
      </c>
      <c r="P12" s="45">
        <v>10</v>
      </c>
      <c r="Q12" s="45">
        <v>10</v>
      </c>
      <c r="R12" s="45">
        <v>10</v>
      </c>
      <c r="S12" s="45">
        <v>10</v>
      </c>
      <c r="T12" s="45">
        <v>10</v>
      </c>
      <c r="U12" s="45">
        <v>10</v>
      </c>
      <c r="V12" s="45">
        <v>10</v>
      </c>
      <c r="W12" s="45">
        <v>10</v>
      </c>
      <c r="X12" s="45">
        <v>10.5</v>
      </c>
      <c r="Y12" s="45">
        <v>10.5</v>
      </c>
      <c r="Z12" s="45">
        <v>10.5</v>
      </c>
      <c r="AA12" s="45">
        <v>10.5</v>
      </c>
      <c r="AB12" s="45">
        <v>10.5</v>
      </c>
      <c r="AC12" s="45">
        <v>10.5</v>
      </c>
      <c r="AD12" s="45">
        <v>10.5</v>
      </c>
      <c r="AE12" s="45">
        <v>10.5</v>
      </c>
      <c r="AF12" s="45">
        <v>10.5</v>
      </c>
      <c r="AG12" s="49">
        <v>54</v>
      </c>
      <c r="AH12" s="47">
        <f t="shared" si="2"/>
        <v>10.5</v>
      </c>
      <c r="AI12" s="48">
        <f t="shared" si="3"/>
        <v>10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12.9</v>
      </c>
      <c r="C13" s="45">
        <v>12.9</v>
      </c>
      <c r="D13" s="45">
        <v>12.9</v>
      </c>
      <c r="E13" s="45">
        <v>12.9</v>
      </c>
      <c r="F13" s="45">
        <v>12.9</v>
      </c>
      <c r="G13" s="45">
        <v>12.9</v>
      </c>
      <c r="H13" s="45">
        <v>12.9</v>
      </c>
      <c r="I13" s="45">
        <v>12.9</v>
      </c>
      <c r="J13" s="45">
        <v>12.9</v>
      </c>
      <c r="K13" s="45">
        <v>12.9</v>
      </c>
      <c r="L13" s="45">
        <v>12.9</v>
      </c>
      <c r="M13" s="45">
        <v>12.9</v>
      </c>
      <c r="N13" s="45">
        <v>12.1</v>
      </c>
      <c r="O13" s="45">
        <v>12.1</v>
      </c>
      <c r="P13" s="45">
        <v>12.1</v>
      </c>
      <c r="Q13" s="45">
        <v>12.1</v>
      </c>
      <c r="R13" s="45">
        <v>12.1</v>
      </c>
      <c r="S13" s="45">
        <v>12.1</v>
      </c>
      <c r="T13" s="45">
        <v>12.1</v>
      </c>
      <c r="U13" s="45">
        <v>12.1</v>
      </c>
      <c r="V13" s="45">
        <v>12.1</v>
      </c>
      <c r="W13" s="45">
        <v>12.1</v>
      </c>
      <c r="X13" s="45">
        <v>12.1</v>
      </c>
      <c r="Y13" s="45">
        <v>12.1</v>
      </c>
      <c r="Z13" s="45">
        <v>12.1</v>
      </c>
      <c r="AA13" s="45">
        <v>12.1</v>
      </c>
      <c r="AB13" s="45">
        <v>12.1</v>
      </c>
      <c r="AC13" s="45">
        <v>12.1</v>
      </c>
      <c r="AD13" s="45">
        <v>12.1</v>
      </c>
      <c r="AE13" s="45">
        <v>12.1</v>
      </c>
      <c r="AF13" s="45">
        <v>12.1</v>
      </c>
      <c r="AG13" s="49">
        <v>54</v>
      </c>
      <c r="AH13" s="47">
        <f t="shared" si="2"/>
        <v>12.9</v>
      </c>
      <c r="AI13" s="48">
        <f t="shared" si="3"/>
        <v>12.1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15.3</v>
      </c>
      <c r="C14" s="45">
        <v>15.3</v>
      </c>
      <c r="D14" s="45">
        <v>15.3</v>
      </c>
      <c r="E14" s="45">
        <v>15.3</v>
      </c>
      <c r="F14" s="45">
        <v>15.3</v>
      </c>
      <c r="G14" s="45">
        <v>15.3</v>
      </c>
      <c r="H14" s="45">
        <v>15.3</v>
      </c>
      <c r="I14" s="45">
        <v>15.3</v>
      </c>
      <c r="J14" s="45">
        <v>15.3</v>
      </c>
      <c r="K14" s="45">
        <v>15.3</v>
      </c>
      <c r="L14" s="45">
        <v>15.3</v>
      </c>
      <c r="M14" s="45">
        <v>15.3</v>
      </c>
      <c r="N14" s="45">
        <v>14.6</v>
      </c>
      <c r="O14" s="45">
        <v>14.6</v>
      </c>
      <c r="P14" s="45">
        <v>14.6</v>
      </c>
      <c r="Q14" s="45">
        <v>14.6</v>
      </c>
      <c r="R14" s="45">
        <v>14.6</v>
      </c>
      <c r="S14" s="45">
        <v>14.6</v>
      </c>
      <c r="T14" s="45">
        <v>14.6</v>
      </c>
      <c r="U14" s="45">
        <v>14.6</v>
      </c>
      <c r="V14" s="45">
        <v>14.6</v>
      </c>
      <c r="W14" s="45">
        <v>14.6</v>
      </c>
      <c r="X14" s="45">
        <v>14.6</v>
      </c>
      <c r="Y14" s="45">
        <v>14.6</v>
      </c>
      <c r="Z14" s="45">
        <v>14.6</v>
      </c>
      <c r="AA14" s="45">
        <v>14.6</v>
      </c>
      <c r="AB14" s="45">
        <v>14.6</v>
      </c>
      <c r="AC14" s="45">
        <v>14.6</v>
      </c>
      <c r="AD14" s="45">
        <v>14.6</v>
      </c>
      <c r="AE14" s="45">
        <v>14.6</v>
      </c>
      <c r="AF14" s="45">
        <v>14.8</v>
      </c>
      <c r="AG14" s="46">
        <v>52.4</v>
      </c>
      <c r="AH14" s="47">
        <f t="shared" si="2"/>
        <v>15.3</v>
      </c>
      <c r="AI14" s="48">
        <f t="shared" si="3"/>
        <v>14.6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51">
        <v>25.3</v>
      </c>
      <c r="C15" s="51">
        <v>25.3</v>
      </c>
      <c r="D15" s="51">
        <v>25.3</v>
      </c>
      <c r="E15" s="51">
        <v>25.3</v>
      </c>
      <c r="F15" s="51">
        <v>25.3</v>
      </c>
      <c r="G15" s="51">
        <v>25.3</v>
      </c>
      <c r="H15" s="51">
        <v>25.3</v>
      </c>
      <c r="I15" s="51">
        <v>25.3</v>
      </c>
      <c r="J15" s="51">
        <v>25.3</v>
      </c>
      <c r="K15" s="51">
        <v>25.3</v>
      </c>
      <c r="L15" s="51">
        <v>25.3</v>
      </c>
      <c r="M15" s="51">
        <v>25.3</v>
      </c>
      <c r="N15" s="51">
        <v>25.4</v>
      </c>
      <c r="O15" s="51">
        <v>25.4</v>
      </c>
      <c r="P15" s="51">
        <v>25.4</v>
      </c>
      <c r="Q15" s="51">
        <v>25.4</v>
      </c>
      <c r="R15" s="51">
        <v>25.4</v>
      </c>
      <c r="S15" s="51">
        <v>25.4</v>
      </c>
      <c r="T15" s="51">
        <v>25.4</v>
      </c>
      <c r="U15" s="51">
        <v>25.4</v>
      </c>
      <c r="V15" s="51">
        <v>25.4</v>
      </c>
      <c r="W15" s="51">
        <v>25.4</v>
      </c>
      <c r="X15" s="51">
        <v>25.4</v>
      </c>
      <c r="Y15" s="51">
        <v>25.4</v>
      </c>
      <c r="Z15" s="51">
        <v>25.4</v>
      </c>
      <c r="AA15" s="51">
        <v>25.4</v>
      </c>
      <c r="AB15" s="51">
        <v>25.4</v>
      </c>
      <c r="AC15" s="51">
        <v>25.4</v>
      </c>
      <c r="AD15" s="51">
        <v>25.4</v>
      </c>
      <c r="AE15" s="51">
        <v>25.4</v>
      </c>
      <c r="AF15" s="51">
        <v>25.4</v>
      </c>
      <c r="AG15" s="49">
        <v>50</v>
      </c>
      <c r="AH15" s="47">
        <f t="shared" si="2"/>
        <v>25.4</v>
      </c>
      <c r="AI15" s="48">
        <f t="shared" si="3"/>
        <v>25.3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18.7</v>
      </c>
      <c r="C16" s="45">
        <v>18.7</v>
      </c>
      <c r="D16" s="45">
        <v>18.7</v>
      </c>
      <c r="E16" s="45">
        <v>18.7</v>
      </c>
      <c r="F16" s="45">
        <v>18.7</v>
      </c>
      <c r="G16" s="45">
        <v>18.7</v>
      </c>
      <c r="H16" s="45">
        <v>18.7</v>
      </c>
      <c r="I16" s="45">
        <v>18.7</v>
      </c>
      <c r="J16" s="45">
        <v>18.7</v>
      </c>
      <c r="K16" s="45">
        <v>18.7</v>
      </c>
      <c r="L16" s="45">
        <v>18.7</v>
      </c>
      <c r="M16" s="45">
        <v>18.7</v>
      </c>
      <c r="N16" s="45">
        <v>16.600000000000001</v>
      </c>
      <c r="O16" s="45">
        <v>16.600000000000001</v>
      </c>
      <c r="P16" s="45">
        <v>16.600000000000001</v>
      </c>
      <c r="Q16" s="45">
        <v>16.600000000000001</v>
      </c>
      <c r="R16" s="45">
        <v>16.600000000000001</v>
      </c>
      <c r="S16" s="45">
        <v>16.600000000000001</v>
      </c>
      <c r="T16" s="45">
        <v>16.600000000000001</v>
      </c>
      <c r="U16" s="45">
        <v>16.600000000000001</v>
      </c>
      <c r="V16" s="45">
        <v>16.600000000000001</v>
      </c>
      <c r="W16" s="45">
        <v>16.600000000000001</v>
      </c>
      <c r="X16" s="45">
        <v>18.3</v>
      </c>
      <c r="Y16" s="45">
        <v>18.3</v>
      </c>
      <c r="Z16" s="45">
        <v>18.3</v>
      </c>
      <c r="AA16" s="45">
        <v>18.3</v>
      </c>
      <c r="AB16" s="45">
        <v>18.3</v>
      </c>
      <c r="AC16" s="45">
        <v>18.3</v>
      </c>
      <c r="AD16" s="45">
        <v>18.3</v>
      </c>
      <c r="AE16" s="45">
        <v>18.3</v>
      </c>
      <c r="AF16" s="45">
        <v>18.3</v>
      </c>
      <c r="AG16" s="49">
        <v>45</v>
      </c>
      <c r="AH16" s="47">
        <f t="shared" si="2"/>
        <v>18.7</v>
      </c>
      <c r="AI16" s="48">
        <f t="shared" si="3"/>
        <v>16.600000000000001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16.5</v>
      </c>
      <c r="C17" s="45">
        <v>16.5</v>
      </c>
      <c r="D17" s="45">
        <v>16.5</v>
      </c>
      <c r="E17" s="45">
        <v>16.5</v>
      </c>
      <c r="F17" s="45">
        <v>16.5</v>
      </c>
      <c r="G17" s="45">
        <v>16.5</v>
      </c>
      <c r="H17" s="45">
        <v>16.5</v>
      </c>
      <c r="I17" s="45">
        <v>16.5</v>
      </c>
      <c r="J17" s="45">
        <v>16.5</v>
      </c>
      <c r="K17" s="45">
        <v>16.5</v>
      </c>
      <c r="L17" s="45">
        <v>16.5</v>
      </c>
      <c r="M17" s="45">
        <v>16.5</v>
      </c>
      <c r="N17" s="45">
        <v>16.5</v>
      </c>
      <c r="O17" s="45">
        <v>16.5</v>
      </c>
      <c r="P17" s="45">
        <v>16.5</v>
      </c>
      <c r="Q17" s="45">
        <v>16.5</v>
      </c>
      <c r="R17" s="45">
        <v>16.5</v>
      </c>
      <c r="S17" s="45">
        <v>16.5</v>
      </c>
      <c r="T17" s="45">
        <v>16.5</v>
      </c>
      <c r="U17" s="45">
        <v>16.5</v>
      </c>
      <c r="V17" s="45">
        <v>16.5</v>
      </c>
      <c r="W17" s="45">
        <v>16.5</v>
      </c>
      <c r="X17" s="45">
        <v>16.5</v>
      </c>
      <c r="Y17" s="45">
        <v>16.5</v>
      </c>
      <c r="Z17" s="45">
        <v>16.5</v>
      </c>
      <c r="AA17" s="45">
        <v>16.5</v>
      </c>
      <c r="AB17" s="45">
        <v>16.5</v>
      </c>
      <c r="AC17" s="45">
        <v>16.5</v>
      </c>
      <c r="AD17" s="45">
        <v>16.5</v>
      </c>
      <c r="AE17" s="45">
        <v>16.5</v>
      </c>
      <c r="AF17" s="45">
        <v>16.5</v>
      </c>
      <c r="AG17" s="49">
        <v>44</v>
      </c>
      <c r="AH17" s="47">
        <f>MAX(B17:AG17)</f>
        <v>44</v>
      </c>
      <c r="AI17" s="48">
        <f>MIN(B17:AG17)</f>
        <v>16.5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8.5</v>
      </c>
      <c r="C18" s="45">
        <v>8.5</v>
      </c>
      <c r="D18" s="45">
        <v>8.5</v>
      </c>
      <c r="E18" s="45">
        <v>8.5</v>
      </c>
      <c r="F18" s="45">
        <v>8.5</v>
      </c>
      <c r="G18" s="45">
        <v>8.5</v>
      </c>
      <c r="H18" s="45">
        <v>8.5</v>
      </c>
      <c r="I18" s="45">
        <v>8.5</v>
      </c>
      <c r="J18" s="45">
        <v>8.5</v>
      </c>
      <c r="K18" s="45">
        <v>8.5</v>
      </c>
      <c r="L18" s="45">
        <v>8.5</v>
      </c>
      <c r="M18" s="45">
        <v>8.5</v>
      </c>
      <c r="N18" s="45">
        <v>8.5</v>
      </c>
      <c r="O18" s="45">
        <v>8.5</v>
      </c>
      <c r="P18" s="45">
        <v>8.5</v>
      </c>
      <c r="Q18" s="45">
        <v>8.5</v>
      </c>
      <c r="R18" s="45">
        <v>8.5</v>
      </c>
      <c r="S18" s="45">
        <v>8.5</v>
      </c>
      <c r="T18" s="45">
        <v>8.5</v>
      </c>
      <c r="U18" s="45">
        <v>8.5</v>
      </c>
      <c r="V18" s="45">
        <v>8.5</v>
      </c>
      <c r="W18" s="45">
        <v>8.5</v>
      </c>
      <c r="X18" s="45">
        <v>8.5</v>
      </c>
      <c r="Y18" s="45">
        <v>8.5</v>
      </c>
      <c r="Z18" s="45">
        <v>8.5</v>
      </c>
      <c r="AA18" s="45">
        <v>8.5</v>
      </c>
      <c r="AB18" s="45">
        <v>8.5</v>
      </c>
      <c r="AC18" s="45">
        <v>8.5</v>
      </c>
      <c r="AD18" s="45">
        <v>8.5</v>
      </c>
      <c r="AE18" s="45">
        <v>8.5</v>
      </c>
      <c r="AF18" s="45">
        <v>4.5</v>
      </c>
      <c r="AG18" s="49">
        <v>42</v>
      </c>
      <c r="AH18" s="47">
        <f t="shared" si="2"/>
        <v>8.5</v>
      </c>
      <c r="AI18" s="48">
        <f t="shared" si="3"/>
        <v>4.5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263</v>
      </c>
      <c r="B19" s="45">
        <v>15.4</v>
      </c>
      <c r="C19" s="45">
        <v>15.4</v>
      </c>
      <c r="D19" s="45">
        <v>15.4</v>
      </c>
      <c r="E19" s="45">
        <v>15.4</v>
      </c>
      <c r="F19" s="45">
        <v>15.4</v>
      </c>
      <c r="G19" s="45">
        <v>15.4</v>
      </c>
      <c r="H19" s="45">
        <v>15.4</v>
      </c>
      <c r="I19" s="45">
        <v>15.4</v>
      </c>
      <c r="J19" s="45">
        <v>15.4</v>
      </c>
      <c r="K19" s="45">
        <v>15.4</v>
      </c>
      <c r="L19" s="45">
        <v>15.4</v>
      </c>
      <c r="M19" s="45">
        <v>15.4</v>
      </c>
      <c r="N19" s="45">
        <v>15.4</v>
      </c>
      <c r="O19" s="45">
        <v>15.4</v>
      </c>
      <c r="P19" s="45">
        <v>15.4</v>
      </c>
      <c r="Q19" s="45">
        <v>15.4</v>
      </c>
      <c r="R19" s="45">
        <v>15.4</v>
      </c>
      <c r="S19" s="45">
        <v>15.4</v>
      </c>
      <c r="T19" s="45">
        <v>15.4</v>
      </c>
      <c r="U19" s="45">
        <v>15.4</v>
      </c>
      <c r="V19" s="45">
        <v>15.4</v>
      </c>
      <c r="W19" s="45">
        <v>15.4</v>
      </c>
      <c r="X19" s="45">
        <v>15.4</v>
      </c>
      <c r="Y19" s="45">
        <v>15.4</v>
      </c>
      <c r="Z19" s="45">
        <v>15.4</v>
      </c>
      <c r="AA19" s="45">
        <v>15.4</v>
      </c>
      <c r="AB19" s="45">
        <v>15.4</v>
      </c>
      <c r="AC19" s="45">
        <v>15.4</v>
      </c>
      <c r="AD19" s="45">
        <v>15.4</v>
      </c>
      <c r="AE19" s="45">
        <v>15.4</v>
      </c>
      <c r="AF19" s="45">
        <v>15.4</v>
      </c>
      <c r="AG19" s="49">
        <v>38.46</v>
      </c>
      <c r="AH19" s="47">
        <f t="shared" si="2"/>
        <v>15.4</v>
      </c>
      <c r="AI19" s="48">
        <f t="shared" si="3"/>
        <v>15.4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10.199999999999999</v>
      </c>
      <c r="C20" s="45">
        <v>10.199999999999999</v>
      </c>
      <c r="D20" s="45">
        <v>10.199999999999999</v>
      </c>
      <c r="E20" s="45">
        <v>10.199999999999999</v>
      </c>
      <c r="F20" s="45">
        <v>10.199999999999999</v>
      </c>
      <c r="G20" s="45">
        <v>10.199999999999999</v>
      </c>
      <c r="H20" s="45">
        <v>10.199999999999999</v>
      </c>
      <c r="I20" s="45">
        <v>10.199999999999999</v>
      </c>
      <c r="J20" s="45">
        <v>10.199999999999999</v>
      </c>
      <c r="K20" s="45">
        <v>10.199999999999999</v>
      </c>
      <c r="L20" s="45">
        <v>10.199999999999999</v>
      </c>
      <c r="M20" s="45">
        <v>10.199999999999999</v>
      </c>
      <c r="N20" s="45">
        <v>10.199999999999999</v>
      </c>
      <c r="O20" s="45">
        <v>10.199999999999999</v>
      </c>
      <c r="P20" s="45">
        <v>10.199999999999999</v>
      </c>
      <c r="Q20" s="45">
        <v>10.199999999999999</v>
      </c>
      <c r="R20" s="45">
        <v>10.199999999999999</v>
      </c>
      <c r="S20" s="45">
        <v>10.199999999999999</v>
      </c>
      <c r="T20" s="45">
        <v>10.199999999999999</v>
      </c>
      <c r="U20" s="45">
        <v>10.199999999999999</v>
      </c>
      <c r="V20" s="45">
        <v>10.199999999999999</v>
      </c>
      <c r="W20" s="45">
        <v>10.199999999999999</v>
      </c>
      <c r="X20" s="45">
        <v>10.199999999999999</v>
      </c>
      <c r="Y20" s="45">
        <v>10.199999999999999</v>
      </c>
      <c r="Z20" s="45">
        <v>10.199999999999999</v>
      </c>
      <c r="AA20" s="45">
        <v>10.199999999999999</v>
      </c>
      <c r="AB20" s="45">
        <v>10.199999999999999</v>
      </c>
      <c r="AC20" s="45">
        <v>10.199999999999999</v>
      </c>
      <c r="AD20" s="45">
        <v>10.199999999999999</v>
      </c>
      <c r="AE20" s="45">
        <v>10.199999999999999</v>
      </c>
      <c r="AF20" s="45">
        <v>10.199999999999999</v>
      </c>
      <c r="AG20" s="49">
        <v>38.46</v>
      </c>
      <c r="AH20" s="47">
        <f t="shared" si="2"/>
        <v>10.199999999999999</v>
      </c>
      <c r="AI20" s="48">
        <f t="shared" si="3"/>
        <v>10.199999999999999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13.6</v>
      </c>
      <c r="C21" s="45">
        <v>13.6</v>
      </c>
      <c r="D21" s="45">
        <v>13.6</v>
      </c>
      <c r="E21" s="45">
        <v>13.6</v>
      </c>
      <c r="F21" s="45">
        <v>13.6</v>
      </c>
      <c r="G21" s="45">
        <v>13.6</v>
      </c>
      <c r="H21" s="45">
        <v>13.6</v>
      </c>
      <c r="I21" s="45">
        <v>13.6</v>
      </c>
      <c r="J21" s="45">
        <v>13.6</v>
      </c>
      <c r="K21" s="45">
        <v>13.6</v>
      </c>
      <c r="L21" s="45">
        <v>13.6</v>
      </c>
      <c r="M21" s="45">
        <v>13.6</v>
      </c>
      <c r="N21" s="45">
        <v>13.6</v>
      </c>
      <c r="O21" s="45">
        <v>13.6</v>
      </c>
      <c r="P21" s="45">
        <v>13.6</v>
      </c>
      <c r="Q21" s="45">
        <v>13.6</v>
      </c>
      <c r="R21" s="45">
        <v>13.6</v>
      </c>
      <c r="S21" s="45">
        <v>13.6</v>
      </c>
      <c r="T21" s="45">
        <v>13.6</v>
      </c>
      <c r="U21" s="45">
        <v>13.6</v>
      </c>
      <c r="V21" s="45">
        <v>13.6</v>
      </c>
      <c r="W21" s="45">
        <v>13.6</v>
      </c>
      <c r="X21" s="45">
        <v>13.6</v>
      </c>
      <c r="Y21" s="45">
        <v>13.6</v>
      </c>
      <c r="Z21" s="45">
        <v>13.6</v>
      </c>
      <c r="AA21" s="45">
        <v>13.6</v>
      </c>
      <c r="AB21" s="45">
        <v>13.6</v>
      </c>
      <c r="AC21" s="45">
        <v>13.6</v>
      </c>
      <c r="AD21" s="45">
        <v>13.6</v>
      </c>
      <c r="AE21" s="45">
        <v>13.6</v>
      </c>
      <c r="AF21" s="45">
        <v>13.6</v>
      </c>
      <c r="AG21" s="49">
        <v>36</v>
      </c>
      <c r="AH21" s="47">
        <f t="shared" si="2"/>
        <v>13.6</v>
      </c>
      <c r="AI21" s="48">
        <f t="shared" si="3"/>
        <v>13.6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9.3000000000000007</v>
      </c>
      <c r="C22" s="45">
        <v>9.3000000000000007</v>
      </c>
      <c r="D22" s="45">
        <v>9.3000000000000007</v>
      </c>
      <c r="E22" s="45">
        <v>9.3000000000000007</v>
      </c>
      <c r="F22" s="45">
        <v>9.3000000000000007</v>
      </c>
      <c r="G22" s="45">
        <v>9.3000000000000007</v>
      </c>
      <c r="H22" s="45">
        <v>9.3000000000000007</v>
      </c>
      <c r="I22" s="45">
        <v>9.3000000000000007</v>
      </c>
      <c r="J22" s="45">
        <v>9.3000000000000007</v>
      </c>
      <c r="K22" s="45">
        <v>9.3000000000000007</v>
      </c>
      <c r="L22" s="45">
        <v>9.3000000000000007</v>
      </c>
      <c r="M22" s="45">
        <v>9.3000000000000007</v>
      </c>
      <c r="N22" s="45">
        <v>9.3000000000000007</v>
      </c>
      <c r="O22" s="45">
        <v>9.3000000000000007</v>
      </c>
      <c r="P22" s="45">
        <v>9.3000000000000007</v>
      </c>
      <c r="Q22" s="45">
        <v>9.3000000000000007</v>
      </c>
      <c r="R22" s="45">
        <v>9.3000000000000007</v>
      </c>
      <c r="S22" s="45">
        <v>9.3000000000000007</v>
      </c>
      <c r="T22" s="45">
        <v>9.3000000000000007</v>
      </c>
      <c r="U22" s="45">
        <v>9.3000000000000007</v>
      </c>
      <c r="V22" s="45">
        <v>9.3000000000000007</v>
      </c>
      <c r="W22" s="45">
        <v>9.3000000000000007</v>
      </c>
      <c r="X22" s="45">
        <v>9.3000000000000007</v>
      </c>
      <c r="Y22" s="45">
        <v>9.3000000000000007</v>
      </c>
      <c r="Z22" s="45">
        <v>9.3000000000000007</v>
      </c>
      <c r="AA22" s="45">
        <v>9.3000000000000007</v>
      </c>
      <c r="AB22" s="45">
        <v>9.3000000000000007</v>
      </c>
      <c r="AC22" s="45">
        <v>9.3000000000000007</v>
      </c>
      <c r="AD22" s="45">
        <v>9.3000000000000007</v>
      </c>
      <c r="AE22" s="45">
        <v>9.3000000000000007</v>
      </c>
      <c r="AF22" s="45">
        <v>8.8000000000000007</v>
      </c>
      <c r="AG22" s="52">
        <v>30</v>
      </c>
      <c r="AH22" s="47">
        <f t="shared" si="2"/>
        <v>9.3000000000000007</v>
      </c>
      <c r="AI22" s="48">
        <f t="shared" si="3"/>
        <v>8.8000000000000007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9</v>
      </c>
      <c r="C23" s="45">
        <v>9</v>
      </c>
      <c r="D23" s="45">
        <v>9</v>
      </c>
      <c r="E23" s="45">
        <v>9</v>
      </c>
      <c r="F23" s="45">
        <v>9</v>
      </c>
      <c r="G23" s="45">
        <v>9</v>
      </c>
      <c r="H23" s="45">
        <v>9</v>
      </c>
      <c r="I23" s="45">
        <v>9</v>
      </c>
      <c r="J23" s="45">
        <v>9</v>
      </c>
      <c r="K23" s="45">
        <v>9</v>
      </c>
      <c r="L23" s="45">
        <v>9</v>
      </c>
      <c r="M23" s="45">
        <v>9</v>
      </c>
      <c r="N23" s="45">
        <v>9</v>
      </c>
      <c r="O23" s="45">
        <v>9</v>
      </c>
      <c r="P23" s="45">
        <v>9</v>
      </c>
      <c r="Q23" s="45">
        <v>9</v>
      </c>
      <c r="R23" s="45">
        <v>9</v>
      </c>
      <c r="S23" s="45">
        <v>9</v>
      </c>
      <c r="T23" s="45">
        <v>9</v>
      </c>
      <c r="U23" s="45">
        <v>9</v>
      </c>
      <c r="V23" s="45">
        <v>9</v>
      </c>
      <c r="W23" s="45">
        <v>9</v>
      </c>
      <c r="X23" s="45">
        <v>9</v>
      </c>
      <c r="Y23" s="45">
        <v>9</v>
      </c>
      <c r="Z23" s="45">
        <v>9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9</v>
      </c>
      <c r="AG23" s="49">
        <v>24.2</v>
      </c>
      <c r="AH23" s="47">
        <f t="shared" si="2"/>
        <v>9</v>
      </c>
      <c r="AI23" s="48">
        <f t="shared" si="3"/>
        <v>9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8.9</v>
      </c>
      <c r="C24" s="45">
        <v>8.9</v>
      </c>
      <c r="D24" s="45">
        <v>8.9</v>
      </c>
      <c r="E24" s="45">
        <v>8.9</v>
      </c>
      <c r="F24" s="45">
        <v>8.9</v>
      </c>
      <c r="G24" s="45">
        <v>8.9</v>
      </c>
      <c r="H24" s="45">
        <v>8.9</v>
      </c>
      <c r="I24" s="45">
        <v>8.9</v>
      </c>
      <c r="J24" s="45">
        <v>8.9</v>
      </c>
      <c r="K24" s="45">
        <v>8.9</v>
      </c>
      <c r="L24" s="45">
        <v>8.9</v>
      </c>
      <c r="M24" s="45">
        <v>8.9</v>
      </c>
      <c r="N24" s="45">
        <v>8.9</v>
      </c>
      <c r="O24" s="45">
        <v>8.9</v>
      </c>
      <c r="P24" s="45">
        <v>8.9</v>
      </c>
      <c r="Q24" s="45">
        <v>8.9</v>
      </c>
      <c r="R24" s="45">
        <v>8.9</v>
      </c>
      <c r="S24" s="45">
        <v>8.9</v>
      </c>
      <c r="T24" s="45">
        <v>8.9</v>
      </c>
      <c r="U24" s="45">
        <v>8.9</v>
      </c>
      <c r="V24" s="45">
        <v>8.9</v>
      </c>
      <c r="W24" s="45">
        <v>8.9</v>
      </c>
      <c r="X24" s="45">
        <v>8.9</v>
      </c>
      <c r="Y24" s="45">
        <v>8.9</v>
      </c>
      <c r="Z24" s="45">
        <v>8.9</v>
      </c>
      <c r="AA24" s="45">
        <v>8.9</v>
      </c>
      <c r="AB24" s="45">
        <v>8.9</v>
      </c>
      <c r="AC24" s="45">
        <v>8.9</v>
      </c>
      <c r="AD24" s="45">
        <v>8.9</v>
      </c>
      <c r="AE24" s="45">
        <v>8.9</v>
      </c>
      <c r="AF24" s="45">
        <v>9.3000000000000007</v>
      </c>
      <c r="AG24" s="49">
        <v>28</v>
      </c>
      <c r="AH24" s="47">
        <f t="shared" si="2"/>
        <v>9.3000000000000007</v>
      </c>
      <c r="AI24" s="48">
        <f t="shared" si="3"/>
        <v>8.9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7.9</v>
      </c>
      <c r="C25" s="45">
        <v>7.9</v>
      </c>
      <c r="D25" s="45">
        <v>7.9</v>
      </c>
      <c r="E25" s="45">
        <v>7.9</v>
      </c>
      <c r="F25" s="45">
        <v>7.9</v>
      </c>
      <c r="G25" s="45">
        <v>7.9</v>
      </c>
      <c r="H25" s="45">
        <v>7.9</v>
      </c>
      <c r="I25" s="45">
        <v>7.9</v>
      </c>
      <c r="J25" s="45">
        <v>7.9</v>
      </c>
      <c r="K25" s="45">
        <v>7.9</v>
      </c>
      <c r="L25" s="45">
        <v>7.9</v>
      </c>
      <c r="M25" s="45">
        <v>7.9</v>
      </c>
      <c r="N25" s="45">
        <v>7.9</v>
      </c>
      <c r="O25" s="45">
        <v>7.9</v>
      </c>
      <c r="P25" s="45">
        <v>7.9</v>
      </c>
      <c r="Q25" s="45">
        <v>7.9</v>
      </c>
      <c r="R25" s="45">
        <v>7.9</v>
      </c>
      <c r="S25" s="45">
        <v>7.9</v>
      </c>
      <c r="T25" s="45">
        <v>7.9</v>
      </c>
      <c r="U25" s="45">
        <v>7.9</v>
      </c>
      <c r="V25" s="45">
        <v>7.9</v>
      </c>
      <c r="W25" s="45">
        <v>7.9</v>
      </c>
      <c r="X25" s="45">
        <v>7.9</v>
      </c>
      <c r="Y25" s="45">
        <v>7.9</v>
      </c>
      <c r="Z25" s="45">
        <v>7.9</v>
      </c>
      <c r="AA25" s="45">
        <v>7.9</v>
      </c>
      <c r="AB25" s="45">
        <v>7.9</v>
      </c>
      <c r="AC25" s="45">
        <v>7.9</v>
      </c>
      <c r="AD25" s="45">
        <v>7.9</v>
      </c>
      <c r="AE25" s="45">
        <v>7.9</v>
      </c>
      <c r="AF25" s="45">
        <v>7.7</v>
      </c>
      <c r="AG25" s="52">
        <v>30</v>
      </c>
      <c r="AH25" s="47">
        <f t="shared" si="2"/>
        <v>7.9</v>
      </c>
      <c r="AI25" s="48">
        <f t="shared" si="3"/>
        <v>7.7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8.5</v>
      </c>
      <c r="C26" s="45">
        <v>8.5</v>
      </c>
      <c r="D26" s="45">
        <v>8.5</v>
      </c>
      <c r="E26" s="45">
        <v>8.5</v>
      </c>
      <c r="F26" s="45">
        <v>8.5</v>
      </c>
      <c r="G26" s="45">
        <v>8.5</v>
      </c>
      <c r="H26" s="45">
        <v>8.5</v>
      </c>
      <c r="I26" s="45">
        <v>8.5</v>
      </c>
      <c r="J26" s="45">
        <v>8.5</v>
      </c>
      <c r="K26" s="45">
        <v>8.5</v>
      </c>
      <c r="L26" s="45">
        <v>8.5</v>
      </c>
      <c r="M26" s="45">
        <v>8.5</v>
      </c>
      <c r="N26" s="45">
        <v>8.5</v>
      </c>
      <c r="O26" s="45">
        <v>8.5</v>
      </c>
      <c r="P26" s="45">
        <v>8.5</v>
      </c>
      <c r="Q26" s="45">
        <v>8.5</v>
      </c>
      <c r="R26" s="45">
        <v>8.5</v>
      </c>
      <c r="S26" s="45">
        <v>8.5</v>
      </c>
      <c r="T26" s="45">
        <v>8.5</v>
      </c>
      <c r="U26" s="45">
        <v>8.5</v>
      </c>
      <c r="V26" s="45">
        <v>8.5</v>
      </c>
      <c r="W26" s="45">
        <v>8.5</v>
      </c>
      <c r="X26" s="45">
        <v>8.5</v>
      </c>
      <c r="Y26" s="45">
        <v>8.5</v>
      </c>
      <c r="Z26" s="45">
        <v>8.5</v>
      </c>
      <c r="AA26" s="45">
        <v>8.5</v>
      </c>
      <c r="AB26" s="45">
        <v>8.5</v>
      </c>
      <c r="AC26" s="45">
        <v>8.5</v>
      </c>
      <c r="AD26" s="45">
        <v>8.5</v>
      </c>
      <c r="AE26" s="45">
        <v>8.5</v>
      </c>
      <c r="AF26" s="45">
        <v>8.6</v>
      </c>
      <c r="AG26" s="49">
        <v>25</v>
      </c>
      <c r="AH26" s="47">
        <f t="shared" si="2"/>
        <v>8.6</v>
      </c>
      <c r="AI26" s="48">
        <f t="shared" si="3"/>
        <v>8.5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5</v>
      </c>
      <c r="C27" s="45">
        <v>5</v>
      </c>
      <c r="D27" s="45">
        <v>5</v>
      </c>
      <c r="E27" s="45">
        <v>5</v>
      </c>
      <c r="F27" s="45">
        <v>5</v>
      </c>
      <c r="G27" s="45">
        <v>5</v>
      </c>
      <c r="H27" s="45">
        <v>5</v>
      </c>
      <c r="I27" s="45">
        <v>5</v>
      </c>
      <c r="J27" s="45">
        <v>5</v>
      </c>
      <c r="K27" s="45">
        <v>5</v>
      </c>
      <c r="L27" s="45">
        <v>5</v>
      </c>
      <c r="M27" s="45">
        <v>5</v>
      </c>
      <c r="N27" s="45">
        <v>5</v>
      </c>
      <c r="O27" s="45">
        <v>5</v>
      </c>
      <c r="P27" s="45">
        <v>5</v>
      </c>
      <c r="Q27" s="45">
        <v>5</v>
      </c>
      <c r="R27" s="45">
        <v>5</v>
      </c>
      <c r="S27" s="45">
        <v>5</v>
      </c>
      <c r="T27" s="45">
        <v>5</v>
      </c>
      <c r="U27" s="45">
        <v>5</v>
      </c>
      <c r="V27" s="45">
        <v>5</v>
      </c>
      <c r="W27" s="45">
        <v>5</v>
      </c>
      <c r="X27" s="45">
        <v>5</v>
      </c>
      <c r="Y27" s="45">
        <v>5</v>
      </c>
      <c r="Z27" s="45">
        <v>5</v>
      </c>
      <c r="AA27" s="45">
        <v>5</v>
      </c>
      <c r="AB27" s="45">
        <v>5</v>
      </c>
      <c r="AC27" s="45">
        <v>5</v>
      </c>
      <c r="AD27" s="45">
        <v>5</v>
      </c>
      <c r="AE27" s="45">
        <v>5</v>
      </c>
      <c r="AF27" s="45">
        <v>5</v>
      </c>
      <c r="AG27" s="49">
        <v>25</v>
      </c>
      <c r="AH27" s="47">
        <f t="shared" si="2"/>
        <v>5</v>
      </c>
      <c r="AI27" s="48">
        <f t="shared" si="3"/>
        <v>5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7.5</v>
      </c>
      <c r="C28" s="45">
        <v>7.5</v>
      </c>
      <c r="D28" s="45">
        <v>7.5</v>
      </c>
      <c r="E28" s="45">
        <v>7.5</v>
      </c>
      <c r="F28" s="45">
        <v>7.5</v>
      </c>
      <c r="G28" s="45">
        <v>7.5</v>
      </c>
      <c r="H28" s="45">
        <v>7.5</v>
      </c>
      <c r="I28" s="45">
        <v>7.5</v>
      </c>
      <c r="J28" s="45">
        <v>7.5</v>
      </c>
      <c r="K28" s="45">
        <v>7.5</v>
      </c>
      <c r="L28" s="45">
        <v>7.5</v>
      </c>
      <c r="M28" s="45">
        <v>7.5</v>
      </c>
      <c r="N28" s="45">
        <v>7.5</v>
      </c>
      <c r="O28" s="45">
        <v>7.5</v>
      </c>
      <c r="P28" s="45">
        <v>7.5</v>
      </c>
      <c r="Q28" s="45">
        <v>7.5</v>
      </c>
      <c r="R28" s="45">
        <v>7.5</v>
      </c>
      <c r="S28" s="45">
        <v>7.5</v>
      </c>
      <c r="T28" s="45">
        <v>7.5</v>
      </c>
      <c r="U28" s="45">
        <v>7.5</v>
      </c>
      <c r="V28" s="45">
        <v>7.5</v>
      </c>
      <c r="W28" s="45">
        <v>7.5</v>
      </c>
      <c r="X28" s="45">
        <v>7.5</v>
      </c>
      <c r="Y28" s="45">
        <v>7.5</v>
      </c>
      <c r="Z28" s="45">
        <v>7.5</v>
      </c>
      <c r="AA28" s="45">
        <v>7.5</v>
      </c>
      <c r="AB28" s="45">
        <v>7.5</v>
      </c>
      <c r="AC28" s="45">
        <v>7.5</v>
      </c>
      <c r="AD28" s="45">
        <v>7.5</v>
      </c>
      <c r="AE28" s="45">
        <v>7.5</v>
      </c>
      <c r="AF28" s="45">
        <v>7.5</v>
      </c>
      <c r="AG28" s="49">
        <v>25</v>
      </c>
      <c r="AH28" s="47">
        <f t="shared" si="2"/>
        <v>7.5</v>
      </c>
      <c r="AI28" s="48">
        <f t="shared" si="3"/>
        <v>7.5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8.5</v>
      </c>
      <c r="C29" s="45">
        <v>8.5</v>
      </c>
      <c r="D29" s="45">
        <v>8.5</v>
      </c>
      <c r="E29" s="45">
        <v>8.5</v>
      </c>
      <c r="F29" s="45">
        <v>8.5</v>
      </c>
      <c r="G29" s="45">
        <v>8.5</v>
      </c>
      <c r="H29" s="45">
        <v>8.5</v>
      </c>
      <c r="I29" s="45">
        <v>8.5</v>
      </c>
      <c r="J29" s="45">
        <v>8.5</v>
      </c>
      <c r="K29" s="45">
        <v>8.5</v>
      </c>
      <c r="L29" s="45">
        <v>8.5</v>
      </c>
      <c r="M29" s="45">
        <v>8.5</v>
      </c>
      <c r="N29" s="45">
        <v>8.5</v>
      </c>
      <c r="O29" s="45">
        <v>8.5</v>
      </c>
      <c r="P29" s="45">
        <v>8.5</v>
      </c>
      <c r="Q29" s="45">
        <v>8.5</v>
      </c>
      <c r="R29" s="45">
        <v>8.5</v>
      </c>
      <c r="S29" s="45">
        <v>8.5</v>
      </c>
      <c r="T29" s="45">
        <v>8.5</v>
      </c>
      <c r="U29" s="45">
        <v>8.5</v>
      </c>
      <c r="V29" s="45">
        <v>8.5</v>
      </c>
      <c r="W29" s="45">
        <v>8.5</v>
      </c>
      <c r="X29" s="45">
        <v>8.5</v>
      </c>
      <c r="Y29" s="45">
        <v>8.5</v>
      </c>
      <c r="Z29" s="45">
        <v>8.5</v>
      </c>
      <c r="AA29" s="45">
        <v>8.5</v>
      </c>
      <c r="AB29" s="45">
        <v>8.5</v>
      </c>
      <c r="AC29" s="45">
        <v>8.5</v>
      </c>
      <c r="AD29" s="45">
        <v>8.5</v>
      </c>
      <c r="AE29" s="45">
        <v>8.5</v>
      </c>
      <c r="AF29" s="45">
        <v>8.4</v>
      </c>
      <c r="AG29" s="49">
        <v>25</v>
      </c>
      <c r="AH29" s="47">
        <f t="shared" si="2"/>
        <v>8.5</v>
      </c>
      <c r="AI29" s="48">
        <f t="shared" si="3"/>
        <v>8.4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8.4</v>
      </c>
      <c r="C30" s="45">
        <v>8.4</v>
      </c>
      <c r="D30" s="45">
        <v>8.4</v>
      </c>
      <c r="E30" s="45">
        <v>8.4</v>
      </c>
      <c r="F30" s="45">
        <v>8.4</v>
      </c>
      <c r="G30" s="45">
        <v>8.4</v>
      </c>
      <c r="H30" s="45">
        <v>8.4</v>
      </c>
      <c r="I30" s="45">
        <v>8.4</v>
      </c>
      <c r="J30" s="45">
        <v>8.4</v>
      </c>
      <c r="K30" s="45">
        <v>8.4</v>
      </c>
      <c r="L30" s="45">
        <v>8.4</v>
      </c>
      <c r="M30" s="45">
        <v>8.4</v>
      </c>
      <c r="N30" s="45">
        <v>8.4</v>
      </c>
      <c r="O30" s="45">
        <v>8.4</v>
      </c>
      <c r="P30" s="45">
        <v>8.4</v>
      </c>
      <c r="Q30" s="45">
        <v>8.4</v>
      </c>
      <c r="R30" s="45">
        <v>8.4</v>
      </c>
      <c r="S30" s="45">
        <v>8.4</v>
      </c>
      <c r="T30" s="45">
        <v>8.4</v>
      </c>
      <c r="U30" s="45">
        <v>8.4</v>
      </c>
      <c r="V30" s="45">
        <v>8.4</v>
      </c>
      <c r="W30" s="45">
        <v>8.4</v>
      </c>
      <c r="X30" s="45">
        <v>8.4</v>
      </c>
      <c r="Y30" s="45">
        <v>8.4</v>
      </c>
      <c r="Z30" s="45">
        <v>8.4</v>
      </c>
      <c r="AA30" s="45">
        <v>8.4</v>
      </c>
      <c r="AB30" s="45">
        <v>8.4</v>
      </c>
      <c r="AC30" s="45">
        <v>8.4</v>
      </c>
      <c r="AD30" s="45">
        <v>8.4</v>
      </c>
      <c r="AE30" s="45">
        <v>8.4</v>
      </c>
      <c r="AF30" s="45">
        <v>9.3000000000000007</v>
      </c>
      <c r="AG30" s="49">
        <v>23.5</v>
      </c>
      <c r="AH30" s="47">
        <f t="shared" si="2"/>
        <v>9.3000000000000007</v>
      </c>
      <c r="AI30" s="48">
        <f t="shared" si="3"/>
        <v>8.4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4.5</v>
      </c>
      <c r="C31" s="45">
        <v>4.5</v>
      </c>
      <c r="D31" s="45">
        <v>4.5</v>
      </c>
      <c r="E31" s="45">
        <v>4.5</v>
      </c>
      <c r="F31" s="45">
        <v>4.5</v>
      </c>
      <c r="G31" s="45">
        <v>4.5</v>
      </c>
      <c r="H31" s="45">
        <v>4.5</v>
      </c>
      <c r="I31" s="45">
        <v>4.5</v>
      </c>
      <c r="J31" s="45">
        <v>4.5</v>
      </c>
      <c r="K31" s="45">
        <v>4.5</v>
      </c>
      <c r="L31" s="45">
        <v>4.5</v>
      </c>
      <c r="M31" s="45">
        <v>4.5</v>
      </c>
      <c r="N31" s="45">
        <v>4.5</v>
      </c>
      <c r="O31" s="45">
        <v>4.5</v>
      </c>
      <c r="P31" s="45">
        <v>4.5</v>
      </c>
      <c r="Q31" s="45">
        <v>4.5</v>
      </c>
      <c r="R31" s="45">
        <v>4.5</v>
      </c>
      <c r="S31" s="45">
        <v>4.5</v>
      </c>
      <c r="T31" s="45">
        <v>4.5</v>
      </c>
      <c r="U31" s="45">
        <v>4.5</v>
      </c>
      <c r="V31" s="45">
        <v>4.5</v>
      </c>
      <c r="W31" s="45">
        <v>4.5</v>
      </c>
      <c r="X31" s="45">
        <v>4.5</v>
      </c>
      <c r="Y31" s="45">
        <v>4.5</v>
      </c>
      <c r="Z31" s="45">
        <v>4.5</v>
      </c>
      <c r="AA31" s="45">
        <v>4.5</v>
      </c>
      <c r="AB31" s="45">
        <v>4.5</v>
      </c>
      <c r="AC31" s="45">
        <v>4.5</v>
      </c>
      <c r="AD31" s="45">
        <v>4.5</v>
      </c>
      <c r="AE31" s="45">
        <v>4.5</v>
      </c>
      <c r="AF31" s="45">
        <v>4.5</v>
      </c>
      <c r="AG31" s="49">
        <v>22.2</v>
      </c>
      <c r="AH31" s="47">
        <f t="shared" si="2"/>
        <v>4.5</v>
      </c>
      <c r="AI31" s="48">
        <f t="shared" si="3"/>
        <v>4.5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>
        <v>5.5</v>
      </c>
      <c r="N32" s="45">
        <v>5.5</v>
      </c>
      <c r="O32" s="45">
        <v>5.5</v>
      </c>
      <c r="P32" s="45">
        <v>5.5</v>
      </c>
      <c r="Q32" s="45">
        <v>5.5</v>
      </c>
      <c r="R32" s="45">
        <v>5.5</v>
      </c>
      <c r="S32" s="45">
        <v>5.5</v>
      </c>
      <c r="T32" s="45">
        <v>5.5</v>
      </c>
      <c r="U32" s="45">
        <v>5.5</v>
      </c>
      <c r="V32" s="45">
        <v>5.5</v>
      </c>
      <c r="W32" s="45">
        <v>5.5</v>
      </c>
      <c r="X32" s="45">
        <v>5.5</v>
      </c>
      <c r="Y32" s="45">
        <v>5.5</v>
      </c>
      <c r="Z32" s="45">
        <v>5.5</v>
      </c>
      <c r="AA32" s="45">
        <v>5.5</v>
      </c>
      <c r="AB32" s="45">
        <v>5.5</v>
      </c>
      <c r="AC32" s="45">
        <v>5.5</v>
      </c>
      <c r="AD32" s="45">
        <v>5.5</v>
      </c>
      <c r="AE32" s="45">
        <v>5.5</v>
      </c>
      <c r="AF32" s="45">
        <v>5.5</v>
      </c>
      <c r="AG32" s="49">
        <v>22.1</v>
      </c>
      <c r="AH32" s="47">
        <f t="shared" si="2"/>
        <v>5.5</v>
      </c>
      <c r="AI32" s="48">
        <f t="shared" si="3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22</v>
      </c>
      <c r="AH33" s="47">
        <f t="shared" si="2"/>
        <v>6</v>
      </c>
      <c r="AI33" s="48">
        <f t="shared" si="3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11.6</v>
      </c>
      <c r="C34" s="45">
        <v>11.6</v>
      </c>
      <c r="D34" s="45">
        <v>11.6</v>
      </c>
      <c r="E34" s="45">
        <v>11.6</v>
      </c>
      <c r="F34" s="45">
        <v>11.6</v>
      </c>
      <c r="G34" s="45">
        <v>11.6</v>
      </c>
      <c r="H34" s="45">
        <v>11.6</v>
      </c>
      <c r="I34" s="45">
        <v>11.6</v>
      </c>
      <c r="J34" s="45">
        <v>11.6</v>
      </c>
      <c r="K34" s="45">
        <v>11.6</v>
      </c>
      <c r="L34" s="45">
        <v>11.6</v>
      </c>
      <c r="M34" s="45">
        <v>11.6</v>
      </c>
      <c r="N34" s="45">
        <v>11.6</v>
      </c>
      <c r="O34" s="45">
        <v>11.6</v>
      </c>
      <c r="P34" s="45">
        <v>11.6</v>
      </c>
      <c r="Q34" s="45">
        <v>11.6</v>
      </c>
      <c r="R34" s="45">
        <v>11.6</v>
      </c>
      <c r="S34" s="45">
        <v>11.6</v>
      </c>
      <c r="T34" s="45">
        <v>11.6</v>
      </c>
      <c r="U34" s="45">
        <v>11.6</v>
      </c>
      <c r="V34" s="45">
        <v>11.6</v>
      </c>
      <c r="W34" s="45">
        <v>11.6</v>
      </c>
      <c r="X34" s="45">
        <v>11.6</v>
      </c>
      <c r="Y34" s="45">
        <v>11.6</v>
      </c>
      <c r="Z34" s="45">
        <v>11.6</v>
      </c>
      <c r="AA34" s="45">
        <v>11.6</v>
      </c>
      <c r="AB34" s="45">
        <v>11.6</v>
      </c>
      <c r="AC34" s="45">
        <v>11.6</v>
      </c>
      <c r="AD34" s="45">
        <v>11.6</v>
      </c>
      <c r="AE34" s="45">
        <v>11.6</v>
      </c>
      <c r="AF34" s="45">
        <v>10.6</v>
      </c>
      <c r="AG34" s="49">
        <v>22</v>
      </c>
      <c r="AH34" s="47">
        <f t="shared" si="2"/>
        <v>11.6</v>
      </c>
      <c r="AI34" s="48">
        <f t="shared" si="3"/>
        <v>10.6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6.5</v>
      </c>
      <c r="C35" s="45">
        <v>6.5</v>
      </c>
      <c r="D35" s="45">
        <v>6.5</v>
      </c>
      <c r="E35" s="45">
        <v>6.5</v>
      </c>
      <c r="F35" s="45">
        <v>6.5</v>
      </c>
      <c r="G35" s="45">
        <v>6.5</v>
      </c>
      <c r="H35" s="45">
        <v>6.5</v>
      </c>
      <c r="I35" s="45">
        <v>6.5</v>
      </c>
      <c r="J35" s="45">
        <v>6.5</v>
      </c>
      <c r="K35" s="45">
        <v>6.5</v>
      </c>
      <c r="L35" s="45">
        <v>6.5</v>
      </c>
      <c r="M35" s="45">
        <v>6.5</v>
      </c>
      <c r="N35" s="45">
        <v>6.5</v>
      </c>
      <c r="O35" s="45">
        <v>6.5</v>
      </c>
      <c r="P35" s="45">
        <v>6.5</v>
      </c>
      <c r="Q35" s="45">
        <v>6.5</v>
      </c>
      <c r="R35" s="45">
        <v>6.5</v>
      </c>
      <c r="S35" s="45">
        <v>6.5</v>
      </c>
      <c r="T35" s="45">
        <v>6.5</v>
      </c>
      <c r="U35" s="45">
        <v>6.5</v>
      </c>
      <c r="V35" s="45">
        <v>6.5</v>
      </c>
      <c r="W35" s="45">
        <v>6.5</v>
      </c>
      <c r="X35" s="45">
        <v>6.5</v>
      </c>
      <c r="Y35" s="45">
        <v>6.5</v>
      </c>
      <c r="Z35" s="45">
        <v>6.5</v>
      </c>
      <c r="AA35" s="45">
        <v>6.5</v>
      </c>
      <c r="AB35" s="45">
        <v>6.5</v>
      </c>
      <c r="AC35" s="45">
        <v>6.5</v>
      </c>
      <c r="AD35" s="45">
        <v>6.5</v>
      </c>
      <c r="AE35" s="45">
        <v>6.5</v>
      </c>
      <c r="AF35" s="45">
        <v>6.5</v>
      </c>
      <c r="AG35" s="49">
        <v>20</v>
      </c>
      <c r="AH35" s="47">
        <f t="shared" si="2"/>
        <v>6.5</v>
      </c>
      <c r="AI35" s="48">
        <f t="shared" si="3"/>
        <v>6.5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264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2"/>
        <v>4</v>
      </c>
      <c r="AI36" s="48">
        <f t="shared" si="3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5.5</v>
      </c>
      <c r="C37" s="45">
        <v>5.5</v>
      </c>
      <c r="D37" s="45">
        <v>5.5</v>
      </c>
      <c r="E37" s="45">
        <v>5.5</v>
      </c>
      <c r="F37" s="45">
        <v>5.5</v>
      </c>
      <c r="G37" s="45">
        <v>5.5</v>
      </c>
      <c r="H37" s="45">
        <v>5.5</v>
      </c>
      <c r="I37" s="45">
        <v>5.5</v>
      </c>
      <c r="J37" s="45">
        <v>5.5</v>
      </c>
      <c r="K37" s="45">
        <v>5.5</v>
      </c>
      <c r="L37" s="45">
        <v>5.5</v>
      </c>
      <c r="M37" s="45">
        <v>5.5</v>
      </c>
      <c r="N37" s="45">
        <v>5.5</v>
      </c>
      <c r="O37" s="45">
        <v>5.5</v>
      </c>
      <c r="P37" s="45">
        <v>5.5</v>
      </c>
      <c r="Q37" s="45">
        <v>5.5</v>
      </c>
      <c r="R37" s="45">
        <v>5.5</v>
      </c>
      <c r="S37" s="45">
        <v>5.5</v>
      </c>
      <c r="T37" s="45">
        <v>5.5</v>
      </c>
      <c r="U37" s="45">
        <v>5.5</v>
      </c>
      <c r="V37" s="45">
        <v>5.5</v>
      </c>
      <c r="W37" s="45">
        <v>5.5</v>
      </c>
      <c r="X37" s="45">
        <v>5.5</v>
      </c>
      <c r="Y37" s="45">
        <v>5.5</v>
      </c>
      <c r="Z37" s="45">
        <v>5.5</v>
      </c>
      <c r="AA37" s="45">
        <v>5.5</v>
      </c>
      <c r="AB37" s="45">
        <v>5.5</v>
      </c>
      <c r="AC37" s="45">
        <v>5.5</v>
      </c>
      <c r="AD37" s="45">
        <v>5.5</v>
      </c>
      <c r="AE37" s="45">
        <v>5.5</v>
      </c>
      <c r="AF37" s="45">
        <v>5.5</v>
      </c>
      <c r="AG37" s="49">
        <v>18</v>
      </c>
      <c r="AH37" s="47">
        <f t="shared" si="2"/>
        <v>5.5</v>
      </c>
      <c r="AI37" s="48">
        <f t="shared" si="3"/>
        <v>5.5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>
        <v>7.2</v>
      </c>
      <c r="N38" s="45">
        <v>7.2</v>
      </c>
      <c r="O38" s="45">
        <v>7.2</v>
      </c>
      <c r="P38" s="45">
        <v>7.2</v>
      </c>
      <c r="Q38" s="45">
        <v>7.2</v>
      </c>
      <c r="R38" s="45">
        <v>7.2</v>
      </c>
      <c r="S38" s="45">
        <v>7.2</v>
      </c>
      <c r="T38" s="45">
        <v>7.2</v>
      </c>
      <c r="U38" s="45">
        <v>7.2</v>
      </c>
      <c r="V38" s="45">
        <v>7.2</v>
      </c>
      <c r="W38" s="45">
        <v>7.2</v>
      </c>
      <c r="X38" s="45">
        <v>7.2</v>
      </c>
      <c r="Y38" s="45">
        <v>7.2</v>
      </c>
      <c r="Z38" s="45">
        <v>7.2</v>
      </c>
      <c r="AA38" s="45">
        <v>7.2</v>
      </c>
      <c r="AB38" s="45">
        <v>7.2</v>
      </c>
      <c r="AC38" s="45">
        <v>7.2</v>
      </c>
      <c r="AD38" s="45">
        <v>7.2</v>
      </c>
      <c r="AE38" s="45">
        <v>7.2</v>
      </c>
      <c r="AF38" s="45">
        <v>7.2</v>
      </c>
      <c r="AG38" s="49">
        <v>14.9</v>
      </c>
      <c r="AH38" s="47">
        <f t="shared" si="2"/>
        <v>7.2</v>
      </c>
      <c r="AI38" s="48">
        <f t="shared" si="3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265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2"/>
        <v>5</v>
      </c>
      <c r="AI40" s="48">
        <f t="shared" si="3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266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>
        <v>4</v>
      </c>
      <c r="N41" s="45">
        <v>4</v>
      </c>
      <c r="O41" s="45">
        <v>4</v>
      </c>
      <c r="P41" s="45">
        <v>4</v>
      </c>
      <c r="Q41" s="45">
        <v>4</v>
      </c>
      <c r="R41" s="45">
        <v>4</v>
      </c>
      <c r="S41" s="45">
        <v>4</v>
      </c>
      <c r="T41" s="45">
        <v>4</v>
      </c>
      <c r="U41" s="45">
        <v>4</v>
      </c>
      <c r="V41" s="45">
        <v>4</v>
      </c>
      <c r="W41" s="45">
        <v>4</v>
      </c>
      <c r="X41" s="45">
        <v>4</v>
      </c>
      <c r="Y41" s="45">
        <v>4</v>
      </c>
      <c r="Z41" s="45">
        <v>4</v>
      </c>
      <c r="AA41" s="45">
        <v>4</v>
      </c>
      <c r="AB41" s="45">
        <v>4</v>
      </c>
      <c r="AC41" s="45">
        <v>4</v>
      </c>
      <c r="AD41" s="45">
        <v>4</v>
      </c>
      <c r="AE41" s="45">
        <v>4</v>
      </c>
      <c r="AF41" s="45">
        <v>4</v>
      </c>
      <c r="AG41" s="49">
        <v>14.9</v>
      </c>
      <c r="AH41" s="47">
        <f t="shared" si="2"/>
        <v>4</v>
      </c>
      <c r="AI41" s="48">
        <f t="shared" si="3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2"/>
        <v>1.8</v>
      </c>
      <c r="AI42" s="48">
        <f t="shared" si="3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2"/>
        <v>3.8</v>
      </c>
      <c r="AI43" s="48">
        <f t="shared" si="3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4</v>
      </c>
      <c r="C44" s="45">
        <v>4</v>
      </c>
      <c r="D44" s="45">
        <v>4</v>
      </c>
      <c r="E44" s="45">
        <v>4</v>
      </c>
      <c r="F44" s="45">
        <v>4</v>
      </c>
      <c r="G44" s="45">
        <v>4</v>
      </c>
      <c r="H44" s="45">
        <v>4</v>
      </c>
      <c r="I44" s="45">
        <v>4</v>
      </c>
      <c r="J44" s="45">
        <v>4</v>
      </c>
      <c r="K44" s="45">
        <v>4</v>
      </c>
      <c r="L44" s="45">
        <v>4</v>
      </c>
      <c r="M44" s="45">
        <v>4</v>
      </c>
      <c r="N44" s="45">
        <v>4</v>
      </c>
      <c r="O44" s="45">
        <v>4</v>
      </c>
      <c r="P44" s="45">
        <v>4</v>
      </c>
      <c r="Q44" s="45">
        <v>4</v>
      </c>
      <c r="R44" s="45">
        <v>4</v>
      </c>
      <c r="S44" s="45">
        <v>4</v>
      </c>
      <c r="T44" s="45">
        <v>4</v>
      </c>
      <c r="U44" s="45">
        <v>4</v>
      </c>
      <c r="V44" s="45">
        <v>4</v>
      </c>
      <c r="W44" s="45">
        <v>4</v>
      </c>
      <c r="X44" s="45">
        <v>4</v>
      </c>
      <c r="Y44" s="45">
        <v>4</v>
      </c>
      <c r="Z44" s="45">
        <v>4</v>
      </c>
      <c r="AA44" s="45">
        <v>4</v>
      </c>
      <c r="AB44" s="45">
        <v>4</v>
      </c>
      <c r="AC44" s="45">
        <v>4</v>
      </c>
      <c r="AD44" s="45">
        <v>4</v>
      </c>
      <c r="AE44" s="45">
        <v>4</v>
      </c>
      <c r="AF44" s="45">
        <v>4</v>
      </c>
      <c r="AG44" s="49">
        <v>12</v>
      </c>
      <c r="AH44" s="47">
        <f t="shared" si="2"/>
        <v>4</v>
      </c>
      <c r="AI44" s="48">
        <f t="shared" si="3"/>
        <v>4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49">
        <v>12</v>
      </c>
      <c r="AH45" s="47">
        <f t="shared" si="2"/>
        <v>9</v>
      </c>
      <c r="AI45" s="48">
        <f t="shared" si="3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2"/>
        <v>3</v>
      </c>
      <c r="AI46" s="48">
        <f t="shared" si="3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2"/>
        <v>3.5</v>
      </c>
      <c r="AI47" s="48">
        <f t="shared" si="3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>
        <v>5</v>
      </c>
      <c r="N48" s="45">
        <v>5</v>
      </c>
      <c r="O48" s="45">
        <v>5</v>
      </c>
      <c r="P48" s="45">
        <v>5</v>
      </c>
      <c r="Q48" s="45">
        <v>5</v>
      </c>
      <c r="R48" s="45">
        <v>5</v>
      </c>
      <c r="S48" s="45">
        <v>5</v>
      </c>
      <c r="T48" s="45">
        <v>5</v>
      </c>
      <c r="U48" s="45">
        <v>5</v>
      </c>
      <c r="V48" s="45">
        <v>5</v>
      </c>
      <c r="W48" s="45">
        <v>5</v>
      </c>
      <c r="X48" s="45">
        <v>5</v>
      </c>
      <c r="Y48" s="45">
        <v>5</v>
      </c>
      <c r="Z48" s="45">
        <v>5</v>
      </c>
      <c r="AA48" s="45">
        <v>5</v>
      </c>
      <c r="AB48" s="45">
        <v>5</v>
      </c>
      <c r="AC48" s="45">
        <v>5</v>
      </c>
      <c r="AD48" s="45">
        <v>5</v>
      </c>
      <c r="AE48" s="45">
        <v>5</v>
      </c>
      <c r="AF48" s="45">
        <v>5</v>
      </c>
      <c r="AG48" s="52">
        <v>11.88</v>
      </c>
      <c r="AH48" s="47">
        <f t="shared" si="2"/>
        <v>5</v>
      </c>
      <c r="AI48" s="48">
        <f t="shared" si="3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>
        <v>3</v>
      </c>
      <c r="N49" s="45">
        <v>3</v>
      </c>
      <c r="O49" s="45">
        <v>3</v>
      </c>
      <c r="P49" s="45">
        <v>3</v>
      </c>
      <c r="Q49" s="45">
        <v>3</v>
      </c>
      <c r="R49" s="45">
        <v>3</v>
      </c>
      <c r="S49" s="45">
        <v>3</v>
      </c>
      <c r="T49" s="45">
        <v>3</v>
      </c>
      <c r="U49" s="45">
        <v>3</v>
      </c>
      <c r="V49" s="45">
        <v>3</v>
      </c>
      <c r="W49" s="45">
        <v>3</v>
      </c>
      <c r="X49" s="45">
        <v>3</v>
      </c>
      <c r="Y49" s="45">
        <v>3</v>
      </c>
      <c r="Z49" s="45">
        <v>3</v>
      </c>
      <c r="AA49" s="45">
        <v>3</v>
      </c>
      <c r="AB49" s="45">
        <v>3</v>
      </c>
      <c r="AC49" s="45">
        <v>3</v>
      </c>
      <c r="AD49" s="45">
        <v>3</v>
      </c>
      <c r="AE49" s="45">
        <v>3</v>
      </c>
      <c r="AF49" s="45">
        <v>3</v>
      </c>
      <c r="AG49" s="55">
        <v>11</v>
      </c>
      <c r="AH49" s="47">
        <f t="shared" si="2"/>
        <v>3</v>
      </c>
      <c r="AI49" s="48">
        <f t="shared" si="3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267</v>
      </c>
      <c r="B50" s="45">
        <v>3.3</v>
      </c>
      <c r="C50" s="45">
        <v>3.3</v>
      </c>
      <c r="D50" s="45">
        <v>3.3</v>
      </c>
      <c r="E50" s="45">
        <v>3.3</v>
      </c>
      <c r="F50" s="45">
        <v>3.3</v>
      </c>
      <c r="G50" s="45">
        <v>3.3</v>
      </c>
      <c r="H50" s="45">
        <v>3.3</v>
      </c>
      <c r="I50" s="45">
        <v>3.3</v>
      </c>
      <c r="J50" s="45">
        <v>3.3</v>
      </c>
      <c r="K50" s="45">
        <v>3.3</v>
      </c>
      <c r="L50" s="45">
        <v>3.3</v>
      </c>
      <c r="M50" s="45">
        <v>3.3</v>
      </c>
      <c r="N50" s="45">
        <v>3.3</v>
      </c>
      <c r="O50" s="45">
        <v>3.3</v>
      </c>
      <c r="P50" s="45">
        <v>3.3</v>
      </c>
      <c r="Q50" s="45">
        <v>3.3</v>
      </c>
      <c r="R50" s="45">
        <v>3.3</v>
      </c>
      <c r="S50" s="45">
        <v>3.3</v>
      </c>
      <c r="T50" s="45">
        <v>3.3</v>
      </c>
      <c r="U50" s="45">
        <v>3.3</v>
      </c>
      <c r="V50" s="45">
        <v>3.3</v>
      </c>
      <c r="W50" s="45">
        <v>3.3</v>
      </c>
      <c r="X50" s="45">
        <v>3.3</v>
      </c>
      <c r="Y50" s="45">
        <v>3.3</v>
      </c>
      <c r="Z50" s="45">
        <v>3.3</v>
      </c>
      <c r="AA50" s="45">
        <v>3.3</v>
      </c>
      <c r="AB50" s="45">
        <v>3.3</v>
      </c>
      <c r="AC50" s="45">
        <v>3.3</v>
      </c>
      <c r="AD50" s="45">
        <v>3.3</v>
      </c>
      <c r="AE50" s="45">
        <v>3.3</v>
      </c>
      <c r="AF50" s="45">
        <v>3.3</v>
      </c>
      <c r="AG50" s="55">
        <v>11</v>
      </c>
      <c r="AH50" s="47">
        <f t="shared" si="2"/>
        <v>3.3</v>
      </c>
      <c r="AI50" s="48">
        <f t="shared" si="3"/>
        <v>3.3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268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"/>
        <v>3</v>
      </c>
      <c r="AI51" s="48">
        <f t="shared" si="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2"/>
        <v>4</v>
      </c>
      <c r="AI52" s="48">
        <f t="shared" si="3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"/>
        <v>4.5</v>
      </c>
      <c r="AI53" s="48">
        <f t="shared" si="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269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"/>
        <v>0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175</v>
      </c>
      <c r="C56" s="57">
        <v>175</v>
      </c>
      <c r="D56" s="57">
        <v>175</v>
      </c>
      <c r="E56" s="57">
        <v>175</v>
      </c>
      <c r="F56" s="57">
        <v>175</v>
      </c>
      <c r="G56" s="57">
        <v>175</v>
      </c>
      <c r="H56" s="57">
        <v>175</v>
      </c>
      <c r="I56" s="57">
        <v>175</v>
      </c>
      <c r="J56" s="57">
        <v>175</v>
      </c>
      <c r="K56" s="57">
        <v>175</v>
      </c>
      <c r="L56" s="57">
        <v>175</v>
      </c>
      <c r="M56" s="57">
        <v>175</v>
      </c>
      <c r="N56" s="57">
        <v>175</v>
      </c>
      <c r="O56" s="57">
        <v>175</v>
      </c>
      <c r="P56" s="57">
        <v>175</v>
      </c>
      <c r="Q56" s="57">
        <v>175</v>
      </c>
      <c r="R56" s="57">
        <v>175</v>
      </c>
      <c r="S56" s="57">
        <v>175</v>
      </c>
      <c r="T56" s="57">
        <v>175</v>
      </c>
      <c r="U56" s="57">
        <v>175</v>
      </c>
      <c r="V56" s="57">
        <v>175</v>
      </c>
      <c r="W56" s="57">
        <v>175</v>
      </c>
      <c r="X56" s="57">
        <v>175</v>
      </c>
      <c r="Y56" s="57">
        <v>175</v>
      </c>
      <c r="Z56" s="57">
        <v>175</v>
      </c>
      <c r="AA56" s="57">
        <v>175</v>
      </c>
      <c r="AB56" s="57">
        <v>175</v>
      </c>
      <c r="AC56" s="57">
        <v>175</v>
      </c>
      <c r="AD56" s="57">
        <v>175</v>
      </c>
      <c r="AE56" s="57">
        <v>175</v>
      </c>
      <c r="AF56" s="57">
        <v>175</v>
      </c>
      <c r="AG56" s="55">
        <v>85</v>
      </c>
      <c r="AH56" s="47">
        <f t="shared" si="2"/>
        <v>175</v>
      </c>
      <c r="AI56" s="48">
        <f t="shared" si="3"/>
        <v>175</v>
      </c>
      <c r="AK56" s="50"/>
    </row>
    <row r="57" spans="1:88" ht="15.75" thickBot="1" x14ac:dyDescent="0.3">
      <c r="A57" s="58" t="s">
        <v>57</v>
      </c>
      <c r="B57" s="51">
        <f>9.3+20.9</f>
        <v>30.2</v>
      </c>
      <c r="C57" s="51">
        <f>9.8+21</f>
        <v>30.8</v>
      </c>
      <c r="D57" s="51">
        <f t="shared" ref="D57:P57" si="4">9.3+20.9</f>
        <v>30.2</v>
      </c>
      <c r="E57" s="51">
        <f t="shared" si="4"/>
        <v>30.2</v>
      </c>
      <c r="F57" s="51">
        <f t="shared" si="4"/>
        <v>30.2</v>
      </c>
      <c r="G57" s="51">
        <f t="shared" si="4"/>
        <v>30.2</v>
      </c>
      <c r="H57" s="51">
        <f t="shared" si="4"/>
        <v>30.2</v>
      </c>
      <c r="I57" s="51">
        <f t="shared" si="4"/>
        <v>30.2</v>
      </c>
      <c r="J57" s="51">
        <f t="shared" si="4"/>
        <v>30.2</v>
      </c>
      <c r="K57" s="51">
        <f t="shared" si="4"/>
        <v>30.2</v>
      </c>
      <c r="L57" s="51">
        <f t="shared" si="4"/>
        <v>30.2</v>
      </c>
      <c r="M57" s="51">
        <f t="shared" si="4"/>
        <v>30.2</v>
      </c>
      <c r="N57" s="51">
        <f t="shared" si="4"/>
        <v>30.2</v>
      </c>
      <c r="O57" s="51">
        <f t="shared" si="4"/>
        <v>30.2</v>
      </c>
      <c r="P57" s="51">
        <f t="shared" si="4"/>
        <v>30.2</v>
      </c>
      <c r="Q57" s="51">
        <f>10.6+23</f>
        <v>33.6</v>
      </c>
      <c r="R57" s="51">
        <f>10.6+23</f>
        <v>33.6</v>
      </c>
      <c r="S57" s="51">
        <f>10.6+23</f>
        <v>33.6</v>
      </c>
      <c r="T57" s="51">
        <f>10.6+23</f>
        <v>33.6</v>
      </c>
      <c r="U57" s="51">
        <v>29.3</v>
      </c>
      <c r="V57" s="51">
        <v>29.6</v>
      </c>
      <c r="W57" s="51">
        <v>28.8</v>
      </c>
      <c r="X57" s="51">
        <v>25.2</v>
      </c>
      <c r="Y57" s="57">
        <v>23</v>
      </c>
      <c r="Z57" s="57">
        <v>23</v>
      </c>
      <c r="AA57" s="57">
        <v>17</v>
      </c>
      <c r="AB57" s="57">
        <f>17.3+7.7</f>
        <v>25</v>
      </c>
      <c r="AC57" s="57">
        <f>18.9+8.1</f>
        <v>27</v>
      </c>
      <c r="AD57" s="57">
        <f>19.3+8.3</f>
        <v>27.6</v>
      </c>
      <c r="AE57" s="57">
        <f>20.2+8.9</f>
        <v>29.1</v>
      </c>
      <c r="AF57" s="57">
        <f>9.3+20.8</f>
        <v>30.1</v>
      </c>
      <c r="AG57" s="55">
        <v>240</v>
      </c>
      <c r="AH57" s="47">
        <f t="shared" si="2"/>
        <v>33.6</v>
      </c>
      <c r="AI57" s="48">
        <f t="shared" si="3"/>
        <v>17</v>
      </c>
      <c r="AK57" s="50"/>
    </row>
    <row r="58" spans="1:88" ht="15.75" thickBot="1" x14ac:dyDescent="0.3">
      <c r="A58" s="59" t="s">
        <v>58</v>
      </c>
      <c r="B58" s="60">
        <f t="shared" ref="B58:D58" si="5">SUM(B11:B56)</f>
        <v>532.80000000000007</v>
      </c>
      <c r="C58" s="60">
        <f t="shared" si="5"/>
        <v>532.80000000000007</v>
      </c>
      <c r="D58" s="60">
        <f t="shared" si="5"/>
        <v>532.80000000000007</v>
      </c>
      <c r="E58" s="60">
        <f t="shared" ref="E58:F58" si="6">SUM(E11:E56)</f>
        <v>532.80000000000007</v>
      </c>
      <c r="F58" s="60">
        <f t="shared" si="6"/>
        <v>532.80000000000007</v>
      </c>
      <c r="G58" s="60">
        <f t="shared" ref="G58:H58" si="7">SUM(G11:G56)</f>
        <v>532.80000000000007</v>
      </c>
      <c r="H58" s="60">
        <f t="shared" si="7"/>
        <v>532.80000000000007</v>
      </c>
      <c r="I58" s="60">
        <f t="shared" ref="I58:J58" si="8">SUM(I11:I56)</f>
        <v>532.80000000000007</v>
      </c>
      <c r="J58" s="60">
        <f t="shared" si="8"/>
        <v>532.80000000000007</v>
      </c>
      <c r="K58" s="60">
        <f t="shared" ref="K58:L58" si="9">SUM(K11:K56)</f>
        <v>532.80000000000007</v>
      </c>
      <c r="L58" s="60">
        <f t="shared" si="9"/>
        <v>532.80000000000007</v>
      </c>
      <c r="M58" s="60">
        <f t="shared" ref="M58:AE58" si="10">SUM(M11:M56)</f>
        <v>532.80000000000007</v>
      </c>
      <c r="N58" s="60">
        <f t="shared" si="10"/>
        <v>529.30000000000007</v>
      </c>
      <c r="O58" s="60">
        <f t="shared" si="10"/>
        <v>529.30000000000007</v>
      </c>
      <c r="P58" s="60">
        <f t="shared" si="10"/>
        <v>529.30000000000007</v>
      </c>
      <c r="Q58" s="60">
        <f t="shared" si="10"/>
        <v>529.30000000000007</v>
      </c>
      <c r="R58" s="60">
        <f t="shared" si="10"/>
        <v>529.30000000000007</v>
      </c>
      <c r="S58" s="60">
        <f t="shared" si="10"/>
        <v>529.30000000000007</v>
      </c>
      <c r="T58" s="60">
        <f t="shared" si="10"/>
        <v>529.30000000000007</v>
      </c>
      <c r="U58" s="60">
        <f t="shared" si="10"/>
        <v>529.30000000000007</v>
      </c>
      <c r="V58" s="60">
        <f t="shared" si="10"/>
        <v>529.30000000000007</v>
      </c>
      <c r="W58" s="60">
        <f t="shared" si="10"/>
        <v>529.30000000000007</v>
      </c>
      <c r="X58" s="60">
        <f t="shared" si="10"/>
        <v>531.50000000000011</v>
      </c>
      <c r="Y58" s="60">
        <f>SUM(Y11:Y56)</f>
        <v>531.50000000000011</v>
      </c>
      <c r="Z58" s="60">
        <f>SUM(Z11:Z56)</f>
        <v>531.50000000000011</v>
      </c>
      <c r="AA58" s="60">
        <f t="shared" si="10"/>
        <v>531.50000000000011</v>
      </c>
      <c r="AB58" s="60">
        <f t="shared" si="10"/>
        <v>531.50000000000011</v>
      </c>
      <c r="AC58" s="60">
        <f t="shared" si="10"/>
        <v>531.50000000000011</v>
      </c>
      <c r="AD58" s="60">
        <f t="shared" si="10"/>
        <v>531.50000000000011</v>
      </c>
      <c r="AE58" s="60">
        <f t="shared" si="10"/>
        <v>531.50000000000011</v>
      </c>
      <c r="AF58" s="60">
        <f t="shared" ref="AF58" si="11">SUM(AF11:AF56)</f>
        <v>524.5</v>
      </c>
      <c r="AG58" s="61">
        <f>SUM(AG14:AG56)</f>
        <v>1042.4000000000001</v>
      </c>
      <c r="AH58" s="47">
        <f t="shared" si="2"/>
        <v>532.80000000000007</v>
      </c>
      <c r="AI58" s="48">
        <f t="shared" si="3"/>
        <v>524.5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30</v>
      </c>
      <c r="K59" s="45">
        <v>30</v>
      </c>
      <c r="L59" s="45">
        <v>375</v>
      </c>
      <c r="M59" s="45">
        <v>375</v>
      </c>
      <c r="N59" s="63">
        <v>320</v>
      </c>
      <c r="O59" s="63">
        <v>280</v>
      </c>
      <c r="P59" s="63">
        <v>100</v>
      </c>
      <c r="Q59" s="63">
        <v>75</v>
      </c>
      <c r="R59" s="63">
        <v>0</v>
      </c>
      <c r="S59" s="63">
        <v>0</v>
      </c>
      <c r="T59" s="63">
        <v>0</v>
      </c>
      <c r="U59" s="63">
        <v>0</v>
      </c>
      <c r="V59" s="63">
        <v>76</v>
      </c>
      <c r="W59" s="63">
        <v>120</v>
      </c>
      <c r="X59" s="45">
        <v>270</v>
      </c>
      <c r="Y59" s="45">
        <v>340</v>
      </c>
      <c r="Z59" s="45">
        <v>260</v>
      </c>
      <c r="AA59" s="45">
        <v>100</v>
      </c>
      <c r="AB59" s="45">
        <v>90</v>
      </c>
      <c r="AC59" s="45">
        <v>80</v>
      </c>
      <c r="AD59" s="45">
        <v>80</v>
      </c>
      <c r="AE59" s="45">
        <v>30</v>
      </c>
      <c r="AF59" s="45">
        <v>0</v>
      </c>
      <c r="AG59" s="52">
        <v>456</v>
      </c>
      <c r="AH59" s="47">
        <f t="shared" si="2"/>
        <v>375</v>
      </c>
      <c r="AI59" s="48">
        <f t="shared" si="3"/>
        <v>0</v>
      </c>
      <c r="AK59" s="50"/>
    </row>
    <row r="60" spans="1:88" x14ac:dyDescent="0.25">
      <c r="A60" s="64" t="s">
        <v>60</v>
      </c>
      <c r="B60" s="65">
        <v>36</v>
      </c>
      <c r="C60" s="65">
        <v>36</v>
      </c>
      <c r="D60" s="65">
        <v>36</v>
      </c>
      <c r="E60" s="65">
        <v>36</v>
      </c>
      <c r="F60" s="65">
        <v>36</v>
      </c>
      <c r="G60" s="65">
        <v>36</v>
      </c>
      <c r="H60" s="65">
        <v>36</v>
      </c>
      <c r="I60" s="65">
        <v>36</v>
      </c>
      <c r="J60" s="65">
        <v>36</v>
      </c>
      <c r="K60" s="65">
        <v>36</v>
      </c>
      <c r="L60" s="65">
        <v>36</v>
      </c>
      <c r="M60" s="65">
        <v>36</v>
      </c>
      <c r="N60" s="65">
        <v>36</v>
      </c>
      <c r="O60" s="65">
        <v>36</v>
      </c>
      <c r="P60" s="65">
        <v>36</v>
      </c>
      <c r="Q60" s="65">
        <v>36</v>
      </c>
      <c r="R60" s="65">
        <v>36</v>
      </c>
      <c r="S60" s="65">
        <v>36</v>
      </c>
      <c r="T60" s="65">
        <v>36</v>
      </c>
      <c r="U60" s="65">
        <v>36</v>
      </c>
      <c r="V60" s="65">
        <v>36</v>
      </c>
      <c r="W60" s="65">
        <v>36</v>
      </c>
      <c r="X60" s="65">
        <v>36</v>
      </c>
      <c r="Y60" s="65">
        <v>36</v>
      </c>
      <c r="Z60" s="65">
        <v>36</v>
      </c>
      <c r="AA60" s="65">
        <v>36</v>
      </c>
      <c r="AB60" s="65">
        <v>36</v>
      </c>
      <c r="AC60" s="65">
        <v>36</v>
      </c>
      <c r="AD60" s="65">
        <v>36</v>
      </c>
      <c r="AE60" s="65">
        <v>36</v>
      </c>
      <c r="AF60" s="65">
        <v>36</v>
      </c>
      <c r="AG60" s="55">
        <v>60</v>
      </c>
      <c r="AH60" s="47">
        <f t="shared" si="2"/>
        <v>36</v>
      </c>
      <c r="AI60" s="48">
        <f t="shared" si="3"/>
        <v>36</v>
      </c>
      <c r="AK60" s="50"/>
    </row>
    <row r="61" spans="1:88" ht="15.75" thickBot="1" x14ac:dyDescent="0.3">
      <c r="A61" s="66" t="s">
        <v>61</v>
      </c>
      <c r="B61" s="67">
        <v>11</v>
      </c>
      <c r="C61" s="67">
        <v>10.8</v>
      </c>
      <c r="D61" s="67">
        <v>11</v>
      </c>
      <c r="E61" s="67">
        <v>11</v>
      </c>
      <c r="F61" s="67">
        <v>11</v>
      </c>
      <c r="G61" s="67">
        <v>11</v>
      </c>
      <c r="H61" s="67">
        <v>11</v>
      </c>
      <c r="I61" s="67">
        <v>11</v>
      </c>
      <c r="J61" s="67">
        <v>11</v>
      </c>
      <c r="K61" s="67">
        <v>11</v>
      </c>
      <c r="L61" s="67">
        <v>11</v>
      </c>
      <c r="M61" s="67">
        <v>10.199999999999999</v>
      </c>
      <c r="N61" s="67">
        <v>10.199999999999999</v>
      </c>
      <c r="O61" s="67">
        <v>10.199999999999999</v>
      </c>
      <c r="P61" s="67">
        <v>10.199999999999999</v>
      </c>
      <c r="Q61" s="67">
        <v>10.199999999999999</v>
      </c>
      <c r="R61" s="67">
        <v>10.199999999999999</v>
      </c>
      <c r="S61" s="67">
        <v>10.199999999999999</v>
      </c>
      <c r="T61" s="67">
        <v>10.199999999999999</v>
      </c>
      <c r="U61" s="67">
        <v>10.199999999999999</v>
      </c>
      <c r="V61" s="67">
        <v>10.199999999999999</v>
      </c>
      <c r="W61" s="67">
        <v>10.199999999999999</v>
      </c>
      <c r="X61" s="67">
        <v>10.199999999999999</v>
      </c>
      <c r="Y61" s="67">
        <v>10.199999999999999</v>
      </c>
      <c r="Z61" s="67">
        <v>10.199999999999999</v>
      </c>
      <c r="AA61" s="67">
        <v>10.199999999999999</v>
      </c>
      <c r="AB61" s="67">
        <v>15.1</v>
      </c>
      <c r="AC61" s="67">
        <v>15.2</v>
      </c>
      <c r="AD61" s="67">
        <v>14.3</v>
      </c>
      <c r="AE61" s="67">
        <v>11.2</v>
      </c>
      <c r="AF61" s="67">
        <v>11.2</v>
      </c>
      <c r="AG61" s="68">
        <v>22.1</v>
      </c>
      <c r="AH61" s="47">
        <f t="shared" si="2"/>
        <v>15.2</v>
      </c>
      <c r="AI61" s="48">
        <f t="shared" si="3"/>
        <v>10.199999999999999</v>
      </c>
      <c r="AK61" s="50"/>
    </row>
    <row r="62" spans="1:88" ht="15.75" thickBot="1" x14ac:dyDescent="0.3">
      <c r="A62" s="69" t="s">
        <v>62</v>
      </c>
      <c r="B62" s="60">
        <f t="shared" ref="B62:D62" si="12">SUM(B59:B61)</f>
        <v>47</v>
      </c>
      <c r="C62" s="60">
        <f t="shared" si="12"/>
        <v>46.8</v>
      </c>
      <c r="D62" s="60">
        <f t="shared" si="12"/>
        <v>47</v>
      </c>
      <c r="E62" s="60">
        <f t="shared" ref="E62:F62" si="13">SUM(E59:E61)</f>
        <v>47</v>
      </c>
      <c r="F62" s="60">
        <f t="shared" si="13"/>
        <v>47</v>
      </c>
      <c r="G62" s="60">
        <f t="shared" ref="G62:H62" si="14">SUM(G59:G61)</f>
        <v>47</v>
      </c>
      <c r="H62" s="60">
        <f t="shared" si="14"/>
        <v>47</v>
      </c>
      <c r="I62" s="60">
        <f t="shared" ref="I62:J62" si="15">SUM(I59:I61)</f>
        <v>47</v>
      </c>
      <c r="J62" s="60">
        <f t="shared" si="15"/>
        <v>77</v>
      </c>
      <c r="K62" s="60">
        <f t="shared" ref="K62:L62" si="16">SUM(K59:K61)</f>
        <v>77</v>
      </c>
      <c r="L62" s="60">
        <f t="shared" si="16"/>
        <v>422</v>
      </c>
      <c r="M62" s="60">
        <f t="shared" ref="M62:AG62" si="17">SUM(M59:M61)</f>
        <v>421.2</v>
      </c>
      <c r="N62" s="60">
        <f t="shared" si="17"/>
        <v>366.2</v>
      </c>
      <c r="O62" s="60">
        <f t="shared" si="17"/>
        <v>326.2</v>
      </c>
      <c r="P62" s="60">
        <f t="shared" si="17"/>
        <v>146.19999999999999</v>
      </c>
      <c r="Q62" s="60">
        <f t="shared" si="17"/>
        <v>121.2</v>
      </c>
      <c r="R62" s="60">
        <f t="shared" si="17"/>
        <v>46.2</v>
      </c>
      <c r="S62" s="60">
        <f t="shared" si="17"/>
        <v>46.2</v>
      </c>
      <c r="T62" s="60">
        <f t="shared" si="17"/>
        <v>46.2</v>
      </c>
      <c r="U62" s="60">
        <f t="shared" si="17"/>
        <v>46.2</v>
      </c>
      <c r="V62" s="60">
        <f t="shared" si="17"/>
        <v>122.2</v>
      </c>
      <c r="W62" s="60">
        <f t="shared" si="17"/>
        <v>166.2</v>
      </c>
      <c r="X62" s="60">
        <f t="shared" si="17"/>
        <v>316.2</v>
      </c>
      <c r="Y62" s="60">
        <f>SUM(Y59:Y61)</f>
        <v>386.2</v>
      </c>
      <c r="Z62" s="60">
        <f>SUM(Z59:Z61)</f>
        <v>306.2</v>
      </c>
      <c r="AA62" s="60">
        <f t="shared" si="17"/>
        <v>146.19999999999999</v>
      </c>
      <c r="AB62" s="60">
        <f t="shared" si="17"/>
        <v>141.1</v>
      </c>
      <c r="AC62" s="60">
        <f t="shared" si="17"/>
        <v>131.19999999999999</v>
      </c>
      <c r="AD62" s="60">
        <f t="shared" si="17"/>
        <v>130.30000000000001</v>
      </c>
      <c r="AE62" s="60">
        <f t="shared" si="17"/>
        <v>77.2</v>
      </c>
      <c r="AF62" s="60">
        <f t="shared" ref="AF62" si="18">SUM(AF59:AF61)</f>
        <v>47.2</v>
      </c>
      <c r="AG62" s="61">
        <f t="shared" si="17"/>
        <v>538.1</v>
      </c>
      <c r="AH62" s="47">
        <f t="shared" si="2"/>
        <v>422</v>
      </c>
      <c r="AI62" s="48">
        <f t="shared" si="3"/>
        <v>46.2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61</v>
      </c>
      <c r="I63" s="45">
        <v>90</v>
      </c>
      <c r="J63" s="45">
        <v>144.30000000000001</v>
      </c>
      <c r="K63" s="45">
        <v>144.30000000000001</v>
      </c>
      <c r="L63" s="45">
        <v>144.30000000000001</v>
      </c>
      <c r="M63" s="45">
        <v>143.19999999999999</v>
      </c>
      <c r="N63" s="45">
        <v>70</v>
      </c>
      <c r="O63" s="45">
        <v>60.2</v>
      </c>
      <c r="P63" s="45">
        <v>60.5</v>
      </c>
      <c r="Q63" s="45">
        <v>60.7</v>
      </c>
      <c r="R63" s="45">
        <v>49</v>
      </c>
      <c r="S63" s="45">
        <v>61.6</v>
      </c>
      <c r="T63" s="45">
        <v>61.6</v>
      </c>
      <c r="U63" s="45">
        <v>61.6</v>
      </c>
      <c r="V63" s="45">
        <v>81.3</v>
      </c>
      <c r="W63" s="45">
        <v>91.4</v>
      </c>
      <c r="X63" s="45">
        <v>110</v>
      </c>
      <c r="Y63" s="45">
        <v>122.3</v>
      </c>
      <c r="Z63" s="45">
        <v>132.30000000000001</v>
      </c>
      <c r="AA63" s="45">
        <v>132.30000000000001</v>
      </c>
      <c r="AB63" s="45">
        <v>112.1</v>
      </c>
      <c r="AC63" s="45">
        <v>89</v>
      </c>
      <c r="AD63" s="45">
        <v>61.6</v>
      </c>
      <c r="AE63" s="45">
        <v>0</v>
      </c>
      <c r="AF63" s="45">
        <v>0</v>
      </c>
      <c r="AG63" s="52">
        <v>144</v>
      </c>
      <c r="AH63" s="47">
        <f t="shared" si="2"/>
        <v>144.30000000000001</v>
      </c>
      <c r="AI63" s="48">
        <f t="shared" si="3"/>
        <v>0</v>
      </c>
      <c r="AK63" s="50"/>
    </row>
    <row r="64" spans="1:88" x14ac:dyDescent="0.25">
      <c r="A64" s="54" t="s">
        <v>64</v>
      </c>
      <c r="B64" s="45">
        <v>0</v>
      </c>
      <c r="C64" s="45">
        <v>0</v>
      </c>
      <c r="D64" s="45">
        <v>0</v>
      </c>
      <c r="E64" s="45">
        <v>0</v>
      </c>
      <c r="F64" s="45">
        <v>0</v>
      </c>
      <c r="G64" s="45">
        <v>34.700000000000003</v>
      </c>
      <c r="H64" s="45">
        <v>46.1</v>
      </c>
      <c r="I64" s="45">
        <v>59.8</v>
      </c>
      <c r="J64" s="45">
        <v>68.400000000000006</v>
      </c>
      <c r="K64" s="45">
        <v>68.400000000000006</v>
      </c>
      <c r="L64" s="45">
        <v>68.400000000000006</v>
      </c>
      <c r="M64" s="65">
        <v>69.5</v>
      </c>
      <c r="N64" s="65">
        <v>23</v>
      </c>
      <c r="O64" s="65">
        <v>23.7</v>
      </c>
      <c r="P64" s="65">
        <v>22.9</v>
      </c>
      <c r="Q64" s="65">
        <v>35.799999999999997</v>
      </c>
      <c r="R64" s="65">
        <v>35.799999999999997</v>
      </c>
      <c r="S64" s="65">
        <v>24.6</v>
      </c>
      <c r="T64" s="65">
        <v>24.6</v>
      </c>
      <c r="U64" s="65">
        <v>24.6</v>
      </c>
      <c r="V64" s="65">
        <v>35</v>
      </c>
      <c r="W64" s="65">
        <v>51</v>
      </c>
      <c r="X64" s="65">
        <v>65</v>
      </c>
      <c r="Y64" s="45">
        <v>70</v>
      </c>
      <c r="Z64" s="45">
        <v>70</v>
      </c>
      <c r="AA64" s="45">
        <v>70</v>
      </c>
      <c r="AB64" s="45">
        <v>50.1</v>
      </c>
      <c r="AC64" s="45">
        <v>50.8</v>
      </c>
      <c r="AD64" s="65">
        <v>27.1</v>
      </c>
      <c r="AE64" s="45">
        <v>0</v>
      </c>
      <c r="AF64" s="45">
        <v>0</v>
      </c>
      <c r="AG64" s="55">
        <v>70</v>
      </c>
      <c r="AH64" s="47">
        <f t="shared" si="2"/>
        <v>70</v>
      </c>
      <c r="AI64" s="48">
        <f t="shared" si="3"/>
        <v>0</v>
      </c>
      <c r="AK64" s="50"/>
    </row>
    <row r="65" spans="1:41" x14ac:dyDescent="0.25">
      <c r="A65" s="54" t="s">
        <v>65</v>
      </c>
      <c r="B65" s="45">
        <v>0</v>
      </c>
      <c r="C65" s="45">
        <v>0</v>
      </c>
      <c r="D65" s="45">
        <v>0</v>
      </c>
      <c r="E65" s="45">
        <v>16.7</v>
      </c>
      <c r="F65" s="45">
        <v>0</v>
      </c>
      <c r="G65" s="45">
        <v>22.6</v>
      </c>
      <c r="H65" s="45">
        <v>16.399999999999999</v>
      </c>
      <c r="I65" s="45">
        <v>34.4</v>
      </c>
      <c r="J65" s="45">
        <v>51.1</v>
      </c>
      <c r="K65" s="45">
        <v>68.2</v>
      </c>
      <c r="L65" s="45">
        <v>51.1</v>
      </c>
      <c r="M65" s="65">
        <v>67.900000000000006</v>
      </c>
      <c r="N65" s="65">
        <v>33</v>
      </c>
      <c r="O65" s="65">
        <v>16.3</v>
      </c>
      <c r="P65" s="65">
        <v>16.3</v>
      </c>
      <c r="Q65" s="65">
        <v>22.2</v>
      </c>
      <c r="R65" s="65">
        <v>19.2</v>
      </c>
      <c r="S65" s="65">
        <v>20.399999999999999</v>
      </c>
      <c r="T65" s="65">
        <v>20.399999999999999</v>
      </c>
      <c r="U65" s="65">
        <v>20.399999999999999</v>
      </c>
      <c r="V65" s="65">
        <v>58</v>
      </c>
      <c r="W65" s="65">
        <v>54</v>
      </c>
      <c r="X65" s="65">
        <v>67</v>
      </c>
      <c r="Y65" s="45">
        <v>67</v>
      </c>
      <c r="Z65" s="45">
        <v>67</v>
      </c>
      <c r="AA65" s="45">
        <v>67</v>
      </c>
      <c r="AB65" s="45">
        <v>66.900000000000006</v>
      </c>
      <c r="AC65" s="45">
        <v>67</v>
      </c>
      <c r="AD65" s="65">
        <v>66.2</v>
      </c>
      <c r="AE65" s="45">
        <v>38.6</v>
      </c>
      <c r="AF65" s="45">
        <v>0</v>
      </c>
      <c r="AG65" s="55">
        <v>69</v>
      </c>
      <c r="AH65" s="47">
        <f t="shared" si="2"/>
        <v>68.2</v>
      </c>
      <c r="AI65" s="48">
        <f t="shared" si="3"/>
        <v>0</v>
      </c>
      <c r="AK65" s="50"/>
    </row>
    <row r="66" spans="1:41" x14ac:dyDescent="0.25">
      <c r="A66" s="54" t="s">
        <v>66</v>
      </c>
      <c r="B66" s="45">
        <v>46.4</v>
      </c>
      <c r="C66" s="45">
        <v>46.4</v>
      </c>
      <c r="D66" s="45">
        <v>46.4</v>
      </c>
      <c r="E66" s="45">
        <v>46.4</v>
      </c>
      <c r="F66" s="45">
        <v>46.4</v>
      </c>
      <c r="G66" s="45">
        <v>46.4</v>
      </c>
      <c r="H66" s="45">
        <v>46.4</v>
      </c>
      <c r="I66" s="45">
        <v>46.4</v>
      </c>
      <c r="J66" s="45">
        <v>46.4</v>
      </c>
      <c r="K66" s="45">
        <v>46.4</v>
      </c>
      <c r="L66" s="45">
        <v>46.4</v>
      </c>
      <c r="M66" s="65">
        <v>44.3</v>
      </c>
      <c r="N66" s="65">
        <v>44.1</v>
      </c>
      <c r="O66" s="65">
        <v>43.1</v>
      </c>
      <c r="P66" s="65">
        <v>43.1</v>
      </c>
      <c r="Q66" s="65">
        <v>43.3</v>
      </c>
      <c r="R66" s="65">
        <v>42.1</v>
      </c>
      <c r="S66" s="65">
        <v>41.8</v>
      </c>
      <c r="T66" s="65">
        <v>41.8</v>
      </c>
      <c r="U66" s="65">
        <v>41.8</v>
      </c>
      <c r="V66" s="65">
        <v>41.8</v>
      </c>
      <c r="W66" s="65">
        <v>41.8</v>
      </c>
      <c r="X66" s="65">
        <v>41.8</v>
      </c>
      <c r="Y66" s="45">
        <v>41.8</v>
      </c>
      <c r="Z66" s="45">
        <v>41.8</v>
      </c>
      <c r="AA66" s="45">
        <v>41.8</v>
      </c>
      <c r="AB66" s="45">
        <v>42.1</v>
      </c>
      <c r="AC66" s="45">
        <v>42.1</v>
      </c>
      <c r="AD66" s="65">
        <v>46.4</v>
      </c>
      <c r="AE66" s="45">
        <v>47.1</v>
      </c>
      <c r="AF66" s="45">
        <v>45.1</v>
      </c>
      <c r="AG66" s="55">
        <v>60</v>
      </c>
      <c r="AH66" s="47">
        <f t="shared" si="2"/>
        <v>47.1</v>
      </c>
      <c r="AI66" s="48">
        <f t="shared" si="3"/>
        <v>41.8</v>
      </c>
      <c r="AK66" s="50"/>
    </row>
    <row r="67" spans="1:41" x14ac:dyDescent="0.25">
      <c r="A67" s="54" t="s">
        <v>67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15</v>
      </c>
      <c r="H67" s="45">
        <v>15</v>
      </c>
      <c r="I67" s="45">
        <v>23</v>
      </c>
      <c r="J67" s="45">
        <v>28</v>
      </c>
      <c r="K67" s="45">
        <v>28</v>
      </c>
      <c r="L67" s="45">
        <v>28</v>
      </c>
      <c r="M67" s="65">
        <v>15</v>
      </c>
      <c r="N67" s="65">
        <v>0</v>
      </c>
      <c r="O67" s="65">
        <v>0</v>
      </c>
      <c r="P67" s="65">
        <v>0</v>
      </c>
      <c r="Q67" s="65">
        <v>0</v>
      </c>
      <c r="R67" s="65">
        <v>0</v>
      </c>
      <c r="S67" s="65">
        <v>15</v>
      </c>
      <c r="T67" s="65">
        <v>10</v>
      </c>
      <c r="U67" s="65">
        <v>10</v>
      </c>
      <c r="V67" s="65">
        <v>15</v>
      </c>
      <c r="W67" s="65">
        <v>15</v>
      </c>
      <c r="X67" s="65">
        <v>23</v>
      </c>
      <c r="Y67" s="45">
        <v>23</v>
      </c>
      <c r="Z67" s="45">
        <v>27</v>
      </c>
      <c r="AA67" s="45">
        <v>23</v>
      </c>
      <c r="AB67" s="45">
        <v>15</v>
      </c>
      <c r="AC67" s="45">
        <v>10</v>
      </c>
      <c r="AD67" s="45">
        <v>10</v>
      </c>
      <c r="AE67" s="45">
        <v>0</v>
      </c>
      <c r="AF67" s="45">
        <v>0</v>
      </c>
      <c r="AG67" s="55">
        <v>30</v>
      </c>
      <c r="AH67" s="47">
        <f t="shared" si="2"/>
        <v>28</v>
      </c>
      <c r="AI67" s="48">
        <f t="shared" si="3"/>
        <v>0</v>
      </c>
      <c r="AK67" s="50"/>
    </row>
    <row r="68" spans="1:41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</v>
      </c>
      <c r="M68" s="65">
        <v>2.1</v>
      </c>
      <c r="N68" s="65">
        <v>2.5</v>
      </c>
      <c r="O68" s="65">
        <v>5.3</v>
      </c>
      <c r="P68" s="65">
        <v>12.8</v>
      </c>
      <c r="Q68" s="65">
        <v>14.3</v>
      </c>
      <c r="R68" s="65">
        <v>12.8</v>
      </c>
      <c r="S68" s="65">
        <v>8.4</v>
      </c>
      <c r="T68" s="65">
        <v>4</v>
      </c>
      <c r="U68" s="65">
        <v>3</v>
      </c>
      <c r="V68" s="65">
        <v>1</v>
      </c>
      <c r="W68" s="65">
        <v>0</v>
      </c>
      <c r="X68" s="65">
        <v>0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55">
        <v>25</v>
      </c>
      <c r="AH68" s="47">
        <f t="shared" si="2"/>
        <v>14.3</v>
      </c>
      <c r="AI68" s="48">
        <f t="shared" si="3"/>
        <v>0</v>
      </c>
      <c r="AK68" s="50"/>
    </row>
    <row r="69" spans="1:41" x14ac:dyDescent="0.25">
      <c r="A69" s="54" t="s">
        <v>69</v>
      </c>
      <c r="B69" s="65">
        <v>15</v>
      </c>
      <c r="C69" s="65">
        <v>15</v>
      </c>
      <c r="D69" s="65">
        <v>15</v>
      </c>
      <c r="E69" s="65">
        <v>15</v>
      </c>
      <c r="F69" s="65">
        <v>15</v>
      </c>
      <c r="G69" s="65">
        <v>15</v>
      </c>
      <c r="H69" s="65">
        <v>15</v>
      </c>
      <c r="I69" s="65">
        <v>15</v>
      </c>
      <c r="J69" s="65">
        <v>15</v>
      </c>
      <c r="K69" s="65">
        <v>15</v>
      </c>
      <c r="L69" s="65">
        <v>15</v>
      </c>
      <c r="M69" s="65">
        <v>15</v>
      </c>
      <c r="N69" s="65">
        <v>15</v>
      </c>
      <c r="O69" s="65">
        <v>15</v>
      </c>
      <c r="P69" s="65">
        <v>15</v>
      </c>
      <c r="Q69" s="65">
        <v>15</v>
      </c>
      <c r="R69" s="65">
        <v>15</v>
      </c>
      <c r="S69" s="65">
        <v>15</v>
      </c>
      <c r="T69" s="65">
        <v>15</v>
      </c>
      <c r="U69" s="65">
        <v>15</v>
      </c>
      <c r="V69" s="65">
        <v>15</v>
      </c>
      <c r="W69" s="65">
        <v>15</v>
      </c>
      <c r="X69" s="65">
        <v>15</v>
      </c>
      <c r="Y69" s="65">
        <v>15</v>
      </c>
      <c r="Z69" s="65">
        <v>15</v>
      </c>
      <c r="AA69" s="65">
        <v>15</v>
      </c>
      <c r="AB69" s="65">
        <v>15</v>
      </c>
      <c r="AC69" s="65">
        <v>15</v>
      </c>
      <c r="AD69" s="65">
        <v>15</v>
      </c>
      <c r="AE69" s="65">
        <v>15</v>
      </c>
      <c r="AF69" s="65">
        <v>15</v>
      </c>
      <c r="AG69" s="55">
        <v>24</v>
      </c>
      <c r="AH69" s="47">
        <f t="shared" si="2"/>
        <v>15</v>
      </c>
      <c r="AI69" s="48">
        <f t="shared" si="3"/>
        <v>15</v>
      </c>
      <c r="AK69" s="50"/>
    </row>
    <row r="70" spans="1:41" x14ac:dyDescent="0.25">
      <c r="A70" s="54" t="s">
        <v>70</v>
      </c>
      <c r="B70" s="65">
        <v>4.4000000000000004</v>
      </c>
      <c r="C70" s="65">
        <v>4.4000000000000004</v>
      </c>
      <c r="D70" s="65">
        <v>4.4000000000000004</v>
      </c>
      <c r="E70" s="65">
        <v>4.4000000000000004</v>
      </c>
      <c r="F70" s="65">
        <v>4.4000000000000004</v>
      </c>
      <c r="G70" s="65">
        <v>4.4000000000000004</v>
      </c>
      <c r="H70" s="65">
        <v>4.4000000000000004</v>
      </c>
      <c r="I70" s="65">
        <v>4.4000000000000004</v>
      </c>
      <c r="J70" s="65">
        <v>4.4000000000000004</v>
      </c>
      <c r="K70" s="65">
        <v>4.4000000000000004</v>
      </c>
      <c r="L70" s="65">
        <v>4.4000000000000004</v>
      </c>
      <c r="M70" s="65">
        <v>4.4000000000000004</v>
      </c>
      <c r="N70" s="65">
        <v>4.4000000000000004</v>
      </c>
      <c r="O70" s="65">
        <v>4.4000000000000004</v>
      </c>
      <c r="P70" s="65">
        <v>4.4000000000000004</v>
      </c>
      <c r="Q70" s="65">
        <v>4.4000000000000004</v>
      </c>
      <c r="R70" s="65">
        <v>4.4000000000000004</v>
      </c>
      <c r="S70" s="65">
        <v>4.4000000000000004</v>
      </c>
      <c r="T70" s="65">
        <v>4.4000000000000004</v>
      </c>
      <c r="U70" s="65">
        <v>4.4000000000000004</v>
      </c>
      <c r="V70" s="65">
        <v>3.6</v>
      </c>
      <c r="W70" s="65">
        <v>3.6</v>
      </c>
      <c r="X70" s="65">
        <v>3.6</v>
      </c>
      <c r="Y70" s="65">
        <v>3.6</v>
      </c>
      <c r="Z70" s="65">
        <v>3.6</v>
      </c>
      <c r="AA70" s="65">
        <v>3.6</v>
      </c>
      <c r="AB70" s="65">
        <v>3.6</v>
      </c>
      <c r="AC70" s="65">
        <v>3.6</v>
      </c>
      <c r="AD70" s="65">
        <v>3.6</v>
      </c>
      <c r="AE70" s="65">
        <v>3.6</v>
      </c>
      <c r="AF70" s="65">
        <v>3.6</v>
      </c>
      <c r="AG70" s="55">
        <v>15</v>
      </c>
      <c r="AH70" s="47">
        <f t="shared" si="2"/>
        <v>4.4000000000000004</v>
      </c>
      <c r="AI70" s="48">
        <f t="shared" si="3"/>
        <v>3.6</v>
      </c>
      <c r="AK70" s="50"/>
      <c r="AL70" s="70"/>
      <c r="AO70" s="70"/>
    </row>
    <row r="71" spans="1:41" s="70" customFormat="1" x14ac:dyDescent="0.25">
      <c r="A71" s="54" t="s">
        <v>71</v>
      </c>
      <c r="B71" s="65">
        <v>12</v>
      </c>
      <c r="C71" s="65">
        <v>12</v>
      </c>
      <c r="D71" s="65">
        <v>12</v>
      </c>
      <c r="E71" s="65">
        <v>12</v>
      </c>
      <c r="F71" s="65">
        <v>12</v>
      </c>
      <c r="G71" s="65">
        <v>12</v>
      </c>
      <c r="H71" s="65">
        <v>12</v>
      </c>
      <c r="I71" s="65">
        <v>12</v>
      </c>
      <c r="J71" s="65">
        <v>12</v>
      </c>
      <c r="K71" s="65">
        <v>12</v>
      </c>
      <c r="L71" s="65">
        <v>12</v>
      </c>
      <c r="M71" s="65">
        <v>11</v>
      </c>
      <c r="N71" s="65">
        <v>11</v>
      </c>
      <c r="O71" s="65">
        <v>10.5</v>
      </c>
      <c r="P71" s="65">
        <v>10.199999999999999</v>
      </c>
      <c r="Q71" s="65">
        <v>10.5</v>
      </c>
      <c r="R71" s="65">
        <v>10.5</v>
      </c>
      <c r="S71" s="65">
        <v>10.5</v>
      </c>
      <c r="T71" s="65">
        <v>10.5</v>
      </c>
      <c r="U71" s="65">
        <v>10.5</v>
      </c>
      <c r="V71" s="65">
        <v>10.5</v>
      </c>
      <c r="W71" s="65">
        <v>10.5</v>
      </c>
      <c r="X71" s="65">
        <v>10.5</v>
      </c>
      <c r="Y71" s="65">
        <v>10.5</v>
      </c>
      <c r="Z71" s="65">
        <v>10.5</v>
      </c>
      <c r="AA71" s="65">
        <v>10.5</v>
      </c>
      <c r="AB71" s="65">
        <v>10.5</v>
      </c>
      <c r="AC71" s="65">
        <v>10.5</v>
      </c>
      <c r="AD71" s="65">
        <v>10.5</v>
      </c>
      <c r="AE71" s="65">
        <v>10.5</v>
      </c>
      <c r="AF71" s="65">
        <v>10.3</v>
      </c>
      <c r="AG71" s="55">
        <v>14.1</v>
      </c>
      <c r="AH71" s="47">
        <f t="shared" si="2"/>
        <v>12</v>
      </c>
      <c r="AI71" s="48">
        <f t="shared" si="3"/>
        <v>10.199999999999999</v>
      </c>
      <c r="AJ71" s="1"/>
      <c r="AK71" s="50"/>
      <c r="AL71" s="1"/>
      <c r="AM71" s="1"/>
      <c r="AN71" s="1"/>
      <c r="AO71" s="1"/>
    </row>
    <row r="72" spans="1:41" x14ac:dyDescent="0.25">
      <c r="A72" s="71" t="s">
        <v>72</v>
      </c>
      <c r="B72" s="65">
        <v>4.9000000000000004</v>
      </c>
      <c r="C72" s="65">
        <v>4.9000000000000004</v>
      </c>
      <c r="D72" s="65">
        <v>4.9000000000000004</v>
      </c>
      <c r="E72" s="65">
        <v>4.9000000000000004</v>
      </c>
      <c r="F72" s="65">
        <v>4.9000000000000004</v>
      </c>
      <c r="G72" s="65">
        <v>4.9000000000000004</v>
      </c>
      <c r="H72" s="65">
        <v>4.9000000000000004</v>
      </c>
      <c r="I72" s="65">
        <v>4.9000000000000004</v>
      </c>
      <c r="J72" s="65">
        <v>4.9000000000000004</v>
      </c>
      <c r="K72" s="65">
        <v>4.9000000000000004</v>
      </c>
      <c r="L72" s="65">
        <v>4.9000000000000004</v>
      </c>
      <c r="M72" s="65">
        <v>4.9000000000000004</v>
      </c>
      <c r="N72" s="65">
        <v>4.9000000000000004</v>
      </c>
      <c r="O72" s="65">
        <v>4.9000000000000004</v>
      </c>
      <c r="P72" s="65">
        <v>5</v>
      </c>
      <c r="Q72" s="65">
        <v>4.5999999999999996</v>
      </c>
      <c r="R72" s="65">
        <v>4.5999999999999996</v>
      </c>
      <c r="S72" s="65">
        <v>3.4</v>
      </c>
      <c r="T72" s="65">
        <v>3.4</v>
      </c>
      <c r="U72" s="65">
        <v>3.4</v>
      </c>
      <c r="V72" s="65">
        <v>3.4</v>
      </c>
      <c r="W72" s="65">
        <v>3.4</v>
      </c>
      <c r="X72" s="65">
        <v>3.4</v>
      </c>
      <c r="Y72" s="65">
        <v>3.4</v>
      </c>
      <c r="Z72" s="65">
        <v>3.4</v>
      </c>
      <c r="AA72" s="65">
        <v>3.4</v>
      </c>
      <c r="AB72" s="65">
        <v>3.4</v>
      </c>
      <c r="AC72" s="65">
        <v>3.4</v>
      </c>
      <c r="AD72" s="65">
        <v>3.4</v>
      </c>
      <c r="AE72" s="65">
        <v>3.4</v>
      </c>
      <c r="AF72" s="65">
        <v>3.3</v>
      </c>
      <c r="AG72" s="55">
        <v>14</v>
      </c>
      <c r="AH72" s="47">
        <f t="shared" si="2"/>
        <v>5</v>
      </c>
      <c r="AI72" s="48">
        <f t="shared" si="3"/>
        <v>3.3</v>
      </c>
      <c r="AK72" s="50"/>
    </row>
    <row r="73" spans="1:41" x14ac:dyDescent="0.25">
      <c r="A73" s="54" t="s">
        <v>73</v>
      </c>
      <c r="B73" s="65">
        <v>4.5</v>
      </c>
      <c r="C73" s="65">
        <v>4.5</v>
      </c>
      <c r="D73" s="65">
        <v>4.5</v>
      </c>
      <c r="E73" s="65">
        <v>4.5</v>
      </c>
      <c r="F73" s="65">
        <v>4.5</v>
      </c>
      <c r="G73" s="65">
        <v>4.5</v>
      </c>
      <c r="H73" s="65">
        <v>4.5</v>
      </c>
      <c r="I73" s="65">
        <v>4.5</v>
      </c>
      <c r="J73" s="65">
        <v>4.5</v>
      </c>
      <c r="K73" s="65">
        <v>4.5</v>
      </c>
      <c r="L73" s="65">
        <v>4.5</v>
      </c>
      <c r="M73" s="65">
        <v>5</v>
      </c>
      <c r="N73" s="65">
        <v>5</v>
      </c>
      <c r="O73" s="65">
        <v>5</v>
      </c>
      <c r="P73" s="65">
        <v>5</v>
      </c>
      <c r="Q73" s="65">
        <v>5</v>
      </c>
      <c r="R73" s="65">
        <v>5</v>
      </c>
      <c r="S73" s="65">
        <v>5</v>
      </c>
      <c r="T73" s="65">
        <v>5</v>
      </c>
      <c r="U73" s="65">
        <v>5</v>
      </c>
      <c r="V73" s="65">
        <v>5</v>
      </c>
      <c r="W73" s="65">
        <v>5</v>
      </c>
      <c r="X73" s="65">
        <v>5</v>
      </c>
      <c r="Y73" s="65">
        <v>5</v>
      </c>
      <c r="Z73" s="65">
        <v>5</v>
      </c>
      <c r="AA73" s="65">
        <v>5</v>
      </c>
      <c r="AB73" s="65">
        <v>5</v>
      </c>
      <c r="AC73" s="65">
        <v>5</v>
      </c>
      <c r="AD73" s="65">
        <v>5</v>
      </c>
      <c r="AE73" s="65">
        <v>5</v>
      </c>
      <c r="AF73" s="65">
        <v>5</v>
      </c>
      <c r="AG73" s="55">
        <v>10.050000000000001</v>
      </c>
      <c r="AH73" s="47">
        <f t="shared" si="2"/>
        <v>5</v>
      </c>
      <c r="AI73" s="48">
        <f t="shared" si="3"/>
        <v>4.5</v>
      </c>
      <c r="AK73" s="50"/>
    </row>
    <row r="74" spans="1:41" x14ac:dyDescent="0.25">
      <c r="A74" s="54" t="s">
        <v>74</v>
      </c>
      <c r="B74" s="65">
        <v>2</v>
      </c>
      <c r="C74" s="65">
        <v>2</v>
      </c>
      <c r="D74" s="65">
        <v>2</v>
      </c>
      <c r="E74" s="65">
        <v>2</v>
      </c>
      <c r="F74" s="65">
        <v>2</v>
      </c>
      <c r="G74" s="65">
        <v>2</v>
      </c>
      <c r="H74" s="65">
        <v>2</v>
      </c>
      <c r="I74" s="65">
        <v>2</v>
      </c>
      <c r="J74" s="65">
        <v>2</v>
      </c>
      <c r="K74" s="65">
        <v>2</v>
      </c>
      <c r="L74" s="65">
        <v>2</v>
      </c>
      <c r="M74" s="65">
        <v>2</v>
      </c>
      <c r="N74" s="65">
        <v>2</v>
      </c>
      <c r="O74" s="65">
        <v>2</v>
      </c>
      <c r="P74" s="65">
        <v>2</v>
      </c>
      <c r="Q74" s="65">
        <v>2</v>
      </c>
      <c r="R74" s="65">
        <v>2</v>
      </c>
      <c r="S74" s="65">
        <v>2</v>
      </c>
      <c r="T74" s="65">
        <v>2</v>
      </c>
      <c r="U74" s="65">
        <v>2</v>
      </c>
      <c r="V74" s="65">
        <v>2</v>
      </c>
      <c r="W74" s="65">
        <v>2</v>
      </c>
      <c r="X74" s="65">
        <v>2</v>
      </c>
      <c r="Y74" s="65">
        <v>2</v>
      </c>
      <c r="Z74" s="65">
        <v>2</v>
      </c>
      <c r="AA74" s="65">
        <v>2</v>
      </c>
      <c r="AB74" s="65">
        <v>2</v>
      </c>
      <c r="AC74" s="65">
        <v>2</v>
      </c>
      <c r="AD74" s="65">
        <v>2</v>
      </c>
      <c r="AE74" s="65">
        <v>2</v>
      </c>
      <c r="AF74" s="65">
        <v>2</v>
      </c>
      <c r="AG74" s="55">
        <v>6.2</v>
      </c>
      <c r="AH74" s="47">
        <f t="shared" si="2"/>
        <v>2</v>
      </c>
      <c r="AI74" s="48">
        <f t="shared" si="3"/>
        <v>2</v>
      </c>
      <c r="AK74" s="50"/>
    </row>
    <row r="75" spans="1:41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</v>
      </c>
      <c r="Z75" s="72">
        <v>5.5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2"/>
        <v>5.5</v>
      </c>
      <c r="AI75" s="48">
        <f t="shared" si="3"/>
        <v>3.5</v>
      </c>
      <c r="AK75" s="50"/>
    </row>
    <row r="76" spans="1:41" ht="15.75" thickBot="1" x14ac:dyDescent="0.3">
      <c r="A76" s="74" t="s">
        <v>76</v>
      </c>
      <c r="B76" s="60">
        <f t="shared" ref="B76:D76" si="19">SUM(B63:B75)</f>
        <v>92.740000000000009</v>
      </c>
      <c r="C76" s="60">
        <f t="shared" si="19"/>
        <v>92.740000000000009</v>
      </c>
      <c r="D76" s="60">
        <f t="shared" si="19"/>
        <v>92.740000000000009</v>
      </c>
      <c r="E76" s="60">
        <f t="shared" ref="E76:F76" si="20">SUM(E63:E75)</f>
        <v>109.44000000000001</v>
      </c>
      <c r="F76" s="60">
        <f t="shared" si="20"/>
        <v>92.740000000000009</v>
      </c>
      <c r="G76" s="60">
        <f t="shared" ref="G76:H76" si="21">SUM(G63:G75)</f>
        <v>165.04</v>
      </c>
      <c r="H76" s="60">
        <f t="shared" si="21"/>
        <v>231.24</v>
      </c>
      <c r="I76" s="60">
        <f t="shared" ref="I76:J76" si="22">SUM(I63:I75)</f>
        <v>299.94</v>
      </c>
      <c r="J76" s="60">
        <f t="shared" si="22"/>
        <v>384.53999999999996</v>
      </c>
      <c r="K76" s="60">
        <f t="shared" ref="K76:L76" si="23">SUM(K63:K75)</f>
        <v>401.64</v>
      </c>
      <c r="L76" s="60">
        <f t="shared" si="23"/>
        <v>384.53999999999996</v>
      </c>
      <c r="M76" s="60">
        <f t="shared" ref="M76:AG76" si="24">SUM(M63:M75)</f>
        <v>387.84000000000003</v>
      </c>
      <c r="N76" s="60">
        <f t="shared" si="24"/>
        <v>218.44</v>
      </c>
      <c r="O76" s="60">
        <f t="shared" si="24"/>
        <v>193.94000000000003</v>
      </c>
      <c r="P76" s="60">
        <f t="shared" si="24"/>
        <v>200.74</v>
      </c>
      <c r="Q76" s="60">
        <f t="shared" si="24"/>
        <v>221.34</v>
      </c>
      <c r="R76" s="60">
        <f t="shared" si="24"/>
        <v>203.94</v>
      </c>
      <c r="S76" s="60">
        <f t="shared" si="24"/>
        <v>215.64</v>
      </c>
      <c r="T76" s="60">
        <f t="shared" si="24"/>
        <v>206.23999999999998</v>
      </c>
      <c r="U76" s="60">
        <f t="shared" si="24"/>
        <v>205.23999999999998</v>
      </c>
      <c r="V76" s="60">
        <f t="shared" si="24"/>
        <v>275.14000000000004</v>
      </c>
      <c r="W76" s="60">
        <f t="shared" si="24"/>
        <v>296.24</v>
      </c>
      <c r="X76" s="60">
        <f t="shared" si="24"/>
        <v>349.84000000000003</v>
      </c>
      <c r="Y76" s="60">
        <f>SUM(Y63:Y75)</f>
        <v>367.1</v>
      </c>
      <c r="Z76" s="60">
        <f>SUM(Z63:Z75)</f>
        <v>383.1</v>
      </c>
      <c r="AA76" s="60">
        <f t="shared" si="24"/>
        <v>377.14000000000004</v>
      </c>
      <c r="AB76" s="60">
        <f t="shared" si="24"/>
        <v>329.24</v>
      </c>
      <c r="AC76" s="60">
        <f t="shared" si="24"/>
        <v>301.94</v>
      </c>
      <c r="AD76" s="60">
        <f t="shared" si="24"/>
        <v>254.34</v>
      </c>
      <c r="AE76" s="60">
        <f t="shared" si="24"/>
        <v>128.74</v>
      </c>
      <c r="AF76" s="60">
        <f t="shared" ref="AF76" si="25">SUM(AF63:AF75)</f>
        <v>87.84</v>
      </c>
      <c r="AG76" s="61">
        <f t="shared" si="24"/>
        <v>489.91</v>
      </c>
      <c r="AH76" s="47">
        <f t="shared" si="2"/>
        <v>401.64</v>
      </c>
      <c r="AI76" s="48">
        <f t="shared" si="3"/>
        <v>87.84</v>
      </c>
      <c r="AK76" s="50"/>
    </row>
    <row r="77" spans="1:41" x14ac:dyDescent="0.25">
      <c r="A77" s="44" t="s">
        <v>77</v>
      </c>
      <c r="B77" s="45">
        <v>0</v>
      </c>
      <c r="C77" s="45">
        <v>0</v>
      </c>
      <c r="D77" s="4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10</v>
      </c>
      <c r="L77" s="45">
        <v>43.3</v>
      </c>
      <c r="M77" s="45">
        <v>60</v>
      </c>
      <c r="N77" s="45">
        <v>60</v>
      </c>
      <c r="O77" s="45">
        <v>29.5</v>
      </c>
      <c r="P77" s="45">
        <v>20.2</v>
      </c>
      <c r="Q77" s="45">
        <v>19.600000000000001</v>
      </c>
      <c r="R77" s="45">
        <v>0</v>
      </c>
      <c r="S77" s="45">
        <v>44.7</v>
      </c>
      <c r="T77" s="45">
        <v>54.9</v>
      </c>
      <c r="U77" s="45">
        <v>54.9</v>
      </c>
      <c r="V77" s="45">
        <v>49.1</v>
      </c>
      <c r="W77" s="45">
        <v>55.2</v>
      </c>
      <c r="X77" s="45">
        <v>55.2</v>
      </c>
      <c r="Y77" s="45">
        <v>55.2</v>
      </c>
      <c r="Z77" s="45">
        <v>55.2</v>
      </c>
      <c r="AA77" s="45">
        <v>55.2</v>
      </c>
      <c r="AB77" s="45">
        <v>54.4</v>
      </c>
      <c r="AC77" s="45">
        <v>54.4</v>
      </c>
      <c r="AD77" s="45">
        <v>55.5</v>
      </c>
      <c r="AE77" s="45">
        <v>10</v>
      </c>
      <c r="AF77" s="45">
        <v>0</v>
      </c>
      <c r="AG77" s="52">
        <v>60</v>
      </c>
      <c r="AH77" s="47">
        <f t="shared" si="2"/>
        <v>60</v>
      </c>
      <c r="AI77" s="48">
        <f t="shared" si="3"/>
        <v>0</v>
      </c>
      <c r="AK77" s="50"/>
    </row>
    <row r="78" spans="1:41" x14ac:dyDescent="0.25">
      <c r="A78" s="54" t="s">
        <v>78</v>
      </c>
      <c r="B78" s="65">
        <v>0</v>
      </c>
      <c r="C78" s="65">
        <v>0</v>
      </c>
      <c r="D78" s="65">
        <v>0</v>
      </c>
      <c r="E78" s="65">
        <v>0</v>
      </c>
      <c r="F78" s="65">
        <v>0</v>
      </c>
      <c r="G78" s="65">
        <v>0</v>
      </c>
      <c r="H78" s="65">
        <v>0</v>
      </c>
      <c r="I78" s="65">
        <v>0</v>
      </c>
      <c r="J78" s="65">
        <v>0</v>
      </c>
      <c r="K78" s="65">
        <v>4.2</v>
      </c>
      <c r="L78" s="65">
        <v>12.7</v>
      </c>
      <c r="M78" s="65">
        <v>27.7</v>
      </c>
      <c r="N78" s="65">
        <v>27.7</v>
      </c>
      <c r="O78" s="65">
        <v>12.2</v>
      </c>
      <c r="P78" s="65">
        <v>5.9</v>
      </c>
      <c r="Q78" s="65">
        <v>10</v>
      </c>
      <c r="R78" s="65">
        <v>0</v>
      </c>
      <c r="S78" s="65">
        <v>16.600000000000001</v>
      </c>
      <c r="T78" s="65">
        <v>25.6</v>
      </c>
      <c r="U78" s="65">
        <v>25.6</v>
      </c>
      <c r="V78" s="65">
        <v>28</v>
      </c>
      <c r="W78" s="65">
        <v>22.5</v>
      </c>
      <c r="X78" s="65">
        <v>22.5</v>
      </c>
      <c r="Y78" s="65">
        <v>22.5</v>
      </c>
      <c r="Z78" s="65">
        <v>22.5</v>
      </c>
      <c r="AA78" s="65">
        <v>22.5</v>
      </c>
      <c r="AB78" s="65">
        <v>24.3</v>
      </c>
      <c r="AC78" s="65">
        <v>24.7</v>
      </c>
      <c r="AD78" s="65">
        <v>24.3</v>
      </c>
      <c r="AE78" s="65">
        <v>12.5</v>
      </c>
      <c r="AF78" s="65">
        <v>0</v>
      </c>
      <c r="AG78" s="55">
        <v>32</v>
      </c>
      <c r="AH78" s="47">
        <f t="shared" si="2"/>
        <v>28</v>
      </c>
      <c r="AI78" s="48">
        <f t="shared" si="3"/>
        <v>0</v>
      </c>
      <c r="AK78" s="50"/>
    </row>
    <row r="79" spans="1:41" ht="15.75" thickBot="1" x14ac:dyDescent="0.3">
      <c r="A79" s="71" t="s">
        <v>79</v>
      </c>
      <c r="B79" s="67">
        <v>0</v>
      </c>
      <c r="C79" s="67">
        <v>0</v>
      </c>
      <c r="D79" s="67">
        <v>0</v>
      </c>
      <c r="E79" s="67">
        <v>0</v>
      </c>
      <c r="F79" s="67">
        <v>0</v>
      </c>
      <c r="G79" s="67">
        <v>0</v>
      </c>
      <c r="H79" s="67">
        <v>0</v>
      </c>
      <c r="I79" s="67">
        <v>0</v>
      </c>
      <c r="J79" s="67">
        <v>0</v>
      </c>
      <c r="K79" s="67">
        <v>1.6</v>
      </c>
      <c r="L79" s="67">
        <v>4.5999999999999996</v>
      </c>
      <c r="M79" s="67">
        <v>10.1</v>
      </c>
      <c r="N79" s="67">
        <v>10.1</v>
      </c>
      <c r="O79" s="67">
        <v>4.4000000000000004</v>
      </c>
      <c r="P79" s="67">
        <v>2.1</v>
      </c>
      <c r="Q79" s="67">
        <v>3.7</v>
      </c>
      <c r="R79" s="67">
        <v>0</v>
      </c>
      <c r="S79" s="67">
        <v>6.1</v>
      </c>
      <c r="T79" s="67">
        <v>9.4</v>
      </c>
      <c r="U79" s="67">
        <v>9.4</v>
      </c>
      <c r="V79" s="67">
        <v>10.1</v>
      </c>
      <c r="W79" s="67">
        <v>8.1999999999999993</v>
      </c>
      <c r="X79" s="67">
        <v>8.1999999999999993</v>
      </c>
      <c r="Y79" s="67">
        <v>8.1999999999999993</v>
      </c>
      <c r="Z79" s="67">
        <v>8.1999999999999993</v>
      </c>
      <c r="AA79" s="67">
        <v>8.1999999999999993</v>
      </c>
      <c r="AB79" s="67">
        <v>8.9</v>
      </c>
      <c r="AC79" s="67">
        <v>9</v>
      </c>
      <c r="AD79" s="67">
        <v>8.9</v>
      </c>
      <c r="AE79" s="67">
        <v>4.5999999999999996</v>
      </c>
      <c r="AF79" s="67">
        <v>0</v>
      </c>
      <c r="AG79" s="68">
        <v>14</v>
      </c>
      <c r="AH79" s="47">
        <f t="shared" si="2"/>
        <v>10.1</v>
      </c>
      <c r="AI79" s="48">
        <f t="shared" si="3"/>
        <v>0</v>
      </c>
      <c r="AK79" s="50"/>
    </row>
    <row r="80" spans="1:41" ht="15.75" thickBot="1" x14ac:dyDescent="0.3">
      <c r="A80" s="74" t="s">
        <v>80</v>
      </c>
      <c r="B80" s="60">
        <f t="shared" ref="B80:D80" si="26">B77+B78+B79</f>
        <v>0</v>
      </c>
      <c r="C80" s="60">
        <f t="shared" si="26"/>
        <v>0</v>
      </c>
      <c r="D80" s="60">
        <f t="shared" si="26"/>
        <v>0</v>
      </c>
      <c r="E80" s="60">
        <f t="shared" ref="E80:F80" si="27">E77+E78+E79</f>
        <v>0</v>
      </c>
      <c r="F80" s="60">
        <f t="shared" si="27"/>
        <v>0</v>
      </c>
      <c r="G80" s="60">
        <f t="shared" ref="G80:H80" si="28">G77+G78+G79</f>
        <v>0</v>
      </c>
      <c r="H80" s="60">
        <f t="shared" si="28"/>
        <v>0</v>
      </c>
      <c r="I80" s="60">
        <f t="shared" ref="I80:J80" si="29">I77+I78+I79</f>
        <v>0</v>
      </c>
      <c r="J80" s="60">
        <f t="shared" si="29"/>
        <v>0</v>
      </c>
      <c r="K80" s="60">
        <f t="shared" ref="K80:L80" si="30">K77+K78+K79</f>
        <v>15.799999999999999</v>
      </c>
      <c r="L80" s="60">
        <f t="shared" si="30"/>
        <v>60.6</v>
      </c>
      <c r="M80" s="60">
        <f t="shared" ref="M80:AE80" si="31">M77+M78+M79</f>
        <v>97.8</v>
      </c>
      <c r="N80" s="60">
        <f t="shared" si="31"/>
        <v>97.8</v>
      </c>
      <c r="O80" s="60">
        <f t="shared" si="31"/>
        <v>46.1</v>
      </c>
      <c r="P80" s="60">
        <f t="shared" si="31"/>
        <v>28.200000000000003</v>
      </c>
      <c r="Q80" s="60">
        <f t="shared" si="31"/>
        <v>33.300000000000004</v>
      </c>
      <c r="R80" s="60">
        <f t="shared" si="31"/>
        <v>0</v>
      </c>
      <c r="S80" s="60">
        <f t="shared" si="31"/>
        <v>67.400000000000006</v>
      </c>
      <c r="T80" s="60">
        <f t="shared" si="31"/>
        <v>89.9</v>
      </c>
      <c r="U80" s="60">
        <f t="shared" si="31"/>
        <v>89.9</v>
      </c>
      <c r="V80" s="60">
        <f t="shared" si="31"/>
        <v>87.199999999999989</v>
      </c>
      <c r="W80" s="60">
        <f t="shared" si="31"/>
        <v>85.9</v>
      </c>
      <c r="X80" s="60">
        <f t="shared" si="31"/>
        <v>85.9</v>
      </c>
      <c r="Y80" s="60">
        <f>Y77+Y78+Y79</f>
        <v>85.9</v>
      </c>
      <c r="Z80" s="60">
        <f>Z77+Z78+Z79</f>
        <v>85.9</v>
      </c>
      <c r="AA80" s="60">
        <f t="shared" si="31"/>
        <v>85.9</v>
      </c>
      <c r="AB80" s="60">
        <f t="shared" si="31"/>
        <v>87.600000000000009</v>
      </c>
      <c r="AC80" s="60">
        <f t="shared" si="31"/>
        <v>88.1</v>
      </c>
      <c r="AD80" s="60">
        <f t="shared" si="31"/>
        <v>88.7</v>
      </c>
      <c r="AE80" s="60">
        <f t="shared" si="31"/>
        <v>27.1</v>
      </c>
      <c r="AF80" s="60">
        <f t="shared" ref="AF80" si="32">AF77+AF78+AF79</f>
        <v>0</v>
      </c>
      <c r="AG80" s="61">
        <f>SUM(AG77:AG79)</f>
        <v>106</v>
      </c>
      <c r="AH80" s="47">
        <f t="shared" si="2"/>
        <v>97.8</v>
      </c>
      <c r="AI80" s="48">
        <f t="shared" si="3"/>
        <v>0</v>
      </c>
      <c r="AK80" s="50"/>
    </row>
    <row r="81" spans="1:40" x14ac:dyDescent="0.25">
      <c r="A81" s="44" t="s">
        <v>81</v>
      </c>
      <c r="B81" s="45">
        <v>65.599999999999994</v>
      </c>
      <c r="C81" s="45">
        <v>59.8</v>
      </c>
      <c r="D81" s="45">
        <v>65.599999999999994</v>
      </c>
      <c r="E81" s="45">
        <v>65.5</v>
      </c>
      <c r="F81" s="45">
        <v>66.5</v>
      </c>
      <c r="G81" s="45">
        <v>70.400000000000006</v>
      </c>
      <c r="H81" s="45">
        <v>61.2</v>
      </c>
      <c r="I81" s="45">
        <v>61.4</v>
      </c>
      <c r="J81" s="45">
        <v>68.739999999999995</v>
      </c>
      <c r="K81" s="45">
        <v>57.3</v>
      </c>
      <c r="L81" s="45">
        <v>61</v>
      </c>
      <c r="M81" s="45">
        <v>63.1</v>
      </c>
      <c r="N81" s="45">
        <v>63.9</v>
      </c>
      <c r="O81" s="45">
        <v>63</v>
      </c>
      <c r="P81" s="45">
        <v>48.3</v>
      </c>
      <c r="Q81" s="45">
        <v>56.7</v>
      </c>
      <c r="R81" s="45">
        <v>73.599999999999994</v>
      </c>
      <c r="S81" s="45">
        <v>73</v>
      </c>
      <c r="T81" s="45">
        <v>65</v>
      </c>
      <c r="U81" s="45">
        <v>68</v>
      </c>
      <c r="V81" s="45">
        <v>67</v>
      </c>
      <c r="W81" s="45">
        <v>69.5</v>
      </c>
      <c r="X81" s="45">
        <v>58.4</v>
      </c>
      <c r="Y81" s="45">
        <v>72</v>
      </c>
      <c r="Z81" s="45">
        <v>68</v>
      </c>
      <c r="AA81" s="45">
        <v>68.400000000000006</v>
      </c>
      <c r="AB81" s="45">
        <v>58.8</v>
      </c>
      <c r="AC81" s="45">
        <v>55.2</v>
      </c>
      <c r="AD81" s="45">
        <v>52.6</v>
      </c>
      <c r="AE81" s="45">
        <v>60.7</v>
      </c>
      <c r="AF81" s="45">
        <v>55.8</v>
      </c>
      <c r="AG81" s="52"/>
      <c r="AH81" s="47">
        <f t="shared" si="2"/>
        <v>73.599999999999994</v>
      </c>
      <c r="AI81" s="48">
        <f t="shared" si="3"/>
        <v>48.3</v>
      </c>
      <c r="AK81" s="50"/>
    </row>
    <row r="82" spans="1:40" x14ac:dyDescent="0.25">
      <c r="A82" s="54" t="s">
        <v>82</v>
      </c>
      <c r="B82" s="65">
        <v>0</v>
      </c>
      <c r="C82" s="65">
        <v>0</v>
      </c>
      <c r="D82" s="65">
        <v>0</v>
      </c>
      <c r="E82" s="65">
        <v>0</v>
      </c>
      <c r="F82" s="65">
        <v>0</v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  <c r="O82" s="65">
        <v>0</v>
      </c>
      <c r="P82" s="65">
        <v>0</v>
      </c>
      <c r="Q82" s="65">
        <v>0</v>
      </c>
      <c r="R82" s="65">
        <v>0</v>
      </c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55"/>
      <c r="AH82" s="47">
        <f t="shared" si="2"/>
        <v>0</v>
      </c>
      <c r="AI82" s="48">
        <f t="shared" si="3"/>
        <v>0</v>
      </c>
      <c r="AK82" s="50"/>
    </row>
    <row r="83" spans="1:40" x14ac:dyDescent="0.25">
      <c r="A83" s="54" t="s">
        <v>83</v>
      </c>
      <c r="B83" s="65">
        <v>411</v>
      </c>
      <c r="C83" s="65">
        <v>389.2</v>
      </c>
      <c r="D83" s="65">
        <v>411</v>
      </c>
      <c r="E83" s="65">
        <v>374.5</v>
      </c>
      <c r="F83" s="65">
        <v>409.5</v>
      </c>
      <c r="G83" s="65">
        <v>409.5</v>
      </c>
      <c r="H83" s="65">
        <v>432.5</v>
      </c>
      <c r="I83" s="65">
        <v>459.7</v>
      </c>
      <c r="J83" s="65">
        <v>443.5</v>
      </c>
      <c r="K83" s="65"/>
      <c r="L83" s="65">
        <v>96.5</v>
      </c>
      <c r="M83" s="65">
        <v>35</v>
      </c>
      <c r="N83" s="65">
        <v>117.8</v>
      </c>
      <c r="O83" s="65">
        <v>137.4</v>
      </c>
      <c r="P83" s="65">
        <v>334</v>
      </c>
      <c r="Q83" s="65">
        <v>374</v>
      </c>
      <c r="R83" s="65">
        <v>476</v>
      </c>
      <c r="S83" s="65">
        <v>464.3</v>
      </c>
      <c r="T83" s="65">
        <v>469</v>
      </c>
      <c r="U83" s="65">
        <v>501</v>
      </c>
      <c r="V83" s="65">
        <v>287</v>
      </c>
      <c r="W83" s="65">
        <v>276</v>
      </c>
      <c r="X83" s="65">
        <v>225.4</v>
      </c>
      <c r="Y83" s="65">
        <v>217</v>
      </c>
      <c r="Z83" s="65">
        <v>209</v>
      </c>
      <c r="AA83" s="65">
        <v>349</v>
      </c>
      <c r="AB83" s="65">
        <v>337.8</v>
      </c>
      <c r="AC83" s="65">
        <v>311.60000000000002</v>
      </c>
      <c r="AD83" s="65">
        <v>305.60000000000002</v>
      </c>
      <c r="AE83" s="65">
        <v>440.6</v>
      </c>
      <c r="AF83" s="65">
        <v>398</v>
      </c>
      <c r="AG83" s="75"/>
      <c r="AH83" s="47">
        <f t="shared" si="2"/>
        <v>501</v>
      </c>
      <c r="AI83" s="48">
        <f t="shared" si="3"/>
        <v>35</v>
      </c>
      <c r="AK83" s="50"/>
    </row>
    <row r="84" spans="1:40" x14ac:dyDescent="0.25">
      <c r="A84" s="54" t="s">
        <v>84</v>
      </c>
      <c r="B84" s="76">
        <v>0</v>
      </c>
      <c r="C84" s="76">
        <v>0</v>
      </c>
      <c r="D84" s="76">
        <v>0</v>
      </c>
      <c r="E84" s="76">
        <v>13.7</v>
      </c>
      <c r="F84" s="76">
        <v>13.8</v>
      </c>
      <c r="G84" s="76">
        <v>13.8</v>
      </c>
      <c r="H84" s="76">
        <v>14.4</v>
      </c>
      <c r="I84" s="76">
        <v>13.4</v>
      </c>
      <c r="J84" s="76">
        <v>14.2</v>
      </c>
      <c r="K84" s="76">
        <v>14.2</v>
      </c>
      <c r="L84" s="76">
        <v>15.2</v>
      </c>
      <c r="M84" s="76">
        <v>25</v>
      </c>
      <c r="N84" s="76">
        <v>26</v>
      </c>
      <c r="O84" s="76">
        <v>36</v>
      </c>
      <c r="P84" s="76">
        <v>40</v>
      </c>
      <c r="Q84" s="76">
        <v>50</v>
      </c>
      <c r="R84" s="76">
        <v>51</v>
      </c>
      <c r="S84" s="76">
        <v>8</v>
      </c>
      <c r="T84" s="76">
        <v>8</v>
      </c>
      <c r="U84" s="76">
        <v>8</v>
      </c>
      <c r="V84" s="76">
        <v>6.35</v>
      </c>
      <c r="W84" s="76">
        <v>6.4</v>
      </c>
      <c r="X84" s="76">
        <v>6.4</v>
      </c>
      <c r="Y84" s="76">
        <v>7</v>
      </c>
      <c r="Z84" s="76">
        <v>7</v>
      </c>
      <c r="AA84" s="76">
        <v>7</v>
      </c>
      <c r="AB84" s="76">
        <v>7</v>
      </c>
      <c r="AC84" s="76">
        <v>7</v>
      </c>
      <c r="AD84" s="65">
        <v>7</v>
      </c>
      <c r="AE84" s="76">
        <v>40.6</v>
      </c>
      <c r="AF84" s="76">
        <v>40.6</v>
      </c>
      <c r="AG84" s="75"/>
      <c r="AH84" s="47">
        <f t="shared" si="2"/>
        <v>51</v>
      </c>
      <c r="AI84" s="48">
        <f t="shared" si="3"/>
        <v>0</v>
      </c>
      <c r="AK84" s="50"/>
    </row>
    <row r="85" spans="1:40" x14ac:dyDescent="0.25">
      <c r="A85" s="54" t="s">
        <v>85</v>
      </c>
      <c r="B85" s="45">
        <v>130</v>
      </c>
      <c r="C85" s="45">
        <v>25</v>
      </c>
      <c r="D85" s="45">
        <v>40.799999999999997</v>
      </c>
      <c r="E85" s="45">
        <v>41.2</v>
      </c>
      <c r="F85" s="45">
        <v>40.799999999999997</v>
      </c>
      <c r="G85" s="45">
        <v>40.799999999999997</v>
      </c>
      <c r="H85" s="45">
        <v>40.799999999999997</v>
      </c>
      <c r="I85" s="45">
        <v>40.799999999999997</v>
      </c>
      <c r="J85" s="45">
        <v>24.8</v>
      </c>
      <c r="K85" s="45">
        <v>24.8</v>
      </c>
      <c r="L85" s="45"/>
      <c r="M85" s="45">
        <v>12</v>
      </c>
      <c r="N85" s="45">
        <v>42</v>
      </c>
      <c r="O85" s="45">
        <v>44</v>
      </c>
      <c r="P85" s="45">
        <v>65</v>
      </c>
      <c r="Q85" s="45">
        <v>100</v>
      </c>
      <c r="R85" s="45">
        <v>110</v>
      </c>
      <c r="S85" s="45">
        <v>100</v>
      </c>
      <c r="T85" s="45">
        <v>100</v>
      </c>
      <c r="U85" s="45">
        <v>100</v>
      </c>
      <c r="V85" s="45">
        <v>100</v>
      </c>
      <c r="W85" s="45">
        <v>100</v>
      </c>
      <c r="X85" s="45">
        <v>37</v>
      </c>
      <c r="Y85" s="45">
        <v>40</v>
      </c>
      <c r="Z85" s="45">
        <v>40</v>
      </c>
      <c r="AA85" s="45">
        <v>40</v>
      </c>
      <c r="AB85" s="45">
        <v>42</v>
      </c>
      <c r="AC85" s="45">
        <v>42</v>
      </c>
      <c r="AD85" s="45">
        <v>41</v>
      </c>
      <c r="AE85" s="45">
        <f>59.8*2</f>
        <v>119.6</v>
      </c>
      <c r="AF85" s="45">
        <v>122</v>
      </c>
      <c r="AG85" s="75"/>
      <c r="AH85" s="47">
        <f t="shared" ref="AH85:AH130" si="33">MAX(B85:AF85)</f>
        <v>130</v>
      </c>
      <c r="AI85" s="48">
        <f t="shared" ref="AI85:AI130" si="34">MIN(B85:AF85)</f>
        <v>12</v>
      </c>
      <c r="AK85" s="50"/>
    </row>
    <row r="86" spans="1:40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5"/>
      <c r="AH86" s="47">
        <f t="shared" si="33"/>
        <v>0</v>
      </c>
      <c r="AI86" s="48">
        <f t="shared" si="34"/>
        <v>0</v>
      </c>
      <c r="AK86" s="50"/>
    </row>
    <row r="87" spans="1:40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>
        <v>0</v>
      </c>
      <c r="N87" s="77">
        <v>0</v>
      </c>
      <c r="O87" s="77">
        <v>0</v>
      </c>
      <c r="P87" s="77">
        <v>0</v>
      </c>
      <c r="Q87" s="77">
        <v>0</v>
      </c>
      <c r="R87" s="77">
        <v>0</v>
      </c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5"/>
      <c r="AH87" s="47">
        <f t="shared" si="33"/>
        <v>0</v>
      </c>
      <c r="AI87" s="48">
        <f t="shared" si="34"/>
        <v>0</v>
      </c>
      <c r="AK87" s="50"/>
      <c r="AL87" s="78" t="s">
        <v>88</v>
      </c>
      <c r="AM87" s="78"/>
    </row>
    <row r="88" spans="1:40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>
        <v>0</v>
      </c>
      <c r="N88" s="77">
        <v>0</v>
      </c>
      <c r="O88" s="77">
        <v>0</v>
      </c>
      <c r="P88" s="77">
        <v>0</v>
      </c>
      <c r="Q88" s="77">
        <v>0</v>
      </c>
      <c r="R88" s="77">
        <v>0</v>
      </c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5"/>
      <c r="AH88" s="47">
        <f t="shared" si="33"/>
        <v>0</v>
      </c>
      <c r="AI88" s="48">
        <f t="shared" si="34"/>
        <v>0</v>
      </c>
      <c r="AK88" s="79"/>
      <c r="AL88" s="80"/>
      <c r="AM88" s="80"/>
      <c r="AN88" s="81"/>
    </row>
    <row r="89" spans="1:40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>
        <v>0</v>
      </c>
      <c r="N89" s="77">
        <v>0</v>
      </c>
      <c r="O89" s="77">
        <v>0</v>
      </c>
      <c r="P89" s="77">
        <v>0</v>
      </c>
      <c r="Q89" s="77">
        <v>0</v>
      </c>
      <c r="R89" s="77">
        <v>0</v>
      </c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5"/>
      <c r="AH89" s="47">
        <f t="shared" si="33"/>
        <v>0</v>
      </c>
      <c r="AI89" s="48">
        <f t="shared" si="34"/>
        <v>0</v>
      </c>
      <c r="AK89" s="82" t="s">
        <v>91</v>
      </c>
      <c r="AL89" s="65"/>
      <c r="AM89" s="76"/>
      <c r="AN89" s="83"/>
    </row>
    <row r="90" spans="1:40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>
        <v>0</v>
      </c>
      <c r="N90" s="77">
        <v>0</v>
      </c>
      <c r="O90" s="77">
        <v>0</v>
      </c>
      <c r="P90" s="77">
        <v>0</v>
      </c>
      <c r="Q90" s="77">
        <v>0</v>
      </c>
      <c r="R90" s="77">
        <v>0</v>
      </c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85"/>
      <c r="AH90" s="47">
        <f t="shared" si="33"/>
        <v>0</v>
      </c>
      <c r="AI90" s="48">
        <f t="shared" si="34"/>
        <v>0</v>
      </c>
      <c r="AK90" s="82" t="s">
        <v>93</v>
      </c>
      <c r="AL90" s="76"/>
      <c r="AM90" s="76"/>
      <c r="AN90" s="83"/>
    </row>
    <row r="91" spans="1:40" ht="15.75" thickBot="1" x14ac:dyDescent="0.3">
      <c r="A91" s="84" t="s">
        <v>421</v>
      </c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>
        <v>0</v>
      </c>
      <c r="N91" s="77">
        <v>0</v>
      </c>
      <c r="O91" s="77">
        <v>0</v>
      </c>
      <c r="P91" s="77">
        <v>0</v>
      </c>
      <c r="Q91" s="77">
        <v>0</v>
      </c>
      <c r="R91" s="77">
        <v>0</v>
      </c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85"/>
      <c r="AH91" s="47">
        <f t="shared" si="33"/>
        <v>0</v>
      </c>
      <c r="AI91" s="48">
        <f t="shared" si="34"/>
        <v>0</v>
      </c>
      <c r="AK91" s="86"/>
      <c r="AL91" s="45"/>
      <c r="AM91" s="45"/>
      <c r="AN91" s="87"/>
    </row>
    <row r="92" spans="1:40" ht="15.75" thickBot="1" x14ac:dyDescent="0.3">
      <c r="A92" s="74" t="s">
        <v>95</v>
      </c>
      <c r="B92" s="60">
        <f t="shared" ref="B92:D92" si="35">SUMIF(B81:B91,"&gt;0")</f>
        <v>606.6</v>
      </c>
      <c r="C92" s="60">
        <f t="shared" si="35"/>
        <v>474</v>
      </c>
      <c r="D92" s="60">
        <f t="shared" si="35"/>
        <v>517.4</v>
      </c>
      <c r="E92" s="60">
        <f t="shared" ref="E92:F92" si="36">SUMIF(E81:E91,"&gt;0")</f>
        <v>494.9</v>
      </c>
      <c r="F92" s="60">
        <f t="shared" si="36"/>
        <v>530.6</v>
      </c>
      <c r="G92" s="60">
        <f t="shared" ref="G92:H92" si="37">SUMIF(G81:G91,"&gt;0")</f>
        <v>534.5</v>
      </c>
      <c r="H92" s="60">
        <f t="shared" si="37"/>
        <v>548.9</v>
      </c>
      <c r="I92" s="60">
        <f t="shared" ref="I92:J92" si="38">SUMIF(I81:I91,"&gt;0")</f>
        <v>575.29999999999995</v>
      </c>
      <c r="J92" s="60">
        <f t="shared" si="38"/>
        <v>551.24</v>
      </c>
      <c r="K92" s="60">
        <f t="shared" ref="K92:L92" si="39">SUMIF(K81:K91,"&gt;0")</f>
        <v>96.3</v>
      </c>
      <c r="L92" s="60">
        <f t="shared" si="39"/>
        <v>172.7</v>
      </c>
      <c r="M92" s="60">
        <f t="shared" ref="M92:AE92" si="40">SUMIF(M81:M91,"&gt;0")</f>
        <v>135.1</v>
      </c>
      <c r="N92" s="60">
        <f t="shared" si="40"/>
        <v>249.7</v>
      </c>
      <c r="O92" s="60">
        <f t="shared" si="40"/>
        <v>280.39999999999998</v>
      </c>
      <c r="P92" s="60">
        <f t="shared" si="40"/>
        <v>487.3</v>
      </c>
      <c r="Q92" s="60">
        <f t="shared" si="40"/>
        <v>580.70000000000005</v>
      </c>
      <c r="R92" s="60">
        <f t="shared" si="40"/>
        <v>710.6</v>
      </c>
      <c r="S92" s="60">
        <f t="shared" si="40"/>
        <v>645.29999999999995</v>
      </c>
      <c r="T92" s="60">
        <f t="shared" si="40"/>
        <v>642</v>
      </c>
      <c r="U92" s="60">
        <f t="shared" si="40"/>
        <v>677</v>
      </c>
      <c r="V92" s="60">
        <f t="shared" si="40"/>
        <v>460.35</v>
      </c>
      <c r="W92" s="60">
        <f t="shared" si="40"/>
        <v>451.9</v>
      </c>
      <c r="X92" s="60">
        <f t="shared" si="40"/>
        <v>327.2</v>
      </c>
      <c r="Y92" s="60">
        <f>SUMIF(Y81:Y91,"&gt;0")</f>
        <v>336</v>
      </c>
      <c r="Z92" s="60">
        <f>SUMIF(Z81:Z91,"&gt;0")</f>
        <v>324</v>
      </c>
      <c r="AA92" s="60">
        <f t="shared" si="40"/>
        <v>464.4</v>
      </c>
      <c r="AB92" s="60">
        <f t="shared" si="40"/>
        <v>445.6</v>
      </c>
      <c r="AC92" s="60">
        <f t="shared" si="40"/>
        <v>415.8</v>
      </c>
      <c r="AD92" s="60">
        <f t="shared" si="40"/>
        <v>406.20000000000005</v>
      </c>
      <c r="AE92" s="60">
        <f t="shared" si="40"/>
        <v>661.5</v>
      </c>
      <c r="AF92" s="60">
        <f t="shared" ref="AF92" si="41">SUMIF(AF81:AF91,"&gt;0")</f>
        <v>616.40000000000009</v>
      </c>
      <c r="AG92" s="88">
        <f>SUM(AG81:AG91)</f>
        <v>0</v>
      </c>
      <c r="AH92" s="47">
        <f t="shared" si="33"/>
        <v>710.6</v>
      </c>
      <c r="AI92" s="48">
        <f t="shared" si="34"/>
        <v>96.3</v>
      </c>
      <c r="AK92" s="86"/>
      <c r="AL92" s="77"/>
      <c r="AM92" s="89"/>
      <c r="AN92" s="255"/>
    </row>
    <row r="93" spans="1:40" x14ac:dyDescent="0.25">
      <c r="A93" s="44" t="s">
        <v>96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33"/>
        <v>0</v>
      </c>
      <c r="AI93" s="48">
        <f t="shared" si="34"/>
        <v>0</v>
      </c>
      <c r="AK93" s="86"/>
      <c r="AL93" s="77"/>
      <c r="AM93" s="77"/>
      <c r="AN93" s="256"/>
    </row>
    <row r="94" spans="1:40" ht="15.75" thickBot="1" x14ac:dyDescent="0.3">
      <c r="A94" s="54" t="s">
        <v>97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33"/>
        <v>0</v>
      </c>
      <c r="AI94" s="48">
        <f t="shared" si="34"/>
        <v>0</v>
      </c>
      <c r="AK94" s="91"/>
      <c r="AL94" s="92"/>
      <c r="AM94" s="92"/>
      <c r="AN94" s="93"/>
    </row>
    <row r="95" spans="1:40" ht="15.75" thickBot="1" x14ac:dyDescent="0.3">
      <c r="A95" s="84" t="s">
        <v>98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33"/>
        <v>0</v>
      </c>
      <c r="AI95" s="48">
        <f t="shared" si="34"/>
        <v>0</v>
      </c>
    </row>
    <row r="96" spans="1:40" ht="15.75" thickBot="1" x14ac:dyDescent="0.3">
      <c r="A96" s="74" t="s">
        <v>99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33"/>
        <v>0</v>
      </c>
      <c r="AI96" s="48">
        <f t="shared" si="34"/>
        <v>0</v>
      </c>
    </row>
    <row r="97" spans="1:37" ht="15.75" thickBot="1" x14ac:dyDescent="0.3">
      <c r="A97" s="74" t="s">
        <v>100</v>
      </c>
      <c r="B97" s="95">
        <f t="shared" ref="B97:D97" si="42">B58+B62+B80+B76+B92+B96</f>
        <v>1279.1400000000001</v>
      </c>
      <c r="C97" s="95">
        <f t="shared" si="42"/>
        <v>1146.3400000000001</v>
      </c>
      <c r="D97" s="95">
        <f t="shared" si="42"/>
        <v>1189.94</v>
      </c>
      <c r="E97" s="95">
        <f t="shared" ref="E97:F97" si="43">E58+E62+E80+E76+E92+E96</f>
        <v>1184.1400000000001</v>
      </c>
      <c r="F97" s="95">
        <f t="shared" si="43"/>
        <v>1203.1400000000001</v>
      </c>
      <c r="G97" s="95">
        <f t="shared" ref="G97:H97" si="44">G58+G62+G80+G76+G92+G96</f>
        <v>1279.3400000000001</v>
      </c>
      <c r="H97" s="95">
        <f t="shared" si="44"/>
        <v>1359.94</v>
      </c>
      <c r="I97" s="95">
        <f t="shared" ref="I97:J97" si="45">I58+I62+I80+I76+I92+I96</f>
        <v>1455.04</v>
      </c>
      <c r="J97" s="95">
        <f t="shared" si="45"/>
        <v>1545.58</v>
      </c>
      <c r="K97" s="95">
        <f t="shared" ref="K97:L97" si="46">K58+K62+K80+K76+K92+K96</f>
        <v>1123.54</v>
      </c>
      <c r="L97" s="95">
        <f t="shared" si="46"/>
        <v>1572.64</v>
      </c>
      <c r="M97" s="95">
        <f t="shared" ref="M97:AG97" si="47">M58+M62+M80+M76+M92+M96</f>
        <v>1574.7399999999998</v>
      </c>
      <c r="N97" s="95">
        <f t="shared" si="47"/>
        <v>1461.44</v>
      </c>
      <c r="O97" s="95">
        <f t="shared" si="47"/>
        <v>1375.94</v>
      </c>
      <c r="P97" s="95">
        <f t="shared" si="47"/>
        <v>1391.74</v>
      </c>
      <c r="Q97" s="95">
        <f t="shared" si="47"/>
        <v>1485.8400000000001</v>
      </c>
      <c r="R97" s="95">
        <f t="shared" si="47"/>
        <v>1490.04</v>
      </c>
      <c r="S97" s="95">
        <f t="shared" si="47"/>
        <v>1503.8400000000001</v>
      </c>
      <c r="T97" s="95">
        <f t="shared" si="47"/>
        <v>1513.64</v>
      </c>
      <c r="U97" s="95">
        <f t="shared" si="47"/>
        <v>1547.64</v>
      </c>
      <c r="V97" s="95">
        <f t="shared" si="47"/>
        <v>1474.19</v>
      </c>
      <c r="W97" s="95">
        <f t="shared" si="47"/>
        <v>1529.54</v>
      </c>
      <c r="X97" s="95">
        <f t="shared" si="47"/>
        <v>1610.64</v>
      </c>
      <c r="Y97" s="95">
        <f>Y58+Y62+Y80+Y76+Y92+Y96</f>
        <v>1706.7</v>
      </c>
      <c r="Z97" s="95">
        <f>Z58+Z62+Z80+Z76+Z92+Z96</f>
        <v>1630.7</v>
      </c>
      <c r="AA97" s="95">
        <f t="shared" si="47"/>
        <v>1605.1399999999999</v>
      </c>
      <c r="AB97" s="95">
        <f t="shared" si="47"/>
        <v>1535.04</v>
      </c>
      <c r="AC97" s="95">
        <f t="shared" si="47"/>
        <v>1468.54</v>
      </c>
      <c r="AD97" s="95">
        <f t="shared" si="47"/>
        <v>1411.0400000000004</v>
      </c>
      <c r="AE97" s="95">
        <f t="shared" si="47"/>
        <v>1426.0400000000002</v>
      </c>
      <c r="AF97" s="95">
        <f t="shared" ref="AF97" si="48">AF58+AF62+AF80+AF76+AF92+AF96</f>
        <v>1275.94</v>
      </c>
      <c r="AG97" s="61">
        <f t="shared" si="47"/>
        <v>2231.81</v>
      </c>
      <c r="AH97" s="47">
        <f t="shared" si="33"/>
        <v>1706.7</v>
      </c>
      <c r="AI97" s="48">
        <f t="shared" si="34"/>
        <v>1123.54</v>
      </c>
    </row>
    <row r="98" spans="1:37" ht="15.75" thickBot="1" x14ac:dyDescent="0.3">
      <c r="A98" s="96" t="s">
        <v>101</v>
      </c>
      <c r="B98" s="97">
        <v>0</v>
      </c>
      <c r="C98" s="97">
        <v>0</v>
      </c>
      <c r="D98" s="97">
        <v>0</v>
      </c>
      <c r="E98" s="97">
        <v>0</v>
      </c>
      <c r="F98" s="97">
        <v>0</v>
      </c>
      <c r="G98" s="97">
        <v>1</v>
      </c>
      <c r="H98" s="97">
        <v>2</v>
      </c>
      <c r="I98" s="97">
        <v>3</v>
      </c>
      <c r="J98" s="97">
        <v>4</v>
      </c>
      <c r="K98" s="97">
        <v>5</v>
      </c>
      <c r="L98" s="97">
        <v>6</v>
      </c>
      <c r="M98" s="97">
        <v>230</v>
      </c>
      <c r="N98" s="97">
        <v>230</v>
      </c>
      <c r="O98" s="97">
        <v>230</v>
      </c>
      <c r="P98" s="97">
        <v>150</v>
      </c>
      <c r="Q98" s="97"/>
      <c r="R98" s="97"/>
      <c r="S98" s="97"/>
      <c r="T98" s="97"/>
      <c r="U98" s="97"/>
      <c r="V98" s="97">
        <v>200</v>
      </c>
      <c r="W98" s="97">
        <v>250</v>
      </c>
      <c r="X98" s="97">
        <v>250</v>
      </c>
      <c r="Y98" s="97">
        <v>250</v>
      </c>
      <c r="Z98" s="97">
        <v>250</v>
      </c>
      <c r="AA98" s="97">
        <v>250</v>
      </c>
      <c r="AB98" s="97">
        <v>250</v>
      </c>
      <c r="AC98" s="97">
        <v>250</v>
      </c>
      <c r="AD98" s="97">
        <v>250</v>
      </c>
      <c r="AE98" s="97"/>
      <c r="AF98" s="97"/>
      <c r="AG98" s="88"/>
      <c r="AH98" s="47">
        <f t="shared" si="33"/>
        <v>250</v>
      </c>
      <c r="AI98" s="48">
        <f t="shared" si="34"/>
        <v>0</v>
      </c>
    </row>
    <row r="99" spans="1:37" ht="15.75" thickBot="1" x14ac:dyDescent="0.3">
      <c r="A99" s="74" t="s">
        <v>102</v>
      </c>
      <c r="B99" s="95">
        <f t="shared" ref="B99:D99" si="49">B97+B98</f>
        <v>1279.1400000000001</v>
      </c>
      <c r="C99" s="95">
        <f t="shared" si="49"/>
        <v>1146.3400000000001</v>
      </c>
      <c r="D99" s="95">
        <f t="shared" si="49"/>
        <v>1189.94</v>
      </c>
      <c r="E99" s="95">
        <f t="shared" ref="E99:F99" si="50">E97+E98</f>
        <v>1184.1400000000001</v>
      </c>
      <c r="F99" s="95">
        <f t="shared" si="50"/>
        <v>1203.1400000000001</v>
      </c>
      <c r="G99" s="95">
        <f t="shared" ref="G99:H99" si="51">G97+G98</f>
        <v>1280.3400000000001</v>
      </c>
      <c r="H99" s="95">
        <f t="shared" si="51"/>
        <v>1361.94</v>
      </c>
      <c r="I99" s="95">
        <f t="shared" ref="I99:J99" si="52">I97+I98</f>
        <v>1458.04</v>
      </c>
      <c r="J99" s="95">
        <f t="shared" si="52"/>
        <v>1549.58</v>
      </c>
      <c r="K99" s="95">
        <f t="shared" ref="K99:L99" si="53">K97+K98</f>
        <v>1128.54</v>
      </c>
      <c r="L99" s="95">
        <f t="shared" si="53"/>
        <v>1578.64</v>
      </c>
      <c r="M99" s="95">
        <f t="shared" ref="M99:AE99" si="54">M97+M98</f>
        <v>1804.7399999999998</v>
      </c>
      <c r="N99" s="95">
        <f t="shared" si="54"/>
        <v>1691.44</v>
      </c>
      <c r="O99" s="95">
        <f t="shared" si="54"/>
        <v>1605.94</v>
      </c>
      <c r="P99" s="95">
        <f t="shared" si="54"/>
        <v>1541.74</v>
      </c>
      <c r="Q99" s="95">
        <f t="shared" si="54"/>
        <v>1485.8400000000001</v>
      </c>
      <c r="R99" s="95">
        <f t="shared" si="54"/>
        <v>1490.04</v>
      </c>
      <c r="S99" s="95">
        <f t="shared" si="54"/>
        <v>1503.8400000000001</v>
      </c>
      <c r="T99" s="95">
        <f t="shared" si="54"/>
        <v>1513.64</v>
      </c>
      <c r="U99" s="95">
        <f t="shared" si="54"/>
        <v>1547.64</v>
      </c>
      <c r="V99" s="95">
        <f t="shared" si="54"/>
        <v>1674.19</v>
      </c>
      <c r="W99" s="95">
        <f t="shared" si="54"/>
        <v>1779.54</v>
      </c>
      <c r="X99" s="95">
        <f t="shared" si="54"/>
        <v>1860.64</v>
      </c>
      <c r="Y99" s="95">
        <f>Y97+Y98</f>
        <v>1956.7</v>
      </c>
      <c r="Z99" s="95">
        <f>Z97+Z98</f>
        <v>1880.7</v>
      </c>
      <c r="AA99" s="95">
        <f t="shared" si="54"/>
        <v>1855.1399999999999</v>
      </c>
      <c r="AB99" s="95">
        <f t="shared" si="54"/>
        <v>1785.04</v>
      </c>
      <c r="AC99" s="95">
        <f t="shared" si="54"/>
        <v>1718.54</v>
      </c>
      <c r="AD99" s="95">
        <f t="shared" si="54"/>
        <v>1661.0400000000004</v>
      </c>
      <c r="AE99" s="95">
        <f t="shared" si="54"/>
        <v>1426.0400000000002</v>
      </c>
      <c r="AF99" s="95">
        <f t="shared" ref="AF99" si="55">AF97+AF98</f>
        <v>1275.94</v>
      </c>
      <c r="AG99" s="88">
        <f>AG96+AG92+AG80+AG76+AG58+AG98</f>
        <v>1693.71</v>
      </c>
      <c r="AH99" s="47">
        <f t="shared" si="33"/>
        <v>1956.7</v>
      </c>
      <c r="AI99" s="48">
        <f t="shared" si="34"/>
        <v>1128.54</v>
      </c>
    </row>
    <row r="100" spans="1:37" ht="15.75" thickBot="1" x14ac:dyDescent="0.3">
      <c r="A100" s="74" t="s">
        <v>103</v>
      </c>
      <c r="B100" s="95">
        <f t="shared" ref="B100:D100" si="56">B99-(B107)</f>
        <v>1279.1400000000001</v>
      </c>
      <c r="C100" s="95">
        <f t="shared" si="56"/>
        <v>1146.3400000000001</v>
      </c>
      <c r="D100" s="95">
        <f t="shared" si="56"/>
        <v>1189.94</v>
      </c>
      <c r="E100" s="95">
        <f t="shared" ref="E100:F100" si="57">E99-(E107)</f>
        <v>1184.1400000000001</v>
      </c>
      <c r="F100" s="95">
        <f t="shared" si="57"/>
        <v>1203.1400000000001</v>
      </c>
      <c r="G100" s="95">
        <f t="shared" ref="G100:H100" si="58">G99-(G107)</f>
        <v>1280.3400000000001</v>
      </c>
      <c r="H100" s="95">
        <f t="shared" si="58"/>
        <v>1361.94</v>
      </c>
      <c r="I100" s="95">
        <f t="shared" ref="I100:J100" si="59">I99-(I107)</f>
        <v>1458.04</v>
      </c>
      <c r="J100" s="95">
        <f t="shared" si="59"/>
        <v>1549.58</v>
      </c>
      <c r="K100" s="95">
        <f t="shared" ref="K100:L100" si="60">K99-(K107)</f>
        <v>1128.54</v>
      </c>
      <c r="L100" s="95">
        <f t="shared" si="60"/>
        <v>1578.64</v>
      </c>
      <c r="M100" s="95">
        <f t="shared" ref="M100" si="61">M99-(M107)</f>
        <v>1804.7399999999998</v>
      </c>
      <c r="N100" s="95">
        <f>N99-(N107)</f>
        <v>1691.44</v>
      </c>
      <c r="O100" s="95">
        <f t="shared" ref="O100:AE100" si="62">O99-(O107)</f>
        <v>1605.94</v>
      </c>
      <c r="P100" s="95">
        <f t="shared" si="62"/>
        <v>1541.74</v>
      </c>
      <c r="Q100" s="95">
        <f t="shared" si="62"/>
        <v>1485.8400000000001</v>
      </c>
      <c r="R100" s="95">
        <f t="shared" si="62"/>
        <v>1490.04</v>
      </c>
      <c r="S100" s="95">
        <f t="shared" si="62"/>
        <v>1503.8400000000001</v>
      </c>
      <c r="T100" s="95">
        <f t="shared" si="62"/>
        <v>1513.64</v>
      </c>
      <c r="U100" s="95">
        <f t="shared" si="62"/>
        <v>1547.64</v>
      </c>
      <c r="V100" s="95">
        <f t="shared" si="62"/>
        <v>1674.19</v>
      </c>
      <c r="W100" s="95">
        <f t="shared" si="62"/>
        <v>1779.54</v>
      </c>
      <c r="X100" s="95">
        <f t="shared" si="62"/>
        <v>1860.64</v>
      </c>
      <c r="Y100" s="95">
        <f t="shared" si="62"/>
        <v>1956.7</v>
      </c>
      <c r="Z100" s="95">
        <f t="shared" si="62"/>
        <v>1880.7</v>
      </c>
      <c r="AA100" s="95">
        <f t="shared" si="62"/>
        <v>1855.1399999999999</v>
      </c>
      <c r="AB100" s="95">
        <f t="shared" si="62"/>
        <v>1785.04</v>
      </c>
      <c r="AC100" s="95">
        <f t="shared" si="62"/>
        <v>1718.54</v>
      </c>
      <c r="AD100" s="95">
        <f t="shared" si="62"/>
        <v>1661.0400000000004</v>
      </c>
      <c r="AE100" s="95">
        <f t="shared" si="62"/>
        <v>1426.0400000000002</v>
      </c>
      <c r="AF100" s="95">
        <f t="shared" ref="AF100" si="63">AF99-(AF107)</f>
        <v>1274.94</v>
      </c>
      <c r="AG100" s="88"/>
      <c r="AH100" s="47">
        <f t="shared" si="33"/>
        <v>1956.7</v>
      </c>
      <c r="AI100" s="48">
        <f t="shared" si="34"/>
        <v>1128.54</v>
      </c>
    </row>
    <row r="101" spans="1:37" x14ac:dyDescent="0.25">
      <c r="A101" s="44" t="s">
        <v>84</v>
      </c>
      <c r="B101" s="76">
        <f t="shared" ref="B101:D101" si="64">IF(B84&lt;0,B84*-1,0)</f>
        <v>0</v>
      </c>
      <c r="C101" s="76">
        <f t="shared" si="64"/>
        <v>0</v>
      </c>
      <c r="D101" s="76">
        <f t="shared" si="64"/>
        <v>0</v>
      </c>
      <c r="E101" s="76">
        <f t="shared" ref="E101:F101" si="65">IF(E84&lt;0,E84*-1,0)</f>
        <v>0</v>
      </c>
      <c r="F101" s="76">
        <f t="shared" si="65"/>
        <v>0</v>
      </c>
      <c r="G101" s="76">
        <f t="shared" ref="G101:H101" si="66">IF(G84&lt;0,G84*-1,0)</f>
        <v>0</v>
      </c>
      <c r="H101" s="76">
        <f t="shared" si="66"/>
        <v>0</v>
      </c>
      <c r="I101" s="76">
        <f t="shared" ref="I101:J101" si="67">IF(I84&lt;0,I84*-1,0)</f>
        <v>0</v>
      </c>
      <c r="J101" s="76">
        <f t="shared" si="67"/>
        <v>0</v>
      </c>
      <c r="K101" s="76">
        <f t="shared" ref="K101:L101" si="68">IF(K84&lt;0,K84*-1,0)</f>
        <v>0</v>
      </c>
      <c r="L101" s="76">
        <f t="shared" si="68"/>
        <v>0</v>
      </c>
      <c r="M101" s="76">
        <f t="shared" ref="M101:AE101" si="69">IF(M84&lt;0,M84*-1,0)</f>
        <v>0</v>
      </c>
      <c r="N101" s="76">
        <f t="shared" si="69"/>
        <v>0</v>
      </c>
      <c r="O101" s="76">
        <f t="shared" si="69"/>
        <v>0</v>
      </c>
      <c r="P101" s="76">
        <f t="shared" si="69"/>
        <v>0</v>
      </c>
      <c r="Q101" s="76">
        <f t="shared" si="69"/>
        <v>0</v>
      </c>
      <c r="R101" s="76">
        <f t="shared" si="69"/>
        <v>0</v>
      </c>
      <c r="S101" s="76">
        <f t="shared" si="69"/>
        <v>0</v>
      </c>
      <c r="T101" s="76">
        <f t="shared" si="69"/>
        <v>0</v>
      </c>
      <c r="U101" s="76">
        <f t="shared" si="69"/>
        <v>0</v>
      </c>
      <c r="V101" s="76">
        <f t="shared" si="69"/>
        <v>0</v>
      </c>
      <c r="W101" s="76">
        <f t="shared" si="69"/>
        <v>0</v>
      </c>
      <c r="X101" s="76">
        <f t="shared" si="69"/>
        <v>0</v>
      </c>
      <c r="Y101" s="76">
        <f t="shared" si="69"/>
        <v>0</v>
      </c>
      <c r="Z101" s="76">
        <f t="shared" si="69"/>
        <v>0</v>
      </c>
      <c r="AA101" s="76">
        <f t="shared" si="69"/>
        <v>0</v>
      </c>
      <c r="AB101" s="76">
        <f t="shared" si="69"/>
        <v>0</v>
      </c>
      <c r="AC101" s="76">
        <f t="shared" si="69"/>
        <v>0</v>
      </c>
      <c r="AD101" s="76">
        <f t="shared" si="69"/>
        <v>0</v>
      </c>
      <c r="AE101" s="76">
        <f t="shared" si="69"/>
        <v>0</v>
      </c>
      <c r="AF101" s="76">
        <f t="shared" ref="AF101" si="70">IF(AF84&lt;0,AF84*-1,0)</f>
        <v>0</v>
      </c>
      <c r="AG101" s="52"/>
      <c r="AH101" s="47">
        <f t="shared" si="33"/>
        <v>0</v>
      </c>
      <c r="AI101" s="48">
        <f t="shared" si="34"/>
        <v>0</v>
      </c>
    </row>
    <row r="102" spans="1:37" x14ac:dyDescent="0.25">
      <c r="A102" s="54" t="s">
        <v>82</v>
      </c>
      <c r="B102" s="76">
        <f t="shared" ref="B102:D102" si="71">IF(B82&lt;0,B82*-1,0)</f>
        <v>0</v>
      </c>
      <c r="C102" s="76">
        <f t="shared" si="71"/>
        <v>0</v>
      </c>
      <c r="D102" s="76">
        <f t="shared" si="71"/>
        <v>0</v>
      </c>
      <c r="E102" s="76">
        <f t="shared" ref="E102:F102" si="72">IF(E82&lt;0,E82*-1,0)</f>
        <v>0</v>
      </c>
      <c r="F102" s="76">
        <f t="shared" si="72"/>
        <v>0</v>
      </c>
      <c r="G102" s="76">
        <f t="shared" ref="G102:H102" si="73">IF(G82&lt;0,G82*-1,0)</f>
        <v>0</v>
      </c>
      <c r="H102" s="76">
        <f t="shared" si="73"/>
        <v>0</v>
      </c>
      <c r="I102" s="76">
        <f t="shared" ref="I102:J102" si="74">IF(I82&lt;0,I82*-1,0)</f>
        <v>0</v>
      </c>
      <c r="J102" s="76">
        <f t="shared" si="74"/>
        <v>0</v>
      </c>
      <c r="K102" s="76">
        <f t="shared" ref="K102:L102" si="75">IF(K82&lt;0,K82*-1,0)</f>
        <v>0</v>
      </c>
      <c r="L102" s="76">
        <f t="shared" si="75"/>
        <v>0</v>
      </c>
      <c r="M102" s="76">
        <f t="shared" ref="M102:AE102" si="76">IF(M82&lt;0,M82*-1,0)</f>
        <v>0</v>
      </c>
      <c r="N102" s="76">
        <f t="shared" si="76"/>
        <v>0</v>
      </c>
      <c r="O102" s="76">
        <f t="shared" si="76"/>
        <v>0</v>
      </c>
      <c r="P102" s="76">
        <f t="shared" si="76"/>
        <v>0</v>
      </c>
      <c r="Q102" s="76">
        <f t="shared" si="76"/>
        <v>0</v>
      </c>
      <c r="R102" s="76">
        <f t="shared" si="76"/>
        <v>0</v>
      </c>
      <c r="S102" s="76">
        <f t="shared" si="76"/>
        <v>0</v>
      </c>
      <c r="T102" s="76">
        <f t="shared" si="76"/>
        <v>0</v>
      </c>
      <c r="U102" s="76">
        <f t="shared" si="76"/>
        <v>0</v>
      </c>
      <c r="V102" s="76">
        <f t="shared" si="76"/>
        <v>0</v>
      </c>
      <c r="W102" s="76">
        <f t="shared" si="76"/>
        <v>0</v>
      </c>
      <c r="X102" s="76">
        <f t="shared" si="76"/>
        <v>0</v>
      </c>
      <c r="Y102" s="76">
        <f t="shared" si="76"/>
        <v>0</v>
      </c>
      <c r="Z102" s="76">
        <f t="shared" si="76"/>
        <v>0</v>
      </c>
      <c r="AA102" s="76">
        <f t="shared" si="76"/>
        <v>0</v>
      </c>
      <c r="AB102" s="76">
        <f t="shared" si="76"/>
        <v>0</v>
      </c>
      <c r="AC102" s="76">
        <f t="shared" si="76"/>
        <v>0</v>
      </c>
      <c r="AD102" s="76">
        <f t="shared" si="76"/>
        <v>0</v>
      </c>
      <c r="AE102" s="76">
        <f t="shared" si="76"/>
        <v>0</v>
      </c>
      <c r="AF102" s="76">
        <f t="shared" ref="AF102" si="77">IF(AF82&lt;0,AF82*-1,0)</f>
        <v>0</v>
      </c>
      <c r="AG102" s="55"/>
      <c r="AH102" s="47">
        <f t="shared" si="33"/>
        <v>0</v>
      </c>
      <c r="AI102" s="48">
        <f t="shared" si="34"/>
        <v>0</v>
      </c>
    </row>
    <row r="103" spans="1:37" x14ac:dyDescent="0.25">
      <c r="A103" s="84" t="s">
        <v>104</v>
      </c>
      <c r="B103" s="76">
        <f t="shared" ref="B103:D103" si="78">IF(B85&lt;0,B85*-1,0)</f>
        <v>0</v>
      </c>
      <c r="C103" s="76">
        <f t="shared" si="78"/>
        <v>0</v>
      </c>
      <c r="D103" s="76">
        <f t="shared" si="78"/>
        <v>0</v>
      </c>
      <c r="E103" s="76">
        <f t="shared" ref="E103:F103" si="79">IF(E85&lt;0,E85*-1,0)</f>
        <v>0</v>
      </c>
      <c r="F103" s="76">
        <f t="shared" si="79"/>
        <v>0</v>
      </c>
      <c r="G103" s="76">
        <f t="shared" ref="G103:H103" si="80">IF(G85&lt;0,G85*-1,0)</f>
        <v>0</v>
      </c>
      <c r="H103" s="76">
        <f t="shared" si="80"/>
        <v>0</v>
      </c>
      <c r="I103" s="76">
        <f t="shared" ref="I103:J103" si="81">IF(I85&lt;0,I85*-1,0)</f>
        <v>0</v>
      </c>
      <c r="J103" s="76">
        <f t="shared" si="81"/>
        <v>0</v>
      </c>
      <c r="K103" s="76">
        <f t="shared" ref="K103:L103" si="82">IF(K85&lt;0,K85*-1,0)</f>
        <v>0</v>
      </c>
      <c r="L103" s="76">
        <f t="shared" si="82"/>
        <v>0</v>
      </c>
      <c r="M103" s="76">
        <f t="shared" ref="M103:AE103" si="83">IF(M85&lt;0,M85*-1,0)</f>
        <v>0</v>
      </c>
      <c r="N103" s="76">
        <f t="shared" si="83"/>
        <v>0</v>
      </c>
      <c r="O103" s="76">
        <f t="shared" si="83"/>
        <v>0</v>
      </c>
      <c r="P103" s="76">
        <f t="shared" si="83"/>
        <v>0</v>
      </c>
      <c r="Q103" s="76">
        <f t="shared" si="83"/>
        <v>0</v>
      </c>
      <c r="R103" s="76">
        <f t="shared" si="83"/>
        <v>0</v>
      </c>
      <c r="S103" s="76">
        <f t="shared" si="83"/>
        <v>0</v>
      </c>
      <c r="T103" s="76">
        <f t="shared" si="83"/>
        <v>0</v>
      </c>
      <c r="U103" s="76">
        <f t="shared" si="83"/>
        <v>0</v>
      </c>
      <c r="V103" s="76">
        <f t="shared" si="83"/>
        <v>0</v>
      </c>
      <c r="W103" s="76">
        <f t="shared" si="83"/>
        <v>0</v>
      </c>
      <c r="X103" s="76">
        <f t="shared" si="83"/>
        <v>0</v>
      </c>
      <c r="Y103" s="76">
        <f t="shared" si="83"/>
        <v>0</v>
      </c>
      <c r="Z103" s="76">
        <f t="shared" si="83"/>
        <v>0</v>
      </c>
      <c r="AA103" s="76">
        <f t="shared" si="83"/>
        <v>0</v>
      </c>
      <c r="AB103" s="76">
        <f t="shared" si="83"/>
        <v>0</v>
      </c>
      <c r="AC103" s="76">
        <f t="shared" si="83"/>
        <v>0</v>
      </c>
      <c r="AD103" s="76">
        <f t="shared" si="83"/>
        <v>0</v>
      </c>
      <c r="AE103" s="76">
        <f t="shared" si="83"/>
        <v>0</v>
      </c>
      <c r="AF103" s="76">
        <f t="shared" ref="AF103" si="84">IF(AF85&lt;0,AF85*-1,0)</f>
        <v>0</v>
      </c>
      <c r="AG103" s="98"/>
      <c r="AH103" s="47">
        <f t="shared" si="33"/>
        <v>0</v>
      </c>
      <c r="AI103" s="48">
        <f t="shared" si="34"/>
        <v>0</v>
      </c>
    </row>
    <row r="104" spans="1:37" x14ac:dyDescent="0.25">
      <c r="A104" s="84" t="s">
        <v>105</v>
      </c>
      <c r="B104" s="76">
        <f t="shared" ref="B104:D104" si="85">IF(B83&lt;0,B83*-1,0)</f>
        <v>0</v>
      </c>
      <c r="C104" s="76">
        <f t="shared" si="85"/>
        <v>0</v>
      </c>
      <c r="D104" s="76">
        <f t="shared" si="85"/>
        <v>0</v>
      </c>
      <c r="E104" s="76">
        <f t="shared" ref="E104:F104" si="86">IF(E83&lt;0,E83*-1,0)</f>
        <v>0</v>
      </c>
      <c r="F104" s="76">
        <f t="shared" si="86"/>
        <v>0</v>
      </c>
      <c r="G104" s="76">
        <f t="shared" ref="G104:H104" si="87">IF(G83&lt;0,G83*-1,0)</f>
        <v>0</v>
      </c>
      <c r="H104" s="76">
        <f t="shared" si="87"/>
        <v>0</v>
      </c>
      <c r="I104" s="76">
        <f t="shared" ref="I104:J104" si="88">IF(I83&lt;0,I83*-1,0)</f>
        <v>0</v>
      </c>
      <c r="J104" s="76">
        <f t="shared" si="88"/>
        <v>0</v>
      </c>
      <c r="K104" s="76">
        <f t="shared" ref="K104:L104" si="89">IF(K83&lt;0,K83*-1,0)</f>
        <v>0</v>
      </c>
      <c r="L104" s="76">
        <f t="shared" si="89"/>
        <v>0</v>
      </c>
      <c r="M104" s="76">
        <f t="shared" ref="M104:AE104" si="90">IF(M83&lt;0,M83*-1,0)</f>
        <v>0</v>
      </c>
      <c r="N104" s="76">
        <f t="shared" si="90"/>
        <v>0</v>
      </c>
      <c r="O104" s="76">
        <f t="shared" si="90"/>
        <v>0</v>
      </c>
      <c r="P104" s="76">
        <f t="shared" si="90"/>
        <v>0</v>
      </c>
      <c r="Q104" s="76">
        <f t="shared" si="90"/>
        <v>0</v>
      </c>
      <c r="R104" s="76">
        <f t="shared" si="90"/>
        <v>0</v>
      </c>
      <c r="S104" s="76">
        <f t="shared" si="90"/>
        <v>0</v>
      </c>
      <c r="T104" s="76">
        <f t="shared" si="90"/>
        <v>0</v>
      </c>
      <c r="U104" s="76">
        <f t="shared" si="90"/>
        <v>0</v>
      </c>
      <c r="V104" s="76">
        <f t="shared" si="90"/>
        <v>0</v>
      </c>
      <c r="W104" s="76">
        <f t="shared" si="90"/>
        <v>0</v>
      </c>
      <c r="X104" s="76">
        <f t="shared" si="90"/>
        <v>0</v>
      </c>
      <c r="Y104" s="76">
        <f t="shared" si="90"/>
        <v>0</v>
      </c>
      <c r="Z104" s="76">
        <f t="shared" si="90"/>
        <v>0</v>
      </c>
      <c r="AA104" s="76">
        <f t="shared" si="90"/>
        <v>0</v>
      </c>
      <c r="AB104" s="76">
        <f t="shared" si="90"/>
        <v>0</v>
      </c>
      <c r="AC104" s="76">
        <f t="shared" si="90"/>
        <v>0</v>
      </c>
      <c r="AD104" s="76">
        <f t="shared" si="90"/>
        <v>0</v>
      </c>
      <c r="AE104" s="76">
        <f t="shared" si="90"/>
        <v>0</v>
      </c>
      <c r="AF104" s="76">
        <f t="shared" ref="AF104" si="91">IF(AF83&lt;0,AF83*-1,0)</f>
        <v>0</v>
      </c>
      <c r="AG104" s="98"/>
      <c r="AH104" s="47">
        <f t="shared" si="33"/>
        <v>0</v>
      </c>
      <c r="AI104" s="48">
        <f t="shared" si="34"/>
        <v>0</v>
      </c>
    </row>
    <row r="105" spans="1:37" x14ac:dyDescent="0.25">
      <c r="A105" s="84" t="s">
        <v>81</v>
      </c>
      <c r="B105" s="76">
        <f t="shared" ref="B105:D105" si="92">IF(B81&lt;0,B81*-1,0)</f>
        <v>0</v>
      </c>
      <c r="C105" s="76">
        <f t="shared" si="92"/>
        <v>0</v>
      </c>
      <c r="D105" s="76">
        <f t="shared" si="92"/>
        <v>0</v>
      </c>
      <c r="E105" s="76">
        <f t="shared" ref="E105:F105" si="93">IF(E81&lt;0,E81*-1,0)</f>
        <v>0</v>
      </c>
      <c r="F105" s="76">
        <f t="shared" si="93"/>
        <v>0</v>
      </c>
      <c r="G105" s="76">
        <f t="shared" ref="G105:H105" si="94">IF(G81&lt;0,G81*-1,0)</f>
        <v>0</v>
      </c>
      <c r="H105" s="76">
        <f t="shared" si="94"/>
        <v>0</v>
      </c>
      <c r="I105" s="76">
        <f t="shared" ref="I105:J105" si="95">IF(I81&lt;0,I81*-1,0)</f>
        <v>0</v>
      </c>
      <c r="J105" s="76">
        <f t="shared" si="95"/>
        <v>0</v>
      </c>
      <c r="K105" s="76">
        <f t="shared" ref="K105:L105" si="96">IF(K81&lt;0,K81*-1,0)</f>
        <v>0</v>
      </c>
      <c r="L105" s="76">
        <f t="shared" si="96"/>
        <v>0</v>
      </c>
      <c r="M105" s="76">
        <f t="shared" ref="M105:AE105" si="97">IF(M81&lt;0,M81*-1,0)</f>
        <v>0</v>
      </c>
      <c r="N105" s="76">
        <f t="shared" si="97"/>
        <v>0</v>
      </c>
      <c r="O105" s="76">
        <f t="shared" si="97"/>
        <v>0</v>
      </c>
      <c r="P105" s="76">
        <f t="shared" si="97"/>
        <v>0</v>
      </c>
      <c r="Q105" s="76">
        <f t="shared" si="97"/>
        <v>0</v>
      </c>
      <c r="R105" s="76">
        <f t="shared" si="97"/>
        <v>0</v>
      </c>
      <c r="S105" s="76">
        <f t="shared" si="97"/>
        <v>0</v>
      </c>
      <c r="T105" s="76">
        <f t="shared" si="97"/>
        <v>0</v>
      </c>
      <c r="U105" s="76">
        <f t="shared" si="97"/>
        <v>0</v>
      </c>
      <c r="V105" s="76">
        <f t="shared" si="97"/>
        <v>0</v>
      </c>
      <c r="W105" s="76">
        <f t="shared" si="97"/>
        <v>0</v>
      </c>
      <c r="X105" s="76">
        <f t="shared" si="97"/>
        <v>0</v>
      </c>
      <c r="Y105" s="76">
        <f t="shared" si="97"/>
        <v>0</v>
      </c>
      <c r="Z105" s="76">
        <f t="shared" si="97"/>
        <v>0</v>
      </c>
      <c r="AA105" s="76">
        <f t="shared" si="97"/>
        <v>0</v>
      </c>
      <c r="AB105" s="76">
        <f t="shared" si="97"/>
        <v>0</v>
      </c>
      <c r="AC105" s="76">
        <f t="shared" si="97"/>
        <v>0</v>
      </c>
      <c r="AD105" s="76">
        <f t="shared" si="97"/>
        <v>0</v>
      </c>
      <c r="AE105" s="76">
        <f t="shared" si="97"/>
        <v>0</v>
      </c>
      <c r="AF105" s="76">
        <f t="shared" ref="AF105" si="98">IF(AF81&lt;0,AF81*-1,0)</f>
        <v>0</v>
      </c>
      <c r="AG105" s="98"/>
      <c r="AH105" s="47">
        <f t="shared" si="33"/>
        <v>0</v>
      </c>
      <c r="AI105" s="48">
        <f t="shared" si="34"/>
        <v>0</v>
      </c>
    </row>
    <row r="106" spans="1:37" ht="15.75" thickBot="1" x14ac:dyDescent="0.3">
      <c r="A106" s="84" t="s">
        <v>106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0</v>
      </c>
      <c r="AB106" s="94">
        <v>0</v>
      </c>
      <c r="AC106" s="94">
        <v>0</v>
      </c>
      <c r="AD106" s="94">
        <v>0</v>
      </c>
      <c r="AE106" s="94">
        <v>0</v>
      </c>
      <c r="AF106" s="94">
        <v>1</v>
      </c>
      <c r="AG106" s="85"/>
      <c r="AH106" s="47">
        <f t="shared" si="33"/>
        <v>1</v>
      </c>
      <c r="AI106" s="48">
        <f t="shared" si="34"/>
        <v>0</v>
      </c>
    </row>
    <row r="107" spans="1:37" ht="15.75" thickBot="1" x14ac:dyDescent="0.3">
      <c r="A107" s="99" t="s">
        <v>107</v>
      </c>
      <c r="B107" s="60">
        <v>0</v>
      </c>
      <c r="C107" s="60">
        <f t="shared" ref="C107:L107" si="99">SUM(C101:C106)</f>
        <v>0</v>
      </c>
      <c r="D107" s="60">
        <f t="shared" si="99"/>
        <v>0</v>
      </c>
      <c r="E107" s="60">
        <f t="shared" si="99"/>
        <v>0</v>
      </c>
      <c r="F107" s="60">
        <f t="shared" si="99"/>
        <v>0</v>
      </c>
      <c r="G107" s="60">
        <f t="shared" si="99"/>
        <v>0</v>
      </c>
      <c r="H107" s="60">
        <f t="shared" si="99"/>
        <v>0</v>
      </c>
      <c r="I107" s="60">
        <f t="shared" si="99"/>
        <v>0</v>
      </c>
      <c r="J107" s="60">
        <f t="shared" si="99"/>
        <v>0</v>
      </c>
      <c r="K107" s="60">
        <f t="shared" si="99"/>
        <v>0</v>
      </c>
      <c r="L107" s="60">
        <f t="shared" si="99"/>
        <v>0</v>
      </c>
      <c r="M107" s="60">
        <f t="shared" ref="M107:AE107" si="100">SUM(M101:M106)</f>
        <v>0</v>
      </c>
      <c r="N107" s="60">
        <f t="shared" si="100"/>
        <v>0</v>
      </c>
      <c r="O107" s="60">
        <f t="shared" si="100"/>
        <v>0</v>
      </c>
      <c r="P107" s="60">
        <f t="shared" si="100"/>
        <v>0</v>
      </c>
      <c r="Q107" s="60">
        <f t="shared" si="100"/>
        <v>0</v>
      </c>
      <c r="R107" s="60">
        <f t="shared" si="100"/>
        <v>0</v>
      </c>
      <c r="S107" s="60">
        <f t="shared" si="100"/>
        <v>0</v>
      </c>
      <c r="T107" s="60">
        <f t="shared" si="100"/>
        <v>0</v>
      </c>
      <c r="U107" s="60">
        <f t="shared" si="100"/>
        <v>0</v>
      </c>
      <c r="V107" s="60">
        <f t="shared" si="100"/>
        <v>0</v>
      </c>
      <c r="W107" s="60">
        <f t="shared" si="100"/>
        <v>0</v>
      </c>
      <c r="X107" s="60">
        <f t="shared" si="100"/>
        <v>0</v>
      </c>
      <c r="Y107" s="60">
        <v>0</v>
      </c>
      <c r="Z107" s="60">
        <f t="shared" si="100"/>
        <v>0</v>
      </c>
      <c r="AA107" s="60">
        <f t="shared" si="100"/>
        <v>0</v>
      </c>
      <c r="AB107" s="60">
        <f t="shared" si="100"/>
        <v>0</v>
      </c>
      <c r="AC107" s="60">
        <f t="shared" si="100"/>
        <v>0</v>
      </c>
      <c r="AD107" s="60">
        <f t="shared" si="100"/>
        <v>0</v>
      </c>
      <c r="AE107" s="60">
        <f t="shared" si="100"/>
        <v>0</v>
      </c>
      <c r="AF107" s="60">
        <f t="shared" ref="AF107" si="101">SUM(AF101:AF106)</f>
        <v>1</v>
      </c>
      <c r="AG107" s="88"/>
      <c r="AH107" s="47">
        <f t="shared" si="33"/>
        <v>1</v>
      </c>
      <c r="AI107" s="48">
        <f t="shared" si="34"/>
        <v>0</v>
      </c>
      <c r="AK107" s="50"/>
    </row>
    <row r="108" spans="1:37" ht="15.75" thickBot="1" x14ac:dyDescent="0.3">
      <c r="A108" s="74" t="s">
        <v>108</v>
      </c>
      <c r="B108" s="60">
        <f t="shared" ref="B108:D108" si="102">B92-B107</f>
        <v>606.6</v>
      </c>
      <c r="C108" s="60">
        <f t="shared" si="102"/>
        <v>474</v>
      </c>
      <c r="D108" s="60">
        <f t="shared" si="102"/>
        <v>517.4</v>
      </c>
      <c r="E108" s="60">
        <f t="shared" ref="E108:F108" si="103">E92-E107</f>
        <v>494.9</v>
      </c>
      <c r="F108" s="60">
        <f t="shared" si="103"/>
        <v>530.6</v>
      </c>
      <c r="G108" s="60">
        <f t="shared" ref="G108:H108" si="104">G92-G107</f>
        <v>534.5</v>
      </c>
      <c r="H108" s="60">
        <f t="shared" si="104"/>
        <v>548.9</v>
      </c>
      <c r="I108" s="60">
        <f t="shared" ref="I108:J108" si="105">I92-I107</f>
        <v>575.29999999999995</v>
      </c>
      <c r="J108" s="60">
        <f t="shared" si="105"/>
        <v>551.24</v>
      </c>
      <c r="K108" s="60">
        <f t="shared" ref="K108:L108" si="106">K92-K107</f>
        <v>96.3</v>
      </c>
      <c r="L108" s="60">
        <f t="shared" si="106"/>
        <v>172.7</v>
      </c>
      <c r="M108" s="60">
        <f t="shared" ref="M108:AE108" si="107">M92-M107</f>
        <v>135.1</v>
      </c>
      <c r="N108" s="60">
        <f t="shared" si="107"/>
        <v>249.7</v>
      </c>
      <c r="O108" s="60">
        <f t="shared" si="107"/>
        <v>280.39999999999998</v>
      </c>
      <c r="P108" s="60">
        <f t="shared" si="107"/>
        <v>487.3</v>
      </c>
      <c r="Q108" s="60">
        <f t="shared" si="107"/>
        <v>580.70000000000005</v>
      </c>
      <c r="R108" s="60">
        <f t="shared" si="107"/>
        <v>710.6</v>
      </c>
      <c r="S108" s="60">
        <f t="shared" si="107"/>
        <v>645.29999999999995</v>
      </c>
      <c r="T108" s="60">
        <f t="shared" si="107"/>
        <v>642</v>
      </c>
      <c r="U108" s="60">
        <f t="shared" si="107"/>
        <v>677</v>
      </c>
      <c r="V108" s="60">
        <f t="shared" si="107"/>
        <v>460.35</v>
      </c>
      <c r="W108" s="60">
        <f t="shared" si="107"/>
        <v>451.9</v>
      </c>
      <c r="X108" s="60">
        <f t="shared" si="107"/>
        <v>327.2</v>
      </c>
      <c r="Y108" s="60">
        <f>Y92-Y107</f>
        <v>336</v>
      </c>
      <c r="Z108" s="60">
        <f>Z92-Z107</f>
        <v>324</v>
      </c>
      <c r="AA108" s="60">
        <f t="shared" si="107"/>
        <v>464.4</v>
      </c>
      <c r="AB108" s="60">
        <f t="shared" si="107"/>
        <v>445.6</v>
      </c>
      <c r="AC108" s="60">
        <f t="shared" si="107"/>
        <v>415.8</v>
      </c>
      <c r="AD108" s="60">
        <f t="shared" si="107"/>
        <v>406.20000000000005</v>
      </c>
      <c r="AE108" s="60">
        <f t="shared" si="107"/>
        <v>661.5</v>
      </c>
      <c r="AF108" s="60">
        <f t="shared" ref="AF108" si="108">AF92-AF107</f>
        <v>615.40000000000009</v>
      </c>
      <c r="AG108" s="88"/>
      <c r="AH108" s="47">
        <f t="shared" si="33"/>
        <v>710.6</v>
      </c>
      <c r="AI108" s="48">
        <f t="shared" si="34"/>
        <v>96.3</v>
      </c>
    </row>
    <row r="109" spans="1:37" x14ac:dyDescent="0.25">
      <c r="A109" s="100" t="s">
        <v>109</v>
      </c>
      <c r="B109" s="101">
        <v>49.99</v>
      </c>
      <c r="C109" s="101">
        <v>50</v>
      </c>
      <c r="D109" s="101">
        <v>49.99</v>
      </c>
      <c r="E109" s="101">
        <v>50</v>
      </c>
      <c r="F109" s="101">
        <v>50</v>
      </c>
      <c r="G109" s="101">
        <v>50.03</v>
      </c>
      <c r="H109" s="101">
        <v>49.96</v>
      </c>
      <c r="I109" s="101">
        <v>50.02</v>
      </c>
      <c r="J109" s="101">
        <v>49.99</v>
      </c>
      <c r="K109" s="101">
        <v>49.99</v>
      </c>
      <c r="L109" s="101">
        <v>49.8</v>
      </c>
      <c r="M109" s="101">
        <v>49.997999999999998</v>
      </c>
      <c r="N109" s="101">
        <v>50.033999999999999</v>
      </c>
      <c r="O109" s="101">
        <v>49.970999999999997</v>
      </c>
      <c r="P109" s="101">
        <v>49.945999999999998</v>
      </c>
      <c r="Q109" s="101">
        <v>49.945</v>
      </c>
      <c r="R109" s="101">
        <v>49.871000000000002</v>
      </c>
      <c r="S109" s="101">
        <v>50.067</v>
      </c>
      <c r="T109" s="101">
        <v>49.968000000000004</v>
      </c>
      <c r="U109" s="101">
        <v>49.991</v>
      </c>
      <c r="V109" s="101">
        <v>49.948</v>
      </c>
      <c r="W109" s="101">
        <v>49.973999999999997</v>
      </c>
      <c r="X109" s="101">
        <v>50.051000000000002</v>
      </c>
      <c r="Y109" s="101">
        <v>50.04</v>
      </c>
      <c r="Z109" s="101">
        <v>50.02</v>
      </c>
      <c r="AA109" s="101">
        <v>49.966999999999999</v>
      </c>
      <c r="AB109" s="101">
        <v>50.039000000000001</v>
      </c>
      <c r="AC109" s="101">
        <v>49.945</v>
      </c>
      <c r="AD109" s="101">
        <v>50.003999999999998</v>
      </c>
      <c r="AE109" s="101">
        <v>50.08</v>
      </c>
      <c r="AF109" s="101">
        <v>49.97</v>
      </c>
      <c r="AG109" s="102"/>
      <c r="AH109" s="47">
        <f t="shared" si="33"/>
        <v>50.08</v>
      </c>
      <c r="AI109" s="48">
        <f t="shared" si="34"/>
        <v>49.8</v>
      </c>
    </row>
    <row r="110" spans="1:37" x14ac:dyDescent="0.25">
      <c r="A110" s="103" t="s">
        <v>110</v>
      </c>
      <c r="B110" s="65">
        <v>127.6</v>
      </c>
      <c r="C110" s="65">
        <v>128</v>
      </c>
      <c r="D110" s="65">
        <v>127.6</v>
      </c>
      <c r="E110" s="65">
        <v>127.6</v>
      </c>
      <c r="F110" s="65">
        <v>125.9</v>
      </c>
      <c r="G110" s="65">
        <v>127.1</v>
      </c>
      <c r="H110" s="65">
        <v>127.1</v>
      </c>
      <c r="I110" s="65">
        <v>127.1</v>
      </c>
      <c r="J110" s="65">
        <v>124.8</v>
      </c>
      <c r="K110" s="65">
        <v>124.8</v>
      </c>
      <c r="L110" s="65">
        <v>124.8</v>
      </c>
      <c r="M110" s="65">
        <v>126.3</v>
      </c>
      <c r="N110" s="65">
        <v>126.5</v>
      </c>
      <c r="O110" s="65">
        <v>125.9</v>
      </c>
      <c r="P110" s="65">
        <v>122.5</v>
      </c>
      <c r="Q110" s="65">
        <v>122.9</v>
      </c>
      <c r="R110" s="65">
        <v>119.5</v>
      </c>
      <c r="S110" s="65">
        <v>122.9</v>
      </c>
      <c r="T110" s="65">
        <v>123</v>
      </c>
      <c r="U110" s="65">
        <v>123.3</v>
      </c>
      <c r="V110" s="65">
        <v>125.5</v>
      </c>
      <c r="W110" s="65">
        <v>128.69999999999999</v>
      </c>
      <c r="X110" s="65">
        <v>128.80000000000001</v>
      </c>
      <c r="Y110" s="65">
        <v>126.2</v>
      </c>
      <c r="Z110" s="65">
        <v>129</v>
      </c>
      <c r="AA110" s="65">
        <v>129.69999999999999</v>
      </c>
      <c r="AB110" s="65">
        <v>128.9</v>
      </c>
      <c r="AC110" s="65">
        <v>129.69999999999999</v>
      </c>
      <c r="AD110" s="65">
        <v>128.80000000000001</v>
      </c>
      <c r="AE110" s="65">
        <v>126.6</v>
      </c>
      <c r="AF110" s="65">
        <v>126.4</v>
      </c>
      <c r="AG110" s="104"/>
      <c r="AH110" s="47">
        <f t="shared" si="33"/>
        <v>129.69999999999999</v>
      </c>
      <c r="AI110" s="48">
        <f t="shared" si="34"/>
        <v>119.5</v>
      </c>
    </row>
    <row r="111" spans="1:37" x14ac:dyDescent="0.25">
      <c r="A111" s="103" t="s">
        <v>111</v>
      </c>
      <c r="B111" s="65">
        <v>131.1</v>
      </c>
      <c r="C111" s="65">
        <v>131.4</v>
      </c>
      <c r="D111" s="65">
        <v>131.1</v>
      </c>
      <c r="E111" s="65">
        <v>131.1</v>
      </c>
      <c r="F111" s="65">
        <v>130.4</v>
      </c>
      <c r="G111" s="65">
        <v>130.80000000000001</v>
      </c>
      <c r="H111" s="65">
        <v>130.30000000000001</v>
      </c>
      <c r="I111" s="65">
        <v>130.30000000000001</v>
      </c>
      <c r="J111" s="65">
        <v>128.1</v>
      </c>
      <c r="K111" s="65">
        <v>128.1</v>
      </c>
      <c r="L111" s="65">
        <v>125.8</v>
      </c>
      <c r="M111" s="65">
        <v>126.7</v>
      </c>
      <c r="N111" s="65">
        <v>128.9</v>
      </c>
      <c r="O111" s="65">
        <v>128</v>
      </c>
      <c r="P111" s="65">
        <v>124.4</v>
      </c>
      <c r="Q111" s="65">
        <v>125.1</v>
      </c>
      <c r="R111" s="65">
        <v>125.1</v>
      </c>
      <c r="S111" s="65">
        <v>125.6</v>
      </c>
      <c r="T111" s="65">
        <v>125.4</v>
      </c>
      <c r="U111" s="65">
        <v>125.8</v>
      </c>
      <c r="V111" s="65">
        <v>127.2</v>
      </c>
      <c r="W111" s="65">
        <v>130</v>
      </c>
      <c r="X111" s="65">
        <v>130</v>
      </c>
      <c r="Y111" s="65">
        <v>127.3</v>
      </c>
      <c r="Z111" s="65">
        <v>129.5</v>
      </c>
      <c r="AA111" s="65">
        <v>130.19999999999999</v>
      </c>
      <c r="AB111" s="65">
        <v>129.80000000000001</v>
      </c>
      <c r="AC111" s="65">
        <v>130.6</v>
      </c>
      <c r="AD111" s="65">
        <v>129.80000000000001</v>
      </c>
      <c r="AE111" s="65">
        <v>129</v>
      </c>
      <c r="AF111" s="65">
        <v>129.5</v>
      </c>
      <c r="AG111" s="104"/>
      <c r="AH111" s="47">
        <f t="shared" si="33"/>
        <v>131.4</v>
      </c>
      <c r="AI111" s="48">
        <f t="shared" si="34"/>
        <v>124.4</v>
      </c>
    </row>
    <row r="112" spans="1:37" x14ac:dyDescent="0.25">
      <c r="A112" s="103" t="s">
        <v>112</v>
      </c>
      <c r="B112" s="65">
        <v>129.69999999999999</v>
      </c>
      <c r="C112" s="65">
        <v>129</v>
      </c>
      <c r="D112" s="65">
        <v>129.69999999999999</v>
      </c>
      <c r="E112" s="65">
        <v>129.69999999999999</v>
      </c>
      <c r="F112" s="65">
        <v>130.1</v>
      </c>
      <c r="G112" s="65">
        <v>128.9</v>
      </c>
      <c r="H112" s="65">
        <v>128.5</v>
      </c>
      <c r="I112" s="65">
        <v>128.5</v>
      </c>
      <c r="J112" s="65">
        <v>127</v>
      </c>
      <c r="K112" s="65">
        <v>127</v>
      </c>
      <c r="L112" s="65">
        <v>125</v>
      </c>
      <c r="M112" s="65">
        <v>129.19999999999999</v>
      </c>
      <c r="N112" s="65">
        <v>127.8</v>
      </c>
      <c r="O112" s="65">
        <v>129.9</v>
      </c>
      <c r="P112" s="65">
        <v>126</v>
      </c>
      <c r="Q112" s="65">
        <v>127.4</v>
      </c>
      <c r="R112" s="65">
        <v>127.4</v>
      </c>
      <c r="S112" s="65">
        <v>128.19999999999999</v>
      </c>
      <c r="T112" s="65">
        <v>126.9</v>
      </c>
      <c r="U112" s="65">
        <v>124.5</v>
      </c>
      <c r="V112" s="65">
        <v>125.6</v>
      </c>
      <c r="W112" s="65">
        <v>127.3</v>
      </c>
      <c r="X112" s="65">
        <v>128</v>
      </c>
      <c r="Y112" s="65">
        <v>130</v>
      </c>
      <c r="Z112" s="65">
        <v>131.78</v>
      </c>
      <c r="AA112" s="65">
        <v>132.30000000000001</v>
      </c>
      <c r="AB112" s="65">
        <v>134</v>
      </c>
      <c r="AC112" s="65">
        <v>132.80000000000001</v>
      </c>
      <c r="AD112" s="65">
        <v>129.80000000000001</v>
      </c>
      <c r="AE112" s="65">
        <v>128.69999999999999</v>
      </c>
      <c r="AF112" s="65">
        <v>130.80000000000001</v>
      </c>
      <c r="AG112" s="104"/>
      <c r="AH112" s="47">
        <f t="shared" si="33"/>
        <v>134</v>
      </c>
      <c r="AI112" s="48">
        <f t="shared" si="34"/>
        <v>124.5</v>
      </c>
    </row>
    <row r="113" spans="1:35" x14ac:dyDescent="0.25">
      <c r="A113" s="105" t="s">
        <v>113</v>
      </c>
      <c r="B113" s="65">
        <v>133.19999999999999</v>
      </c>
      <c r="C113" s="65">
        <v>132.1</v>
      </c>
      <c r="D113" s="65">
        <v>133.19999999999999</v>
      </c>
      <c r="E113" s="65">
        <v>133.19999999999999</v>
      </c>
      <c r="F113" s="65">
        <v>133.30000000000001</v>
      </c>
      <c r="G113" s="65">
        <v>131.6</v>
      </c>
      <c r="H113" s="65">
        <v>131.19999999999999</v>
      </c>
      <c r="I113" s="65">
        <v>131.19999999999999</v>
      </c>
      <c r="J113" s="65">
        <v>129.4</v>
      </c>
      <c r="K113" s="65">
        <v>129.4</v>
      </c>
      <c r="L113" s="65">
        <v>126.8</v>
      </c>
      <c r="M113" s="65">
        <v>129.80000000000001</v>
      </c>
      <c r="N113" s="65">
        <v>127</v>
      </c>
      <c r="O113" s="65">
        <v>131.69999999999999</v>
      </c>
      <c r="P113" s="65">
        <v>128.4</v>
      </c>
      <c r="Q113" s="65">
        <v>130.5</v>
      </c>
      <c r="R113" s="65">
        <v>130.5</v>
      </c>
      <c r="S113" s="65">
        <v>132.1</v>
      </c>
      <c r="T113" s="65">
        <v>130.6</v>
      </c>
      <c r="U113" s="65">
        <v>126.1</v>
      </c>
      <c r="V113" s="65">
        <v>129</v>
      </c>
      <c r="W113" s="65">
        <v>130</v>
      </c>
      <c r="X113" s="65">
        <v>128.19999999999999</v>
      </c>
      <c r="Y113" s="65">
        <v>130.1</v>
      </c>
      <c r="Z113" s="65">
        <v>133.1</v>
      </c>
      <c r="AA113" s="65">
        <v>133.5</v>
      </c>
      <c r="AB113" s="65">
        <v>135.30000000000001</v>
      </c>
      <c r="AC113" s="65">
        <v>132.5</v>
      </c>
      <c r="AD113" s="65">
        <v>131.4</v>
      </c>
      <c r="AE113" s="65">
        <v>130.4</v>
      </c>
      <c r="AF113" s="65">
        <v>132.69999999999999</v>
      </c>
      <c r="AG113" s="104"/>
      <c r="AH113" s="47">
        <f t="shared" si="33"/>
        <v>135.30000000000001</v>
      </c>
      <c r="AI113" s="48">
        <f t="shared" si="34"/>
        <v>126.1</v>
      </c>
    </row>
    <row r="114" spans="1:35" x14ac:dyDescent="0.25">
      <c r="A114" s="105" t="s">
        <v>114</v>
      </c>
      <c r="B114" s="106">
        <v>131.6</v>
      </c>
      <c r="C114" s="106">
        <v>130.5</v>
      </c>
      <c r="D114" s="106">
        <v>131.6</v>
      </c>
      <c r="E114" s="106">
        <v>131.6</v>
      </c>
      <c r="F114" s="106">
        <v>128.4</v>
      </c>
      <c r="G114" s="106">
        <v>132.1</v>
      </c>
      <c r="H114" s="106">
        <v>131.9</v>
      </c>
      <c r="I114" s="106">
        <v>131.9</v>
      </c>
      <c r="J114" s="106">
        <v>131.9</v>
      </c>
      <c r="K114" s="106">
        <v>131.9</v>
      </c>
      <c r="L114" s="106">
        <v>130.69999999999999</v>
      </c>
      <c r="M114" s="106">
        <v>131.9</v>
      </c>
      <c r="N114" s="106">
        <v>127.9</v>
      </c>
      <c r="O114" s="106">
        <v>130.69999999999999</v>
      </c>
      <c r="P114" s="106">
        <v>129.1</v>
      </c>
      <c r="Q114" s="106">
        <v>130.4</v>
      </c>
      <c r="R114" s="106">
        <v>130.4</v>
      </c>
      <c r="S114" s="106">
        <v>129</v>
      </c>
      <c r="T114" s="106">
        <v>129.19999999999999</v>
      </c>
      <c r="U114" s="106">
        <v>132.6</v>
      </c>
      <c r="V114" s="106">
        <v>135.19999999999999</v>
      </c>
      <c r="W114" s="106">
        <v>134.80000000000001</v>
      </c>
      <c r="X114" s="106">
        <v>135.5</v>
      </c>
      <c r="Y114" s="106">
        <v>131</v>
      </c>
      <c r="Z114" s="106">
        <v>132.19999999999999</v>
      </c>
      <c r="AA114" s="106">
        <v>131.9</v>
      </c>
      <c r="AB114" s="106">
        <v>132</v>
      </c>
      <c r="AC114" s="106">
        <v>132.9</v>
      </c>
      <c r="AD114" s="106">
        <v>132.6</v>
      </c>
      <c r="AE114" s="106">
        <v>133.1</v>
      </c>
      <c r="AF114" s="106">
        <v>126.1</v>
      </c>
      <c r="AG114" s="107"/>
      <c r="AH114" s="47">
        <f t="shared" si="33"/>
        <v>135.5</v>
      </c>
      <c r="AI114" s="48">
        <f t="shared" si="34"/>
        <v>126.1</v>
      </c>
    </row>
    <row r="115" spans="1:35" x14ac:dyDescent="0.25">
      <c r="A115" s="103" t="s">
        <v>115</v>
      </c>
      <c r="B115" s="65">
        <v>131.69999999999999</v>
      </c>
      <c r="C115" s="65">
        <v>133.19999999999999</v>
      </c>
      <c r="D115" s="65">
        <v>131.69999999999999</v>
      </c>
      <c r="E115" s="65">
        <v>131.69999999999999</v>
      </c>
      <c r="F115" s="65">
        <v>135</v>
      </c>
      <c r="G115" s="65">
        <v>130.1</v>
      </c>
      <c r="H115" s="65">
        <v>134.19999999999999</v>
      </c>
      <c r="I115" s="65">
        <v>134.19999999999999</v>
      </c>
      <c r="J115" s="65">
        <v>126.6</v>
      </c>
      <c r="K115" s="65">
        <v>126.6</v>
      </c>
      <c r="L115" s="65">
        <v>126.6</v>
      </c>
      <c r="M115" s="65">
        <v>133.19999999999999</v>
      </c>
      <c r="N115" s="65">
        <v>133</v>
      </c>
      <c r="O115" s="65">
        <v>129.69999999999999</v>
      </c>
      <c r="P115" s="65">
        <v>138</v>
      </c>
      <c r="Q115" s="65">
        <v>137.80000000000001</v>
      </c>
      <c r="R115" s="65">
        <v>137.80000000000001</v>
      </c>
      <c r="S115" s="65">
        <v>130</v>
      </c>
      <c r="T115" s="65">
        <v>135</v>
      </c>
      <c r="U115" s="65">
        <v>134.1</v>
      </c>
      <c r="V115" s="65">
        <v>129</v>
      </c>
      <c r="W115" s="65">
        <v>136</v>
      </c>
      <c r="X115" s="65">
        <v>137</v>
      </c>
      <c r="Y115" s="65">
        <v>133</v>
      </c>
      <c r="Z115" s="65">
        <v>138</v>
      </c>
      <c r="AA115" s="65">
        <v>134.30000000000001</v>
      </c>
      <c r="AB115" s="65">
        <v>135.5</v>
      </c>
      <c r="AC115" s="65">
        <v>135.6</v>
      </c>
      <c r="AD115" s="65">
        <v>133</v>
      </c>
      <c r="AE115" s="65">
        <v>129.9</v>
      </c>
      <c r="AF115" s="65">
        <v>133.19999999999999</v>
      </c>
      <c r="AG115" s="104"/>
      <c r="AH115" s="47">
        <f t="shared" si="33"/>
        <v>138</v>
      </c>
      <c r="AI115" s="48">
        <f t="shared" si="34"/>
        <v>126.6</v>
      </c>
    </row>
    <row r="116" spans="1:35" ht="15.75" thickBot="1" x14ac:dyDescent="0.3">
      <c r="A116" s="103" t="s">
        <v>116</v>
      </c>
      <c r="B116" s="92">
        <v>66</v>
      </c>
      <c r="C116" s="92">
        <v>66.099999999999994</v>
      </c>
      <c r="D116" s="92">
        <v>66</v>
      </c>
      <c r="E116" s="92">
        <v>66</v>
      </c>
      <c r="F116" s="92">
        <v>65.599999999999994</v>
      </c>
      <c r="G116" s="92">
        <v>65.599999999999994</v>
      </c>
      <c r="H116" s="92">
        <v>65.400000000000006</v>
      </c>
      <c r="I116" s="92">
        <v>65.400000000000006</v>
      </c>
      <c r="J116" s="92">
        <v>64.5</v>
      </c>
      <c r="K116" s="92">
        <v>64.5</v>
      </c>
      <c r="L116" s="92">
        <v>63.3</v>
      </c>
      <c r="M116" s="92">
        <v>63.5</v>
      </c>
      <c r="N116" s="92">
        <v>64.599999999999994</v>
      </c>
      <c r="O116" s="92">
        <v>64.2</v>
      </c>
      <c r="P116" s="92">
        <v>62.1</v>
      </c>
      <c r="Q116" s="92">
        <v>62.9</v>
      </c>
      <c r="R116" s="92">
        <v>62.9</v>
      </c>
      <c r="S116" s="92">
        <v>63.1</v>
      </c>
      <c r="T116" s="92">
        <v>63.1</v>
      </c>
      <c r="U116" s="92">
        <v>63.2</v>
      </c>
      <c r="V116" s="92">
        <v>64</v>
      </c>
      <c r="W116" s="92">
        <v>64.8</v>
      </c>
      <c r="X116" s="92">
        <v>65</v>
      </c>
      <c r="Y116" s="92">
        <v>63.6</v>
      </c>
      <c r="Z116" s="92">
        <v>64.599999999999994</v>
      </c>
      <c r="AA116" s="92">
        <v>64.8</v>
      </c>
      <c r="AB116" s="92">
        <v>64.599999999999994</v>
      </c>
      <c r="AC116" s="92">
        <v>64.900000000000006</v>
      </c>
      <c r="AD116" s="92">
        <v>64.8</v>
      </c>
      <c r="AE116" s="92">
        <v>64.900000000000006</v>
      </c>
      <c r="AF116" s="92">
        <v>64.900000000000006</v>
      </c>
      <c r="AG116" s="108"/>
      <c r="AH116" s="47">
        <f t="shared" si="33"/>
        <v>66.099999999999994</v>
      </c>
      <c r="AI116" s="48">
        <f t="shared" si="34"/>
        <v>62.1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 t="s">
        <v>117</v>
      </c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33"/>
        <v>0</v>
      </c>
      <c r="AI117" s="48">
        <f t="shared" si="34"/>
        <v>0</v>
      </c>
    </row>
    <row r="118" spans="1:35" ht="15.75" thickBot="1" x14ac:dyDescent="0.3">
      <c r="A118" s="110" t="s">
        <v>118</v>
      </c>
      <c r="B118" s="111">
        <f t="shared" ref="B118:D118" si="109">SUM(B22,B28,B31:B32,B66,B68:B69,B71,B73,B119:B123,B155,B161,B167,B176,B178,B190,B197,B200:B201,B208,B210,B212,B216:B218,B220:B222,B227,B233:B234,B236:B238,B246,B251)</f>
        <v>214.06</v>
      </c>
      <c r="C118" s="111">
        <f t="shared" si="109"/>
        <v>205.47200000000001</v>
      </c>
      <c r="D118" s="111">
        <f t="shared" si="109"/>
        <v>145.84</v>
      </c>
      <c r="E118" s="111">
        <f t="shared" ref="E118:F118" si="110">SUM(E22,E28,E31:E32,E66,E68:E69,E71,E73,E119:E123,E155,E161,E167,E176,E178,E190,E197,E200:E201,E208,E210,E212,E216:E218,E220:E222,E227,E233:E234,E236:E238,E246,E251)</f>
        <v>144.4</v>
      </c>
      <c r="F118" s="111">
        <f t="shared" si="110"/>
        <v>146.76000000000002</v>
      </c>
      <c r="G118" s="111">
        <f t="shared" ref="G118:H118" si="111">SUM(G22,G28,G31:G32,G66,G68:G69,G71,G73,G119:G123,G155,G161,G167,G176,G178,G190,G197,G200:G201,G208,G210,G212,G216:G218,G220:G222,G227,G233:G234,G236:G238,G246,G251)</f>
        <v>177.5</v>
      </c>
      <c r="H118" s="111">
        <f t="shared" si="111"/>
        <v>210.51999999999998</v>
      </c>
      <c r="I118" s="111">
        <f t="shared" ref="I118:J118" si="112">SUM(I22,I28,I31:I32,I66,I68:I69,I71,I73,I119:I123,I155,I161,I167,I176,I178,I190,I197,I200:I201,I208,I210,I212,I216:I218,I220:I222,I227,I233:I234,I236:I238,I246,I251)</f>
        <v>248.64</v>
      </c>
      <c r="J118" s="111">
        <f t="shared" si="112"/>
        <v>304.38</v>
      </c>
      <c r="K118" s="111">
        <f t="shared" ref="K118:L118" si="113">SUM(K22,K28,K31:K32,K66,K68:K69,K71,K73,K119:K123,K155,K161,K167,K176,K178,K190,K197,K200:K201,K208,K210,K212,K216:K218,K220:K222,K227,K233:K234,K236:K238,K246,K251)</f>
        <v>304.38</v>
      </c>
      <c r="L118" s="111">
        <f t="shared" si="113"/>
        <v>423.48</v>
      </c>
      <c r="M118" s="111">
        <f t="shared" ref="M118:O118" si="114">SUM(M22,M28,M31:M32,M66,M68:M69,M71,M73,M119:M123,M155,M161,M167,M176,M178,M190,M197,M200:M201,M208,M210,M212,M216:M218,M220:M222,M227,M233:M234,M236:M238,M246,M251)</f>
        <v>412.23700000000002</v>
      </c>
      <c r="N118" s="111">
        <f t="shared" si="114"/>
        <v>414.64000000000004</v>
      </c>
      <c r="O118" s="111">
        <f t="shared" si="114"/>
        <v>390.14</v>
      </c>
      <c r="P118" s="111">
        <v>42</v>
      </c>
      <c r="Q118" s="111">
        <f t="shared" ref="Q118:AC118" si="115">SUM(Q22,Q28,Q31:Q32,Q66,Q68:Q69,Q71,Q73,Q119:Q123,Q155,Q161,Q167,Q176,Q178,Q190,Q197,Q200:Q201,Q208,Q210,Q212,Q216:Q218,Q220:Q222,Q227,Q233:Q234,Q236:Q238,Q246,Q251)</f>
        <v>354.33699999999993</v>
      </c>
      <c r="R118" s="111">
        <f t="shared" si="115"/>
        <v>364.524</v>
      </c>
      <c r="S118" s="111">
        <f t="shared" si="115"/>
        <v>358.74</v>
      </c>
      <c r="T118" s="111">
        <f t="shared" si="115"/>
        <v>355.84</v>
      </c>
      <c r="U118" s="111">
        <f t="shared" si="115"/>
        <v>373.84</v>
      </c>
      <c r="V118" s="111">
        <f t="shared" si="115"/>
        <v>392.09999999999997</v>
      </c>
      <c r="W118" s="111">
        <f t="shared" si="115"/>
        <v>419.04</v>
      </c>
      <c r="X118" s="111">
        <f t="shared" si="115"/>
        <v>447.44</v>
      </c>
      <c r="Y118" s="111">
        <f t="shared" ref="Y118:Z118" si="116">SUM(Y20,Y26,Y37:Y38,Y66,Y68:Y69,Y71,Y73,Y119:Y123,Y148,Y154,Y160,Y169,Y171,Y183,Y190,Y193:Y194,Y201,Y203,Y205,Y209:Y211,Y213:Y215,Y220,Y226:Y227,Y229:Y231,Y239,Y244)</f>
        <v>483.9</v>
      </c>
      <c r="Z118" s="111">
        <f t="shared" si="116"/>
        <v>498.5</v>
      </c>
      <c r="AA118" s="111">
        <f t="shared" si="115"/>
        <v>488.04</v>
      </c>
      <c r="AB118" s="111">
        <f t="shared" si="115"/>
        <v>464.18</v>
      </c>
      <c r="AC118" s="111">
        <f t="shared" si="115"/>
        <v>440.25999999999993</v>
      </c>
      <c r="AD118" s="111"/>
      <c r="AE118" s="111">
        <f>SUM(AE22,AE28,AE31:AE32,AE66,AE68:AE69,AE71,AE73,AE119:AE123,AE155,AE161,AE167,AE176,AE178,AE190,AE197,AE200:AE201,AE208,AE210,AE212,AE216:AE218,AE220:AE222,AE227,AE233:AE234,AE236:AE238,AE246,AE251)</f>
        <v>291.32</v>
      </c>
      <c r="AF118" s="111">
        <f>SUM(AF22,AF28,AF31:AF32,AF66,AF68:AF69,AF71,AF73,AF119:AF123,AF155,AF161,AF167,AF176,AF178,AF190,AF197,AF200:AF201,AF208,AF210,AF212,AF216:AF218,AF220:AF222,AF227,AF233:AF234,AF236:AF238,AF246,AF251)</f>
        <v>180.18</v>
      </c>
      <c r="AG118" s="112"/>
      <c r="AH118" s="47">
        <f t="shared" si="33"/>
        <v>498.5</v>
      </c>
      <c r="AI118" s="48">
        <f t="shared" si="34"/>
        <v>42</v>
      </c>
    </row>
    <row r="119" spans="1:35" x14ac:dyDescent="0.25">
      <c r="A119" s="172" t="s">
        <v>119</v>
      </c>
      <c r="B119" s="113">
        <v>0</v>
      </c>
      <c r="C119" s="113">
        <v>0</v>
      </c>
      <c r="D119" s="113">
        <v>-9.9</v>
      </c>
      <c r="E119" s="113">
        <v>-5.0999999999999996</v>
      </c>
      <c r="F119" s="113">
        <v>-16.100000000000001</v>
      </c>
      <c r="G119" s="113">
        <v>-2.4</v>
      </c>
      <c r="H119" s="113">
        <v>5.2</v>
      </c>
      <c r="I119" s="113">
        <v>14.8</v>
      </c>
      <c r="J119" s="113">
        <v>30</v>
      </c>
      <c r="K119" s="113">
        <v>30</v>
      </c>
      <c r="L119" s="113">
        <v>33.9</v>
      </c>
      <c r="M119" s="113">
        <v>33.9</v>
      </c>
      <c r="N119" s="113">
        <v>7.3</v>
      </c>
      <c r="O119" s="113">
        <v>14.2</v>
      </c>
      <c r="P119" s="113">
        <v>12.7</v>
      </c>
      <c r="Q119" s="113">
        <v>0</v>
      </c>
      <c r="R119" s="113">
        <v>0</v>
      </c>
      <c r="S119" s="113">
        <v>4.4000000000000004</v>
      </c>
      <c r="T119" s="113">
        <v>4.5999999999999996</v>
      </c>
      <c r="U119" s="113">
        <v>8</v>
      </c>
      <c r="V119" s="113">
        <v>12</v>
      </c>
      <c r="W119" s="113">
        <v>27.3</v>
      </c>
      <c r="X119" s="113">
        <v>33</v>
      </c>
      <c r="Y119" s="113">
        <v>35</v>
      </c>
      <c r="Z119" s="113">
        <v>37</v>
      </c>
      <c r="AA119" s="113">
        <v>41</v>
      </c>
      <c r="AB119" s="113">
        <v>32.1</v>
      </c>
      <c r="AC119" s="113">
        <v>32</v>
      </c>
      <c r="AD119" s="113">
        <v>19.5</v>
      </c>
      <c r="AE119" s="113">
        <v>1.9</v>
      </c>
      <c r="AF119" s="113">
        <v>-12</v>
      </c>
      <c r="AG119" s="114">
        <v>75</v>
      </c>
      <c r="AH119" s="47">
        <f t="shared" si="33"/>
        <v>41</v>
      </c>
      <c r="AI119" s="48">
        <f t="shared" si="34"/>
        <v>-16.100000000000001</v>
      </c>
    </row>
    <row r="120" spans="1:35" x14ac:dyDescent="0.25">
      <c r="A120" s="173" t="s">
        <v>120</v>
      </c>
      <c r="B120" s="115">
        <v>-3.4</v>
      </c>
      <c r="C120" s="115">
        <v>-3.4</v>
      </c>
      <c r="D120" s="115">
        <v>-14.3</v>
      </c>
      <c r="E120" s="115">
        <v>-9.6999999999999993</v>
      </c>
      <c r="F120" s="115">
        <v>-22.4</v>
      </c>
      <c r="G120" s="115">
        <v>-2.7</v>
      </c>
      <c r="H120" s="115">
        <v>7.8</v>
      </c>
      <c r="I120" s="115">
        <v>21.1</v>
      </c>
      <c r="J120" s="115">
        <v>40</v>
      </c>
      <c r="K120" s="115">
        <v>40</v>
      </c>
      <c r="L120" s="115">
        <v>43.4</v>
      </c>
      <c r="M120" s="115">
        <v>46.5</v>
      </c>
      <c r="N120" s="115">
        <v>10.4</v>
      </c>
      <c r="O120" s="115">
        <v>19.7</v>
      </c>
      <c r="P120" s="115">
        <v>18.5</v>
      </c>
      <c r="Q120" s="115">
        <v>28.4</v>
      </c>
      <c r="R120" s="115">
        <v>29.3</v>
      </c>
      <c r="S120" s="115">
        <v>5.3</v>
      </c>
      <c r="T120" s="115">
        <v>3.8</v>
      </c>
      <c r="U120" s="115">
        <v>10.8</v>
      </c>
      <c r="V120" s="115">
        <v>15.1</v>
      </c>
      <c r="W120" s="115">
        <v>36</v>
      </c>
      <c r="X120" s="115">
        <v>44</v>
      </c>
      <c r="Y120" s="115">
        <v>45.2</v>
      </c>
      <c r="Z120" s="115">
        <v>49.6</v>
      </c>
      <c r="AA120" s="115">
        <v>55</v>
      </c>
      <c r="AB120" s="115">
        <v>41.7</v>
      </c>
      <c r="AC120" s="115">
        <v>41.6</v>
      </c>
      <c r="AD120" s="115">
        <v>23.3</v>
      </c>
      <c r="AE120" s="115">
        <v>0.4</v>
      </c>
      <c r="AF120" s="115">
        <v>-18</v>
      </c>
      <c r="AG120" s="114">
        <v>240</v>
      </c>
      <c r="AH120" s="47">
        <f t="shared" si="33"/>
        <v>55</v>
      </c>
      <c r="AI120" s="48">
        <f t="shared" si="34"/>
        <v>-22.4</v>
      </c>
    </row>
    <row r="121" spans="1:35" x14ac:dyDescent="0.25">
      <c r="A121" s="173" t="s">
        <v>121</v>
      </c>
      <c r="B121" s="115">
        <f>-4.3-4.8</f>
        <v>-9.1</v>
      </c>
      <c r="C121" s="115">
        <v>-22.5</v>
      </c>
      <c r="D121" s="115">
        <f>-18.3-20.2</f>
        <v>-38.5</v>
      </c>
      <c r="E121" s="115">
        <v>-40</v>
      </c>
      <c r="F121" s="115">
        <v>-37</v>
      </c>
      <c r="G121" s="115">
        <v>-36</v>
      </c>
      <c r="H121" s="115">
        <v>-25</v>
      </c>
      <c r="I121" s="115">
        <v>-19.600000000000001</v>
      </c>
      <c r="J121" s="115">
        <v>-8.9</v>
      </c>
      <c r="K121" s="115">
        <v>-8.9</v>
      </c>
      <c r="L121" s="115">
        <v>33.799999999999997</v>
      </c>
      <c r="M121" s="115">
        <v>19</v>
      </c>
      <c r="N121" s="115">
        <v>60</v>
      </c>
      <c r="O121" s="115">
        <v>65.5</v>
      </c>
      <c r="P121" s="115">
        <v>42</v>
      </c>
      <c r="Q121" s="115">
        <v>25</v>
      </c>
      <c r="R121" s="115">
        <v>38</v>
      </c>
      <c r="S121" s="115">
        <v>45</v>
      </c>
      <c r="T121" s="115">
        <v>46</v>
      </c>
      <c r="U121" s="115">
        <v>50</v>
      </c>
      <c r="V121" s="115">
        <v>62</v>
      </c>
      <c r="W121" s="115">
        <v>86</v>
      </c>
      <c r="X121" s="115">
        <v>85</v>
      </c>
      <c r="Y121" s="115">
        <v>103</v>
      </c>
      <c r="Z121" s="115">
        <v>93</v>
      </c>
      <c r="AA121" s="115">
        <v>80</v>
      </c>
      <c r="AB121" s="115">
        <f>45.7+42.8</f>
        <v>88.5</v>
      </c>
      <c r="AC121" s="115">
        <f>40+37.2</f>
        <v>77.2</v>
      </c>
      <c r="AD121" s="115">
        <f>64</f>
        <v>64</v>
      </c>
      <c r="AE121" s="115">
        <f>12.4+2.2</f>
        <v>14.600000000000001</v>
      </c>
      <c r="AF121" s="115">
        <f>-4.8-4.8</f>
        <v>-9.6</v>
      </c>
      <c r="AG121" s="114">
        <v>240</v>
      </c>
      <c r="AH121" s="47">
        <f t="shared" si="33"/>
        <v>103</v>
      </c>
      <c r="AI121" s="48">
        <f t="shared" si="34"/>
        <v>-40</v>
      </c>
    </row>
    <row r="122" spans="1:35" ht="15.75" thickBot="1" x14ac:dyDescent="0.3">
      <c r="A122" s="173" t="s">
        <v>122</v>
      </c>
      <c r="B122" s="115">
        <v>-0.2</v>
      </c>
      <c r="C122" s="115">
        <v>-2.2999999999999998</v>
      </c>
      <c r="D122" s="115">
        <v>-8.3000000000000007</v>
      </c>
      <c r="E122" s="115">
        <v>-13</v>
      </c>
      <c r="F122" s="115">
        <v>-11.7</v>
      </c>
      <c r="G122" s="115">
        <v>-12.8</v>
      </c>
      <c r="H122" s="115">
        <v>-10</v>
      </c>
      <c r="I122" s="115">
        <v>-1.3</v>
      </c>
      <c r="J122" s="115">
        <v>3.4</v>
      </c>
      <c r="K122" s="115">
        <v>3.4</v>
      </c>
      <c r="L122" s="115">
        <v>47.7</v>
      </c>
      <c r="M122" s="115">
        <v>58.9</v>
      </c>
      <c r="N122" s="115">
        <v>51.6</v>
      </c>
      <c r="O122" s="115">
        <v>44.1</v>
      </c>
      <c r="P122" s="115">
        <v>32.200000000000003</v>
      </c>
      <c r="Q122" s="115">
        <v>19.600000000000001</v>
      </c>
      <c r="R122" s="115">
        <v>8.4</v>
      </c>
      <c r="S122" s="115">
        <v>38</v>
      </c>
      <c r="T122" s="115">
        <v>39</v>
      </c>
      <c r="U122" s="115">
        <v>42</v>
      </c>
      <c r="V122" s="115">
        <v>48.2</v>
      </c>
      <c r="W122" s="115">
        <v>59.3</v>
      </c>
      <c r="X122" s="115">
        <v>59</v>
      </c>
      <c r="Y122" s="115">
        <v>61</v>
      </c>
      <c r="Z122" s="115">
        <v>60</v>
      </c>
      <c r="AA122" s="115">
        <v>60</v>
      </c>
      <c r="AB122" s="115">
        <v>60.5</v>
      </c>
      <c r="AC122" s="115">
        <v>61.2</v>
      </c>
      <c r="AD122" s="115">
        <v>52.1</v>
      </c>
      <c r="AE122" s="115">
        <v>18.2</v>
      </c>
      <c r="AF122" s="115">
        <v>-5.0999999999999996</v>
      </c>
      <c r="AG122" s="114">
        <v>60</v>
      </c>
      <c r="AH122" s="47">
        <f t="shared" si="33"/>
        <v>61.2</v>
      </c>
      <c r="AI122" s="48">
        <f t="shared" si="34"/>
        <v>-13</v>
      </c>
    </row>
    <row r="123" spans="1:35" x14ac:dyDescent="0.25">
      <c r="A123" s="172" t="s">
        <v>260</v>
      </c>
      <c r="B123" s="117">
        <f>75.7*1.6</f>
        <v>121.12</v>
      </c>
      <c r="C123" s="117">
        <f>80.02*1.6</f>
        <v>128.03200000000001</v>
      </c>
      <c r="D123" s="117">
        <f>69.5*1.6</f>
        <v>111.2</v>
      </c>
      <c r="E123" s="117">
        <f>66.6*1.6</f>
        <v>106.56</v>
      </c>
      <c r="F123" s="117">
        <f>80.2*1.6</f>
        <v>128.32000000000002</v>
      </c>
      <c r="G123" s="117">
        <f>78.6*1.6</f>
        <v>125.75999999999999</v>
      </c>
      <c r="H123" s="117">
        <f>79.3*1.6</f>
        <v>126.88</v>
      </c>
      <c r="I123" s="117">
        <f>80*1.6</f>
        <v>128</v>
      </c>
      <c r="J123" s="117">
        <f>83.9*1.6</f>
        <v>134.24</v>
      </c>
      <c r="K123" s="117">
        <f>83.9*1.6</f>
        <v>134.24</v>
      </c>
      <c r="L123" s="117">
        <f>99.4*1.6</f>
        <v>159.04000000000002</v>
      </c>
      <c r="M123" s="117">
        <f>89.1*1.67</f>
        <v>148.797</v>
      </c>
      <c r="N123" s="117">
        <v>180</v>
      </c>
      <c r="O123" s="117">
        <v>140</v>
      </c>
      <c r="P123" s="117">
        <f>99.8*1.67</f>
        <v>166.666</v>
      </c>
      <c r="Q123" s="117">
        <f>99.1*1.67</f>
        <v>165.49699999999999</v>
      </c>
      <c r="R123" s="117">
        <f>105.2*1.67</f>
        <v>175.684</v>
      </c>
      <c r="S123" s="117">
        <f>98.5*1.6</f>
        <v>157.60000000000002</v>
      </c>
      <c r="T123" s="117">
        <f>99*1.6</f>
        <v>158.4</v>
      </c>
      <c r="U123" s="117">
        <f>100*1.6</f>
        <v>160</v>
      </c>
      <c r="V123" s="117">
        <f>96.1*1.6</f>
        <v>153.76</v>
      </c>
      <c r="W123" s="117">
        <f>69*1.6</f>
        <v>110.4</v>
      </c>
      <c r="X123" s="117">
        <f>79*1.6</f>
        <v>126.4</v>
      </c>
      <c r="Y123" s="117">
        <v>136</v>
      </c>
      <c r="Z123" s="117">
        <f>97*1.6</f>
        <v>155.20000000000002</v>
      </c>
      <c r="AA123" s="117">
        <f>95*1.6</f>
        <v>152</v>
      </c>
      <c r="AB123" s="117">
        <f>86*1.64</f>
        <v>141.04</v>
      </c>
      <c r="AC123" s="117">
        <f>78*1.64</f>
        <v>127.91999999999999</v>
      </c>
      <c r="AD123" s="117">
        <f>82.1*1.64</f>
        <v>134.64399999999998</v>
      </c>
      <c r="AE123" s="117">
        <f>92*1.64</f>
        <v>150.88</v>
      </c>
      <c r="AF123" s="117">
        <f>76.4*1.6</f>
        <v>122.24000000000001</v>
      </c>
      <c r="AG123" s="118">
        <v>120</v>
      </c>
      <c r="AH123" s="47">
        <f t="shared" si="33"/>
        <v>180</v>
      </c>
      <c r="AI123" s="48">
        <f t="shared" si="34"/>
        <v>106.56</v>
      </c>
    </row>
    <row r="124" spans="1:35" x14ac:dyDescent="0.25">
      <c r="A124" s="173" t="s">
        <v>259</v>
      </c>
      <c r="B124" s="117">
        <v>94.5</v>
      </c>
      <c r="C124" s="117">
        <v>92.8</v>
      </c>
      <c r="D124" s="117">
        <v>83.9</v>
      </c>
      <c r="E124" s="117">
        <v>79.900000000000006</v>
      </c>
      <c r="F124" s="117">
        <v>90.8</v>
      </c>
      <c r="G124" s="117">
        <v>89.4</v>
      </c>
      <c r="H124" s="117">
        <v>90.6</v>
      </c>
      <c r="I124" s="117">
        <v>91.3</v>
      </c>
      <c r="J124" s="117">
        <v>93.4</v>
      </c>
      <c r="K124" s="117">
        <v>93.4</v>
      </c>
      <c r="L124" s="117">
        <v>105.8</v>
      </c>
      <c r="M124" s="117">
        <v>98.6</v>
      </c>
      <c r="N124" s="117">
        <v>111</v>
      </c>
      <c r="O124" s="117">
        <v>97.9</v>
      </c>
      <c r="P124" s="117">
        <v>107.3</v>
      </c>
      <c r="Q124" s="117">
        <v>105.9</v>
      </c>
      <c r="R124" s="117">
        <v>111.5</v>
      </c>
      <c r="S124" s="117">
        <v>107</v>
      </c>
      <c r="T124" s="117">
        <v>108</v>
      </c>
      <c r="U124" s="117">
        <v>108</v>
      </c>
      <c r="V124" s="117">
        <v>103</v>
      </c>
      <c r="W124" s="117">
        <v>83</v>
      </c>
      <c r="X124" s="117">
        <v>90</v>
      </c>
      <c r="Y124" s="117">
        <v>94.3</v>
      </c>
      <c r="Z124" s="117">
        <v>105</v>
      </c>
      <c r="AA124" s="117">
        <v>103</v>
      </c>
      <c r="AB124" s="117">
        <v>95.9</v>
      </c>
      <c r="AC124" s="117">
        <v>90.4</v>
      </c>
      <c r="AD124" s="117">
        <v>94.1</v>
      </c>
      <c r="AE124" s="117">
        <v>104.5</v>
      </c>
      <c r="AF124" s="117">
        <v>90.1</v>
      </c>
      <c r="AG124" s="118"/>
      <c r="AH124" s="47"/>
      <c r="AI124" s="48"/>
    </row>
    <row r="125" spans="1:35" x14ac:dyDescent="0.25">
      <c r="A125" s="173" t="s">
        <v>256</v>
      </c>
      <c r="B125" s="117">
        <v>63.2</v>
      </c>
      <c r="C125" s="117">
        <v>61.3</v>
      </c>
      <c r="D125" s="117">
        <v>63.2</v>
      </c>
      <c r="E125" s="117">
        <v>70.400000000000006</v>
      </c>
      <c r="F125" s="117">
        <v>-38.299999999999997</v>
      </c>
      <c r="G125" s="117">
        <v>-62.5</v>
      </c>
      <c r="H125" s="117">
        <v>39.700000000000003</v>
      </c>
      <c r="I125" s="117">
        <v>39.299999999999997</v>
      </c>
      <c r="J125" s="117">
        <v>16.8</v>
      </c>
      <c r="K125" s="117">
        <v>16.8</v>
      </c>
      <c r="L125" s="117">
        <v>-19.2</v>
      </c>
      <c r="M125" s="117">
        <v>-34.6</v>
      </c>
      <c r="N125" s="117">
        <v>-21.23</v>
      </c>
      <c r="O125" s="117">
        <v>-23.8</v>
      </c>
      <c r="P125" s="117">
        <v>10.9</v>
      </c>
      <c r="Q125" s="117">
        <v>23</v>
      </c>
      <c r="R125" s="117">
        <v>29.9</v>
      </c>
      <c r="S125" s="117">
        <v>32</v>
      </c>
      <c r="T125" s="117">
        <v>34</v>
      </c>
      <c r="U125" s="117">
        <v>22</v>
      </c>
      <c r="V125" s="117">
        <v>8</v>
      </c>
      <c r="W125" s="117">
        <v>-50</v>
      </c>
      <c r="X125" s="117">
        <v>-54</v>
      </c>
      <c r="Y125" s="117">
        <v>-60</v>
      </c>
      <c r="Z125" s="117">
        <v>-61</v>
      </c>
      <c r="AA125" s="117">
        <v>-59</v>
      </c>
      <c r="AB125" s="117">
        <v>-54.6</v>
      </c>
      <c r="AC125" s="117">
        <v>-51.9</v>
      </c>
      <c r="AD125" s="117">
        <v>-21</v>
      </c>
      <c r="AE125" s="117">
        <v>42.7</v>
      </c>
      <c r="AF125" s="117">
        <v>37</v>
      </c>
      <c r="AG125" s="118"/>
      <c r="AH125" s="47"/>
      <c r="AI125" s="48"/>
    </row>
    <row r="126" spans="1:35" ht="15.75" thickBot="1" x14ac:dyDescent="0.3">
      <c r="A126" s="173" t="s">
        <v>255</v>
      </c>
      <c r="B126" s="117">
        <v>89.8</v>
      </c>
      <c r="C126" s="117">
        <v>95.6</v>
      </c>
      <c r="D126" s="117">
        <v>102.5</v>
      </c>
      <c r="E126" s="117">
        <v>96.2</v>
      </c>
      <c r="F126" s="117">
        <v>112.1</v>
      </c>
      <c r="G126" s="117">
        <v>105.8</v>
      </c>
      <c r="H126" s="117">
        <v>100.1</v>
      </c>
      <c r="I126" s="117">
        <v>99</v>
      </c>
      <c r="J126" s="117">
        <v>101.1</v>
      </c>
      <c r="K126" s="117">
        <v>101.1</v>
      </c>
      <c r="L126" s="117">
        <v>76.900000000000006</v>
      </c>
      <c r="M126" s="117">
        <v>73.400000000000006</v>
      </c>
      <c r="N126" s="117">
        <v>101</v>
      </c>
      <c r="O126" s="117">
        <v>101.3</v>
      </c>
      <c r="P126" s="117">
        <v>93.1</v>
      </c>
      <c r="Q126" s="117">
        <v>91.9</v>
      </c>
      <c r="R126" s="117">
        <v>112.4</v>
      </c>
      <c r="S126" s="117">
        <v>100</v>
      </c>
      <c r="T126" s="117">
        <v>96</v>
      </c>
      <c r="U126" s="117">
        <v>101</v>
      </c>
      <c r="V126" s="117">
        <v>91</v>
      </c>
      <c r="W126" s="117">
        <v>86</v>
      </c>
      <c r="X126" s="117">
        <v>82</v>
      </c>
      <c r="Y126" s="117">
        <v>103</v>
      </c>
      <c r="Z126" s="117">
        <v>87</v>
      </c>
      <c r="AA126" s="117">
        <v>71</v>
      </c>
      <c r="AB126" s="117">
        <v>84</v>
      </c>
      <c r="AC126" s="117">
        <v>71.7</v>
      </c>
      <c r="AD126" s="117">
        <v>70.900000000000006</v>
      </c>
      <c r="AE126" s="117">
        <v>95.9</v>
      </c>
      <c r="AF126" s="117">
        <v>95.9</v>
      </c>
      <c r="AG126" s="114"/>
      <c r="AH126" s="47">
        <f t="shared" si="33"/>
        <v>112.4</v>
      </c>
      <c r="AI126" s="48">
        <f t="shared" si="34"/>
        <v>70.900000000000006</v>
      </c>
    </row>
    <row r="127" spans="1:35" x14ac:dyDescent="0.25">
      <c r="A127" s="172" t="s">
        <v>257</v>
      </c>
      <c r="B127" s="117">
        <v>-9.6999999999999993</v>
      </c>
      <c r="C127" s="117">
        <v>-10.1</v>
      </c>
      <c r="D127" s="117">
        <v>-9.8000000000000007</v>
      </c>
      <c r="E127" s="117">
        <v>-11.7</v>
      </c>
      <c r="F127" s="117">
        <v>-11</v>
      </c>
      <c r="G127" s="117">
        <v>-13.1</v>
      </c>
      <c r="H127" s="117">
        <v>-12.9</v>
      </c>
      <c r="I127" s="117">
        <v>-15.2</v>
      </c>
      <c r="J127" s="117">
        <v>-15.4</v>
      </c>
      <c r="K127" s="117">
        <v>-15.4</v>
      </c>
      <c r="L127" s="117">
        <v>-3.8</v>
      </c>
      <c r="M127" s="117">
        <v>30</v>
      </c>
      <c r="N127" s="117">
        <v>40</v>
      </c>
      <c r="O127" s="117">
        <v>42</v>
      </c>
      <c r="P127" s="117">
        <v>0</v>
      </c>
      <c r="Q127" s="117">
        <v>-12.1</v>
      </c>
      <c r="R127" s="117">
        <v>-11.8</v>
      </c>
      <c r="S127" s="117">
        <v>-12</v>
      </c>
      <c r="T127" s="117">
        <v>-13</v>
      </c>
      <c r="U127" s="117">
        <v>-11</v>
      </c>
      <c r="V127" s="117">
        <v>-14</v>
      </c>
      <c r="W127" s="117">
        <v>-5</v>
      </c>
      <c r="X127" s="117">
        <v>-4</v>
      </c>
      <c r="Y127" s="117">
        <v>-2</v>
      </c>
      <c r="Z127" s="117">
        <v>-2</v>
      </c>
      <c r="AA127" s="117">
        <v>-2</v>
      </c>
      <c r="AB127" s="117">
        <v>-2</v>
      </c>
      <c r="AC127" s="117">
        <v>-1</v>
      </c>
      <c r="AD127" s="117">
        <v>-5</v>
      </c>
      <c r="AE127" s="117">
        <v>-5.7</v>
      </c>
      <c r="AF127" s="117">
        <v>-5.7</v>
      </c>
      <c r="AG127" s="114"/>
      <c r="AH127" s="47">
        <f t="shared" si="33"/>
        <v>42</v>
      </c>
      <c r="AI127" s="48">
        <f t="shared" si="34"/>
        <v>-15.4</v>
      </c>
    </row>
    <row r="128" spans="1:35" x14ac:dyDescent="0.25">
      <c r="A128" s="173" t="s">
        <v>124</v>
      </c>
      <c r="B128" s="106">
        <v>-4.4000000000000004</v>
      </c>
      <c r="C128" s="106">
        <v>-0.8</v>
      </c>
      <c r="D128" s="106">
        <v>1.2</v>
      </c>
      <c r="E128" s="106">
        <v>2.1</v>
      </c>
      <c r="F128" s="106">
        <v>0.5</v>
      </c>
      <c r="G128" s="106">
        <v>-1.8</v>
      </c>
      <c r="H128" s="106">
        <v>-6.9</v>
      </c>
      <c r="I128" s="106">
        <v>-13.5</v>
      </c>
      <c r="J128" s="106">
        <v>-19.3</v>
      </c>
      <c r="K128" s="106">
        <v>-19.3</v>
      </c>
      <c r="L128" s="106">
        <v>-36.4</v>
      </c>
      <c r="M128" s="106">
        <v>-29.6</v>
      </c>
      <c r="N128" s="106">
        <v>-34.5</v>
      </c>
      <c r="O128" s="106">
        <v>-18.5</v>
      </c>
      <c r="P128" s="106">
        <v>-17.3</v>
      </c>
      <c r="Q128" s="106">
        <v>-4.3</v>
      </c>
      <c r="R128" s="106">
        <v>-1.5</v>
      </c>
      <c r="S128" s="106">
        <v>-12</v>
      </c>
      <c r="T128" s="106">
        <v>-11</v>
      </c>
      <c r="U128" s="106">
        <v>-16</v>
      </c>
      <c r="V128" s="106">
        <v>-16.2</v>
      </c>
      <c r="W128" s="106">
        <v>-24</v>
      </c>
      <c r="X128" s="106">
        <v>-41</v>
      </c>
      <c r="Y128" s="106">
        <v>-47</v>
      </c>
      <c r="Z128" s="106">
        <v>-37</v>
      </c>
      <c r="AA128" s="106">
        <v>-41</v>
      </c>
      <c r="AB128" s="106">
        <v>-28.3</v>
      </c>
      <c r="AC128" s="106">
        <v>-22.2</v>
      </c>
      <c r="AD128" s="106">
        <v>-15.3</v>
      </c>
      <c r="AE128" s="106">
        <v>-7.5</v>
      </c>
      <c r="AF128" s="106">
        <v>-7.5</v>
      </c>
      <c r="AG128" s="114"/>
      <c r="AH128" s="47">
        <f t="shared" si="33"/>
        <v>2.1</v>
      </c>
      <c r="AI128" s="48">
        <f t="shared" si="34"/>
        <v>-47</v>
      </c>
    </row>
    <row r="129" spans="1:37" x14ac:dyDescent="0.25">
      <c r="A129" s="173" t="s">
        <v>261</v>
      </c>
      <c r="B129" s="106">
        <v>26.6</v>
      </c>
      <c r="C129" s="106">
        <v>25.1</v>
      </c>
      <c r="D129" s="106">
        <v>24.9</v>
      </c>
      <c r="E129" s="106">
        <v>22.5</v>
      </c>
      <c r="F129" s="106">
        <v>25.2</v>
      </c>
      <c r="G129" s="106">
        <v>26</v>
      </c>
      <c r="H129" s="106">
        <v>23.3</v>
      </c>
      <c r="I129" s="106">
        <v>26.9</v>
      </c>
      <c r="J129" s="106">
        <v>28.6</v>
      </c>
      <c r="K129" s="106">
        <v>28.6</v>
      </c>
      <c r="L129" s="106">
        <v>12.9</v>
      </c>
      <c r="M129" s="106">
        <v>13.5</v>
      </c>
      <c r="N129" s="106">
        <v>13.2</v>
      </c>
      <c r="O129" s="106">
        <v>11.1</v>
      </c>
      <c r="P129" s="106">
        <v>14.5</v>
      </c>
      <c r="Q129" s="106">
        <v>27.9</v>
      </c>
      <c r="R129" s="106">
        <v>28</v>
      </c>
      <c r="S129" s="106">
        <v>29</v>
      </c>
      <c r="T129" s="106">
        <v>29</v>
      </c>
      <c r="U129" s="106">
        <v>29</v>
      </c>
      <c r="V129" s="106">
        <v>13.5</v>
      </c>
      <c r="W129" s="106">
        <v>12</v>
      </c>
      <c r="X129" s="106">
        <v>12</v>
      </c>
      <c r="Y129" s="106">
        <v>12.1</v>
      </c>
      <c r="Z129" s="106">
        <v>12</v>
      </c>
      <c r="AA129" s="106">
        <v>12</v>
      </c>
      <c r="AB129" s="106">
        <v>10.4</v>
      </c>
      <c r="AC129" s="106">
        <v>10</v>
      </c>
      <c r="AD129" s="106">
        <v>8.9</v>
      </c>
      <c r="AE129" s="106">
        <v>24.6</v>
      </c>
      <c r="AF129" s="106">
        <v>24.6</v>
      </c>
      <c r="AG129" s="114"/>
      <c r="AH129" s="47">
        <f t="shared" si="33"/>
        <v>29</v>
      </c>
      <c r="AI129" s="48">
        <f t="shared" si="34"/>
        <v>8.9</v>
      </c>
    </row>
    <row r="130" spans="1:37" ht="15.75" thickBot="1" x14ac:dyDescent="0.3">
      <c r="A130" s="173" t="s">
        <v>258</v>
      </c>
      <c r="B130" s="106">
        <v>94.8</v>
      </c>
      <c r="C130" s="106">
        <v>90.8</v>
      </c>
      <c r="D130" s="106">
        <v>84.2</v>
      </c>
      <c r="E130" s="106">
        <v>79.2</v>
      </c>
      <c r="F130" s="106">
        <v>81.900000000000006</v>
      </c>
      <c r="G130" s="106">
        <v>86.7</v>
      </c>
      <c r="H130" s="106">
        <v>84.9</v>
      </c>
      <c r="I130" s="106">
        <v>95.5</v>
      </c>
      <c r="J130" s="106">
        <v>101.9</v>
      </c>
      <c r="K130" s="106">
        <v>101.9</v>
      </c>
      <c r="L130" s="106">
        <v>102.4</v>
      </c>
      <c r="M130" s="106">
        <v>83.4</v>
      </c>
      <c r="N130" s="106">
        <v>76.8</v>
      </c>
      <c r="O130" s="106">
        <v>63.3</v>
      </c>
      <c r="P130" s="106">
        <v>71.900000000000006</v>
      </c>
      <c r="Q130" s="106">
        <v>93.5</v>
      </c>
      <c r="R130" s="106">
        <v>90</v>
      </c>
      <c r="S130" s="106">
        <v>84</v>
      </c>
      <c r="T130" s="106">
        <v>91</v>
      </c>
      <c r="U130" s="106">
        <v>103</v>
      </c>
      <c r="V130" s="106">
        <v>100</v>
      </c>
      <c r="W130" s="106">
        <v>91</v>
      </c>
      <c r="X130" s="106">
        <v>100</v>
      </c>
      <c r="Y130" s="106">
        <v>112</v>
      </c>
      <c r="Z130" s="106">
        <v>99</v>
      </c>
      <c r="AA130" s="106">
        <v>101</v>
      </c>
      <c r="AB130" s="106">
        <v>89</v>
      </c>
      <c r="AC130" s="106">
        <v>86</v>
      </c>
      <c r="AD130" s="106">
        <v>88.2</v>
      </c>
      <c r="AE130" s="106">
        <v>96.2</v>
      </c>
      <c r="AF130" s="106">
        <v>96.2</v>
      </c>
      <c r="AG130" s="114"/>
      <c r="AH130" s="47">
        <f t="shared" si="33"/>
        <v>112</v>
      </c>
      <c r="AI130" s="48">
        <f t="shared" si="34"/>
        <v>63.3</v>
      </c>
    </row>
    <row r="131" spans="1:37" x14ac:dyDescent="0.25">
      <c r="A131" s="144" t="s">
        <v>238</v>
      </c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5"/>
      <c r="AG131" s="43"/>
      <c r="AH131" s="47"/>
      <c r="AI131" s="48"/>
    </row>
    <row r="132" spans="1:37" x14ac:dyDescent="0.25">
      <c r="A132" s="189" t="s">
        <v>368</v>
      </c>
      <c r="B132" s="147">
        <v>1983.61</v>
      </c>
      <c r="C132" s="147">
        <v>1983.9</v>
      </c>
      <c r="D132" s="147">
        <v>1984.18</v>
      </c>
      <c r="E132" s="147"/>
      <c r="F132" s="147"/>
      <c r="G132" s="147"/>
      <c r="H132" s="147"/>
      <c r="I132" s="147">
        <v>1985.2</v>
      </c>
      <c r="J132" s="147"/>
      <c r="K132" s="147">
        <v>1985.25</v>
      </c>
      <c r="L132" s="147">
        <v>1985.05</v>
      </c>
      <c r="M132" s="147">
        <v>1984.65</v>
      </c>
      <c r="N132" s="147">
        <v>1984.05</v>
      </c>
      <c r="O132" s="147">
        <v>1983.25</v>
      </c>
      <c r="P132" s="147">
        <v>1982.65</v>
      </c>
      <c r="Q132" s="147">
        <v>1982.6</v>
      </c>
      <c r="R132" s="147">
        <v>1982.83</v>
      </c>
      <c r="S132" s="147">
        <v>1983.15</v>
      </c>
      <c r="T132" s="147">
        <v>1983.45</v>
      </c>
      <c r="U132" s="147">
        <v>1983.72</v>
      </c>
      <c r="V132" s="147">
        <v>1983.98</v>
      </c>
      <c r="W132" s="147">
        <v>1983.98</v>
      </c>
      <c r="X132" s="147"/>
      <c r="Y132" s="147"/>
      <c r="Z132" s="147">
        <v>1982.8</v>
      </c>
      <c r="AA132" s="147">
        <v>1982.5</v>
      </c>
      <c r="AB132" s="147">
        <v>1982.58</v>
      </c>
      <c r="AC132" s="147"/>
      <c r="AD132" s="147">
        <v>1982.55</v>
      </c>
      <c r="AE132" s="147">
        <v>1982.71</v>
      </c>
      <c r="AF132" s="147">
        <v>1983</v>
      </c>
      <c r="AG132" s="149"/>
      <c r="AH132" s="47"/>
      <c r="AI132" s="48"/>
    </row>
    <row r="133" spans="1:37" x14ac:dyDescent="0.25">
      <c r="A133" s="189" t="s">
        <v>239</v>
      </c>
      <c r="B133" s="150">
        <v>520.20000000000005</v>
      </c>
      <c r="C133" s="150">
        <v>520.6</v>
      </c>
      <c r="D133" s="150">
        <v>520.98</v>
      </c>
      <c r="E133" s="150"/>
      <c r="F133" s="150">
        <v>521.73</v>
      </c>
      <c r="G133" s="150">
        <v>522.07000000000005</v>
      </c>
      <c r="H133" s="150"/>
      <c r="I133" s="150">
        <v>522.12</v>
      </c>
      <c r="J133" s="150"/>
      <c r="K133" s="150"/>
      <c r="L133" s="150"/>
      <c r="M133" s="150">
        <v>521.08000000000004</v>
      </c>
      <c r="N133" s="150">
        <v>520.64</v>
      </c>
      <c r="O133" s="150">
        <v>520.62</v>
      </c>
      <c r="P133" s="150">
        <v>520.6</v>
      </c>
      <c r="Q133" s="150">
        <v>520.55999999999995</v>
      </c>
      <c r="R133" s="150">
        <v>520.55999999999995</v>
      </c>
      <c r="S133" s="150">
        <v>520.63</v>
      </c>
      <c r="T133" s="150">
        <v>520.6</v>
      </c>
      <c r="U133" s="150">
        <v>520.58000000000004</v>
      </c>
      <c r="V133" s="150">
        <v>520.52</v>
      </c>
      <c r="W133" s="150">
        <v>520.41</v>
      </c>
      <c r="X133" s="150"/>
      <c r="Y133" s="150"/>
      <c r="Z133" s="150">
        <v>519.83000000000004</v>
      </c>
      <c r="AA133" s="150">
        <v>519.4</v>
      </c>
      <c r="AB133" s="150">
        <v>519.05999999999995</v>
      </c>
      <c r="AC133" s="150"/>
      <c r="AD133" s="150">
        <v>518.82000000000005</v>
      </c>
      <c r="AE133" s="150">
        <v>519.08000000000004</v>
      </c>
      <c r="AF133" s="150">
        <v>519.46</v>
      </c>
      <c r="AG133" s="149"/>
      <c r="AH133" s="47"/>
      <c r="AI133" s="48"/>
    </row>
    <row r="134" spans="1:37" x14ac:dyDescent="0.25">
      <c r="A134" s="189" t="s">
        <v>240</v>
      </c>
      <c r="B134" s="150">
        <v>622.15</v>
      </c>
      <c r="C134" s="150">
        <v>622.15</v>
      </c>
      <c r="D134" s="150">
        <v>623.55999999999995</v>
      </c>
      <c r="E134" s="150">
        <v>623.96</v>
      </c>
      <c r="F134" s="150">
        <v>624.36</v>
      </c>
      <c r="G134" s="150">
        <v>624.62</v>
      </c>
      <c r="H134" s="150"/>
      <c r="I134" s="150">
        <v>624.41999999999996</v>
      </c>
      <c r="J134" s="150"/>
      <c r="K134" s="150">
        <v>624</v>
      </c>
      <c r="L134" s="150"/>
      <c r="M134" s="150">
        <v>623.4</v>
      </c>
      <c r="N134" s="150">
        <v>623.22</v>
      </c>
      <c r="O134" s="150">
        <v>623.34</v>
      </c>
      <c r="P134" s="150">
        <v>623.47</v>
      </c>
      <c r="Q134" s="150">
        <v>623.44000000000005</v>
      </c>
      <c r="R134" s="150">
        <v>623.4</v>
      </c>
      <c r="S134" s="150">
        <v>623.42999999999995</v>
      </c>
      <c r="T134" s="150">
        <v>623.53</v>
      </c>
      <c r="U134" s="150">
        <v>623.54999999999995</v>
      </c>
      <c r="V134" s="150">
        <v>623.53</v>
      </c>
      <c r="W134" s="150">
        <v>623.44000000000005</v>
      </c>
      <c r="X134" s="150">
        <v>623.29</v>
      </c>
      <c r="Y134" s="150"/>
      <c r="Z134" s="150">
        <v>622.44000000000005</v>
      </c>
      <c r="AA134" s="150">
        <v>622.05999999999995</v>
      </c>
      <c r="AB134" s="150">
        <v>621.59</v>
      </c>
      <c r="AC134" s="150"/>
      <c r="AD134" s="150">
        <v>621.23</v>
      </c>
      <c r="AE134" s="150">
        <v>621.77</v>
      </c>
      <c r="AF134" s="150">
        <v>622.49</v>
      </c>
      <c r="AG134" s="149"/>
      <c r="AH134" s="47"/>
      <c r="AI134" s="48"/>
    </row>
    <row r="135" spans="1:37" x14ac:dyDescent="0.25">
      <c r="A135" s="189" t="s">
        <v>241</v>
      </c>
      <c r="B135" s="150">
        <v>334.72</v>
      </c>
      <c r="C135" s="150">
        <v>335.2</v>
      </c>
      <c r="D135" s="150">
        <v>335.61</v>
      </c>
      <c r="E135" s="150">
        <v>335.89</v>
      </c>
      <c r="F135" s="150"/>
      <c r="G135" s="150">
        <v>336.33</v>
      </c>
      <c r="H135" s="150"/>
      <c r="I135" s="150">
        <v>336.35</v>
      </c>
      <c r="J135" s="150"/>
      <c r="K135" s="150"/>
      <c r="L135" s="150"/>
      <c r="M135" s="150">
        <v>335.52</v>
      </c>
      <c r="N135" s="150">
        <v>334.97</v>
      </c>
      <c r="O135" s="150">
        <v>334.82</v>
      </c>
      <c r="P135" s="150">
        <v>334.76</v>
      </c>
      <c r="Q135" s="150">
        <v>334.85</v>
      </c>
      <c r="R135" s="150">
        <v>335.4</v>
      </c>
      <c r="S135" s="150">
        <v>335.72</v>
      </c>
      <c r="T135" s="150">
        <v>335.88</v>
      </c>
      <c r="U135" s="150">
        <v>335.98</v>
      </c>
      <c r="V135" s="150">
        <v>335.87</v>
      </c>
      <c r="W135" s="150">
        <v>335.78</v>
      </c>
      <c r="X135" s="150"/>
      <c r="Y135" s="150"/>
      <c r="Z135" s="150">
        <v>335.37</v>
      </c>
      <c r="AA135" s="150">
        <v>335.13</v>
      </c>
      <c r="AB135" s="150">
        <v>334.96</v>
      </c>
      <c r="AC135" s="150"/>
      <c r="AD135" s="150">
        <v>334.51</v>
      </c>
      <c r="AE135" s="150">
        <v>333.99</v>
      </c>
      <c r="AF135" s="150">
        <v>334.23</v>
      </c>
      <c r="AG135" s="149"/>
      <c r="AH135" s="47"/>
      <c r="AI135" s="48"/>
    </row>
    <row r="136" spans="1:37" x14ac:dyDescent="0.25">
      <c r="A136" s="189" t="s">
        <v>407</v>
      </c>
      <c r="B136" s="150">
        <v>882.3</v>
      </c>
      <c r="C136" s="150">
        <v>882.3</v>
      </c>
      <c r="D136" s="150">
        <v>883.8</v>
      </c>
      <c r="E136" s="150"/>
      <c r="F136" s="150">
        <v>885.2</v>
      </c>
      <c r="G136" s="150">
        <v>885.3</v>
      </c>
      <c r="H136" s="150"/>
      <c r="I136" s="150"/>
      <c r="J136" s="150"/>
      <c r="K136" s="150"/>
      <c r="L136" s="150"/>
      <c r="M136" s="150">
        <v>882</v>
      </c>
      <c r="N136" s="150">
        <v>882.3</v>
      </c>
      <c r="O136" s="150">
        <v>883.4</v>
      </c>
      <c r="P136" s="150">
        <v>884.1</v>
      </c>
      <c r="Q136" s="150">
        <v>884.4</v>
      </c>
      <c r="R136" s="150">
        <v>885.4</v>
      </c>
      <c r="S136" s="150">
        <v>885.9</v>
      </c>
      <c r="T136" s="150">
        <v>885.8</v>
      </c>
      <c r="U136" s="150">
        <v>885.7</v>
      </c>
      <c r="V136" s="150">
        <v>885.2</v>
      </c>
      <c r="W136" s="150">
        <v>885.5</v>
      </c>
      <c r="X136" s="150"/>
      <c r="Y136" s="150"/>
      <c r="Z136" s="150">
        <v>883.6</v>
      </c>
      <c r="AA136" s="150">
        <v>883</v>
      </c>
      <c r="AB136" s="150">
        <v>882.3</v>
      </c>
      <c r="AC136" s="150"/>
      <c r="AD136" s="150">
        <v>881.9</v>
      </c>
      <c r="AE136" s="150">
        <v>882.7</v>
      </c>
      <c r="AF136" s="150">
        <v>883.6</v>
      </c>
      <c r="AG136" s="149"/>
      <c r="AH136" s="47"/>
      <c r="AI136" s="48"/>
    </row>
    <row r="137" spans="1:37" ht="15.75" thickBot="1" x14ac:dyDescent="0.3">
      <c r="A137" s="189" t="s">
        <v>242</v>
      </c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  <c r="AC137" s="152"/>
      <c r="AD137" s="152"/>
      <c r="AE137" s="152"/>
      <c r="AF137" s="152"/>
      <c r="AG137" s="149"/>
      <c r="AH137" s="47"/>
      <c r="AI137" s="48"/>
    </row>
    <row r="138" spans="1:37" ht="15.75" thickBot="1" x14ac:dyDescent="0.3">
      <c r="A138" s="120" t="s">
        <v>125</v>
      </c>
      <c r="B138" s="121"/>
      <c r="C138" s="121"/>
      <c r="D138" s="121"/>
      <c r="E138" s="121"/>
      <c r="F138" s="170" t="s">
        <v>254</v>
      </c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74"/>
      <c r="AH138" s="47"/>
      <c r="AI138" s="48"/>
      <c r="AK138" s="50"/>
    </row>
    <row r="139" spans="1:37" x14ac:dyDescent="0.25">
      <c r="A139" s="122" t="s">
        <v>126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5">
        <v>9.94</v>
      </c>
      <c r="AH139" s="47"/>
      <c r="AI139" s="48"/>
      <c r="AK139" s="50"/>
    </row>
    <row r="140" spans="1:37" x14ac:dyDescent="0.25">
      <c r="A140" s="103" t="s">
        <v>127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5"/>
      <c r="AH140" s="47"/>
      <c r="AI140" s="48"/>
      <c r="AK140" s="50"/>
    </row>
    <row r="141" spans="1:37" x14ac:dyDescent="0.25">
      <c r="A141" s="103" t="s">
        <v>128</v>
      </c>
      <c r="B141" s="123"/>
      <c r="C141" s="124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5"/>
      <c r="AH141" s="47"/>
      <c r="AI141" s="48"/>
      <c r="AK141" s="50"/>
    </row>
    <row r="142" spans="1:37" x14ac:dyDescent="0.25">
      <c r="A142" s="103" t="s">
        <v>129</v>
      </c>
      <c r="B142" s="123"/>
      <c r="C142" s="124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5"/>
      <c r="AH142" s="47"/>
      <c r="AI142" s="48"/>
      <c r="AK142" s="50"/>
    </row>
    <row r="143" spans="1:37" x14ac:dyDescent="0.25">
      <c r="A143" s="103" t="s">
        <v>130</v>
      </c>
      <c r="B143" s="123"/>
      <c r="C143" s="124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5"/>
      <c r="AH143" s="47"/>
      <c r="AI143" s="48"/>
      <c r="AK143" s="50"/>
    </row>
    <row r="144" spans="1:37" x14ac:dyDescent="0.25">
      <c r="A144" s="103" t="s">
        <v>131</v>
      </c>
      <c r="B144" s="123"/>
      <c r="C144" s="124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5"/>
      <c r="AH144" s="47"/>
      <c r="AI144" s="48"/>
      <c r="AK144" s="50"/>
    </row>
    <row r="145" spans="1:37" x14ac:dyDescent="0.25">
      <c r="A145" s="103" t="s">
        <v>132</v>
      </c>
      <c r="B145" s="123"/>
      <c r="C145" s="124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5"/>
      <c r="AH145" s="47"/>
      <c r="AI145" s="48"/>
      <c r="AK145" s="50"/>
    </row>
    <row r="146" spans="1:37" x14ac:dyDescent="0.25">
      <c r="A146" s="103" t="s">
        <v>133</v>
      </c>
      <c r="B146" s="123"/>
      <c r="C146" s="124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5"/>
      <c r="AH146" s="47"/>
      <c r="AI146" s="48"/>
      <c r="AK146" s="50"/>
    </row>
    <row r="147" spans="1:37" x14ac:dyDescent="0.25">
      <c r="A147" s="103" t="s">
        <v>134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5"/>
      <c r="AH147" s="47"/>
      <c r="AI147" s="48"/>
      <c r="AK147" s="50"/>
    </row>
    <row r="148" spans="1:37" x14ac:dyDescent="0.25">
      <c r="A148" s="103" t="s">
        <v>135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5"/>
      <c r="AH148" s="47"/>
      <c r="AI148" s="48"/>
      <c r="AK148" s="50"/>
    </row>
    <row r="149" spans="1:37" x14ac:dyDescent="0.25">
      <c r="A149" s="103" t="s">
        <v>136</v>
      </c>
      <c r="B149" s="123"/>
      <c r="C149" s="124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5"/>
      <c r="AH149" s="47"/>
      <c r="AI149" s="48"/>
      <c r="AK149" s="50"/>
    </row>
    <row r="150" spans="1:37" x14ac:dyDescent="0.25">
      <c r="A150" s="103" t="s">
        <v>137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5"/>
      <c r="AH150" s="47"/>
      <c r="AI150" s="48"/>
      <c r="AK150" s="50"/>
    </row>
    <row r="151" spans="1:37" x14ac:dyDescent="0.25">
      <c r="A151" s="103" t="s">
        <v>138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5"/>
      <c r="AH151" s="47"/>
      <c r="AI151" s="48"/>
      <c r="AK151" s="50"/>
    </row>
    <row r="152" spans="1:37" x14ac:dyDescent="0.25">
      <c r="A152" s="103" t="s">
        <v>139</v>
      </c>
      <c r="B152" s="123"/>
      <c r="C152" s="124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5"/>
      <c r="AH152" s="47"/>
      <c r="AI152" s="48"/>
      <c r="AK152" s="50"/>
    </row>
    <row r="153" spans="1:37" x14ac:dyDescent="0.25">
      <c r="A153" s="103" t="s">
        <v>140</v>
      </c>
      <c r="B153" s="123"/>
      <c r="C153" s="124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5"/>
      <c r="AH153" s="47"/>
      <c r="AI153" s="48"/>
      <c r="AK153" s="50"/>
    </row>
    <row r="154" spans="1:37" x14ac:dyDescent="0.25">
      <c r="A154" s="103" t="s">
        <v>141</v>
      </c>
      <c r="B154" s="123"/>
      <c r="C154" s="124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5"/>
      <c r="AH154" s="47"/>
      <c r="AI154" s="48"/>
      <c r="AK154" s="50"/>
    </row>
    <row r="155" spans="1:37" x14ac:dyDescent="0.25">
      <c r="A155" s="103" t="s">
        <v>142</v>
      </c>
      <c r="B155" s="126"/>
      <c r="C155" s="127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8">
        <v>9.9</v>
      </c>
      <c r="AH155" s="47"/>
      <c r="AI155" s="48"/>
      <c r="AK155" s="50"/>
    </row>
    <row r="156" spans="1:37" x14ac:dyDescent="0.25">
      <c r="A156" s="116" t="s">
        <v>143</v>
      </c>
      <c r="B156" s="126"/>
      <c r="C156" s="127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9">
        <v>9.6579999999999995</v>
      </c>
      <c r="AH156" s="47"/>
      <c r="AI156" s="48"/>
      <c r="AK156" s="50"/>
    </row>
    <row r="157" spans="1:37" x14ac:dyDescent="0.25">
      <c r="A157" s="116" t="s">
        <v>144</v>
      </c>
      <c r="B157" s="126"/>
      <c r="C157" s="127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9">
        <v>9.6</v>
      </c>
      <c r="AH157" s="47"/>
      <c r="AI157" s="48"/>
      <c r="AK157" s="50"/>
    </row>
    <row r="158" spans="1:37" x14ac:dyDescent="0.25">
      <c r="A158" s="116" t="s">
        <v>145</v>
      </c>
      <c r="B158" s="126"/>
      <c r="C158" s="127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9">
        <v>9.51</v>
      </c>
      <c r="AH158" s="47"/>
      <c r="AI158" s="48"/>
      <c r="AK158" s="50"/>
    </row>
    <row r="159" spans="1:37" x14ac:dyDescent="0.25">
      <c r="A159" s="116" t="s">
        <v>146</v>
      </c>
      <c r="B159" s="126"/>
      <c r="C159" s="127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9">
        <v>9.4</v>
      </c>
      <c r="AH159" s="47"/>
      <c r="AI159" s="48"/>
      <c r="AK159" s="50"/>
    </row>
    <row r="160" spans="1:37" x14ac:dyDescent="0.25">
      <c r="A160" s="116" t="s">
        <v>147</v>
      </c>
      <c r="B160" s="126"/>
      <c r="C160" s="127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9">
        <v>8.8000000000000007</v>
      </c>
      <c r="AH160" s="47"/>
      <c r="AI160" s="48"/>
      <c r="AK160" s="50"/>
    </row>
    <row r="161" spans="1:37" x14ac:dyDescent="0.25">
      <c r="A161" s="116" t="s">
        <v>148</v>
      </c>
      <c r="B161" s="126"/>
      <c r="C161" s="127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9">
        <v>8.5</v>
      </c>
      <c r="AH161" s="47"/>
      <c r="AI161" s="48"/>
      <c r="AK161" s="50"/>
    </row>
    <row r="162" spans="1:37" x14ac:dyDescent="0.25">
      <c r="A162" s="116" t="s">
        <v>149</v>
      </c>
      <c r="B162" s="126"/>
      <c r="C162" s="127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9">
        <v>8.5</v>
      </c>
      <c r="AH162" s="47"/>
      <c r="AI162" s="48"/>
      <c r="AK162" s="50"/>
    </row>
    <row r="163" spans="1:37" x14ac:dyDescent="0.25">
      <c r="A163" s="116" t="s">
        <v>150</v>
      </c>
      <c r="B163" s="126"/>
      <c r="C163" s="127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9">
        <v>8.4</v>
      </c>
      <c r="AH163" s="47"/>
      <c r="AI163" s="48"/>
      <c r="AK163" s="50"/>
    </row>
    <row r="164" spans="1:37" ht="13.5" customHeight="1" x14ac:dyDescent="0.25">
      <c r="A164" s="116" t="s">
        <v>151</v>
      </c>
      <c r="B164" s="126"/>
      <c r="C164" s="127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9">
        <v>8</v>
      </c>
      <c r="AH164" s="47"/>
      <c r="AI164" s="48"/>
      <c r="AK164" s="50"/>
    </row>
    <row r="165" spans="1:37" x14ac:dyDescent="0.25">
      <c r="A165" s="116" t="s">
        <v>152</v>
      </c>
      <c r="B165" s="126"/>
      <c r="C165" s="127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9">
        <v>8</v>
      </c>
      <c r="AH165" s="47"/>
      <c r="AI165" s="48"/>
      <c r="AK165" s="50"/>
    </row>
    <row r="166" spans="1:37" x14ac:dyDescent="0.25">
      <c r="A166" s="116" t="s">
        <v>153</v>
      </c>
      <c r="B166" s="126"/>
      <c r="C166" s="127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9">
        <v>8</v>
      </c>
      <c r="AH166" s="47"/>
      <c r="AI166" s="48"/>
      <c r="AK166" s="50"/>
    </row>
    <row r="167" spans="1:37" x14ac:dyDescent="0.25">
      <c r="A167" s="116" t="s">
        <v>154</v>
      </c>
      <c r="B167" s="126"/>
      <c r="C167" s="127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9">
        <v>7.8</v>
      </c>
      <c r="AH167" s="47"/>
      <c r="AI167" s="48"/>
      <c r="AK167" s="50"/>
    </row>
    <row r="168" spans="1:37" x14ac:dyDescent="0.25">
      <c r="A168" s="116" t="s">
        <v>155</v>
      </c>
      <c r="B168" s="126"/>
      <c r="C168" s="127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9">
        <v>7.6</v>
      </c>
      <c r="AH168" s="47"/>
      <c r="AI168" s="48"/>
      <c r="AK168" s="50"/>
    </row>
    <row r="169" spans="1:37" x14ac:dyDescent="0.25">
      <c r="A169" s="116" t="s">
        <v>156</v>
      </c>
      <c r="B169" s="126"/>
      <c r="C169" s="127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9">
        <v>7.5</v>
      </c>
      <c r="AH169" s="47"/>
      <c r="AI169" s="48"/>
      <c r="AK169" s="50"/>
    </row>
    <row r="170" spans="1:37" x14ac:dyDescent="0.25">
      <c r="A170" s="116" t="s">
        <v>157</v>
      </c>
      <c r="B170" s="126"/>
      <c r="C170" s="127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9">
        <v>7.5</v>
      </c>
      <c r="AH170" s="47"/>
      <c r="AI170" s="48"/>
      <c r="AK170" s="50"/>
    </row>
    <row r="171" spans="1:37" x14ac:dyDescent="0.25">
      <c r="A171" s="116" t="s">
        <v>158</v>
      </c>
      <c r="B171" s="126"/>
      <c r="C171" s="127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9">
        <v>7</v>
      </c>
      <c r="AH171" s="47"/>
      <c r="AI171" s="48"/>
      <c r="AK171" s="50"/>
    </row>
    <row r="172" spans="1:37" x14ac:dyDescent="0.25">
      <c r="A172" s="116" t="s">
        <v>159</v>
      </c>
      <c r="B172" s="126"/>
      <c r="C172" s="127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9">
        <v>7</v>
      </c>
      <c r="AH172" s="47"/>
      <c r="AI172" s="48"/>
      <c r="AK172" s="50"/>
    </row>
    <row r="173" spans="1:37" x14ac:dyDescent="0.25">
      <c r="A173" s="116" t="s">
        <v>160</v>
      </c>
      <c r="B173" s="126"/>
      <c r="C173" s="127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9">
        <v>7</v>
      </c>
      <c r="AH173" s="47"/>
      <c r="AI173" s="48"/>
      <c r="AK173" s="50"/>
    </row>
    <row r="174" spans="1:37" x14ac:dyDescent="0.25">
      <c r="A174" s="116" t="s">
        <v>161</v>
      </c>
      <c r="B174" s="126"/>
      <c r="C174" s="127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9">
        <v>7</v>
      </c>
      <c r="AH174" s="47"/>
      <c r="AI174" s="48"/>
      <c r="AK174" s="50"/>
    </row>
    <row r="175" spans="1:37" x14ac:dyDescent="0.25">
      <c r="A175" s="116" t="s">
        <v>162</v>
      </c>
      <c r="B175" s="126"/>
      <c r="C175" s="127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9">
        <v>6.6</v>
      </c>
      <c r="AH175" s="47"/>
      <c r="AI175" s="48"/>
      <c r="AK175" s="50"/>
    </row>
    <row r="176" spans="1:37" x14ac:dyDescent="0.25">
      <c r="A176" s="116" t="s">
        <v>163</v>
      </c>
      <c r="B176" s="126"/>
      <c r="C176" s="127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9">
        <v>6.6</v>
      </c>
      <c r="AH176" s="47"/>
      <c r="AI176" s="48"/>
      <c r="AK176" s="50"/>
    </row>
    <row r="177" spans="1:37" x14ac:dyDescent="0.25">
      <c r="A177" s="116" t="s">
        <v>164</v>
      </c>
      <c r="B177" s="126"/>
      <c r="C177" s="127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9">
        <v>6.4</v>
      </c>
      <c r="AH177" s="47"/>
      <c r="AI177" s="48"/>
      <c r="AK177" s="50"/>
    </row>
    <row r="178" spans="1:37" x14ac:dyDescent="0.25">
      <c r="A178" s="116" t="s">
        <v>165</v>
      </c>
      <c r="B178" s="126"/>
      <c r="C178" s="127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9">
        <v>6</v>
      </c>
      <c r="AH178" s="47"/>
      <c r="AI178" s="48"/>
      <c r="AK178" s="50"/>
    </row>
    <row r="179" spans="1:37" x14ac:dyDescent="0.25">
      <c r="A179" s="116" t="s">
        <v>166</v>
      </c>
      <c r="B179" s="126"/>
      <c r="C179" s="127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9">
        <v>5.0999999999999996</v>
      </c>
      <c r="AH179" s="47"/>
      <c r="AI179" s="48"/>
      <c r="AK179" s="50"/>
    </row>
    <row r="180" spans="1:37" x14ac:dyDescent="0.25">
      <c r="A180" s="116" t="s">
        <v>167</v>
      </c>
      <c r="B180" s="126"/>
      <c r="C180" s="127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9">
        <v>5</v>
      </c>
      <c r="AH180" s="47"/>
      <c r="AI180" s="48"/>
      <c r="AK180" s="50"/>
    </row>
    <row r="181" spans="1:37" x14ac:dyDescent="0.25">
      <c r="A181" s="103" t="s">
        <v>168</v>
      </c>
      <c r="B181" s="126"/>
      <c r="C181" s="127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8">
        <v>5</v>
      </c>
      <c r="AH181" s="47"/>
      <c r="AI181" s="48"/>
      <c r="AK181" s="50"/>
    </row>
    <row r="182" spans="1:37" x14ac:dyDescent="0.25">
      <c r="A182" s="116" t="s">
        <v>169</v>
      </c>
      <c r="B182" s="126"/>
      <c r="C182" s="127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9">
        <v>5</v>
      </c>
      <c r="AH182" s="47"/>
      <c r="AI182" s="48"/>
      <c r="AK182" s="50"/>
    </row>
    <row r="183" spans="1:37" x14ac:dyDescent="0.25">
      <c r="A183" s="116" t="s">
        <v>170</v>
      </c>
      <c r="B183" s="126"/>
      <c r="C183" s="127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9">
        <v>5</v>
      </c>
      <c r="AH183" s="47"/>
      <c r="AI183" s="48"/>
      <c r="AK183" s="50"/>
    </row>
    <row r="184" spans="1:37" x14ac:dyDescent="0.25">
      <c r="A184" s="116" t="s">
        <v>171</v>
      </c>
      <c r="B184" s="126"/>
      <c r="C184" s="127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9">
        <v>5</v>
      </c>
      <c r="AH184" s="47"/>
      <c r="AI184" s="48"/>
      <c r="AK184" s="50"/>
    </row>
    <row r="185" spans="1:37" x14ac:dyDescent="0.25">
      <c r="A185" s="116" t="s">
        <v>172</v>
      </c>
      <c r="B185" s="126"/>
      <c r="C185" s="127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9">
        <v>5</v>
      </c>
      <c r="AH185" s="47"/>
      <c r="AI185" s="48"/>
      <c r="AK185" s="50"/>
    </row>
    <row r="186" spans="1:37" x14ac:dyDescent="0.25">
      <c r="A186" s="116" t="s">
        <v>173</v>
      </c>
      <c r="B186" s="126"/>
      <c r="C186" s="127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9">
        <v>5</v>
      </c>
      <c r="AH186" s="47"/>
      <c r="AI186" s="48"/>
      <c r="AK186" s="50"/>
    </row>
    <row r="187" spans="1:37" x14ac:dyDescent="0.25">
      <c r="A187" s="116" t="s">
        <v>174</v>
      </c>
      <c r="B187" s="126"/>
      <c r="C187" s="127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9">
        <v>4.9930000000000003</v>
      </c>
      <c r="AH187" s="47"/>
      <c r="AI187" s="48"/>
      <c r="AK187" s="50"/>
    </row>
    <row r="188" spans="1:37" x14ac:dyDescent="0.25">
      <c r="A188" s="116" t="s">
        <v>175</v>
      </c>
      <c r="B188" s="126"/>
      <c r="C188" s="127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9">
        <v>4.9800000000000004</v>
      </c>
      <c r="AH188" s="47"/>
      <c r="AI188" s="48"/>
      <c r="AK188" s="50"/>
    </row>
    <row r="189" spans="1:37" x14ac:dyDescent="0.25">
      <c r="A189" s="116" t="s">
        <v>176</v>
      </c>
      <c r="B189" s="126"/>
      <c r="C189" s="127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9">
        <v>4.95</v>
      </c>
      <c r="AH189" s="47"/>
      <c r="AI189" s="48"/>
      <c r="AK189" s="50"/>
    </row>
    <row r="190" spans="1:37" x14ac:dyDescent="0.25">
      <c r="A190" s="116" t="s">
        <v>177</v>
      </c>
      <c r="B190" s="126"/>
      <c r="C190" s="127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9">
        <v>4.95</v>
      </c>
      <c r="AH190" s="47"/>
      <c r="AI190" s="48"/>
      <c r="AK190" s="50"/>
    </row>
    <row r="191" spans="1:37" x14ac:dyDescent="0.25">
      <c r="A191" s="116" t="s">
        <v>178</v>
      </c>
      <c r="B191" s="126"/>
      <c r="C191" s="127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9">
        <v>4.8</v>
      </c>
      <c r="AH191" s="47"/>
      <c r="AI191" s="48"/>
      <c r="AK191" s="50"/>
    </row>
    <row r="192" spans="1:37" x14ac:dyDescent="0.25">
      <c r="A192" s="116" t="s">
        <v>179</v>
      </c>
      <c r="B192" s="126"/>
      <c r="C192" s="127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9">
        <v>4.8</v>
      </c>
      <c r="AH192" s="47"/>
      <c r="AI192" s="48"/>
      <c r="AK192" s="50"/>
    </row>
    <row r="193" spans="1:37" x14ac:dyDescent="0.25">
      <c r="A193" s="116" t="s">
        <v>180</v>
      </c>
      <c r="B193" s="126"/>
      <c r="C193" s="127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9">
        <v>4.8</v>
      </c>
      <c r="AH193" s="47"/>
      <c r="AI193" s="48"/>
      <c r="AK193" s="50"/>
    </row>
    <row r="194" spans="1:37" x14ac:dyDescent="0.25">
      <c r="A194" s="116" t="s">
        <v>181</v>
      </c>
      <c r="B194" s="126"/>
      <c r="C194" s="127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9">
        <v>4.5</v>
      </c>
      <c r="AH194" s="47"/>
      <c r="AI194" s="48"/>
      <c r="AK194" s="50"/>
    </row>
    <row r="195" spans="1:37" x14ac:dyDescent="0.25">
      <c r="A195" s="116" t="s">
        <v>182</v>
      </c>
      <c r="B195" s="126"/>
      <c r="C195" s="127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9">
        <v>4.5</v>
      </c>
      <c r="AH195" s="47"/>
      <c r="AI195" s="48"/>
      <c r="AK195" s="50"/>
    </row>
    <row r="196" spans="1:37" x14ac:dyDescent="0.25">
      <c r="A196" s="116" t="s">
        <v>183</v>
      </c>
      <c r="B196" s="126"/>
      <c r="C196" s="127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9">
        <v>4.4550000000000001</v>
      </c>
      <c r="AH196" s="47"/>
      <c r="AI196" s="48"/>
      <c r="AK196" s="50"/>
    </row>
    <row r="197" spans="1:37" x14ac:dyDescent="0.25">
      <c r="A197" s="116" t="s">
        <v>184</v>
      </c>
      <c r="B197" s="126"/>
      <c r="C197" s="127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9">
        <v>4.41</v>
      </c>
      <c r="AH197" s="47"/>
      <c r="AI197" s="48"/>
      <c r="AK197" s="50"/>
    </row>
    <row r="198" spans="1:37" x14ac:dyDescent="0.25">
      <c r="A198" s="116" t="s">
        <v>185</v>
      </c>
      <c r="B198" s="126"/>
      <c r="C198" s="127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9">
        <v>4.4000000000000004</v>
      </c>
      <c r="AH198" s="47"/>
      <c r="AI198" s="48"/>
      <c r="AK198" s="50"/>
    </row>
    <row r="199" spans="1:37" x14ac:dyDescent="0.25">
      <c r="A199" s="116" t="s">
        <v>186</v>
      </c>
      <c r="B199" s="126"/>
      <c r="C199" s="127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9">
        <v>4.3600000000000003</v>
      </c>
      <c r="AH199" s="47"/>
      <c r="AI199" s="48"/>
      <c r="AK199" s="50"/>
    </row>
    <row r="200" spans="1:37" x14ac:dyDescent="0.25">
      <c r="A200" s="116" t="s">
        <v>187</v>
      </c>
      <c r="B200" s="126"/>
      <c r="C200" s="127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9">
        <v>4.2</v>
      </c>
      <c r="AH200" s="47"/>
      <c r="AI200" s="48"/>
      <c r="AK200" s="50"/>
    </row>
    <row r="201" spans="1:37" x14ac:dyDescent="0.25">
      <c r="A201" s="116" t="s">
        <v>188</v>
      </c>
      <c r="B201" s="126"/>
      <c r="C201" s="127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9">
        <v>4</v>
      </c>
      <c r="AH201" s="47"/>
      <c r="AI201" s="48"/>
      <c r="AK201" s="50"/>
    </row>
    <row r="202" spans="1:37" x14ac:dyDescent="0.25">
      <c r="A202" s="116" t="s">
        <v>189</v>
      </c>
      <c r="B202" s="126"/>
      <c r="C202" s="127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9">
        <v>4</v>
      </c>
      <c r="AH202" s="47"/>
      <c r="AI202" s="48"/>
      <c r="AK202" s="50"/>
    </row>
    <row r="203" spans="1:37" x14ac:dyDescent="0.25">
      <c r="A203" s="116" t="s">
        <v>190</v>
      </c>
      <c r="B203" s="126"/>
      <c r="C203" s="127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9">
        <v>4</v>
      </c>
      <c r="AH203" s="47"/>
      <c r="AI203" s="48"/>
      <c r="AK203" s="50"/>
    </row>
    <row r="204" spans="1:37" x14ac:dyDescent="0.25">
      <c r="A204" s="116" t="s">
        <v>191</v>
      </c>
      <c r="B204" s="126"/>
      <c r="C204" s="127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9">
        <v>4</v>
      </c>
      <c r="AH204" s="47"/>
      <c r="AI204" s="48"/>
      <c r="AK204" s="50"/>
    </row>
    <row r="205" spans="1:37" x14ac:dyDescent="0.25">
      <c r="A205" s="116" t="s">
        <v>192</v>
      </c>
      <c r="B205" s="126"/>
      <c r="C205" s="127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9">
        <v>4</v>
      </c>
      <c r="AH205" s="47"/>
      <c r="AI205" s="48"/>
      <c r="AK205" s="50"/>
    </row>
    <row r="206" spans="1:37" x14ac:dyDescent="0.25">
      <c r="A206" s="116" t="s">
        <v>193</v>
      </c>
      <c r="B206" s="126"/>
      <c r="C206" s="127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9">
        <v>4</v>
      </c>
      <c r="AH206" s="47"/>
      <c r="AI206" s="48"/>
      <c r="AK206" s="50"/>
    </row>
    <row r="207" spans="1:37" x14ac:dyDescent="0.25">
      <c r="A207" s="116" t="s">
        <v>194</v>
      </c>
      <c r="B207" s="126"/>
      <c r="C207" s="127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9">
        <v>4</v>
      </c>
      <c r="AH207" s="47"/>
      <c r="AI207" s="48"/>
      <c r="AK207" s="50"/>
    </row>
    <row r="208" spans="1:37" x14ac:dyDescent="0.25">
      <c r="A208" s="116" t="s">
        <v>195</v>
      </c>
      <c r="B208" s="126"/>
      <c r="C208" s="127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9">
        <v>4</v>
      </c>
      <c r="AH208" s="47"/>
      <c r="AI208" s="48"/>
      <c r="AK208" s="50"/>
    </row>
    <row r="209" spans="1:37" x14ac:dyDescent="0.25">
      <c r="A209" s="116" t="s">
        <v>196</v>
      </c>
      <c r="B209" s="126"/>
      <c r="C209" s="127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9">
        <v>3.75</v>
      </c>
      <c r="AH209" s="47"/>
      <c r="AI209" s="48"/>
      <c r="AK209" s="50"/>
    </row>
    <row r="210" spans="1:37" x14ac:dyDescent="0.25">
      <c r="A210" s="116" t="s">
        <v>197</v>
      </c>
      <c r="B210" s="126"/>
      <c r="C210" s="127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9">
        <v>3.52</v>
      </c>
      <c r="AH210" s="47"/>
      <c r="AI210" s="48"/>
      <c r="AK210" s="50"/>
    </row>
    <row r="211" spans="1:37" x14ac:dyDescent="0.25">
      <c r="A211" s="116" t="s">
        <v>198</v>
      </c>
      <c r="B211" s="126"/>
      <c r="C211" s="127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9">
        <v>3.33</v>
      </c>
      <c r="AH211" s="47"/>
      <c r="AI211" s="48"/>
      <c r="AK211" s="50"/>
    </row>
    <row r="212" spans="1:37" x14ac:dyDescent="0.25">
      <c r="A212" s="116" t="s">
        <v>199</v>
      </c>
      <c r="B212" s="126"/>
      <c r="C212" s="127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9">
        <v>3.2</v>
      </c>
      <c r="AH212" s="47"/>
      <c r="AI212" s="48"/>
      <c r="AK212" s="50"/>
    </row>
    <row r="213" spans="1:37" x14ac:dyDescent="0.25">
      <c r="A213" s="116" t="s">
        <v>200</v>
      </c>
      <c r="B213" s="126"/>
      <c r="C213" s="127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9">
        <v>3</v>
      </c>
      <c r="AH213" s="47"/>
      <c r="AI213" s="48"/>
      <c r="AK213" s="50"/>
    </row>
    <row r="214" spans="1:37" x14ac:dyDescent="0.25">
      <c r="A214" s="116" t="s">
        <v>201</v>
      </c>
      <c r="B214" s="126"/>
      <c r="C214" s="127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9">
        <v>3</v>
      </c>
      <c r="AH214" s="47"/>
      <c r="AI214" s="48"/>
      <c r="AK214" s="50"/>
    </row>
    <row r="215" spans="1:37" x14ac:dyDescent="0.25">
      <c r="A215" s="116" t="s">
        <v>202</v>
      </c>
      <c r="B215" s="126"/>
      <c r="C215" s="127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9">
        <v>3</v>
      </c>
      <c r="AH215" s="47"/>
      <c r="AI215" s="48"/>
      <c r="AK215" s="50"/>
    </row>
    <row r="216" spans="1:37" x14ac:dyDescent="0.25">
      <c r="A216" s="116" t="s">
        <v>203</v>
      </c>
      <c r="B216" s="126"/>
      <c r="C216" s="127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9">
        <v>3</v>
      </c>
      <c r="AH216" s="47"/>
      <c r="AI216" s="48"/>
      <c r="AK216" s="50"/>
    </row>
    <row r="217" spans="1:37" x14ac:dyDescent="0.25">
      <c r="A217" s="116" t="s">
        <v>204</v>
      </c>
      <c r="B217" s="126"/>
      <c r="C217" s="127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9">
        <v>3</v>
      </c>
      <c r="AH217" s="47"/>
      <c r="AI217" s="48"/>
      <c r="AK217" s="50"/>
    </row>
    <row r="218" spans="1:37" x14ac:dyDescent="0.25">
      <c r="A218" s="116" t="s">
        <v>205</v>
      </c>
      <c r="B218" s="126"/>
      <c r="C218" s="127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9">
        <v>3</v>
      </c>
      <c r="AH218" s="47"/>
      <c r="AI218" s="48"/>
      <c r="AK218" s="50"/>
    </row>
    <row r="219" spans="1:37" x14ac:dyDescent="0.25">
      <c r="A219" s="116" t="s">
        <v>206</v>
      </c>
      <c r="B219" s="126"/>
      <c r="C219" s="127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9">
        <v>3</v>
      </c>
      <c r="AH219" s="47"/>
      <c r="AI219" s="48"/>
      <c r="AK219" s="50"/>
    </row>
    <row r="220" spans="1:37" x14ac:dyDescent="0.25">
      <c r="A220" s="116" t="s">
        <v>207</v>
      </c>
      <c r="B220" s="126"/>
      <c r="C220" s="127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9">
        <v>3</v>
      </c>
      <c r="AH220" s="47"/>
      <c r="AI220" s="48"/>
      <c r="AK220" s="50"/>
    </row>
    <row r="221" spans="1:37" x14ac:dyDescent="0.25">
      <c r="A221" s="116" t="s">
        <v>208</v>
      </c>
      <c r="B221" s="126"/>
      <c r="C221" s="127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9">
        <v>2.83</v>
      </c>
      <c r="AH221" s="47"/>
      <c r="AI221" s="48"/>
      <c r="AK221" s="50"/>
    </row>
    <row r="222" spans="1:37" x14ac:dyDescent="0.25">
      <c r="A222" s="116" t="s">
        <v>209</v>
      </c>
      <c r="B222" s="126"/>
      <c r="C222" s="127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9">
        <v>2.5</v>
      </c>
      <c r="AH222" s="47"/>
      <c r="AI222" s="48"/>
      <c r="AK222" s="50"/>
    </row>
    <row r="223" spans="1:37" x14ac:dyDescent="0.25">
      <c r="A223" s="116" t="s">
        <v>210</v>
      </c>
      <c r="B223" s="126"/>
      <c r="C223" s="127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9">
        <v>2.5</v>
      </c>
      <c r="AH223" s="47"/>
      <c r="AI223" s="48"/>
      <c r="AK223" s="50"/>
    </row>
    <row r="224" spans="1:37" x14ac:dyDescent="0.25">
      <c r="A224" s="116" t="s">
        <v>211</v>
      </c>
      <c r="B224" s="126"/>
      <c r="C224" s="127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9">
        <v>2.4</v>
      </c>
      <c r="AH224" s="47"/>
      <c r="AI224" s="48"/>
      <c r="AK224" s="50"/>
    </row>
    <row r="225" spans="1:37" x14ac:dyDescent="0.25">
      <c r="A225" s="116" t="s">
        <v>212</v>
      </c>
      <c r="B225" s="126"/>
      <c r="C225" s="127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9">
        <v>2.4</v>
      </c>
      <c r="AH225" s="47"/>
      <c r="AI225" s="48"/>
      <c r="AK225" s="50"/>
    </row>
    <row r="226" spans="1:37" x14ac:dyDescent="0.25">
      <c r="A226" s="116" t="s">
        <v>213</v>
      </c>
      <c r="B226" s="126"/>
      <c r="C226" s="127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9">
        <v>2.2000000000000002</v>
      </c>
      <c r="AH226" s="47"/>
      <c r="AI226" s="48"/>
      <c r="AK226" s="50"/>
    </row>
    <row r="227" spans="1:37" x14ac:dyDescent="0.25">
      <c r="A227" s="116" t="s">
        <v>214</v>
      </c>
      <c r="B227" s="126"/>
      <c r="C227" s="127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9">
        <v>2</v>
      </c>
      <c r="AH227" s="47"/>
      <c r="AI227" s="48"/>
      <c r="AK227" s="50"/>
    </row>
    <row r="228" spans="1:37" x14ac:dyDescent="0.25">
      <c r="A228" s="116" t="s">
        <v>215</v>
      </c>
      <c r="B228" s="126"/>
      <c r="C228" s="127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9">
        <v>2</v>
      </c>
      <c r="AH228" s="47"/>
      <c r="AI228" s="48"/>
      <c r="AK228" s="50"/>
    </row>
    <row r="229" spans="1:37" x14ac:dyDescent="0.25">
      <c r="A229" s="116" t="s">
        <v>216</v>
      </c>
      <c r="B229" s="126"/>
      <c r="C229" s="127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9">
        <v>2</v>
      </c>
      <c r="AH229" s="47"/>
      <c r="AI229" s="48"/>
      <c r="AK229" s="50"/>
    </row>
    <row r="230" spans="1:37" x14ac:dyDescent="0.25">
      <c r="A230" s="116" t="s">
        <v>217</v>
      </c>
      <c r="B230" s="126"/>
      <c r="C230" s="127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9">
        <v>1.8</v>
      </c>
      <c r="AH230" s="47"/>
      <c r="AI230" s="48"/>
      <c r="AK230" s="50"/>
    </row>
    <row r="231" spans="1:37" x14ac:dyDescent="0.25">
      <c r="A231" s="116" t="s">
        <v>218</v>
      </c>
      <c r="B231" s="126"/>
      <c r="C231" s="127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9">
        <v>1.8</v>
      </c>
      <c r="AH231" s="47"/>
      <c r="AI231" s="48"/>
      <c r="AK231" s="50"/>
    </row>
    <row r="232" spans="1:37" x14ac:dyDescent="0.25">
      <c r="A232" s="116" t="s">
        <v>219</v>
      </c>
      <c r="B232" s="126"/>
      <c r="C232" s="127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9">
        <v>1.65</v>
      </c>
      <c r="AH232" s="47"/>
      <c r="AI232" s="48"/>
      <c r="AK232" s="50"/>
    </row>
    <row r="233" spans="1:37" x14ac:dyDescent="0.25">
      <c r="A233" s="116" t="s">
        <v>220</v>
      </c>
      <c r="B233" s="126"/>
      <c r="C233" s="127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9">
        <v>1.5</v>
      </c>
      <c r="AH233" s="47"/>
      <c r="AI233" s="48"/>
      <c r="AK233" s="50"/>
    </row>
    <row r="234" spans="1:37" x14ac:dyDescent="0.25">
      <c r="A234" s="116" t="s">
        <v>221</v>
      </c>
      <c r="B234" s="126"/>
      <c r="C234" s="127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9">
        <v>0.998</v>
      </c>
      <c r="AH234" s="47"/>
      <c r="AI234" s="48"/>
      <c r="AK234" s="50"/>
    </row>
    <row r="235" spans="1:37" x14ac:dyDescent="0.25">
      <c r="A235" s="116" t="s">
        <v>222</v>
      </c>
      <c r="B235" s="126"/>
      <c r="C235" s="127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9">
        <v>0.997</v>
      </c>
      <c r="AH235" s="47"/>
      <c r="AI235" s="48"/>
      <c r="AK235" s="50"/>
    </row>
    <row r="236" spans="1:37" x14ac:dyDescent="0.25">
      <c r="A236" s="116" t="s">
        <v>223</v>
      </c>
      <c r="B236" s="126"/>
      <c r="C236" s="127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9">
        <v>0.997</v>
      </c>
      <c r="AH236" s="47"/>
      <c r="AI236" s="48"/>
      <c r="AK236" s="50"/>
    </row>
    <row r="237" spans="1:37" x14ac:dyDescent="0.25">
      <c r="A237" s="116" t="s">
        <v>224</v>
      </c>
      <c r="B237" s="126"/>
      <c r="C237" s="127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9">
        <v>0.996</v>
      </c>
      <c r="AH237" s="47"/>
      <c r="AI237" s="48"/>
      <c r="AK237" s="50"/>
    </row>
    <row r="238" spans="1:37" x14ac:dyDescent="0.25">
      <c r="A238" s="116" t="s">
        <v>225</v>
      </c>
      <c r="B238" s="126"/>
      <c r="C238" s="127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9">
        <v>0.996</v>
      </c>
      <c r="AH238" s="47"/>
      <c r="AI238" s="48"/>
      <c r="AK238" s="50"/>
    </row>
    <row r="239" spans="1:37" x14ac:dyDescent="0.25">
      <c r="A239" s="116" t="s">
        <v>226</v>
      </c>
      <c r="B239" s="126"/>
      <c r="C239" s="127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9">
        <v>0.996</v>
      </c>
      <c r="AH239" s="47"/>
      <c r="AI239" s="48"/>
      <c r="AK239" s="50"/>
    </row>
    <row r="240" spans="1:37" x14ac:dyDescent="0.25">
      <c r="A240" s="116" t="s">
        <v>227</v>
      </c>
      <c r="B240" s="126"/>
      <c r="C240" s="127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9">
        <v>0.995</v>
      </c>
      <c r="AH240" s="47"/>
      <c r="AI240" s="48"/>
      <c r="AK240" s="50"/>
    </row>
    <row r="241" spans="1:37" x14ac:dyDescent="0.25">
      <c r="A241" s="116" t="s">
        <v>228</v>
      </c>
      <c r="B241" s="126"/>
      <c r="C241" s="127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9">
        <v>0.99299999999999999</v>
      </c>
      <c r="AH241" s="47"/>
      <c r="AI241" s="48"/>
      <c r="AK241" s="50"/>
    </row>
    <row r="242" spans="1:37" x14ac:dyDescent="0.25">
      <c r="A242" s="116" t="s">
        <v>229</v>
      </c>
      <c r="B242" s="126"/>
      <c r="C242" s="124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9">
        <v>0.99</v>
      </c>
      <c r="AH242" s="47"/>
      <c r="AI242" s="48"/>
      <c r="AK242" s="50"/>
    </row>
    <row r="243" spans="1:37" ht="15.75" thickBot="1" x14ac:dyDescent="0.3">
      <c r="A243" s="116" t="s">
        <v>230</v>
      </c>
      <c r="B243" s="130"/>
      <c r="C243" s="131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29">
        <v>0.97899999999999998</v>
      </c>
      <c r="AH243" s="47"/>
      <c r="AI243" s="48"/>
      <c r="AK243" s="50"/>
    </row>
    <row r="244" spans="1:37" ht="15.75" thickBot="1" x14ac:dyDescent="0.3">
      <c r="A244" s="132" t="s">
        <v>231</v>
      </c>
      <c r="B244" s="133">
        <f t="shared" ref="B244:AG244" si="117">SUM(B139:B243)</f>
        <v>0</v>
      </c>
      <c r="C244" s="134">
        <f t="shared" si="117"/>
        <v>0</v>
      </c>
      <c r="D244" s="134">
        <f t="shared" si="117"/>
        <v>0</v>
      </c>
      <c r="E244" s="134">
        <f t="shared" si="117"/>
        <v>0</v>
      </c>
      <c r="F244" s="134">
        <f t="shared" si="117"/>
        <v>0</v>
      </c>
      <c r="G244" s="134">
        <f t="shared" si="117"/>
        <v>0</v>
      </c>
      <c r="H244" s="134">
        <f t="shared" si="117"/>
        <v>0</v>
      </c>
      <c r="I244" s="134">
        <f t="shared" si="117"/>
        <v>0</v>
      </c>
      <c r="J244" s="134">
        <f t="shared" si="117"/>
        <v>0</v>
      </c>
      <c r="K244" s="134">
        <f t="shared" si="117"/>
        <v>0</v>
      </c>
      <c r="L244" s="134">
        <f t="shared" si="117"/>
        <v>0</v>
      </c>
      <c r="M244" s="134">
        <f t="shared" si="117"/>
        <v>0</v>
      </c>
      <c r="N244" s="134">
        <f t="shared" si="117"/>
        <v>0</v>
      </c>
      <c r="O244" s="134">
        <f t="shared" si="117"/>
        <v>0</v>
      </c>
      <c r="P244" s="134">
        <f t="shared" si="117"/>
        <v>0</v>
      </c>
      <c r="Q244" s="134">
        <f t="shared" si="117"/>
        <v>0</v>
      </c>
      <c r="R244" s="134">
        <f t="shared" si="117"/>
        <v>0</v>
      </c>
      <c r="S244" s="134">
        <f t="shared" si="117"/>
        <v>0</v>
      </c>
      <c r="T244" s="134">
        <f t="shared" si="117"/>
        <v>0</v>
      </c>
      <c r="U244" s="134">
        <f t="shared" si="117"/>
        <v>0</v>
      </c>
      <c r="V244" s="134">
        <f t="shared" si="117"/>
        <v>0</v>
      </c>
      <c r="W244" s="134">
        <f t="shared" si="117"/>
        <v>0</v>
      </c>
      <c r="X244" s="134">
        <f t="shared" si="117"/>
        <v>0</v>
      </c>
      <c r="Y244" s="134">
        <f t="shared" si="117"/>
        <v>0</v>
      </c>
      <c r="Z244" s="134">
        <f t="shared" si="117"/>
        <v>0</v>
      </c>
      <c r="AA244" s="134">
        <f t="shared" si="117"/>
        <v>0</v>
      </c>
      <c r="AB244" s="134">
        <f t="shared" si="117"/>
        <v>0</v>
      </c>
      <c r="AC244" s="134">
        <f t="shared" si="117"/>
        <v>0</v>
      </c>
      <c r="AD244" s="134">
        <f t="shared" si="117"/>
        <v>0</v>
      </c>
      <c r="AE244" s="134">
        <f t="shared" si="117"/>
        <v>0</v>
      </c>
      <c r="AF244" s="135">
        <f t="shared" si="117"/>
        <v>0</v>
      </c>
      <c r="AG244" s="136">
        <f t="shared" si="117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19"/>
      <c r="AH245" s="47"/>
      <c r="AI245" s="48"/>
      <c r="AK245" s="50"/>
    </row>
    <row r="246" spans="1:37" x14ac:dyDescent="0.25">
      <c r="A246" s="100" t="s">
        <v>232</v>
      </c>
      <c r="B246" s="138">
        <f t="shared" ref="B246:B251" si="118">AF246</f>
        <v>0.3</v>
      </c>
      <c r="C246" s="138">
        <v>0.3</v>
      </c>
      <c r="D246" s="138">
        <f t="shared" ref="D246:S251" si="119">C246</f>
        <v>0.3</v>
      </c>
      <c r="E246" s="138">
        <f t="shared" si="119"/>
        <v>0.3</v>
      </c>
      <c r="F246" s="138">
        <f t="shared" si="119"/>
        <v>0.3</v>
      </c>
      <c r="G246" s="138">
        <f t="shared" si="119"/>
        <v>0.3</v>
      </c>
      <c r="H246" s="138">
        <f t="shared" si="119"/>
        <v>0.3</v>
      </c>
      <c r="I246" s="138">
        <f t="shared" si="119"/>
        <v>0.3</v>
      </c>
      <c r="J246" s="138">
        <f t="shared" si="119"/>
        <v>0.3</v>
      </c>
      <c r="K246" s="138">
        <f t="shared" si="119"/>
        <v>0.3</v>
      </c>
      <c r="L246" s="138">
        <f t="shared" si="119"/>
        <v>0.3</v>
      </c>
      <c r="M246" s="138">
        <f t="shared" si="119"/>
        <v>0.3</v>
      </c>
      <c r="N246" s="138">
        <f t="shared" si="119"/>
        <v>0.3</v>
      </c>
      <c r="O246" s="138">
        <f t="shared" si="119"/>
        <v>0.3</v>
      </c>
      <c r="P246" s="138">
        <f t="shared" si="119"/>
        <v>0.3</v>
      </c>
      <c r="Q246" s="138">
        <f t="shared" si="119"/>
        <v>0.3</v>
      </c>
      <c r="R246" s="138">
        <f t="shared" si="119"/>
        <v>0.3</v>
      </c>
      <c r="S246" s="138">
        <f t="shared" si="119"/>
        <v>0.3</v>
      </c>
      <c r="T246" s="138">
        <f t="shared" ref="T246:AF251" si="120">S246</f>
        <v>0.3</v>
      </c>
      <c r="U246" s="138">
        <f t="shared" si="120"/>
        <v>0.3</v>
      </c>
      <c r="V246" s="138">
        <f t="shared" si="120"/>
        <v>0.3</v>
      </c>
      <c r="W246" s="138">
        <f t="shared" si="120"/>
        <v>0.3</v>
      </c>
      <c r="X246" s="138">
        <f t="shared" si="120"/>
        <v>0.3</v>
      </c>
      <c r="Y246" s="138">
        <f t="shared" si="120"/>
        <v>0.3</v>
      </c>
      <c r="Z246" s="138">
        <f t="shared" si="120"/>
        <v>0.3</v>
      </c>
      <c r="AA246" s="138">
        <f t="shared" si="120"/>
        <v>0.3</v>
      </c>
      <c r="AB246" s="138">
        <f t="shared" si="120"/>
        <v>0.3</v>
      </c>
      <c r="AC246" s="138">
        <f t="shared" si="120"/>
        <v>0.3</v>
      </c>
      <c r="AD246" s="138">
        <f t="shared" si="120"/>
        <v>0.3</v>
      </c>
      <c r="AE246" s="138">
        <f t="shared" si="120"/>
        <v>0.3</v>
      </c>
      <c r="AF246" s="138">
        <f t="shared" si="120"/>
        <v>0.3</v>
      </c>
      <c r="AG246" s="139">
        <v>2.4</v>
      </c>
      <c r="AH246" s="47"/>
      <c r="AI246" s="48"/>
      <c r="AK246" s="50"/>
    </row>
    <row r="247" spans="1:37" x14ac:dyDescent="0.25">
      <c r="A247" s="103" t="s">
        <v>233</v>
      </c>
      <c r="B247" s="126">
        <f t="shared" si="118"/>
        <v>0.4</v>
      </c>
      <c r="C247" s="126">
        <v>0.4</v>
      </c>
      <c r="D247" s="126">
        <f t="shared" si="119"/>
        <v>0.4</v>
      </c>
      <c r="E247" s="126">
        <f t="shared" si="119"/>
        <v>0.4</v>
      </c>
      <c r="F247" s="126">
        <f t="shared" si="119"/>
        <v>0.4</v>
      </c>
      <c r="G247" s="126">
        <f t="shared" si="119"/>
        <v>0.4</v>
      </c>
      <c r="H247" s="126">
        <f t="shared" si="119"/>
        <v>0.4</v>
      </c>
      <c r="I247" s="126">
        <f t="shared" si="119"/>
        <v>0.4</v>
      </c>
      <c r="J247" s="126">
        <f t="shared" si="119"/>
        <v>0.4</v>
      </c>
      <c r="K247" s="126">
        <f t="shared" si="119"/>
        <v>0.4</v>
      </c>
      <c r="L247" s="126">
        <f t="shared" si="119"/>
        <v>0.4</v>
      </c>
      <c r="M247" s="126">
        <f t="shared" si="119"/>
        <v>0.4</v>
      </c>
      <c r="N247" s="126">
        <f t="shared" si="119"/>
        <v>0.4</v>
      </c>
      <c r="O247" s="126">
        <f t="shared" si="119"/>
        <v>0.4</v>
      </c>
      <c r="P247" s="126">
        <f t="shared" si="119"/>
        <v>0.4</v>
      </c>
      <c r="Q247" s="126">
        <f t="shared" si="119"/>
        <v>0.4</v>
      </c>
      <c r="R247" s="126">
        <f t="shared" si="119"/>
        <v>0.4</v>
      </c>
      <c r="S247" s="126">
        <f t="shared" si="119"/>
        <v>0.4</v>
      </c>
      <c r="T247" s="126">
        <f t="shared" si="120"/>
        <v>0.4</v>
      </c>
      <c r="U247" s="126">
        <f t="shared" si="120"/>
        <v>0.4</v>
      </c>
      <c r="V247" s="126">
        <f t="shared" si="120"/>
        <v>0.4</v>
      </c>
      <c r="W247" s="126">
        <f t="shared" si="120"/>
        <v>0.4</v>
      </c>
      <c r="X247" s="126">
        <f t="shared" si="120"/>
        <v>0.4</v>
      </c>
      <c r="Y247" s="126">
        <f t="shared" si="120"/>
        <v>0.4</v>
      </c>
      <c r="Z247" s="126">
        <f t="shared" si="120"/>
        <v>0.4</v>
      </c>
      <c r="AA247" s="126">
        <f t="shared" si="120"/>
        <v>0.4</v>
      </c>
      <c r="AB247" s="126">
        <f t="shared" si="120"/>
        <v>0.4</v>
      </c>
      <c r="AC247" s="126">
        <f t="shared" si="120"/>
        <v>0.4</v>
      </c>
      <c r="AD247" s="126">
        <f t="shared" si="120"/>
        <v>0.4</v>
      </c>
      <c r="AE247" s="126">
        <f t="shared" si="120"/>
        <v>0.4</v>
      </c>
      <c r="AF247" s="126">
        <f t="shared" si="120"/>
        <v>0.4</v>
      </c>
      <c r="AG247" s="140">
        <v>2</v>
      </c>
      <c r="AH247" s="47"/>
      <c r="AI247" s="48"/>
      <c r="AK247" s="50"/>
    </row>
    <row r="248" spans="1:37" x14ac:dyDescent="0.25">
      <c r="A248" s="103" t="s">
        <v>234</v>
      </c>
      <c r="B248" s="126">
        <f t="shared" si="118"/>
        <v>1.5</v>
      </c>
      <c r="C248" s="126">
        <v>1.5</v>
      </c>
      <c r="D248" s="126">
        <f t="shared" si="119"/>
        <v>1.5</v>
      </c>
      <c r="E248" s="126">
        <f t="shared" si="119"/>
        <v>1.5</v>
      </c>
      <c r="F248" s="126">
        <f t="shared" si="119"/>
        <v>1.5</v>
      </c>
      <c r="G248" s="126">
        <f t="shared" si="119"/>
        <v>1.5</v>
      </c>
      <c r="H248" s="126">
        <f t="shared" si="119"/>
        <v>1.5</v>
      </c>
      <c r="I248" s="126">
        <f t="shared" si="119"/>
        <v>1.5</v>
      </c>
      <c r="J248" s="126">
        <f t="shared" si="119"/>
        <v>1.5</v>
      </c>
      <c r="K248" s="126">
        <f t="shared" si="119"/>
        <v>1.5</v>
      </c>
      <c r="L248" s="126">
        <f t="shared" si="119"/>
        <v>1.5</v>
      </c>
      <c r="M248" s="126">
        <f t="shared" si="119"/>
        <v>1.5</v>
      </c>
      <c r="N248" s="126">
        <f t="shared" si="119"/>
        <v>1.5</v>
      </c>
      <c r="O248" s="126">
        <f t="shared" si="119"/>
        <v>1.5</v>
      </c>
      <c r="P248" s="126">
        <f t="shared" si="119"/>
        <v>1.5</v>
      </c>
      <c r="Q248" s="126">
        <f t="shared" si="119"/>
        <v>1.5</v>
      </c>
      <c r="R248" s="126">
        <f t="shared" si="119"/>
        <v>1.5</v>
      </c>
      <c r="S248" s="126">
        <f t="shared" si="119"/>
        <v>1.5</v>
      </c>
      <c r="T248" s="126">
        <f t="shared" si="120"/>
        <v>1.5</v>
      </c>
      <c r="U248" s="126">
        <f t="shared" si="120"/>
        <v>1.5</v>
      </c>
      <c r="V248" s="126">
        <f t="shared" si="120"/>
        <v>1.5</v>
      </c>
      <c r="W248" s="126">
        <f t="shared" si="120"/>
        <v>1.5</v>
      </c>
      <c r="X248" s="126">
        <f t="shared" si="120"/>
        <v>1.5</v>
      </c>
      <c r="Y248" s="126">
        <f t="shared" si="120"/>
        <v>1.5</v>
      </c>
      <c r="Z248" s="126">
        <f t="shared" si="120"/>
        <v>1.5</v>
      </c>
      <c r="AA248" s="126">
        <f t="shared" si="120"/>
        <v>1.5</v>
      </c>
      <c r="AB248" s="126">
        <f t="shared" si="120"/>
        <v>1.5</v>
      </c>
      <c r="AC248" s="126">
        <f t="shared" si="120"/>
        <v>1.5</v>
      </c>
      <c r="AD248" s="126">
        <f t="shared" si="120"/>
        <v>1.5</v>
      </c>
      <c r="AE248" s="126">
        <f t="shared" si="120"/>
        <v>1.5</v>
      </c>
      <c r="AF248" s="126">
        <f t="shared" si="120"/>
        <v>1.5</v>
      </c>
      <c r="AG248" s="140">
        <v>1.5</v>
      </c>
      <c r="AH248" s="47"/>
      <c r="AI248" s="48"/>
      <c r="AK248" s="50"/>
    </row>
    <row r="249" spans="1:37" x14ac:dyDescent="0.25">
      <c r="A249" s="103" t="s">
        <v>235</v>
      </c>
      <c r="B249" s="126">
        <f t="shared" si="118"/>
        <v>0.3</v>
      </c>
      <c r="C249" s="126">
        <v>0.3</v>
      </c>
      <c r="D249" s="126">
        <f t="shared" si="119"/>
        <v>0.3</v>
      </c>
      <c r="E249" s="126">
        <f t="shared" si="119"/>
        <v>0.3</v>
      </c>
      <c r="F249" s="126">
        <f t="shared" si="119"/>
        <v>0.3</v>
      </c>
      <c r="G249" s="126">
        <f t="shared" si="119"/>
        <v>0.3</v>
      </c>
      <c r="H249" s="126">
        <f t="shared" si="119"/>
        <v>0.3</v>
      </c>
      <c r="I249" s="126">
        <f t="shared" si="119"/>
        <v>0.3</v>
      </c>
      <c r="J249" s="126">
        <f t="shared" si="119"/>
        <v>0.3</v>
      </c>
      <c r="K249" s="126">
        <f t="shared" si="119"/>
        <v>0.3</v>
      </c>
      <c r="L249" s="126">
        <f t="shared" si="119"/>
        <v>0.3</v>
      </c>
      <c r="M249" s="126">
        <f t="shared" si="119"/>
        <v>0.3</v>
      </c>
      <c r="N249" s="126">
        <f t="shared" si="119"/>
        <v>0.3</v>
      </c>
      <c r="O249" s="126">
        <f t="shared" si="119"/>
        <v>0.3</v>
      </c>
      <c r="P249" s="126">
        <f t="shared" si="119"/>
        <v>0.3</v>
      </c>
      <c r="Q249" s="126">
        <f t="shared" si="119"/>
        <v>0.3</v>
      </c>
      <c r="R249" s="126">
        <f t="shared" si="119"/>
        <v>0.3</v>
      </c>
      <c r="S249" s="126">
        <f t="shared" si="119"/>
        <v>0.3</v>
      </c>
      <c r="T249" s="126">
        <f t="shared" si="120"/>
        <v>0.3</v>
      </c>
      <c r="U249" s="126">
        <f t="shared" si="120"/>
        <v>0.3</v>
      </c>
      <c r="V249" s="126">
        <f t="shared" si="120"/>
        <v>0.3</v>
      </c>
      <c r="W249" s="126">
        <f t="shared" si="120"/>
        <v>0.3</v>
      </c>
      <c r="X249" s="126">
        <f t="shared" si="120"/>
        <v>0.3</v>
      </c>
      <c r="Y249" s="126">
        <f t="shared" si="120"/>
        <v>0.3</v>
      </c>
      <c r="Z249" s="126">
        <f t="shared" si="120"/>
        <v>0.3</v>
      </c>
      <c r="AA249" s="126">
        <f t="shared" si="120"/>
        <v>0.3</v>
      </c>
      <c r="AB249" s="126">
        <f t="shared" si="120"/>
        <v>0.3</v>
      </c>
      <c r="AC249" s="126">
        <f t="shared" si="120"/>
        <v>0.3</v>
      </c>
      <c r="AD249" s="126">
        <f t="shared" si="120"/>
        <v>0.3</v>
      </c>
      <c r="AE249" s="126">
        <f t="shared" si="120"/>
        <v>0.3</v>
      </c>
      <c r="AF249" s="126">
        <f t="shared" si="120"/>
        <v>0.3</v>
      </c>
      <c r="AG249" s="140">
        <v>1</v>
      </c>
      <c r="AH249" s="47"/>
      <c r="AI249" s="48"/>
      <c r="AK249" s="50"/>
    </row>
    <row r="250" spans="1:37" x14ac:dyDescent="0.25">
      <c r="A250" s="103" t="s">
        <v>236</v>
      </c>
      <c r="B250" s="126">
        <f t="shared" si="118"/>
        <v>0.4</v>
      </c>
      <c r="C250" s="126">
        <v>0.4</v>
      </c>
      <c r="D250" s="126">
        <f t="shared" si="119"/>
        <v>0.4</v>
      </c>
      <c r="E250" s="126">
        <f t="shared" si="119"/>
        <v>0.4</v>
      </c>
      <c r="F250" s="126">
        <f t="shared" si="119"/>
        <v>0.4</v>
      </c>
      <c r="G250" s="126">
        <f t="shared" si="119"/>
        <v>0.4</v>
      </c>
      <c r="H250" s="126">
        <f t="shared" si="119"/>
        <v>0.4</v>
      </c>
      <c r="I250" s="126">
        <f t="shared" si="119"/>
        <v>0.4</v>
      </c>
      <c r="J250" s="126">
        <f t="shared" si="119"/>
        <v>0.4</v>
      </c>
      <c r="K250" s="126">
        <f t="shared" si="119"/>
        <v>0.4</v>
      </c>
      <c r="L250" s="126">
        <f t="shared" si="119"/>
        <v>0.4</v>
      </c>
      <c r="M250" s="126">
        <f t="shared" si="119"/>
        <v>0.4</v>
      </c>
      <c r="N250" s="126">
        <f t="shared" si="119"/>
        <v>0.4</v>
      </c>
      <c r="O250" s="126">
        <f t="shared" si="119"/>
        <v>0.4</v>
      </c>
      <c r="P250" s="126">
        <f t="shared" si="119"/>
        <v>0.4</v>
      </c>
      <c r="Q250" s="126">
        <f t="shared" si="119"/>
        <v>0.4</v>
      </c>
      <c r="R250" s="126">
        <f t="shared" si="119"/>
        <v>0.4</v>
      </c>
      <c r="S250" s="126">
        <f t="shared" si="119"/>
        <v>0.4</v>
      </c>
      <c r="T250" s="126">
        <f t="shared" si="120"/>
        <v>0.4</v>
      </c>
      <c r="U250" s="126">
        <f t="shared" si="120"/>
        <v>0.4</v>
      </c>
      <c r="V250" s="126">
        <f t="shared" si="120"/>
        <v>0.4</v>
      </c>
      <c r="W250" s="126">
        <f t="shared" si="120"/>
        <v>0.4</v>
      </c>
      <c r="X250" s="126">
        <f t="shared" si="120"/>
        <v>0.4</v>
      </c>
      <c r="Y250" s="126">
        <f t="shared" si="120"/>
        <v>0.4</v>
      </c>
      <c r="Z250" s="126">
        <f t="shared" si="120"/>
        <v>0.4</v>
      </c>
      <c r="AA250" s="126">
        <f t="shared" si="120"/>
        <v>0.4</v>
      </c>
      <c r="AB250" s="126">
        <f t="shared" si="120"/>
        <v>0.4</v>
      </c>
      <c r="AC250" s="126">
        <f t="shared" si="120"/>
        <v>0.4</v>
      </c>
      <c r="AD250" s="126">
        <f t="shared" si="120"/>
        <v>0.4</v>
      </c>
      <c r="AE250" s="126">
        <f t="shared" si="120"/>
        <v>0.4</v>
      </c>
      <c r="AF250" s="126">
        <f t="shared" si="120"/>
        <v>0.4</v>
      </c>
      <c r="AG250" s="140">
        <v>1</v>
      </c>
      <c r="AH250" s="47"/>
      <c r="AI250" s="48"/>
      <c r="AK250" s="50"/>
    </row>
    <row r="251" spans="1:37" ht="15.75" thickBot="1" x14ac:dyDescent="0.3">
      <c r="A251" s="116" t="s">
        <v>237</v>
      </c>
      <c r="B251" s="130">
        <f t="shared" si="118"/>
        <v>0.64</v>
      </c>
      <c r="C251" s="130">
        <v>0.64</v>
      </c>
      <c r="D251" s="130">
        <f t="shared" si="119"/>
        <v>0.64</v>
      </c>
      <c r="E251" s="130">
        <f t="shared" si="119"/>
        <v>0.64</v>
      </c>
      <c r="F251" s="130">
        <f t="shared" si="119"/>
        <v>0.64</v>
      </c>
      <c r="G251" s="130">
        <f t="shared" si="119"/>
        <v>0.64</v>
      </c>
      <c r="H251" s="130">
        <f t="shared" si="119"/>
        <v>0.64</v>
      </c>
      <c r="I251" s="130">
        <f t="shared" si="119"/>
        <v>0.64</v>
      </c>
      <c r="J251" s="130">
        <f t="shared" si="119"/>
        <v>0.64</v>
      </c>
      <c r="K251" s="130">
        <f t="shared" si="119"/>
        <v>0.64</v>
      </c>
      <c r="L251" s="130">
        <f t="shared" si="119"/>
        <v>0.64</v>
      </c>
      <c r="M251" s="130">
        <f t="shared" si="119"/>
        <v>0.64</v>
      </c>
      <c r="N251" s="130">
        <f t="shared" si="119"/>
        <v>0.64</v>
      </c>
      <c r="O251" s="130">
        <f t="shared" si="119"/>
        <v>0.64</v>
      </c>
      <c r="P251" s="130">
        <f t="shared" si="119"/>
        <v>0.64</v>
      </c>
      <c r="Q251" s="130">
        <f t="shared" si="119"/>
        <v>0.64</v>
      </c>
      <c r="R251" s="130">
        <f t="shared" si="119"/>
        <v>0.64</v>
      </c>
      <c r="S251" s="130">
        <f t="shared" si="119"/>
        <v>0.64</v>
      </c>
      <c r="T251" s="130">
        <f t="shared" si="120"/>
        <v>0.64</v>
      </c>
      <c r="U251" s="130">
        <f t="shared" si="120"/>
        <v>0.64</v>
      </c>
      <c r="V251" s="130">
        <f t="shared" si="120"/>
        <v>0.64</v>
      </c>
      <c r="W251" s="130">
        <f t="shared" si="120"/>
        <v>0.64</v>
      </c>
      <c r="X251" s="130">
        <f t="shared" si="120"/>
        <v>0.64</v>
      </c>
      <c r="Y251" s="130">
        <f t="shared" si="120"/>
        <v>0.64</v>
      </c>
      <c r="Z251" s="130">
        <f t="shared" si="120"/>
        <v>0.64</v>
      </c>
      <c r="AA251" s="130">
        <f t="shared" si="120"/>
        <v>0.64</v>
      </c>
      <c r="AB251" s="130">
        <f t="shared" si="120"/>
        <v>0.64</v>
      </c>
      <c r="AC251" s="130">
        <f t="shared" si="120"/>
        <v>0.64</v>
      </c>
      <c r="AD251" s="130">
        <f t="shared" si="120"/>
        <v>0.64</v>
      </c>
      <c r="AE251" s="130">
        <f t="shared" si="120"/>
        <v>0.64</v>
      </c>
      <c r="AF251" s="130">
        <f t="shared" si="120"/>
        <v>0.64</v>
      </c>
      <c r="AG251" s="141">
        <v>0.66</v>
      </c>
      <c r="AH251" s="47"/>
      <c r="AI251" s="48"/>
    </row>
    <row r="252" spans="1:37" ht="15.75" thickBot="1" x14ac:dyDescent="0.3">
      <c r="A252" s="142" t="s">
        <v>75</v>
      </c>
      <c r="B252" s="134">
        <f t="shared" ref="B252:AG252" si="121">SUM(B246:B251)</f>
        <v>3.54</v>
      </c>
      <c r="C252" s="134">
        <f t="shared" si="121"/>
        <v>3.54</v>
      </c>
      <c r="D252" s="134">
        <f t="shared" si="121"/>
        <v>3.54</v>
      </c>
      <c r="E252" s="134">
        <f t="shared" si="121"/>
        <v>3.54</v>
      </c>
      <c r="F252" s="134">
        <f t="shared" si="121"/>
        <v>3.54</v>
      </c>
      <c r="G252" s="134">
        <f t="shared" si="121"/>
        <v>3.54</v>
      </c>
      <c r="H252" s="134">
        <f t="shared" si="121"/>
        <v>3.54</v>
      </c>
      <c r="I252" s="134">
        <f t="shared" si="121"/>
        <v>3.54</v>
      </c>
      <c r="J252" s="134">
        <f t="shared" si="121"/>
        <v>3.54</v>
      </c>
      <c r="K252" s="134">
        <f t="shared" si="121"/>
        <v>3.54</v>
      </c>
      <c r="L252" s="134">
        <f t="shared" si="121"/>
        <v>3.54</v>
      </c>
      <c r="M252" s="134">
        <f t="shared" si="121"/>
        <v>3.54</v>
      </c>
      <c r="N252" s="134">
        <f t="shared" si="121"/>
        <v>3.54</v>
      </c>
      <c r="O252" s="134">
        <f t="shared" si="121"/>
        <v>3.54</v>
      </c>
      <c r="P252" s="134">
        <f t="shared" si="121"/>
        <v>3.54</v>
      </c>
      <c r="Q252" s="134">
        <f t="shared" si="121"/>
        <v>3.54</v>
      </c>
      <c r="R252" s="134">
        <f t="shared" si="121"/>
        <v>3.54</v>
      </c>
      <c r="S252" s="134">
        <f t="shared" si="121"/>
        <v>3.54</v>
      </c>
      <c r="T252" s="134">
        <f t="shared" si="121"/>
        <v>3.54</v>
      </c>
      <c r="U252" s="134">
        <f t="shared" si="121"/>
        <v>3.54</v>
      </c>
      <c r="V252" s="134">
        <f t="shared" si="121"/>
        <v>3.54</v>
      </c>
      <c r="W252" s="134">
        <f t="shared" si="121"/>
        <v>3.54</v>
      </c>
      <c r="X252" s="134">
        <f t="shared" si="121"/>
        <v>3.54</v>
      </c>
      <c r="Y252" s="134">
        <f t="shared" si="121"/>
        <v>3.54</v>
      </c>
      <c r="Z252" s="134">
        <f t="shared" si="121"/>
        <v>3.54</v>
      </c>
      <c r="AA252" s="134">
        <f t="shared" si="121"/>
        <v>3.54</v>
      </c>
      <c r="AB252" s="134">
        <f t="shared" si="121"/>
        <v>3.54</v>
      </c>
      <c r="AC252" s="134">
        <f t="shared" si="121"/>
        <v>3.54</v>
      </c>
      <c r="AD252" s="134">
        <f t="shared" si="121"/>
        <v>3.54</v>
      </c>
      <c r="AE252" s="134">
        <f t="shared" si="121"/>
        <v>3.54</v>
      </c>
      <c r="AF252" s="134">
        <f t="shared" si="121"/>
        <v>3.54</v>
      </c>
      <c r="AG252" s="143">
        <f t="shared" si="121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37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54" t="s">
        <v>243</v>
      </c>
      <c r="B256" s="155">
        <f>MAX(G99:N99)</f>
        <v>1804.7399999999998</v>
      </c>
      <c r="C256" s="156">
        <f>INDEX(G9:N9,1,MATCH(MAX(G99:N99),G99:N99,0))</f>
        <v>0.33333333333333331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50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157" t="str">
        <f ca="1">MID(CELL("filename",C7),FIND("]",CELL("filename",C7))+1,600)</f>
        <v>16</v>
      </c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50" x14ac:dyDescent="0.25">
      <c r="A258" s="257" t="s">
        <v>244</v>
      </c>
      <c r="B258" s="257"/>
      <c r="C258" s="43"/>
      <c r="D258" s="157" t="str">
        <f ca="1">"Pie Chart of Daily Peak Demand(Inclusive of Export) of Nepal ("&amp;A4&amp;" "&amp;B4&amp;")"</f>
        <v>Pie Chart of Daily Peak Demand(Inclusive of Export) of Nepal (Nepali Date: 2080/10/16)</v>
      </c>
      <c r="E258" s="43"/>
      <c r="F258" s="43"/>
      <c r="G258" s="157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157" t="str">
        <f ca="1">"Daily Load Curve(Excluding of Export) of Nepal ("&amp;A4&amp;" "&amp;B4&amp;")"</f>
        <v>Daily Load Curve(Excluding of Export) of Nepal (Nepali Date: 2080/10/16)</v>
      </c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50" ht="12.75" customHeight="1" thickBot="1" x14ac:dyDescent="0.3">
      <c r="A259" s="158" t="s">
        <v>7</v>
      </c>
      <c r="B259" s="159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50" ht="15.75" thickTop="1" x14ac:dyDescent="0.25">
      <c r="A260" s="158" t="s">
        <v>245</v>
      </c>
      <c r="B260" s="15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160" t="s">
        <v>246</v>
      </c>
      <c r="T260" s="161">
        <v>0</v>
      </c>
      <c r="U260" s="162">
        <v>4.1666666666666664E-2</v>
      </c>
      <c r="V260" s="163">
        <v>8.3333333333333301E-2</v>
      </c>
      <c r="W260" s="163">
        <v>0.125</v>
      </c>
      <c r="X260" s="163">
        <v>0.16666666666666699</v>
      </c>
      <c r="Y260" s="163">
        <v>0.20833333333333301</v>
      </c>
      <c r="Z260" s="163">
        <v>0.22916666666666666</v>
      </c>
      <c r="AA260" s="163">
        <v>0.25</v>
      </c>
      <c r="AB260" s="163">
        <v>0.27083333333333331</v>
      </c>
      <c r="AC260" s="163">
        <v>0.29166666666666669</v>
      </c>
      <c r="AD260" s="163">
        <v>0.3125</v>
      </c>
      <c r="AE260" s="164">
        <v>0.33333333333333331</v>
      </c>
      <c r="AF260" s="164">
        <v>0.375</v>
      </c>
      <c r="AG260" s="164">
        <v>0.41666666666666702</v>
      </c>
      <c r="AH260" s="164">
        <v>0.45833333333333298</v>
      </c>
      <c r="AI260" s="164">
        <v>0.5</v>
      </c>
      <c r="AJ260" s="164">
        <v>0.54166666666666696</v>
      </c>
      <c r="AK260" s="164">
        <v>0.58333333333333304</v>
      </c>
      <c r="AL260" s="164">
        <v>0.625</v>
      </c>
      <c r="AM260" s="164">
        <v>0.66666666666666696</v>
      </c>
      <c r="AN260" s="164">
        <v>0.70833333333333304</v>
      </c>
      <c r="AO260" s="164">
        <v>0.72916666666666663</v>
      </c>
      <c r="AP260" s="164">
        <v>0.75</v>
      </c>
      <c r="AQ260" s="164">
        <v>0.77083333333333337</v>
      </c>
      <c r="AR260" s="164">
        <v>0.79166666666666663</v>
      </c>
      <c r="AS260" s="164">
        <v>0.8125</v>
      </c>
      <c r="AT260" s="163">
        <v>0.83333333333333337</v>
      </c>
      <c r="AU260" s="163">
        <v>0.85416666666666663</v>
      </c>
      <c r="AV260" s="163">
        <v>0.875</v>
      </c>
      <c r="AW260" s="163">
        <v>0.91666666666666696</v>
      </c>
      <c r="AX260" s="163">
        <v>0.95833333333333304</v>
      </c>
    </row>
    <row r="261" spans="1:50" x14ac:dyDescent="0.25">
      <c r="A261" s="158" t="s">
        <v>247</v>
      </c>
      <c r="B261" s="15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 t="s">
        <v>248</v>
      </c>
      <c r="T261" s="165">
        <f t="shared" ref="T261:AX261" si="122">B99</f>
        <v>1279.1400000000001</v>
      </c>
      <c r="U261" s="165">
        <f t="shared" si="122"/>
        <v>1146.3400000000001</v>
      </c>
      <c r="V261" s="165">
        <f t="shared" si="122"/>
        <v>1189.94</v>
      </c>
      <c r="W261" s="165">
        <f t="shared" si="122"/>
        <v>1184.1400000000001</v>
      </c>
      <c r="X261" s="165">
        <f t="shared" si="122"/>
        <v>1203.1400000000001</v>
      </c>
      <c r="Y261" s="165">
        <f t="shared" si="122"/>
        <v>1280.3400000000001</v>
      </c>
      <c r="Z261" s="165">
        <f t="shared" si="122"/>
        <v>1361.94</v>
      </c>
      <c r="AA261" s="165">
        <f t="shared" si="122"/>
        <v>1458.04</v>
      </c>
      <c r="AB261" s="165">
        <f t="shared" si="122"/>
        <v>1549.58</v>
      </c>
      <c r="AC261" s="165">
        <f t="shared" si="122"/>
        <v>1128.54</v>
      </c>
      <c r="AD261" s="165">
        <f t="shared" si="122"/>
        <v>1578.64</v>
      </c>
      <c r="AE261" s="165">
        <f t="shared" si="122"/>
        <v>1804.7399999999998</v>
      </c>
      <c r="AF261" s="165">
        <f t="shared" si="122"/>
        <v>1691.44</v>
      </c>
      <c r="AG261" s="165">
        <f t="shared" si="122"/>
        <v>1605.94</v>
      </c>
      <c r="AH261" s="165">
        <f t="shared" si="122"/>
        <v>1541.74</v>
      </c>
      <c r="AI261" s="165">
        <f t="shared" si="122"/>
        <v>1485.8400000000001</v>
      </c>
      <c r="AJ261" s="165">
        <f t="shared" si="122"/>
        <v>1490.04</v>
      </c>
      <c r="AK261" s="165">
        <f t="shared" si="122"/>
        <v>1503.8400000000001</v>
      </c>
      <c r="AL261" s="165">
        <f t="shared" si="122"/>
        <v>1513.64</v>
      </c>
      <c r="AM261" s="165">
        <f t="shared" si="122"/>
        <v>1547.64</v>
      </c>
      <c r="AN261" s="165">
        <f t="shared" si="122"/>
        <v>1674.19</v>
      </c>
      <c r="AO261" s="165">
        <f t="shared" si="122"/>
        <v>1779.54</v>
      </c>
      <c r="AP261" s="165">
        <f t="shared" si="122"/>
        <v>1860.64</v>
      </c>
      <c r="AQ261" s="165">
        <f t="shared" si="122"/>
        <v>1956.7</v>
      </c>
      <c r="AR261" s="165">
        <f t="shared" si="122"/>
        <v>1880.7</v>
      </c>
      <c r="AS261" s="165">
        <f t="shared" si="122"/>
        <v>1855.1399999999999</v>
      </c>
      <c r="AT261" s="165">
        <f t="shared" si="122"/>
        <v>1785.04</v>
      </c>
      <c r="AU261" s="165">
        <f t="shared" si="122"/>
        <v>1718.54</v>
      </c>
      <c r="AV261" s="165">
        <f t="shared" si="122"/>
        <v>1661.0400000000004</v>
      </c>
      <c r="AW261" s="165">
        <f t="shared" si="122"/>
        <v>1426.0400000000002</v>
      </c>
      <c r="AX261" s="165">
        <f t="shared" si="122"/>
        <v>1275.94</v>
      </c>
    </row>
    <row r="262" spans="1:50" x14ac:dyDescent="0.25">
      <c r="A262" s="158" t="s">
        <v>249</v>
      </c>
      <c r="B262" s="15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50" x14ac:dyDescent="0.25">
      <c r="A263" s="158" t="s">
        <v>250</v>
      </c>
      <c r="B263" s="15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50" x14ac:dyDescent="0.25">
      <c r="A264" s="158" t="s">
        <v>251</v>
      </c>
      <c r="B264" s="15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50" x14ac:dyDescent="0.25">
      <c r="A265" s="158" t="s">
        <v>252</v>
      </c>
      <c r="B265" s="166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50" x14ac:dyDescent="0.25">
      <c r="A266" s="158" t="s">
        <v>253</v>
      </c>
      <c r="B266" s="15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50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50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50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50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50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50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1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1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1:34" x14ac:dyDescent="0.25">
      <c r="A282" s="167" t="s">
        <v>238</v>
      </c>
      <c r="B282" s="168">
        <f t="shared" ref="B282:AE282" si="123">C251</f>
        <v>0.64</v>
      </c>
      <c r="C282" s="168">
        <f t="shared" si="123"/>
        <v>0.64</v>
      </c>
      <c r="D282" s="168">
        <f t="shared" si="123"/>
        <v>0.64</v>
      </c>
      <c r="E282" s="168">
        <f t="shared" si="123"/>
        <v>0.64</v>
      </c>
      <c r="F282" s="168">
        <f t="shared" si="123"/>
        <v>0.64</v>
      </c>
      <c r="G282" s="168">
        <f t="shared" si="123"/>
        <v>0.64</v>
      </c>
      <c r="H282" s="168">
        <f t="shared" si="123"/>
        <v>0.64</v>
      </c>
      <c r="I282" s="168">
        <f t="shared" si="123"/>
        <v>0.64</v>
      </c>
      <c r="J282" s="168">
        <f t="shared" si="123"/>
        <v>0.64</v>
      </c>
      <c r="K282" s="168">
        <f t="shared" si="123"/>
        <v>0.64</v>
      </c>
      <c r="L282" s="168">
        <f t="shared" si="123"/>
        <v>0.64</v>
      </c>
      <c r="M282" s="168">
        <f t="shared" si="123"/>
        <v>0.64</v>
      </c>
      <c r="N282" s="168">
        <f t="shared" si="123"/>
        <v>0.64</v>
      </c>
      <c r="O282" s="168">
        <f t="shared" si="123"/>
        <v>0.64</v>
      </c>
      <c r="P282" s="168">
        <f t="shared" si="123"/>
        <v>0.64</v>
      </c>
      <c r="Q282" s="168">
        <f t="shared" si="123"/>
        <v>0.64</v>
      </c>
      <c r="R282" s="168">
        <f t="shared" si="123"/>
        <v>0.64</v>
      </c>
      <c r="S282" s="168">
        <f t="shared" si="123"/>
        <v>0.64</v>
      </c>
      <c r="T282" s="168">
        <f t="shared" si="123"/>
        <v>0.64</v>
      </c>
      <c r="U282" s="168">
        <f t="shared" si="123"/>
        <v>0.64</v>
      </c>
      <c r="V282" s="168">
        <f t="shared" si="123"/>
        <v>0.64</v>
      </c>
      <c r="W282" s="168">
        <f t="shared" si="123"/>
        <v>0.64</v>
      </c>
      <c r="X282" s="168">
        <f t="shared" si="123"/>
        <v>0.64</v>
      </c>
      <c r="Y282" s="168">
        <f t="shared" si="123"/>
        <v>0.64</v>
      </c>
      <c r="Z282" s="168">
        <f t="shared" si="123"/>
        <v>0.64</v>
      </c>
      <c r="AA282" s="168">
        <f t="shared" si="123"/>
        <v>0.64</v>
      </c>
      <c r="AB282" s="168">
        <f t="shared" si="123"/>
        <v>0.64</v>
      </c>
      <c r="AC282" s="168">
        <f t="shared" si="123"/>
        <v>0.64</v>
      </c>
      <c r="AD282" s="168">
        <f t="shared" si="123"/>
        <v>0.64</v>
      </c>
      <c r="AE282" s="168">
        <f t="shared" si="123"/>
        <v>0.64</v>
      </c>
      <c r="AF282" s="168">
        <f>B251</f>
        <v>0.64</v>
      </c>
      <c r="AG282" s="43"/>
      <c r="AH282" s="43"/>
    </row>
    <row r="283" spans="1:34" x14ac:dyDescent="0.25">
      <c r="A283" s="169" t="e">
        <f>#REF!</f>
        <v>#REF!</v>
      </c>
      <c r="B283" s="169" t="e">
        <f>IF(#REF!&lt;100,"",#REF!-520)</f>
        <v>#REF!</v>
      </c>
      <c r="C283" s="169" t="e">
        <f>IF(#REF!&lt;100,"",#REF!-520)</f>
        <v>#REF!</v>
      </c>
      <c r="D283" s="169" t="e">
        <f>IF(#REF!&lt;100,"",#REF!-520)</f>
        <v>#REF!</v>
      </c>
      <c r="E283" s="169" t="e">
        <f>IF(#REF!&lt;100,"",#REF!-520)</f>
        <v>#REF!</v>
      </c>
      <c r="F283" s="169" t="e">
        <f>IF(#REF!&lt;100,"",#REF!-520)</f>
        <v>#REF!</v>
      </c>
      <c r="G283" s="169" t="e">
        <f>IF(#REF!&lt;100,"",#REF!-520)</f>
        <v>#REF!</v>
      </c>
      <c r="H283" s="169" t="e">
        <f>IF(#REF!&lt;100,"",#REF!-520)</f>
        <v>#REF!</v>
      </c>
      <c r="I283" s="169" t="e">
        <f>IF(#REF!&lt;100,"",#REF!-520)</f>
        <v>#REF!</v>
      </c>
      <c r="J283" s="169" t="e">
        <f>IF(#REF!&lt;100,"",#REF!-520)</f>
        <v>#REF!</v>
      </c>
      <c r="K283" s="169" t="e">
        <f>IF(#REF!&lt;100,"",#REF!-520)</f>
        <v>#REF!</v>
      </c>
      <c r="L283" s="169" t="e">
        <f>IF(#REF!&lt;100,"",#REF!-520)</f>
        <v>#REF!</v>
      </c>
      <c r="M283" s="169" t="e">
        <f>IF(#REF!&lt;100,"",#REF!-520)</f>
        <v>#REF!</v>
      </c>
      <c r="N283" s="169" t="e">
        <f>IF(#REF!&lt;100,"",#REF!-520)</f>
        <v>#REF!</v>
      </c>
      <c r="O283" s="169" t="e">
        <f>IF(#REF!&lt;100,"",#REF!-520)</f>
        <v>#REF!</v>
      </c>
      <c r="P283" s="169" t="e">
        <f>IF(#REF!&lt;100,"",#REF!-520)</f>
        <v>#REF!</v>
      </c>
      <c r="Q283" s="169" t="e">
        <f>IF(#REF!&lt;100,"",#REF!-520)</f>
        <v>#REF!</v>
      </c>
      <c r="R283" s="169" t="e">
        <f>IF(#REF!&lt;100,"",#REF!-520)</f>
        <v>#REF!</v>
      </c>
      <c r="S283" s="169" t="e">
        <f>IF(#REF!&lt;100,"",#REF!-520)</f>
        <v>#REF!</v>
      </c>
      <c r="T283" s="169" t="e">
        <f>IF(#REF!&lt;100,"",#REF!-520)</f>
        <v>#REF!</v>
      </c>
      <c r="U283" s="169" t="e">
        <f>IF(#REF!&lt;100,"",#REF!-520)</f>
        <v>#REF!</v>
      </c>
      <c r="V283" s="169" t="e">
        <f>IF(#REF!&lt;100,"",#REF!-520)</f>
        <v>#REF!</v>
      </c>
      <c r="W283" s="169" t="e">
        <f>IF(#REF!&lt;100,"",#REF!-520)</f>
        <v>#REF!</v>
      </c>
      <c r="X283" s="169" t="e">
        <f>IF(#REF!&lt;100,"",#REF!-520)</f>
        <v>#REF!</v>
      </c>
      <c r="Y283" s="169" t="e">
        <f>IF(#REF!&lt;100,"",#REF!-520)</f>
        <v>#REF!</v>
      </c>
      <c r="Z283" s="169" t="e">
        <f>IF(#REF!&lt;100,"",#REF!-520)</f>
        <v>#REF!</v>
      </c>
      <c r="AA283" s="169" t="e">
        <f>IF(#REF!&lt;100,"",#REF!-520)</f>
        <v>#REF!</v>
      </c>
      <c r="AB283" s="169" t="e">
        <f>IF(#REF!&lt;100,"",#REF!-520)</f>
        <v>#REF!</v>
      </c>
      <c r="AC283" s="169" t="e">
        <f>IF(#REF!&lt;100,"",#REF!-520)</f>
        <v>#REF!</v>
      </c>
      <c r="AD283" s="169" t="e">
        <f>IF(#REF!&lt;100,"",#REF!-520)</f>
        <v>#REF!</v>
      </c>
      <c r="AE283" s="169" t="e">
        <f>IF(#REF!&lt;100,"",#REF!-520)</f>
        <v>#REF!</v>
      </c>
      <c r="AF283" s="169" t="e">
        <f>IF(#REF!&lt;100,"",#REF!-520)</f>
        <v>#REF!</v>
      </c>
      <c r="AG283" s="43"/>
      <c r="AH283" s="43"/>
    </row>
    <row r="284" spans="1:34" x14ac:dyDescent="0.25">
      <c r="A284" s="169" t="e">
        <f>#REF!</f>
        <v>#REF!</v>
      </c>
      <c r="B284" s="169" t="e">
        <f>IF(#REF!&lt;100,"",#REF!-620)</f>
        <v>#REF!</v>
      </c>
      <c r="C284" s="169" t="e">
        <f>IF(#REF!&lt;100,"",#REF!-620)</f>
        <v>#REF!</v>
      </c>
      <c r="D284" s="169" t="e">
        <f>IF(#REF!&lt;100,"",#REF!-620)</f>
        <v>#REF!</v>
      </c>
      <c r="E284" s="169" t="e">
        <f>IF(#REF!&lt;100,"",#REF!-620)</f>
        <v>#REF!</v>
      </c>
      <c r="F284" s="169" t="e">
        <f>IF(#REF!&lt;100,"",#REF!-620)</f>
        <v>#REF!</v>
      </c>
      <c r="G284" s="169" t="e">
        <f>IF(#REF!&lt;100,"",#REF!-620)</f>
        <v>#REF!</v>
      </c>
      <c r="H284" s="169" t="e">
        <f>IF(#REF!&lt;100,"",#REF!-620)</f>
        <v>#REF!</v>
      </c>
      <c r="I284" s="169" t="e">
        <f>IF(#REF!&lt;100,"",#REF!-620)</f>
        <v>#REF!</v>
      </c>
      <c r="J284" s="169" t="e">
        <f>IF(#REF!&lt;100,"",#REF!-620)</f>
        <v>#REF!</v>
      </c>
      <c r="K284" s="169" t="e">
        <f>IF(#REF!&lt;100,"",#REF!-620)</f>
        <v>#REF!</v>
      </c>
      <c r="L284" s="169" t="e">
        <f>IF(#REF!&lt;100,"",#REF!-620)</f>
        <v>#REF!</v>
      </c>
      <c r="M284" s="169" t="e">
        <f>IF(#REF!&lt;100,"",#REF!-620)</f>
        <v>#REF!</v>
      </c>
      <c r="N284" s="169" t="e">
        <f>IF(#REF!&lt;100,"",#REF!-620)</f>
        <v>#REF!</v>
      </c>
      <c r="O284" s="169" t="e">
        <f>IF(#REF!&lt;100,"",#REF!-620)</f>
        <v>#REF!</v>
      </c>
      <c r="P284" s="169" t="e">
        <f>IF(#REF!&lt;100,"",#REF!-620)</f>
        <v>#REF!</v>
      </c>
      <c r="Q284" s="169" t="e">
        <f>IF(#REF!&lt;100,"",#REF!-620)</f>
        <v>#REF!</v>
      </c>
      <c r="R284" s="169" t="e">
        <f>IF(#REF!&lt;100,"",#REF!-620)</f>
        <v>#REF!</v>
      </c>
      <c r="S284" s="169" t="e">
        <f>IF(#REF!&lt;100,"",#REF!-620)</f>
        <v>#REF!</v>
      </c>
      <c r="T284" s="169" t="e">
        <f>IF(#REF!&lt;100,"",#REF!-620)</f>
        <v>#REF!</v>
      </c>
      <c r="U284" s="169" t="e">
        <f>IF(#REF!&lt;100,"",#REF!-620)</f>
        <v>#REF!</v>
      </c>
      <c r="V284" s="169" t="e">
        <f>IF(#REF!&lt;100,"",#REF!-620)</f>
        <v>#REF!</v>
      </c>
      <c r="W284" s="169" t="e">
        <f>IF(#REF!&lt;100,"",#REF!-620)</f>
        <v>#REF!</v>
      </c>
      <c r="X284" s="169" t="e">
        <f>IF(#REF!&lt;100,"",#REF!-620)</f>
        <v>#REF!</v>
      </c>
      <c r="Y284" s="169" t="e">
        <f>IF(#REF!&lt;100,"",#REF!-620)</f>
        <v>#REF!</v>
      </c>
      <c r="Z284" s="169" t="e">
        <f>IF(#REF!&lt;100,"",#REF!-620)</f>
        <v>#REF!</v>
      </c>
      <c r="AA284" s="169" t="e">
        <f>IF(#REF!&lt;100,"",#REF!-620)</f>
        <v>#REF!</v>
      </c>
      <c r="AB284" s="169" t="e">
        <f>IF(#REF!&lt;100,"",#REF!-620)</f>
        <v>#REF!</v>
      </c>
      <c r="AC284" s="169" t="e">
        <f>IF(#REF!&lt;100,"",#REF!-620)</f>
        <v>#REF!</v>
      </c>
      <c r="AD284" s="169" t="e">
        <f>IF(#REF!&lt;100,"",#REF!-620)</f>
        <v>#REF!</v>
      </c>
      <c r="AE284" s="169" t="e">
        <f>IF(#REF!&lt;100,"",#REF!-620)</f>
        <v>#REF!</v>
      </c>
      <c r="AF284" s="169" t="e">
        <f>IF(#REF!&lt;100,"",#REF!-620)</f>
        <v>#REF!</v>
      </c>
      <c r="AG284" s="43"/>
      <c r="AH284" s="43"/>
    </row>
    <row r="285" spans="1:34" x14ac:dyDescent="0.25">
      <c r="A285" s="169" t="e">
        <f>#REF!</f>
        <v>#REF!</v>
      </c>
      <c r="B285" s="169" t="e">
        <f>IF(#REF!&lt;100,"",#REF!-330)</f>
        <v>#REF!</v>
      </c>
      <c r="C285" s="169" t="e">
        <f>IF(#REF!&lt;100,"",#REF!-330)</f>
        <v>#REF!</v>
      </c>
      <c r="D285" s="169" t="e">
        <f>IF(#REF!&lt;100,"",#REF!-330)</f>
        <v>#REF!</v>
      </c>
      <c r="E285" s="169" t="e">
        <f>IF(#REF!&lt;100,"",#REF!-330)</f>
        <v>#REF!</v>
      </c>
      <c r="F285" s="169" t="e">
        <f>IF(#REF!&lt;100,"",#REF!-330)</f>
        <v>#REF!</v>
      </c>
      <c r="G285" s="169" t="e">
        <f>IF(#REF!&lt;100,"",#REF!-330)</f>
        <v>#REF!</v>
      </c>
      <c r="H285" s="169" t="e">
        <f>IF(#REF!&lt;100,"",#REF!-330)</f>
        <v>#REF!</v>
      </c>
      <c r="I285" s="169" t="e">
        <f>IF(#REF!&lt;100,"",#REF!-330)</f>
        <v>#REF!</v>
      </c>
      <c r="J285" s="169" t="e">
        <f>IF(#REF!&lt;100,"",#REF!-330)</f>
        <v>#REF!</v>
      </c>
      <c r="K285" s="169" t="e">
        <f>IF(#REF!&lt;100,"",#REF!-330)</f>
        <v>#REF!</v>
      </c>
      <c r="L285" s="169" t="e">
        <f>IF(#REF!&lt;100,"",#REF!-330)</f>
        <v>#REF!</v>
      </c>
      <c r="M285" s="169" t="e">
        <f>IF(#REF!&lt;100,"",#REF!-330)</f>
        <v>#REF!</v>
      </c>
      <c r="N285" s="169" t="e">
        <f>IF(#REF!&lt;100,"",#REF!-330)</f>
        <v>#REF!</v>
      </c>
      <c r="O285" s="169" t="e">
        <f>IF(#REF!&lt;100,"",#REF!-330)</f>
        <v>#REF!</v>
      </c>
      <c r="P285" s="169" t="e">
        <f>IF(#REF!&lt;100,"",#REF!-330)</f>
        <v>#REF!</v>
      </c>
      <c r="Q285" s="169" t="e">
        <f>IF(#REF!&lt;100,"",#REF!-330)</f>
        <v>#REF!</v>
      </c>
      <c r="R285" s="169" t="e">
        <f>IF(#REF!&lt;100,"",#REF!-330)</f>
        <v>#REF!</v>
      </c>
      <c r="S285" s="169" t="e">
        <f>IF(#REF!&lt;100,"",#REF!-330)</f>
        <v>#REF!</v>
      </c>
      <c r="T285" s="169" t="e">
        <f>IF(#REF!&lt;100,"",#REF!-330)</f>
        <v>#REF!</v>
      </c>
      <c r="U285" s="169" t="e">
        <f>IF(#REF!&lt;100,"",#REF!-330)</f>
        <v>#REF!</v>
      </c>
      <c r="V285" s="169" t="e">
        <f>IF(#REF!&lt;100,"",#REF!-330)</f>
        <v>#REF!</v>
      </c>
      <c r="W285" s="169" t="e">
        <f>IF(#REF!&lt;100,"",#REF!-330)</f>
        <v>#REF!</v>
      </c>
      <c r="X285" s="169" t="e">
        <f>IF(#REF!&lt;100,"",#REF!-330)</f>
        <v>#REF!</v>
      </c>
      <c r="Y285" s="169" t="e">
        <f>IF(#REF!&lt;100,"",#REF!-330)</f>
        <v>#REF!</v>
      </c>
      <c r="Z285" s="169" t="e">
        <f>IF(#REF!&lt;100,"",#REF!-330)</f>
        <v>#REF!</v>
      </c>
      <c r="AA285" s="169" t="e">
        <f>IF(#REF!&lt;100,"",#REF!-330)</f>
        <v>#REF!</v>
      </c>
      <c r="AB285" s="169" t="e">
        <f>IF(#REF!&lt;100,"",#REF!-330)</f>
        <v>#REF!</v>
      </c>
      <c r="AC285" s="169" t="e">
        <f>IF(#REF!&lt;100,"",#REF!-330)</f>
        <v>#REF!</v>
      </c>
      <c r="AD285" s="169" t="e">
        <f>IF(#REF!&lt;100,"",#REF!-330)</f>
        <v>#REF!</v>
      </c>
      <c r="AE285" s="169" t="e">
        <f>IF(#REF!&lt;100,"",#REF!-330)</f>
        <v>#REF!</v>
      </c>
      <c r="AF285" s="169" t="e">
        <f>IF(#REF!&lt;100,"",#REF!-330)</f>
        <v>#REF!</v>
      </c>
      <c r="AG285" s="43"/>
      <c r="AH285" s="43"/>
    </row>
    <row r="286" spans="1:34" x14ac:dyDescent="0.25">
      <c r="A286" s="169" t="e">
        <f>#REF!</f>
        <v>#REF!</v>
      </c>
      <c r="B286" s="169" t="e">
        <f>IF(#REF!&lt;100,"",#REF!-1500)</f>
        <v>#REF!</v>
      </c>
      <c r="C286" s="169" t="e">
        <f>IF(#REF!&lt;100,"",#REF!-1500)</f>
        <v>#REF!</v>
      </c>
      <c r="D286" s="169" t="e">
        <f>IF(#REF!&lt;100,"",#REF!-1500)</f>
        <v>#REF!</v>
      </c>
      <c r="E286" s="169" t="e">
        <f>IF(#REF!&lt;100,"",#REF!-1500)</f>
        <v>#REF!</v>
      </c>
      <c r="F286" s="169" t="e">
        <f>IF(#REF!&lt;100,"",#REF!-1500)</f>
        <v>#REF!</v>
      </c>
      <c r="G286" s="169" t="e">
        <f>IF(#REF!&lt;100,"",#REF!-1500)</f>
        <v>#REF!</v>
      </c>
      <c r="H286" s="169" t="e">
        <f>IF(#REF!&lt;100,"",#REF!-1500)</f>
        <v>#REF!</v>
      </c>
      <c r="I286" s="169" t="e">
        <f>IF(#REF!&lt;100,"",#REF!-1500)</f>
        <v>#REF!</v>
      </c>
      <c r="J286" s="169" t="e">
        <f>IF(#REF!&lt;100,"",#REF!-1500)</f>
        <v>#REF!</v>
      </c>
      <c r="K286" s="169" t="e">
        <f>IF(#REF!&lt;100,"",#REF!-1500)</f>
        <v>#REF!</v>
      </c>
      <c r="L286" s="169" t="e">
        <f>IF(#REF!&lt;100,"",#REF!-1500)</f>
        <v>#REF!</v>
      </c>
      <c r="M286" s="169" t="e">
        <f>IF(#REF!&lt;100,"",#REF!-1500)</f>
        <v>#REF!</v>
      </c>
      <c r="N286" s="169" t="e">
        <f>IF(#REF!&lt;100,"",#REF!-1500)</f>
        <v>#REF!</v>
      </c>
      <c r="O286" s="169" t="e">
        <f>IF(#REF!&lt;100,"",#REF!-1500)</f>
        <v>#REF!</v>
      </c>
      <c r="P286" s="169" t="e">
        <f>IF(#REF!&lt;100,"",#REF!-1500)</f>
        <v>#REF!</v>
      </c>
      <c r="Q286" s="169" t="e">
        <f>IF(#REF!&lt;100,"",#REF!-1500)</f>
        <v>#REF!</v>
      </c>
      <c r="R286" s="169" t="e">
        <f>IF(#REF!&lt;100,"",#REF!-1500)</f>
        <v>#REF!</v>
      </c>
      <c r="S286" s="169" t="e">
        <f>IF(#REF!&lt;100,"",#REF!-1500)</f>
        <v>#REF!</v>
      </c>
      <c r="T286" s="169" t="e">
        <f>IF(#REF!&lt;100,"",#REF!-1500)</f>
        <v>#REF!</v>
      </c>
      <c r="U286" s="169" t="e">
        <f>IF(#REF!&lt;100,"",#REF!-1500)</f>
        <v>#REF!</v>
      </c>
      <c r="V286" s="169" t="e">
        <f>IF(#REF!&lt;100,"",#REF!-1500)</f>
        <v>#REF!</v>
      </c>
      <c r="W286" s="169" t="e">
        <f>IF(#REF!&lt;100,"",#REF!-1500)</f>
        <v>#REF!</v>
      </c>
      <c r="X286" s="169" t="e">
        <f>IF(#REF!&lt;100,"",#REF!-1500)</f>
        <v>#REF!</v>
      </c>
      <c r="Y286" s="169" t="e">
        <f>IF(#REF!&lt;100,"",#REF!-1500)</f>
        <v>#REF!</v>
      </c>
      <c r="Z286" s="169" t="e">
        <f>IF(#REF!&lt;100,"",#REF!-1500)</f>
        <v>#REF!</v>
      </c>
      <c r="AA286" s="169" t="e">
        <f>IF(#REF!&lt;100,"",#REF!-1500)</f>
        <v>#REF!</v>
      </c>
      <c r="AB286" s="169" t="e">
        <f>IF(#REF!&lt;100,"",#REF!-1500)</f>
        <v>#REF!</v>
      </c>
      <c r="AC286" s="169" t="e">
        <f>IF(#REF!&lt;100,"",#REF!-1500)</f>
        <v>#REF!</v>
      </c>
      <c r="AD286" s="169" t="e">
        <f>IF(#REF!&lt;100,"",#REF!-1500)</f>
        <v>#REF!</v>
      </c>
      <c r="AE286" s="169" t="e">
        <f>IF(#REF!&lt;100,"",#REF!-1500)</f>
        <v>#REF!</v>
      </c>
      <c r="AF286" s="169" t="e">
        <f>IF(#REF!&lt;100,"",#REF!-1500)</f>
        <v>#REF!</v>
      </c>
      <c r="AG286" s="43"/>
      <c r="AH286" s="43"/>
    </row>
    <row r="287" spans="1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1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2:34" x14ac:dyDescent="0.25"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2:34" x14ac:dyDescent="0.25"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2:34" x14ac:dyDescent="0.25"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2:34" x14ac:dyDescent="0.25"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2:34" x14ac:dyDescent="0.25"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1206" priority="62">
      <formula>$AH11=0</formula>
    </cfRule>
  </conditionalFormatting>
  <conditionalFormatting sqref="A132:A253">
    <cfRule type="expression" dxfId="1205" priority="67">
      <formula>$AH132=0</formula>
    </cfRule>
  </conditionalFormatting>
  <conditionalFormatting sqref="B8 M8 S8 AB8">
    <cfRule type="expression" dxfId="1204" priority="177">
      <formula>C$9&lt;8/24</formula>
    </cfRule>
    <cfRule type="expression" dxfId="1203" priority="175">
      <formula>AND(C$9&gt;=14/24,C$9&lt;20/24)</formula>
    </cfRule>
    <cfRule type="expression" dxfId="1202" priority="176">
      <formula>AND(C$9&gt;=8/24,C$9&lt;14/24)</formula>
    </cfRule>
  </conditionalFormatting>
  <conditionalFormatting sqref="B62:L74 M69:P74">
    <cfRule type="expression" dxfId="1201" priority="50">
      <formula>AND(B$9&gt;=14/24,B$9&lt;20/24)</formula>
    </cfRule>
    <cfRule type="expression" dxfId="1200" priority="52">
      <formula>B$9&lt;8/24</formula>
    </cfRule>
    <cfRule type="expression" dxfId="1199" priority="51">
      <formula>AND(B$9&gt;=8/24,B$9&lt;14/24)</formula>
    </cfRule>
    <cfRule type="expression" dxfId="1198" priority="49">
      <formula>B$9&gt;=20/24</formula>
    </cfRule>
  </conditionalFormatting>
  <conditionalFormatting sqref="B69:P74">
    <cfRule type="expression" dxfId="1197" priority="20">
      <formula>AND(B$9&gt;=14/24,B$9&lt;20/24)</formula>
    </cfRule>
    <cfRule type="expression" dxfId="1196" priority="21">
      <formula>AND(B$9&gt;=8/24,B$9&lt;14/24)</formula>
    </cfRule>
    <cfRule type="expression" dxfId="1195" priority="22">
      <formula>B$9&lt;8/24</formula>
    </cfRule>
    <cfRule type="expression" dxfId="1194" priority="19">
      <formula>B$9&gt;=20/24</formula>
    </cfRule>
  </conditionalFormatting>
  <conditionalFormatting sqref="B11:X52">
    <cfRule type="expression" dxfId="1193" priority="24">
      <formula>B$9&gt;=20/24</formula>
    </cfRule>
    <cfRule type="expression" dxfId="1192" priority="25">
      <formula>AND(B$9&gt;=14/24,B$9&lt;20/24)</formula>
    </cfRule>
    <cfRule type="expression" dxfId="1191" priority="26">
      <formula>AND(B$9&gt;=8/24,B$9&lt;14/24)</formula>
    </cfRule>
    <cfRule type="expression" dxfId="1190" priority="27">
      <formula>B$9&lt;8/24</formula>
    </cfRule>
  </conditionalFormatting>
  <conditionalFormatting sqref="B11:X54">
    <cfRule type="expression" dxfId="1189" priority="13">
      <formula>B11&gt;$AG11</formula>
    </cfRule>
  </conditionalFormatting>
  <conditionalFormatting sqref="B53:X54">
    <cfRule type="expression" dxfId="1188" priority="12">
      <formula>B$9&lt;8/24</formula>
    </cfRule>
  </conditionalFormatting>
  <conditionalFormatting sqref="B55:X55">
    <cfRule type="expression" dxfId="1187" priority="33">
      <formula>B55&gt;$AG55</formula>
    </cfRule>
  </conditionalFormatting>
  <conditionalFormatting sqref="B55:X57">
    <cfRule type="expression" dxfId="1186" priority="32">
      <formula>B$9&lt;8/24</formula>
    </cfRule>
  </conditionalFormatting>
  <conditionalFormatting sqref="B9:AF10 Y11:AF52">
    <cfRule type="expression" dxfId="1185" priority="89">
      <formula>AND(B$9&gt;=8/24,B$9&lt;14/24)</formula>
    </cfRule>
    <cfRule type="expression" dxfId="1184" priority="88">
      <formula>AND(B$9&gt;=14/24,B$9&lt;20/24)</formula>
    </cfRule>
  </conditionalFormatting>
  <conditionalFormatting sqref="B9:AF10 Y11:AF57">
    <cfRule type="expression" dxfId="1183" priority="90">
      <formula>B$9&lt;8/24</formula>
    </cfRule>
  </conditionalFormatting>
  <conditionalFormatting sqref="B53:AF54">
    <cfRule type="expression" dxfId="1182" priority="9">
      <formula>B$9&gt;=20/24</formula>
    </cfRule>
    <cfRule type="expression" dxfId="1181" priority="10">
      <formula>AND(B$9&gt;=14/24,B$9&lt;20/24)</formula>
    </cfRule>
    <cfRule type="expression" dxfId="1180" priority="11">
      <formula>AND(B$9&gt;=8/24,B$9&lt;14/24)</formula>
    </cfRule>
  </conditionalFormatting>
  <conditionalFormatting sqref="B55:AF57">
    <cfRule type="expression" dxfId="1179" priority="29">
      <formula>B$9&gt;=20/24</formula>
    </cfRule>
    <cfRule type="expression" dxfId="1178" priority="30">
      <formula>AND(B$9&gt;=14/24,B$9&lt;20/24)</formula>
    </cfRule>
    <cfRule type="expression" dxfId="1177" priority="31">
      <formula>AND(B$9&gt;=8/24,B$9&lt;14/24)</formula>
    </cfRule>
  </conditionalFormatting>
  <conditionalFormatting sqref="B56:AF61">
    <cfRule type="expression" dxfId="1176" priority="28">
      <formula>B56&gt;$AG56</formula>
    </cfRule>
  </conditionalFormatting>
  <conditionalFormatting sqref="B59:AF61">
    <cfRule type="expression" dxfId="1175" priority="39">
      <formula>B$9&gt;=20/24</formula>
    </cfRule>
    <cfRule type="expression" dxfId="1174" priority="40">
      <formula>AND(B$9&gt;=14/24,B$9&lt;20/24)</formula>
    </cfRule>
    <cfRule type="expression" dxfId="1173" priority="41">
      <formula>AND(B$9&gt;=8/24,B$9&lt;14/24)</formula>
    </cfRule>
    <cfRule type="expression" dxfId="1172" priority="42">
      <formula>B$9&lt;8/24</formula>
    </cfRule>
  </conditionalFormatting>
  <conditionalFormatting sqref="B63:AF74">
    <cfRule type="expression" dxfId="1171" priority="18">
      <formula>B63&gt;$AG63</formula>
    </cfRule>
  </conditionalFormatting>
  <conditionalFormatting sqref="B77:AF79">
    <cfRule type="expression" dxfId="1170" priority="47">
      <formula>B$9&lt;8/24</formula>
    </cfRule>
    <cfRule type="expression" dxfId="1169" priority="46">
      <formula>AND(B$9&gt;=8/24,B$9&lt;14/24)</formula>
    </cfRule>
    <cfRule type="expression" dxfId="1168" priority="45">
      <formula>AND(B$9&gt;=14/24,B$9&lt;20/24)</formula>
    </cfRule>
    <cfRule type="expression" dxfId="1167" priority="44">
      <formula>B$9&gt;=20/24</formula>
    </cfRule>
    <cfRule type="expression" dxfId="1166" priority="43">
      <formula>B77&gt;$AG77</formula>
    </cfRule>
  </conditionalFormatting>
  <conditionalFormatting sqref="B81:AF99">
    <cfRule type="expression" dxfId="1165" priority="14">
      <formula>B$9&gt;=20/24</formula>
    </cfRule>
    <cfRule type="expression" dxfId="1164" priority="17">
      <formula>B$9&lt;8/24</formula>
    </cfRule>
    <cfRule type="expression" dxfId="1163" priority="16">
      <formula>AND(B$9&gt;=8/24,B$9&lt;14/24)</formula>
    </cfRule>
    <cfRule type="expression" dxfId="1162" priority="15">
      <formula>AND(B$9&gt;=14/24,B$9&lt;20/24)</formula>
    </cfRule>
  </conditionalFormatting>
  <conditionalFormatting sqref="B101:AF117">
    <cfRule type="expression" dxfId="1161" priority="8">
      <formula>B$9&lt;8/24</formula>
    </cfRule>
    <cfRule type="expression" dxfId="1160" priority="6">
      <formula>AND(B$9&gt;=14/24,B$9&lt;20/24)</formula>
    </cfRule>
    <cfRule type="expression" dxfId="1159" priority="7">
      <formula>AND(B$9&gt;=8/24,B$9&lt;14/24)</formula>
    </cfRule>
    <cfRule type="expression" dxfId="1158" priority="5">
      <formula>B$9&gt;=20/24</formula>
    </cfRule>
  </conditionalFormatting>
  <conditionalFormatting sqref="B119:AF137">
    <cfRule type="expression" dxfId="1157" priority="1">
      <formula>B$9&gt;=20/24</formula>
    </cfRule>
    <cfRule type="expression" dxfId="1156" priority="4">
      <formula>B$9&lt;8/24</formula>
    </cfRule>
    <cfRule type="expression" dxfId="1155" priority="3">
      <formula>AND(B$9&gt;=8/24,B$9&lt;14/24)</formula>
    </cfRule>
    <cfRule type="expression" dxfId="1154" priority="2">
      <formula>AND(B$9&gt;=14/24,B$9&lt;20/24)</formula>
    </cfRule>
  </conditionalFormatting>
  <conditionalFormatting sqref="B244:AF244 B246:B252 D246:AF252 U260:AF260">
    <cfRule type="expression" dxfId="1153" priority="171">
      <formula>B$9&lt;8/24</formula>
    </cfRule>
    <cfRule type="expression" dxfId="1152" priority="170">
      <formula>AND(B$9&gt;=8/24,B$9&lt;14/24)</formula>
    </cfRule>
    <cfRule type="expression" dxfId="1151" priority="169">
      <formula>AND(B$9&gt;=14/24,B$9&lt;20/24)</formula>
    </cfRule>
    <cfRule type="expression" dxfId="1150" priority="168">
      <formula>B$9&gt;=20/24</formula>
    </cfRule>
  </conditionalFormatting>
  <conditionalFormatting sqref="B62:AG62">
    <cfRule type="expression" dxfId="1149" priority="48">
      <formula>B62&gt;$AG62</formula>
    </cfRule>
  </conditionalFormatting>
  <conditionalFormatting sqref="B75:AG76 B80:AG80">
    <cfRule type="expression" dxfId="1148" priority="34">
      <formula>B75&gt;$AG75</formula>
    </cfRule>
  </conditionalFormatting>
  <conditionalFormatting sqref="B80:AG80">
    <cfRule type="expression" dxfId="1147" priority="38">
      <formula>B$9&lt;8/24</formula>
    </cfRule>
    <cfRule type="expression" dxfId="1146" priority="37">
      <formula>AND(B$9&gt;=8/24,B$9&lt;14/24)</formula>
    </cfRule>
    <cfRule type="expression" dxfId="1145" priority="36">
      <formula>AND(B$9&gt;=14/24,B$9&lt;20/24)</formula>
    </cfRule>
    <cfRule type="expression" dxfId="1144" priority="35">
      <formula>B$9&gt;=20/24</formula>
    </cfRule>
  </conditionalFormatting>
  <conditionalFormatting sqref="M63:AF74">
    <cfRule type="expression" dxfId="1143" priority="117">
      <formula>AND(M$9&gt;=14/24,M$9&lt;20/24)</formula>
    </cfRule>
    <cfRule type="expression" dxfId="1142" priority="118">
      <formula>AND(M$9&gt;=8/24,M$9&lt;14/24)</formula>
    </cfRule>
    <cfRule type="expression" dxfId="1141" priority="119">
      <formula>M$9&lt;8/24</formula>
    </cfRule>
    <cfRule type="expression" dxfId="1140" priority="116">
      <formula>M$9&gt;=20/24</formula>
    </cfRule>
  </conditionalFormatting>
  <conditionalFormatting sqref="M62:AG62">
    <cfRule type="expression" dxfId="1139" priority="115">
      <formula>M$9&lt;8/24</formula>
    </cfRule>
    <cfRule type="expression" dxfId="1138" priority="112">
      <formula>M$9&gt;=20/24</formula>
    </cfRule>
    <cfRule type="expression" dxfId="1137" priority="113">
      <formula>AND(M$9&gt;=14/24,M$9&lt;20/24)</formula>
    </cfRule>
    <cfRule type="expression" dxfId="1136" priority="114">
      <formula>AND(M$9&gt;=8/24,M$9&lt;14/24)</formula>
    </cfRule>
  </conditionalFormatting>
  <conditionalFormatting sqref="O3:P3">
    <cfRule type="iconSet" priority="172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1135" priority="174">
      <formula>C$9&gt;=20/24</formula>
    </cfRule>
  </conditionalFormatting>
  <conditionalFormatting sqref="S8">
    <cfRule type="expression" dxfId="1134" priority="161">
      <formula>U$9&gt;=20/24</formula>
    </cfRule>
    <cfRule type="expression" dxfId="1133" priority="162">
      <formula>AND(U$9&gt;=14/24,U$9&lt;20/24)</formula>
    </cfRule>
    <cfRule type="expression" dxfId="1132" priority="163">
      <formula>AND(U$9&gt;=8/24,U$9&lt;14/24)</formula>
    </cfRule>
    <cfRule type="expression" dxfId="1131" priority="164">
      <formula>U$9&lt;8/24</formula>
    </cfRule>
  </conditionalFormatting>
  <conditionalFormatting sqref="T260">
    <cfRule type="expression" dxfId="1130" priority="189">
      <formula>AX$9&lt;8/24</formula>
    </cfRule>
    <cfRule type="expression" dxfId="1129" priority="188">
      <formula>AND(AX$9&gt;=8/24,AX$9&lt;14/24)</formula>
    </cfRule>
    <cfRule type="expression" dxfId="1128" priority="186">
      <formula>AX$9&gt;=20/24</formula>
    </cfRule>
    <cfRule type="expression" dxfId="1127" priority="187">
      <formula>AND(AX$9&gt;=14/24,AX$9&lt;20/24)</formula>
    </cfRule>
  </conditionalFormatting>
  <conditionalFormatting sqref="V3 AB3">
    <cfRule type="iconSet" priority="173">
      <iconSet iconSet="3TrafficLights2" reverse="1">
        <cfvo type="percent" val="0"/>
        <cfvo type="num" val="1"/>
        <cfvo type="num" val="1"/>
      </iconSet>
    </cfRule>
  </conditionalFormatting>
  <conditionalFormatting sqref="Y11:AF52 B9:AF10">
    <cfRule type="expression" dxfId="1126" priority="87">
      <formula>B$9&gt;=20/24</formula>
    </cfRule>
  </conditionalFormatting>
  <conditionalFormatting sqref="Y11:AF52">
    <cfRule type="expression" dxfId="1125" priority="86">
      <formula>Y11&gt;$AG11</formula>
    </cfRule>
  </conditionalFormatting>
  <conditionalFormatting sqref="Y53:AF55">
    <cfRule type="expression" dxfId="1124" priority="125">
      <formula>Y53&gt;$AG53</formula>
    </cfRule>
  </conditionalFormatting>
  <conditionalFormatting sqref="AB8">
    <cfRule type="expression" dxfId="1123" priority="159">
      <formula>AND(AD$9&gt;=8/24,AD$9&lt;14/24)</formula>
    </cfRule>
    <cfRule type="expression" dxfId="1122" priority="157">
      <formula>AD$9&gt;=20/24</formula>
    </cfRule>
    <cfRule type="expression" dxfId="1121" priority="158">
      <formula>AND(AD$9&gt;=14/24,AD$9&lt;20/24)</formula>
    </cfRule>
    <cfRule type="expression" dxfId="1120" priority="160">
      <formula>AD$9&lt;8/24</formula>
    </cfRule>
  </conditionalFormatting>
  <conditionalFormatting sqref="AG58">
    <cfRule type="expression" dxfId="1119" priority="144">
      <formula>AG58&gt;$AG58</formula>
    </cfRule>
  </conditionalFormatting>
  <conditionalFormatting sqref="AG97">
    <cfRule type="expression" dxfId="1118" priority="145">
      <formula>AG$9&gt;=20/24</formula>
    </cfRule>
    <cfRule type="expression" dxfId="1117" priority="146">
      <formula>AND(AG$9&gt;=14/24,AG$9&lt;20/24)</formula>
    </cfRule>
    <cfRule type="expression" dxfId="1116" priority="147">
      <formula>AND(AG$9&gt;=8/24,AG$9&lt;14/24)</formula>
    </cfRule>
    <cfRule type="expression" dxfId="1115" priority="148">
      <formula>AG$9&lt;8/24</formula>
    </cfRule>
  </conditionalFormatting>
  <conditionalFormatting sqref="AG260">
    <cfRule type="expression" dxfId="1114" priority="181">
      <formula>B$9&lt;8/24</formula>
    </cfRule>
    <cfRule type="expression" dxfId="1113" priority="180">
      <formula>AND(B$9&gt;=8/24,B$9&lt;14/24)</formula>
    </cfRule>
    <cfRule type="expression" dxfId="1112" priority="178">
      <formula>B$9&gt;=20/24</formula>
    </cfRule>
    <cfRule type="expression" dxfId="1111" priority="179">
      <formula>AND(B$9&gt;=14/24,B$9&lt;20/24)</formula>
    </cfRule>
  </conditionalFormatting>
  <conditionalFormatting sqref="AH260:AX260">
    <cfRule type="expression" dxfId="1110" priority="182">
      <formula>AG$9&gt;=20/24</formula>
    </cfRule>
    <cfRule type="expression" dxfId="1109" priority="183">
      <formula>AND(AG$9&gt;=14/24,AG$9&lt;20/24)</formula>
    </cfRule>
    <cfRule type="expression" dxfId="1108" priority="184">
      <formula>AND(AG$9&gt;=8/24,AG$9&lt;14/24)</formula>
    </cfRule>
    <cfRule type="expression" dxfId="1107" priority="185">
      <formula>AG$9&lt;8/24</formula>
    </cfRule>
  </conditionalFormatting>
  <conditionalFormatting sqref="AL4:AL6">
    <cfRule type="iconSet" priority="167">
      <iconSet iconSet="3TrafficLights2" reverse="1">
        <cfvo type="percent" val="0"/>
        <cfvo type="num" val="1"/>
        <cfvo type="num" val="1"/>
      </iconSet>
    </cfRule>
  </conditionalFormatting>
  <conditionalFormatting sqref="AL19:AL20">
    <cfRule type="iconSet" priority="132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42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3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41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8 AL45:AL46 AL21:AL24 AL7:AL18 AL26:AL37 AL39:AL43 AL54:AL55">
    <cfRule type="iconSet" priority="190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66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65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3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1106" priority="191">
      <formula>AJ$9&gt;=20/24</formula>
    </cfRule>
    <cfRule type="expression" dxfId="1105" priority="192">
      <formula>AND(AJ$9&gt;=14/24,AJ$9&lt;20/24)</formula>
    </cfRule>
    <cfRule type="expression" dxfId="1104" priority="193">
      <formula>AND(AJ$9&gt;=8/24,AJ$9&lt;14/24)</formula>
    </cfRule>
    <cfRule type="expression" dxfId="1103" priority="194">
      <formula>AJ$9&lt;8/24</formula>
    </cfRule>
  </conditionalFormatting>
  <conditionalFormatting sqref="AL88:AN88 AL94:AN94">
    <cfRule type="expression" dxfId="1102" priority="140">
      <formula>AL$9&lt;8/24</formula>
    </cfRule>
    <cfRule type="expression" dxfId="1101" priority="139">
      <formula>AND(AL$9&gt;=8/24,AL$9&lt;14/24)</formula>
    </cfRule>
    <cfRule type="expression" dxfId="1100" priority="138">
      <formula>AND(AL$9&gt;=14/24,AL$9&lt;20/24)</formula>
    </cfRule>
    <cfRule type="expression" dxfId="1099" priority="137">
      <formula>AL$9&gt;=20/24</formula>
    </cfRule>
  </conditionalFormatting>
  <conditionalFormatting sqref="AN89:AN92">
    <cfRule type="expression" dxfId="1098" priority="136">
      <formula>AN$9&lt;8/24</formula>
    </cfRule>
    <cfRule type="expression" dxfId="1097" priority="135">
      <formula>AND(AN$9&gt;=8/24,AN$9&lt;14/24)</formula>
    </cfRule>
    <cfRule type="expression" dxfId="1096" priority="134">
      <formula>AND(AN$9&gt;=14/24,AN$9&lt;20/24)</formula>
    </cfRule>
    <cfRule type="expression" dxfId="1095" priority="133">
      <formula>AN$9&gt;=20/24</formula>
    </cfRule>
  </conditionalFormatting>
  <pageMargins left="0.7" right="0.7" top="0.75" bottom="0.75" header="0.3" footer="0.3"/>
  <drawing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86657-98F4-4664-BF7B-E31F29CCEB17}">
  <sheetPr codeName="Sheet16"/>
  <dimension ref="A1:CJ293"/>
  <sheetViews>
    <sheetView zoomScale="70" zoomScaleNormal="70" workbookViewId="0">
      <pane xSplit="1" ySplit="10" topLeftCell="B54" activePane="bottomRight" state="frozen"/>
      <selection activeCell="Z63" sqref="Z63"/>
      <selection pane="topRight" activeCell="Z63" sqref="Z63"/>
      <selection pane="bottomLeft" activeCell="Z63" sqref="Z63"/>
      <selection pane="bottomRight" activeCell="B81" sqref="B81:AF81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6" width="6.42578125" style="1" bestFit="1" customWidth="1"/>
    <col min="7" max="7" width="6.7109375" style="1" bestFit="1" customWidth="1"/>
    <col min="8" max="8" width="6.42578125" style="1" bestFit="1" customWidth="1"/>
    <col min="9" max="9" width="7.42578125" style="1" bestFit="1" customWidth="1"/>
    <col min="10" max="10" width="6.28515625" style="1" bestFit="1" customWidth="1"/>
    <col min="11" max="11" width="7.42578125" style="1" bestFit="1" customWidth="1"/>
    <col min="12" max="12" width="6" style="1" bestFit="1" customWidth="1"/>
    <col min="13" max="15" width="7.42578125" style="1" bestFit="1" customWidth="1"/>
    <col min="16" max="17" width="7.140625" style="1" customWidth="1"/>
    <col min="18" max="18" width="7.7109375" style="1" customWidth="1"/>
    <col min="19" max="19" width="7" style="1" customWidth="1"/>
    <col min="20" max="20" width="6.85546875" style="1" customWidth="1"/>
    <col min="21" max="21" width="7.42578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hidden="1" customHeight="1" thickBot="1" x14ac:dyDescent="0.3">
      <c r="A1" s="275" t="s">
        <v>0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  <c r="AD1" s="275"/>
      <c r="AE1" s="275"/>
      <c r="AF1" s="275"/>
      <c r="AG1" s="276" t="s">
        <v>1</v>
      </c>
      <c r="AH1" s="276"/>
      <c r="AI1" s="276"/>
      <c r="AL1" s="2"/>
    </row>
    <row r="2" spans="1:88" ht="20.25" hidden="1" x14ac:dyDescent="0.25">
      <c r="A2" s="3"/>
      <c r="B2" s="277" t="s">
        <v>2</v>
      </c>
      <c r="C2" s="4"/>
      <c r="D2" s="279" t="s">
        <v>3</v>
      </c>
      <c r="E2" s="4"/>
      <c r="F2" s="279" t="s">
        <v>4</v>
      </c>
      <c r="G2" s="4"/>
      <c r="H2" s="279" t="s">
        <v>5</v>
      </c>
      <c r="I2" s="5"/>
      <c r="J2" s="281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78"/>
      <c r="C3" s="16"/>
      <c r="D3" s="280"/>
      <c r="E3" s="16"/>
      <c r="F3" s="280"/>
      <c r="G3" s="16"/>
      <c r="H3" s="280"/>
      <c r="I3" s="17"/>
      <c r="J3" s="281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70" t="str">
        <f ca="1">"2080/"&amp;"10/"&amp;INT(MID(CELL("filename",D6),FIND("]",CELL("filename",D6))+1,200))</f>
        <v>2080/10/17</v>
      </c>
      <c r="C4" s="270"/>
      <c r="D4" s="270"/>
      <c r="E4" s="271" t="str">
        <f ca="1">"2080/"&amp;"10/"&amp;INT(MID(CELL("filename",G6),FIND("]",CELL("filename",G6))+1,200))</f>
        <v>2080/10/17</v>
      </c>
      <c r="F4" s="271"/>
      <c r="G4" s="271"/>
      <c r="H4" s="271" t="str">
        <f ca="1">TEXT(E4,"dddd")</f>
        <v>Thursday</v>
      </c>
      <c r="I4" s="271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C92</f>
        <v>580.9</v>
      </c>
      <c r="C5" s="30">
        <f t="shared" si="0"/>
        <v>549</v>
      </c>
      <c r="D5" s="30">
        <f t="shared" si="0"/>
        <v>470</v>
      </c>
      <c r="E5" s="30">
        <f t="shared" si="0"/>
        <v>501</v>
      </c>
      <c r="F5" s="30">
        <f t="shared" si="0"/>
        <v>533.70000000000005</v>
      </c>
      <c r="G5" s="30">
        <f t="shared" si="0"/>
        <v>547</v>
      </c>
      <c r="H5" s="30">
        <f t="shared" si="0"/>
        <v>600</v>
      </c>
      <c r="I5" s="30">
        <f t="shared" si="0"/>
        <v>622.4</v>
      </c>
      <c r="J5" s="30">
        <f t="shared" si="0"/>
        <v>349.7</v>
      </c>
      <c r="K5" s="30">
        <f t="shared" si="0"/>
        <v>172.7</v>
      </c>
      <c r="L5" s="30">
        <f t="shared" si="0"/>
        <v>124.5</v>
      </c>
      <c r="M5" s="30">
        <f t="shared" si="0"/>
        <v>119.5</v>
      </c>
      <c r="N5" s="30">
        <f t="shared" si="0"/>
        <v>357</v>
      </c>
      <c r="O5" s="30">
        <f t="shared" si="0"/>
        <v>418</v>
      </c>
      <c r="P5" s="30">
        <f t="shared" si="0"/>
        <v>545</v>
      </c>
      <c r="Q5" s="30">
        <f t="shared" si="0"/>
        <v>569.5</v>
      </c>
      <c r="R5" s="30">
        <f t="shared" si="0"/>
        <v>617.5</v>
      </c>
      <c r="S5" s="30">
        <f t="shared" si="0"/>
        <v>601.29999999999995</v>
      </c>
      <c r="T5" s="30">
        <f t="shared" si="0"/>
        <v>676</v>
      </c>
      <c r="U5" s="30">
        <f t="shared" si="0"/>
        <v>629</v>
      </c>
      <c r="V5" s="30">
        <f t="shared" si="0"/>
        <v>552</v>
      </c>
      <c r="W5" s="30">
        <f t="shared" si="0"/>
        <v>456</v>
      </c>
      <c r="X5" s="30">
        <f t="shared" si="0"/>
        <v>380</v>
      </c>
      <c r="Y5" s="30">
        <f t="shared" si="0"/>
        <v>303.89999999999998</v>
      </c>
      <c r="Z5" s="30">
        <f t="shared" si="0"/>
        <v>352.8</v>
      </c>
      <c r="AA5" s="30">
        <f t="shared" si="0"/>
        <v>442</v>
      </c>
      <c r="AB5" s="30">
        <f t="shared" si="0"/>
        <v>489.5</v>
      </c>
      <c r="AC5" s="30">
        <f t="shared" si="0"/>
        <v>567</v>
      </c>
      <c r="AD5" s="30">
        <f t="shared" si="0"/>
        <v>555</v>
      </c>
      <c r="AE5" s="30">
        <f t="shared" si="0"/>
        <v>564</v>
      </c>
      <c r="AF5" s="30">
        <f>B92</f>
        <v>588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1753MW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Load=1141</v>
      </c>
      <c r="B7" s="35">
        <f>B100</f>
        <v>1255.8400000000001</v>
      </c>
      <c r="C7" s="35">
        <f t="shared" ref="C7:AF7" si="1">C100</f>
        <v>1246.6399999999999</v>
      </c>
      <c r="D7" s="35">
        <f t="shared" si="1"/>
        <v>1206.7400000000002</v>
      </c>
      <c r="E7" s="35">
        <f t="shared" si="1"/>
        <v>1140.8400000000001</v>
      </c>
      <c r="F7" s="35">
        <f t="shared" si="1"/>
        <v>1171.8400000000001</v>
      </c>
      <c r="G7" s="35">
        <f t="shared" si="1"/>
        <v>1233.8400000000001</v>
      </c>
      <c r="H7" s="35">
        <f t="shared" si="1"/>
        <v>1292.7400000000002</v>
      </c>
      <c r="I7" s="35">
        <f t="shared" si="1"/>
        <v>1442.8400000000001</v>
      </c>
      <c r="J7" s="35">
        <f t="shared" si="1"/>
        <v>1568.2400000000002</v>
      </c>
      <c r="K7" s="35">
        <f t="shared" si="1"/>
        <v>1747.3400000000001</v>
      </c>
      <c r="L7" s="35">
        <f t="shared" si="1"/>
        <v>1702.7400000000002</v>
      </c>
      <c r="M7" s="35">
        <f t="shared" si="1"/>
        <v>1753.0400000000002</v>
      </c>
      <c r="N7" s="35">
        <f t="shared" si="1"/>
        <v>1658.1400000000003</v>
      </c>
      <c r="O7" s="35">
        <f t="shared" si="1"/>
        <v>1662.7400000000002</v>
      </c>
      <c r="P7" s="35">
        <f t="shared" si="1"/>
        <v>1512.7400000000002</v>
      </c>
      <c r="Q7" s="35">
        <f t="shared" si="1"/>
        <v>1507.8400000000001</v>
      </c>
      <c r="R7" s="35">
        <f t="shared" si="1"/>
        <v>1492.3400000000001</v>
      </c>
      <c r="S7" s="35">
        <f t="shared" si="1"/>
        <v>1485.7400000000002</v>
      </c>
      <c r="T7" s="35">
        <f t="shared" si="1"/>
        <v>1537.24</v>
      </c>
      <c r="U7" s="35">
        <f t="shared" si="1"/>
        <v>1569.14</v>
      </c>
      <c r="V7" s="35">
        <f t="shared" si="1"/>
        <v>1497.64</v>
      </c>
      <c r="W7" s="35">
        <f t="shared" si="1"/>
        <v>1713.64</v>
      </c>
      <c r="X7" s="35">
        <f t="shared" si="1"/>
        <v>1793.44</v>
      </c>
      <c r="Y7" s="35">
        <f t="shared" si="1"/>
        <v>1877.7</v>
      </c>
      <c r="Z7" s="35">
        <f t="shared" si="1"/>
        <v>1853.9</v>
      </c>
      <c r="AA7" s="35">
        <f t="shared" si="1"/>
        <v>1808.0400000000002</v>
      </c>
      <c r="AB7" s="35">
        <f t="shared" si="1"/>
        <v>1715.64</v>
      </c>
      <c r="AC7" s="35">
        <f t="shared" si="1"/>
        <v>1698.7400000000002</v>
      </c>
      <c r="AD7" s="35">
        <f t="shared" si="1"/>
        <v>1437.8400000000001</v>
      </c>
      <c r="AE7" s="35">
        <f t="shared" si="1"/>
        <v>1394.8400000000001</v>
      </c>
      <c r="AF7" s="35">
        <f t="shared" si="1"/>
        <v>1237.8400000000001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72" t="s">
        <v>14</v>
      </c>
      <c r="C8" s="273"/>
      <c r="D8" s="273"/>
      <c r="E8" s="273"/>
      <c r="F8" s="273"/>
      <c r="G8" s="273"/>
      <c r="H8" s="273"/>
      <c r="I8" s="273"/>
      <c r="J8" s="273"/>
      <c r="K8" s="273"/>
      <c r="L8" s="274"/>
      <c r="M8" s="265" t="s">
        <v>15</v>
      </c>
      <c r="N8" s="266"/>
      <c r="O8" s="266"/>
      <c r="P8" s="266"/>
      <c r="Q8" s="266"/>
      <c r="R8" s="267"/>
      <c r="S8" s="265" t="s">
        <v>16</v>
      </c>
      <c r="T8" s="266"/>
      <c r="U8" s="266"/>
      <c r="V8" s="266"/>
      <c r="W8" s="266"/>
      <c r="X8" s="266"/>
      <c r="Y8" s="266"/>
      <c r="Z8" s="266"/>
      <c r="AA8" s="267"/>
      <c r="AB8" s="265" t="s">
        <v>17</v>
      </c>
      <c r="AC8" s="266"/>
      <c r="AD8" s="266"/>
      <c r="AE8" s="266"/>
      <c r="AF8" s="267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68" t="s">
        <v>18</v>
      </c>
      <c r="B9" s="264">
        <v>0</v>
      </c>
      <c r="C9" s="264">
        <v>4.1666666666666664E-2</v>
      </c>
      <c r="D9" s="264">
        <v>8.3333333333333301E-2</v>
      </c>
      <c r="E9" s="264">
        <v>0.125</v>
      </c>
      <c r="F9" s="264">
        <v>0.16666666666666699</v>
      </c>
      <c r="G9" s="264">
        <v>0.20833333333333301</v>
      </c>
      <c r="H9" s="264">
        <v>0.22916666666666666</v>
      </c>
      <c r="I9" s="264">
        <v>0.25</v>
      </c>
      <c r="J9" s="264">
        <v>0.27083333333333331</v>
      </c>
      <c r="K9" s="264">
        <v>0.29166666666666669</v>
      </c>
      <c r="L9" s="264">
        <v>0.3125</v>
      </c>
      <c r="M9" s="262">
        <v>0.33333333333333331</v>
      </c>
      <c r="N9" s="262">
        <v>0.375</v>
      </c>
      <c r="O9" s="262">
        <v>0.41666666666666702</v>
      </c>
      <c r="P9" s="262">
        <v>0.45833333333333298</v>
      </c>
      <c r="Q9" s="262">
        <v>0.5</v>
      </c>
      <c r="R9" s="262">
        <v>0.54166666666666696</v>
      </c>
      <c r="S9" s="258">
        <v>0.58333333333333304</v>
      </c>
      <c r="T9" s="258">
        <v>0.625</v>
      </c>
      <c r="U9" s="258">
        <v>0.66666666666666696</v>
      </c>
      <c r="V9" s="258">
        <v>0.70833333333333304</v>
      </c>
      <c r="W9" s="258">
        <v>0.72916666666666663</v>
      </c>
      <c r="X9" s="258">
        <v>0.75</v>
      </c>
      <c r="Y9" s="258">
        <v>0.77083333333333337</v>
      </c>
      <c r="Z9" s="258">
        <v>0.79166666666666663</v>
      </c>
      <c r="AA9" s="258">
        <v>0.8125</v>
      </c>
      <c r="AB9" s="258">
        <v>0.83333333333333337</v>
      </c>
      <c r="AC9" s="258">
        <v>0.85416666666666663</v>
      </c>
      <c r="AD9" s="258">
        <v>0.875</v>
      </c>
      <c r="AE9" s="258">
        <v>0.91666666666666696</v>
      </c>
      <c r="AF9" s="258">
        <v>0.95833333333333304</v>
      </c>
      <c r="AG9" s="260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69"/>
      <c r="B10" s="259"/>
      <c r="C10" s="259"/>
      <c r="D10" s="259"/>
      <c r="E10" s="259"/>
      <c r="F10" s="259"/>
      <c r="G10" s="259"/>
      <c r="H10" s="259"/>
      <c r="I10" s="259"/>
      <c r="J10" s="259"/>
      <c r="K10" s="259"/>
      <c r="L10" s="259"/>
      <c r="M10" s="263"/>
      <c r="N10" s="263"/>
      <c r="O10" s="263"/>
      <c r="P10" s="263"/>
      <c r="Q10" s="263"/>
      <c r="R10" s="263"/>
      <c r="S10" s="259"/>
      <c r="T10" s="259"/>
      <c r="U10" s="259"/>
      <c r="V10" s="259"/>
      <c r="W10" s="259"/>
      <c r="X10" s="259"/>
      <c r="Y10" s="259"/>
      <c r="Z10" s="259"/>
      <c r="AA10" s="259"/>
      <c r="AB10" s="259"/>
      <c r="AC10" s="259"/>
      <c r="AD10" s="259"/>
      <c r="AE10" s="259"/>
      <c r="AF10" s="259"/>
      <c r="AG10" s="261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30.1</v>
      </c>
      <c r="C11" s="45">
        <v>30.1</v>
      </c>
      <c r="D11" s="45">
        <v>30.1</v>
      </c>
      <c r="E11" s="45">
        <v>30.7</v>
      </c>
      <c r="F11" s="45">
        <v>30.7</v>
      </c>
      <c r="G11" s="45">
        <v>30.7</v>
      </c>
      <c r="H11" s="45">
        <v>30.7</v>
      </c>
      <c r="I11" s="45">
        <v>30.7</v>
      </c>
      <c r="J11" s="45">
        <v>30.7</v>
      </c>
      <c r="K11" s="45">
        <v>30.7</v>
      </c>
      <c r="L11" s="45">
        <v>30.7</v>
      </c>
      <c r="M11" s="45">
        <v>30.7</v>
      </c>
      <c r="N11" s="45">
        <v>30.7</v>
      </c>
      <c r="O11" s="45">
        <v>30.7</v>
      </c>
      <c r="P11" s="45">
        <v>30.7</v>
      </c>
      <c r="Q11" s="45">
        <v>30.7</v>
      </c>
      <c r="R11" s="45">
        <v>30.7</v>
      </c>
      <c r="S11" s="45">
        <v>30.7</v>
      </c>
      <c r="T11" s="45">
        <v>30.7</v>
      </c>
      <c r="U11" s="45">
        <v>30.7</v>
      </c>
      <c r="V11" s="45">
        <v>30.7</v>
      </c>
      <c r="W11" s="45">
        <v>30.7</v>
      </c>
      <c r="X11" s="45">
        <v>30.7</v>
      </c>
      <c r="Y11" s="45">
        <v>26.9</v>
      </c>
      <c r="Z11" s="45">
        <v>26.9</v>
      </c>
      <c r="AA11" s="45">
        <v>26.9</v>
      </c>
      <c r="AB11" s="45">
        <v>26.9</v>
      </c>
      <c r="AC11" s="45">
        <v>26.9</v>
      </c>
      <c r="AD11" s="45">
        <v>26.9</v>
      </c>
      <c r="AE11" s="45">
        <v>26.9</v>
      </c>
      <c r="AF11" s="45">
        <v>26.9</v>
      </c>
      <c r="AG11" s="46">
        <v>86</v>
      </c>
      <c r="AH11" s="47">
        <f t="shared" ref="AH11:AH84" si="2">MAX(B11:AF11)</f>
        <v>30.7</v>
      </c>
      <c r="AI11" s="48">
        <f t="shared" ref="AI11:AI84" si="3">MIN(B11:AF11)</f>
        <v>26.9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262</v>
      </c>
      <c r="B12" s="45">
        <v>10.5</v>
      </c>
      <c r="C12" s="45">
        <v>10.5</v>
      </c>
      <c r="D12" s="45">
        <v>10.5</v>
      </c>
      <c r="E12" s="45">
        <v>10.5</v>
      </c>
      <c r="F12" s="45">
        <v>10.5</v>
      </c>
      <c r="G12" s="45">
        <v>10.5</v>
      </c>
      <c r="H12" s="45">
        <v>10.5</v>
      </c>
      <c r="I12" s="45">
        <v>10.5</v>
      </c>
      <c r="J12" s="45">
        <v>10.5</v>
      </c>
      <c r="K12" s="45">
        <v>10.5</v>
      </c>
      <c r="L12" s="45">
        <v>10.5</v>
      </c>
      <c r="M12" s="45">
        <v>10.5</v>
      </c>
      <c r="N12" s="45">
        <v>10.5</v>
      </c>
      <c r="O12" s="45">
        <v>10.5</v>
      </c>
      <c r="P12" s="45">
        <v>10.5</v>
      </c>
      <c r="Q12" s="45">
        <v>10.5</v>
      </c>
      <c r="R12" s="45">
        <v>10.5</v>
      </c>
      <c r="S12" s="45">
        <v>10.5</v>
      </c>
      <c r="T12" s="45">
        <v>10.5</v>
      </c>
      <c r="U12" s="45">
        <v>10.5</v>
      </c>
      <c r="V12" s="45">
        <v>10.5</v>
      </c>
      <c r="W12" s="45">
        <v>10.5</v>
      </c>
      <c r="X12" s="45">
        <v>10.5</v>
      </c>
      <c r="Y12" s="45">
        <v>10.5</v>
      </c>
      <c r="Z12" s="45">
        <v>10.5</v>
      </c>
      <c r="AA12" s="45">
        <v>10.5</v>
      </c>
      <c r="AB12" s="45">
        <v>10.5</v>
      </c>
      <c r="AC12" s="45">
        <v>10.5</v>
      </c>
      <c r="AD12" s="45">
        <v>10.5</v>
      </c>
      <c r="AE12" s="45">
        <v>10.5</v>
      </c>
      <c r="AF12" s="45">
        <v>10.5</v>
      </c>
      <c r="AG12" s="49">
        <v>54</v>
      </c>
      <c r="AH12" s="47">
        <f t="shared" si="2"/>
        <v>10.5</v>
      </c>
      <c r="AI12" s="48">
        <f t="shared" si="3"/>
        <v>10.5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12.1</v>
      </c>
      <c r="C13" s="45">
        <v>12.1</v>
      </c>
      <c r="D13" s="45">
        <v>12.1</v>
      </c>
      <c r="E13" s="45">
        <v>12.1</v>
      </c>
      <c r="F13" s="45">
        <v>12.1</v>
      </c>
      <c r="G13" s="45">
        <v>12.1</v>
      </c>
      <c r="H13" s="45">
        <v>12.1</v>
      </c>
      <c r="I13" s="45">
        <v>12.1</v>
      </c>
      <c r="J13" s="45">
        <v>12.1</v>
      </c>
      <c r="K13" s="45">
        <v>12.1</v>
      </c>
      <c r="L13" s="45">
        <v>12.1</v>
      </c>
      <c r="M13" s="45">
        <v>12.1</v>
      </c>
      <c r="N13" s="45">
        <v>12.1</v>
      </c>
      <c r="O13" s="45">
        <v>12.1</v>
      </c>
      <c r="P13" s="45">
        <v>12.1</v>
      </c>
      <c r="Q13" s="45">
        <v>12.1</v>
      </c>
      <c r="R13" s="45">
        <v>12.1</v>
      </c>
      <c r="S13" s="45">
        <v>12.1</v>
      </c>
      <c r="T13" s="45">
        <v>12.1</v>
      </c>
      <c r="U13" s="45">
        <v>12.1</v>
      </c>
      <c r="V13" s="45">
        <v>12.1</v>
      </c>
      <c r="W13" s="45">
        <v>12.1</v>
      </c>
      <c r="X13" s="45">
        <v>12.1</v>
      </c>
      <c r="Y13" s="45">
        <v>12.1</v>
      </c>
      <c r="Z13" s="45">
        <v>12.1</v>
      </c>
      <c r="AA13" s="45">
        <v>12.1</v>
      </c>
      <c r="AB13" s="45">
        <v>12.1</v>
      </c>
      <c r="AC13" s="45">
        <v>12.1</v>
      </c>
      <c r="AD13" s="45">
        <v>12.1</v>
      </c>
      <c r="AE13" s="45">
        <v>12.1</v>
      </c>
      <c r="AF13" s="45">
        <v>12.1</v>
      </c>
      <c r="AG13" s="49">
        <v>54</v>
      </c>
      <c r="AH13" s="47">
        <f t="shared" si="2"/>
        <v>12.1</v>
      </c>
      <c r="AI13" s="48">
        <f t="shared" si="3"/>
        <v>12.1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14.8</v>
      </c>
      <c r="C14" s="45">
        <v>14.8</v>
      </c>
      <c r="D14" s="45">
        <v>14.8</v>
      </c>
      <c r="E14" s="45">
        <v>14.8</v>
      </c>
      <c r="F14" s="45">
        <v>14.8</v>
      </c>
      <c r="G14" s="45">
        <v>14.8</v>
      </c>
      <c r="H14" s="45">
        <v>14.8</v>
      </c>
      <c r="I14" s="45">
        <v>14.8</v>
      </c>
      <c r="J14" s="45">
        <v>14.8</v>
      </c>
      <c r="K14" s="45">
        <v>14.8</v>
      </c>
      <c r="L14" s="45">
        <v>14.8</v>
      </c>
      <c r="M14" s="45">
        <v>14.8</v>
      </c>
      <c r="N14" s="45">
        <v>14.8</v>
      </c>
      <c r="O14" s="45">
        <v>14.8</v>
      </c>
      <c r="P14" s="45">
        <v>14.8</v>
      </c>
      <c r="Q14" s="45">
        <v>14.8</v>
      </c>
      <c r="R14" s="45">
        <v>14.8</v>
      </c>
      <c r="S14" s="45">
        <v>14.8</v>
      </c>
      <c r="T14" s="45">
        <v>14.8</v>
      </c>
      <c r="U14" s="45">
        <v>14.8</v>
      </c>
      <c r="V14" s="45">
        <v>14.8</v>
      </c>
      <c r="W14" s="45">
        <v>14.8</v>
      </c>
      <c r="X14" s="45">
        <v>14.8</v>
      </c>
      <c r="Y14" s="45">
        <v>14.8</v>
      </c>
      <c r="Z14" s="45">
        <v>14.8</v>
      </c>
      <c r="AA14" s="45">
        <v>14.8</v>
      </c>
      <c r="AB14" s="45">
        <v>14.8</v>
      </c>
      <c r="AC14" s="45">
        <v>14.8</v>
      </c>
      <c r="AD14" s="45">
        <v>14.8</v>
      </c>
      <c r="AE14" s="45">
        <v>14.8</v>
      </c>
      <c r="AF14" s="45">
        <v>14.8</v>
      </c>
      <c r="AG14" s="46">
        <v>52.4</v>
      </c>
      <c r="AH14" s="47">
        <f t="shared" si="2"/>
        <v>14.8</v>
      </c>
      <c r="AI14" s="48">
        <f t="shared" si="3"/>
        <v>14.8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51">
        <v>38</v>
      </c>
      <c r="C15" s="51">
        <v>37.9</v>
      </c>
      <c r="D15" s="51">
        <v>25.4</v>
      </c>
      <c r="E15" s="51">
        <v>25.4</v>
      </c>
      <c r="F15" s="51">
        <v>25.4</v>
      </c>
      <c r="G15" s="51">
        <v>32.700000000000003</v>
      </c>
      <c r="H15" s="51">
        <v>33</v>
      </c>
      <c r="I15" s="51">
        <v>33</v>
      </c>
      <c r="J15" s="51">
        <v>33</v>
      </c>
      <c r="K15" s="51">
        <v>33</v>
      </c>
      <c r="L15" s="51">
        <v>33</v>
      </c>
      <c r="M15" s="51">
        <v>33</v>
      </c>
      <c r="N15" s="51">
        <v>33</v>
      </c>
      <c r="O15" s="51">
        <v>33</v>
      </c>
      <c r="P15" s="51">
        <v>33</v>
      </c>
      <c r="Q15" s="51">
        <v>33</v>
      </c>
      <c r="R15" s="51">
        <v>33</v>
      </c>
      <c r="S15" s="51">
        <v>33</v>
      </c>
      <c r="T15" s="51">
        <v>33</v>
      </c>
      <c r="U15" s="51">
        <v>33</v>
      </c>
      <c r="V15" s="51">
        <v>33</v>
      </c>
      <c r="W15" s="51">
        <v>33</v>
      </c>
      <c r="X15" s="51">
        <v>33</v>
      </c>
      <c r="Y15" s="51">
        <v>33</v>
      </c>
      <c r="Z15" s="51">
        <v>33</v>
      </c>
      <c r="AA15" s="51">
        <v>33</v>
      </c>
      <c r="AB15" s="51">
        <v>33</v>
      </c>
      <c r="AC15" s="51">
        <v>33</v>
      </c>
      <c r="AD15" s="51">
        <v>33</v>
      </c>
      <c r="AE15" s="51">
        <v>33</v>
      </c>
      <c r="AF15" s="51">
        <v>33</v>
      </c>
      <c r="AG15" s="49">
        <v>50</v>
      </c>
      <c r="AH15" s="47">
        <f t="shared" si="2"/>
        <v>38</v>
      </c>
      <c r="AI15" s="48">
        <f t="shared" si="3"/>
        <v>25.4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18.3</v>
      </c>
      <c r="C16" s="45">
        <v>18</v>
      </c>
      <c r="D16" s="45">
        <v>18.3</v>
      </c>
      <c r="E16" s="45">
        <v>18.3</v>
      </c>
      <c r="F16" s="45">
        <v>18.3</v>
      </c>
      <c r="G16" s="45">
        <v>18.3</v>
      </c>
      <c r="H16" s="45">
        <v>18.3</v>
      </c>
      <c r="I16" s="45">
        <v>18.3</v>
      </c>
      <c r="J16" s="45">
        <v>18.3</v>
      </c>
      <c r="K16" s="45">
        <v>18.3</v>
      </c>
      <c r="L16" s="45">
        <v>18.3</v>
      </c>
      <c r="M16" s="45">
        <v>18.3</v>
      </c>
      <c r="N16" s="45">
        <v>18.3</v>
      </c>
      <c r="O16" s="45">
        <v>18.3</v>
      </c>
      <c r="P16" s="45">
        <v>18.3</v>
      </c>
      <c r="Q16" s="45">
        <v>18.3</v>
      </c>
      <c r="R16" s="45">
        <v>18.3</v>
      </c>
      <c r="S16" s="45">
        <v>18.3</v>
      </c>
      <c r="T16" s="45">
        <v>18.3</v>
      </c>
      <c r="U16" s="45">
        <v>18.3</v>
      </c>
      <c r="V16" s="45">
        <v>18.3</v>
      </c>
      <c r="W16" s="45">
        <v>18.3</v>
      </c>
      <c r="X16" s="45">
        <v>18.3</v>
      </c>
      <c r="Y16" s="45">
        <v>18.3</v>
      </c>
      <c r="Z16" s="45">
        <v>18.3</v>
      </c>
      <c r="AA16" s="45">
        <v>18.3</v>
      </c>
      <c r="AB16" s="45">
        <v>18.3</v>
      </c>
      <c r="AC16" s="45">
        <v>18.3</v>
      </c>
      <c r="AD16" s="45">
        <v>18.3</v>
      </c>
      <c r="AE16" s="45">
        <v>18.3</v>
      </c>
      <c r="AF16" s="45">
        <v>18.3</v>
      </c>
      <c r="AG16" s="49">
        <v>45</v>
      </c>
      <c r="AH16" s="47">
        <f t="shared" si="2"/>
        <v>18.3</v>
      </c>
      <c r="AI16" s="48">
        <f t="shared" si="3"/>
        <v>18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16.5</v>
      </c>
      <c r="C17" s="45">
        <v>16.5</v>
      </c>
      <c r="D17" s="45">
        <v>16.5</v>
      </c>
      <c r="E17" s="45">
        <v>16.5</v>
      </c>
      <c r="F17" s="45">
        <v>16.5</v>
      </c>
      <c r="G17" s="45">
        <v>16.5</v>
      </c>
      <c r="H17" s="45">
        <v>16.5</v>
      </c>
      <c r="I17" s="45">
        <v>16.5</v>
      </c>
      <c r="J17" s="45">
        <v>16.5</v>
      </c>
      <c r="K17" s="45">
        <v>16.5</v>
      </c>
      <c r="L17" s="45">
        <v>16.5</v>
      </c>
      <c r="M17" s="45">
        <v>16.5</v>
      </c>
      <c r="N17" s="45">
        <v>16.5</v>
      </c>
      <c r="O17" s="45">
        <v>16.5</v>
      </c>
      <c r="P17" s="45">
        <v>16.5</v>
      </c>
      <c r="Q17" s="45">
        <v>16.5</v>
      </c>
      <c r="R17" s="45">
        <v>16.5</v>
      </c>
      <c r="S17" s="45">
        <v>16.5</v>
      </c>
      <c r="T17" s="45">
        <v>16.5</v>
      </c>
      <c r="U17" s="45">
        <v>16.5</v>
      </c>
      <c r="V17" s="45">
        <v>16.5</v>
      </c>
      <c r="W17" s="45">
        <v>16.5</v>
      </c>
      <c r="X17" s="45">
        <v>16.5</v>
      </c>
      <c r="Y17" s="45">
        <v>16.5</v>
      </c>
      <c r="Z17" s="45">
        <v>16.5</v>
      </c>
      <c r="AA17" s="45">
        <v>16.5</v>
      </c>
      <c r="AB17" s="45">
        <v>16.5</v>
      </c>
      <c r="AC17" s="45">
        <v>16.5</v>
      </c>
      <c r="AD17" s="45">
        <v>16.5</v>
      </c>
      <c r="AE17" s="45">
        <v>16.5</v>
      </c>
      <c r="AF17" s="45">
        <v>16.5</v>
      </c>
      <c r="AG17" s="49">
        <v>44</v>
      </c>
      <c r="AH17" s="47">
        <f>MAX(B17:AG17)</f>
        <v>44</v>
      </c>
      <c r="AI17" s="48">
        <f>MIN(B17:AG17)</f>
        <v>16.5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0</v>
      </c>
      <c r="C18" s="45">
        <v>0</v>
      </c>
      <c r="D18" s="45">
        <v>4.5</v>
      </c>
      <c r="E18" s="45">
        <v>14</v>
      </c>
      <c r="F18" s="45">
        <v>14</v>
      </c>
      <c r="G18" s="45">
        <v>14</v>
      </c>
      <c r="H18" s="45">
        <v>14</v>
      </c>
      <c r="I18" s="45">
        <v>14</v>
      </c>
      <c r="J18" s="45">
        <v>14</v>
      </c>
      <c r="K18" s="45">
        <v>14</v>
      </c>
      <c r="L18" s="45">
        <v>14</v>
      </c>
      <c r="M18" s="45">
        <v>14</v>
      </c>
      <c r="N18" s="45">
        <v>14</v>
      </c>
      <c r="O18" s="45">
        <v>14</v>
      </c>
      <c r="P18" s="45">
        <v>14</v>
      </c>
      <c r="Q18" s="45">
        <v>14</v>
      </c>
      <c r="R18" s="45">
        <v>14</v>
      </c>
      <c r="S18" s="45">
        <v>9</v>
      </c>
      <c r="T18" s="45">
        <v>9</v>
      </c>
      <c r="U18" s="45">
        <v>9</v>
      </c>
      <c r="V18" s="45">
        <v>9</v>
      </c>
      <c r="W18" s="45">
        <v>9</v>
      </c>
      <c r="X18" s="45">
        <v>9</v>
      </c>
      <c r="Y18" s="45">
        <v>9</v>
      </c>
      <c r="Z18" s="45">
        <v>9</v>
      </c>
      <c r="AA18" s="45">
        <v>9</v>
      </c>
      <c r="AB18" s="45">
        <v>9</v>
      </c>
      <c r="AC18" s="45">
        <v>9</v>
      </c>
      <c r="AD18" s="45">
        <v>9</v>
      </c>
      <c r="AE18" s="45">
        <v>9</v>
      </c>
      <c r="AF18" s="45">
        <v>9</v>
      </c>
      <c r="AG18" s="49">
        <v>42</v>
      </c>
      <c r="AH18" s="47">
        <f t="shared" si="2"/>
        <v>14</v>
      </c>
      <c r="AI18" s="48">
        <f t="shared" si="3"/>
        <v>0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263</v>
      </c>
      <c r="B19" s="45">
        <v>15.4</v>
      </c>
      <c r="C19" s="45">
        <v>15.4</v>
      </c>
      <c r="D19" s="45">
        <v>15.4</v>
      </c>
      <c r="E19" s="45">
        <v>15.4</v>
      </c>
      <c r="F19" s="45">
        <v>15.4</v>
      </c>
      <c r="G19" s="45">
        <v>15.4</v>
      </c>
      <c r="H19" s="45">
        <v>15.4</v>
      </c>
      <c r="I19" s="45">
        <v>15.4</v>
      </c>
      <c r="J19" s="45">
        <v>15.4</v>
      </c>
      <c r="K19" s="45">
        <v>15.4</v>
      </c>
      <c r="L19" s="45">
        <v>15.4</v>
      </c>
      <c r="M19" s="45">
        <v>15.4</v>
      </c>
      <c r="N19" s="45">
        <v>15.4</v>
      </c>
      <c r="O19" s="45">
        <v>15.4</v>
      </c>
      <c r="P19" s="45">
        <v>15.4</v>
      </c>
      <c r="Q19" s="45">
        <v>15.4</v>
      </c>
      <c r="R19" s="45">
        <v>15.4</v>
      </c>
      <c r="S19" s="45">
        <v>15.4</v>
      </c>
      <c r="T19" s="45">
        <v>15.4</v>
      </c>
      <c r="U19" s="45">
        <v>15.4</v>
      </c>
      <c r="V19" s="45">
        <v>15.4</v>
      </c>
      <c r="W19" s="45">
        <v>15.4</v>
      </c>
      <c r="X19" s="45">
        <v>15.4</v>
      </c>
      <c r="Y19" s="45">
        <v>15.4</v>
      </c>
      <c r="Z19" s="45">
        <v>15.4</v>
      </c>
      <c r="AA19" s="45">
        <v>15.4</v>
      </c>
      <c r="AB19" s="45">
        <v>15.4</v>
      </c>
      <c r="AC19" s="45">
        <v>15.4</v>
      </c>
      <c r="AD19" s="45">
        <v>15.4</v>
      </c>
      <c r="AE19" s="45">
        <v>15.4</v>
      </c>
      <c r="AF19" s="45">
        <v>15.4</v>
      </c>
      <c r="AG19" s="49">
        <v>38.46</v>
      </c>
      <c r="AH19" s="47">
        <f t="shared" si="2"/>
        <v>15.4</v>
      </c>
      <c r="AI19" s="48">
        <f t="shared" si="3"/>
        <v>15.4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10.199999999999999</v>
      </c>
      <c r="C20" s="45">
        <v>10.199999999999999</v>
      </c>
      <c r="D20" s="45">
        <v>10.199999999999999</v>
      </c>
      <c r="E20" s="45">
        <v>10.199999999999999</v>
      </c>
      <c r="F20" s="45">
        <v>10.199999999999999</v>
      </c>
      <c r="G20" s="45">
        <v>10.199999999999999</v>
      </c>
      <c r="H20" s="45">
        <v>10.199999999999999</v>
      </c>
      <c r="I20" s="45">
        <v>10.199999999999999</v>
      </c>
      <c r="J20" s="45">
        <v>10.199999999999999</v>
      </c>
      <c r="K20" s="45">
        <v>10.199999999999999</v>
      </c>
      <c r="L20" s="45">
        <v>10.199999999999999</v>
      </c>
      <c r="M20" s="45">
        <v>10.199999999999999</v>
      </c>
      <c r="N20" s="45">
        <v>10.199999999999999</v>
      </c>
      <c r="O20" s="45">
        <v>10.199999999999999</v>
      </c>
      <c r="P20" s="45">
        <v>10.199999999999999</v>
      </c>
      <c r="Q20" s="45">
        <v>10.199999999999999</v>
      </c>
      <c r="R20" s="45">
        <v>10.199999999999999</v>
      </c>
      <c r="S20" s="45">
        <v>10.199999999999999</v>
      </c>
      <c r="T20" s="45">
        <v>10.199999999999999</v>
      </c>
      <c r="U20" s="45">
        <v>10.199999999999999</v>
      </c>
      <c r="V20" s="45">
        <v>10.199999999999999</v>
      </c>
      <c r="W20" s="45">
        <v>10.199999999999999</v>
      </c>
      <c r="X20" s="45">
        <v>10.199999999999999</v>
      </c>
      <c r="Y20" s="45">
        <v>10.199999999999999</v>
      </c>
      <c r="Z20" s="45">
        <v>10.199999999999999</v>
      </c>
      <c r="AA20" s="45">
        <v>10.199999999999999</v>
      </c>
      <c r="AB20" s="45">
        <v>10.199999999999999</v>
      </c>
      <c r="AC20" s="45">
        <v>10.199999999999999</v>
      </c>
      <c r="AD20" s="45">
        <v>10.199999999999999</v>
      </c>
      <c r="AE20" s="45">
        <v>10.199999999999999</v>
      </c>
      <c r="AF20" s="45">
        <v>10.199999999999999</v>
      </c>
      <c r="AG20" s="49">
        <v>38.46</v>
      </c>
      <c r="AH20" s="47">
        <f t="shared" si="2"/>
        <v>10.199999999999999</v>
      </c>
      <c r="AI20" s="48">
        <f t="shared" si="3"/>
        <v>10.199999999999999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13.6</v>
      </c>
      <c r="C21" s="45">
        <v>13.6</v>
      </c>
      <c r="D21" s="45">
        <v>13.6</v>
      </c>
      <c r="E21" s="45">
        <v>13.6</v>
      </c>
      <c r="F21" s="45">
        <v>13.6</v>
      </c>
      <c r="G21" s="45">
        <v>13.6</v>
      </c>
      <c r="H21" s="45">
        <v>13.6</v>
      </c>
      <c r="I21" s="45">
        <v>13.6</v>
      </c>
      <c r="J21" s="45">
        <v>13.6</v>
      </c>
      <c r="K21" s="45">
        <v>13.6</v>
      </c>
      <c r="L21" s="45">
        <v>13.6</v>
      </c>
      <c r="M21" s="45">
        <v>13.6</v>
      </c>
      <c r="N21" s="45">
        <v>13.6</v>
      </c>
      <c r="O21" s="45">
        <v>13.6</v>
      </c>
      <c r="P21" s="45">
        <v>13.6</v>
      </c>
      <c r="Q21" s="45">
        <v>13.6</v>
      </c>
      <c r="R21" s="45">
        <v>13.6</v>
      </c>
      <c r="S21" s="45">
        <v>13.6</v>
      </c>
      <c r="T21" s="45">
        <v>13.6</v>
      </c>
      <c r="U21" s="45">
        <v>13.6</v>
      </c>
      <c r="V21" s="45">
        <v>13.6</v>
      </c>
      <c r="W21" s="45">
        <v>13.6</v>
      </c>
      <c r="X21" s="45">
        <v>13.6</v>
      </c>
      <c r="Y21" s="45">
        <v>13.6</v>
      </c>
      <c r="Z21" s="45">
        <v>13.6</v>
      </c>
      <c r="AA21" s="45">
        <v>13.6</v>
      </c>
      <c r="AB21" s="45">
        <v>13.6</v>
      </c>
      <c r="AC21" s="45">
        <v>13.6</v>
      </c>
      <c r="AD21" s="45">
        <v>13.6</v>
      </c>
      <c r="AE21" s="45">
        <v>13.6</v>
      </c>
      <c r="AF21" s="45">
        <v>13.6</v>
      </c>
      <c r="AG21" s="49">
        <v>36</v>
      </c>
      <c r="AH21" s="47">
        <f t="shared" si="2"/>
        <v>13.6</v>
      </c>
      <c r="AI21" s="48">
        <f t="shared" si="3"/>
        <v>13.6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8.8000000000000007</v>
      </c>
      <c r="C22" s="45">
        <v>8.8000000000000007</v>
      </c>
      <c r="D22" s="45">
        <v>8.8000000000000007</v>
      </c>
      <c r="E22" s="45">
        <v>8.8000000000000007</v>
      </c>
      <c r="F22" s="45">
        <v>8.8000000000000007</v>
      </c>
      <c r="G22" s="45">
        <v>8.8000000000000007</v>
      </c>
      <c r="H22" s="45">
        <v>8.8000000000000007</v>
      </c>
      <c r="I22" s="45">
        <v>8.8000000000000007</v>
      </c>
      <c r="J22" s="45">
        <v>8.8000000000000007</v>
      </c>
      <c r="K22" s="45">
        <v>8.8000000000000007</v>
      </c>
      <c r="L22" s="45">
        <v>8.8000000000000007</v>
      </c>
      <c r="M22" s="45">
        <v>8.8000000000000007</v>
      </c>
      <c r="N22" s="45">
        <v>8.8000000000000007</v>
      </c>
      <c r="O22" s="45">
        <v>8.8000000000000007</v>
      </c>
      <c r="P22" s="45">
        <v>8.8000000000000007</v>
      </c>
      <c r="Q22" s="45">
        <v>8.8000000000000007</v>
      </c>
      <c r="R22" s="45">
        <v>8.8000000000000007</v>
      </c>
      <c r="S22" s="45">
        <v>8.8000000000000007</v>
      </c>
      <c r="T22" s="45">
        <v>8.8000000000000007</v>
      </c>
      <c r="U22" s="45">
        <v>8.8000000000000007</v>
      </c>
      <c r="V22" s="45">
        <v>8.8000000000000007</v>
      </c>
      <c r="W22" s="45">
        <v>8.8000000000000007</v>
      </c>
      <c r="X22" s="45">
        <v>8.8000000000000007</v>
      </c>
      <c r="Y22" s="45">
        <v>8.8000000000000007</v>
      </c>
      <c r="Z22" s="45">
        <v>8.8000000000000007</v>
      </c>
      <c r="AA22" s="45">
        <v>8.8000000000000007</v>
      </c>
      <c r="AB22" s="45">
        <v>8.8000000000000007</v>
      </c>
      <c r="AC22" s="45">
        <v>8.8000000000000007</v>
      </c>
      <c r="AD22" s="45">
        <v>8.8000000000000007</v>
      </c>
      <c r="AE22" s="45">
        <v>8.8000000000000007</v>
      </c>
      <c r="AF22" s="45">
        <v>8.8000000000000007</v>
      </c>
      <c r="AG22" s="52">
        <v>30</v>
      </c>
      <c r="AH22" s="47">
        <f t="shared" si="2"/>
        <v>8.8000000000000007</v>
      </c>
      <c r="AI22" s="48">
        <f t="shared" si="3"/>
        <v>8.8000000000000007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9</v>
      </c>
      <c r="C23" s="45">
        <v>9</v>
      </c>
      <c r="D23" s="45">
        <v>9</v>
      </c>
      <c r="E23" s="45">
        <v>9</v>
      </c>
      <c r="F23" s="45">
        <v>9</v>
      </c>
      <c r="G23" s="45">
        <v>9</v>
      </c>
      <c r="H23" s="45">
        <v>9</v>
      </c>
      <c r="I23" s="45">
        <v>9</v>
      </c>
      <c r="J23" s="45">
        <v>9</v>
      </c>
      <c r="K23" s="45">
        <v>9</v>
      </c>
      <c r="L23" s="45">
        <v>9</v>
      </c>
      <c r="M23" s="45">
        <v>9</v>
      </c>
      <c r="N23" s="45">
        <v>9</v>
      </c>
      <c r="O23" s="45">
        <v>9</v>
      </c>
      <c r="P23" s="45">
        <v>9</v>
      </c>
      <c r="Q23" s="45">
        <v>9</v>
      </c>
      <c r="R23" s="45">
        <v>9</v>
      </c>
      <c r="S23" s="45">
        <v>9</v>
      </c>
      <c r="T23" s="45">
        <v>9</v>
      </c>
      <c r="U23" s="45">
        <v>9</v>
      </c>
      <c r="V23" s="45">
        <v>9</v>
      </c>
      <c r="W23" s="45">
        <v>9</v>
      </c>
      <c r="X23" s="45">
        <v>9</v>
      </c>
      <c r="Y23" s="45">
        <v>9</v>
      </c>
      <c r="Z23" s="45">
        <v>9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9</v>
      </c>
      <c r="AG23" s="49">
        <v>24.2</v>
      </c>
      <c r="AH23" s="47">
        <f t="shared" si="2"/>
        <v>9</v>
      </c>
      <c r="AI23" s="48">
        <f t="shared" si="3"/>
        <v>9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9.3000000000000007</v>
      </c>
      <c r="C24" s="45">
        <v>9.4</v>
      </c>
      <c r="D24" s="45">
        <v>9.3000000000000007</v>
      </c>
      <c r="E24" s="45">
        <v>9.3000000000000007</v>
      </c>
      <c r="F24" s="45">
        <v>9.3000000000000007</v>
      </c>
      <c r="G24" s="45">
        <v>9.3000000000000007</v>
      </c>
      <c r="H24" s="45">
        <v>9.3000000000000007</v>
      </c>
      <c r="I24" s="45">
        <v>9.3000000000000007</v>
      </c>
      <c r="J24" s="45">
        <v>9.3000000000000007</v>
      </c>
      <c r="K24" s="45">
        <v>9.3000000000000007</v>
      </c>
      <c r="L24" s="45">
        <v>9.3000000000000007</v>
      </c>
      <c r="M24" s="45">
        <v>9.3000000000000007</v>
      </c>
      <c r="N24" s="45">
        <v>9.3000000000000007</v>
      </c>
      <c r="O24" s="45">
        <v>9.3000000000000007</v>
      </c>
      <c r="P24" s="45">
        <v>9.3000000000000007</v>
      </c>
      <c r="Q24" s="45">
        <v>9.3000000000000007</v>
      </c>
      <c r="R24" s="45">
        <v>9.3000000000000007</v>
      </c>
      <c r="S24" s="45">
        <v>9.3000000000000007</v>
      </c>
      <c r="T24" s="45">
        <v>9.3000000000000007</v>
      </c>
      <c r="U24" s="45">
        <v>9.3000000000000007</v>
      </c>
      <c r="V24" s="45">
        <v>9.3000000000000007</v>
      </c>
      <c r="W24" s="45">
        <v>9.3000000000000007</v>
      </c>
      <c r="X24" s="45">
        <v>9.3000000000000007</v>
      </c>
      <c r="Y24" s="45">
        <v>9.3000000000000007</v>
      </c>
      <c r="Z24" s="45">
        <v>9.3000000000000007</v>
      </c>
      <c r="AA24" s="45">
        <v>9.3000000000000007</v>
      </c>
      <c r="AB24" s="45">
        <v>9.3000000000000007</v>
      </c>
      <c r="AC24" s="45">
        <v>9.3000000000000007</v>
      </c>
      <c r="AD24" s="45">
        <v>9.3000000000000007</v>
      </c>
      <c r="AE24" s="45">
        <v>9.3000000000000007</v>
      </c>
      <c r="AF24" s="45">
        <v>9.3000000000000007</v>
      </c>
      <c r="AG24" s="49">
        <v>28</v>
      </c>
      <c r="AH24" s="47">
        <f t="shared" si="2"/>
        <v>9.4</v>
      </c>
      <c r="AI24" s="48">
        <f t="shared" si="3"/>
        <v>9.3000000000000007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7.7</v>
      </c>
      <c r="C25" s="45">
        <v>7.6</v>
      </c>
      <c r="D25" s="45">
        <v>7.7</v>
      </c>
      <c r="E25" s="45">
        <v>7.7</v>
      </c>
      <c r="F25" s="45">
        <v>7.7</v>
      </c>
      <c r="G25" s="45">
        <v>7.7</v>
      </c>
      <c r="H25" s="45">
        <v>7.7</v>
      </c>
      <c r="I25" s="45">
        <v>7.7</v>
      </c>
      <c r="J25" s="45">
        <v>7.7</v>
      </c>
      <c r="K25" s="45">
        <v>7.7</v>
      </c>
      <c r="L25" s="45">
        <v>7.7</v>
      </c>
      <c r="M25" s="45">
        <v>7.7</v>
      </c>
      <c r="N25" s="45">
        <v>7.7</v>
      </c>
      <c r="O25" s="45">
        <v>7.7</v>
      </c>
      <c r="P25" s="45">
        <v>7.7</v>
      </c>
      <c r="Q25" s="45">
        <v>7.7</v>
      </c>
      <c r="R25" s="45">
        <v>7.7</v>
      </c>
      <c r="S25" s="45">
        <v>7.7</v>
      </c>
      <c r="T25" s="45">
        <v>7.7</v>
      </c>
      <c r="U25" s="45">
        <v>7.7</v>
      </c>
      <c r="V25" s="45">
        <v>7.7</v>
      </c>
      <c r="W25" s="45">
        <v>7.7</v>
      </c>
      <c r="X25" s="45">
        <v>7.7</v>
      </c>
      <c r="Y25" s="45">
        <v>7.7</v>
      </c>
      <c r="Z25" s="45">
        <v>7.7</v>
      </c>
      <c r="AA25" s="45">
        <v>7.7</v>
      </c>
      <c r="AB25" s="45">
        <v>7.7</v>
      </c>
      <c r="AC25" s="45">
        <v>7.7</v>
      </c>
      <c r="AD25" s="45">
        <v>7.7</v>
      </c>
      <c r="AE25" s="45">
        <v>7.7</v>
      </c>
      <c r="AF25" s="45">
        <v>7.7</v>
      </c>
      <c r="AG25" s="52">
        <v>30</v>
      </c>
      <c r="AH25" s="47">
        <f t="shared" si="2"/>
        <v>7.7</v>
      </c>
      <c r="AI25" s="48">
        <f t="shared" si="3"/>
        <v>7.6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8.6</v>
      </c>
      <c r="C26" s="45">
        <v>8.4</v>
      </c>
      <c r="D26" s="45">
        <v>8.6</v>
      </c>
      <c r="E26" s="45">
        <v>8.6</v>
      </c>
      <c r="F26" s="45">
        <v>8.6</v>
      </c>
      <c r="G26" s="45">
        <v>8.6</v>
      </c>
      <c r="H26" s="45">
        <v>8.6</v>
      </c>
      <c r="I26" s="45">
        <v>8.6</v>
      </c>
      <c r="J26" s="45">
        <v>8.6</v>
      </c>
      <c r="K26" s="45">
        <v>8.6</v>
      </c>
      <c r="L26" s="45">
        <v>8.6</v>
      </c>
      <c r="M26" s="45">
        <v>8.6</v>
      </c>
      <c r="N26" s="45">
        <v>8.6</v>
      </c>
      <c r="O26" s="45">
        <v>8.6</v>
      </c>
      <c r="P26" s="45">
        <v>8.6</v>
      </c>
      <c r="Q26" s="45">
        <v>8.6</v>
      </c>
      <c r="R26" s="45">
        <v>8.6</v>
      </c>
      <c r="S26" s="45">
        <v>8.6</v>
      </c>
      <c r="T26" s="45">
        <v>8.6</v>
      </c>
      <c r="U26" s="45">
        <v>8.6</v>
      </c>
      <c r="V26" s="45">
        <v>8.6</v>
      </c>
      <c r="W26" s="45">
        <v>8.6</v>
      </c>
      <c r="X26" s="45">
        <v>8.6</v>
      </c>
      <c r="Y26" s="45">
        <v>8.6</v>
      </c>
      <c r="Z26" s="45">
        <v>8.6</v>
      </c>
      <c r="AA26" s="45">
        <v>8.6</v>
      </c>
      <c r="AB26" s="45">
        <v>8.6</v>
      </c>
      <c r="AC26" s="45">
        <v>8.6</v>
      </c>
      <c r="AD26" s="45">
        <v>8.6</v>
      </c>
      <c r="AE26" s="45">
        <v>8.6</v>
      </c>
      <c r="AF26" s="45">
        <v>8.6</v>
      </c>
      <c r="AG26" s="49">
        <v>25</v>
      </c>
      <c r="AH26" s="47">
        <f t="shared" si="2"/>
        <v>8.6</v>
      </c>
      <c r="AI26" s="48">
        <f t="shared" si="3"/>
        <v>8.4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5</v>
      </c>
      <c r="C27" s="45">
        <v>5</v>
      </c>
      <c r="D27" s="45">
        <v>5</v>
      </c>
      <c r="E27" s="45">
        <v>5</v>
      </c>
      <c r="F27" s="45">
        <v>5</v>
      </c>
      <c r="G27" s="45">
        <v>5</v>
      </c>
      <c r="H27" s="45">
        <v>5</v>
      </c>
      <c r="I27" s="45">
        <v>5</v>
      </c>
      <c r="J27" s="45">
        <v>5</v>
      </c>
      <c r="K27" s="45">
        <v>5</v>
      </c>
      <c r="L27" s="45">
        <v>5</v>
      </c>
      <c r="M27" s="45">
        <v>5</v>
      </c>
      <c r="N27" s="45">
        <v>5</v>
      </c>
      <c r="O27" s="45">
        <v>5</v>
      </c>
      <c r="P27" s="45">
        <v>5</v>
      </c>
      <c r="Q27" s="45">
        <v>5</v>
      </c>
      <c r="R27" s="45">
        <v>5</v>
      </c>
      <c r="S27" s="45">
        <v>5</v>
      </c>
      <c r="T27" s="45">
        <v>5</v>
      </c>
      <c r="U27" s="45">
        <v>5</v>
      </c>
      <c r="V27" s="45">
        <v>5</v>
      </c>
      <c r="W27" s="45">
        <v>5</v>
      </c>
      <c r="X27" s="45">
        <v>5</v>
      </c>
      <c r="Y27" s="45">
        <v>5</v>
      </c>
      <c r="Z27" s="45">
        <v>5</v>
      </c>
      <c r="AA27" s="45">
        <v>5</v>
      </c>
      <c r="AB27" s="45">
        <v>5</v>
      </c>
      <c r="AC27" s="45">
        <v>5</v>
      </c>
      <c r="AD27" s="45">
        <v>5</v>
      </c>
      <c r="AE27" s="45">
        <v>5</v>
      </c>
      <c r="AF27" s="45">
        <v>5</v>
      </c>
      <c r="AG27" s="49">
        <v>25</v>
      </c>
      <c r="AH27" s="47">
        <f t="shared" si="2"/>
        <v>5</v>
      </c>
      <c r="AI27" s="48">
        <f t="shared" si="3"/>
        <v>5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7.5</v>
      </c>
      <c r="C28" s="45">
        <v>7.5</v>
      </c>
      <c r="D28" s="45">
        <v>7.5</v>
      </c>
      <c r="E28" s="45">
        <v>7.5</v>
      </c>
      <c r="F28" s="45">
        <v>7.5</v>
      </c>
      <c r="G28" s="45">
        <v>7.5</v>
      </c>
      <c r="H28" s="45">
        <v>7.5</v>
      </c>
      <c r="I28" s="45">
        <v>7.5</v>
      </c>
      <c r="J28" s="45">
        <v>7.5</v>
      </c>
      <c r="K28" s="45">
        <v>7.5</v>
      </c>
      <c r="L28" s="45">
        <v>7.5</v>
      </c>
      <c r="M28" s="45">
        <v>7.5</v>
      </c>
      <c r="N28" s="45">
        <v>7.5</v>
      </c>
      <c r="O28" s="45">
        <v>7.5</v>
      </c>
      <c r="P28" s="45">
        <v>7.5</v>
      </c>
      <c r="Q28" s="45">
        <v>7.5</v>
      </c>
      <c r="R28" s="45">
        <v>7.5</v>
      </c>
      <c r="S28" s="45">
        <v>0</v>
      </c>
      <c r="T28" s="45">
        <v>0</v>
      </c>
      <c r="U28" s="45">
        <v>6.2</v>
      </c>
      <c r="V28" s="45">
        <v>6.2</v>
      </c>
      <c r="W28" s="45">
        <v>6.2</v>
      </c>
      <c r="X28" s="45">
        <v>6.2</v>
      </c>
      <c r="Y28" s="45">
        <v>6.2</v>
      </c>
      <c r="Z28" s="45">
        <v>6.2</v>
      </c>
      <c r="AA28" s="45">
        <v>6.2</v>
      </c>
      <c r="AB28" s="45">
        <v>6.2</v>
      </c>
      <c r="AC28" s="45">
        <v>6.2</v>
      </c>
      <c r="AD28" s="45">
        <v>6.2</v>
      </c>
      <c r="AE28" s="45">
        <v>6.2</v>
      </c>
      <c r="AF28" s="45">
        <v>6.2</v>
      </c>
      <c r="AG28" s="49">
        <v>25</v>
      </c>
      <c r="AH28" s="47">
        <f t="shared" si="2"/>
        <v>7.5</v>
      </c>
      <c r="AI28" s="48">
        <f t="shared" si="3"/>
        <v>0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8.4</v>
      </c>
      <c r="C29" s="45">
        <v>8.3000000000000007</v>
      </c>
      <c r="D29" s="45">
        <v>8.4</v>
      </c>
      <c r="E29" s="45">
        <v>8.4</v>
      </c>
      <c r="F29" s="45">
        <v>8.4</v>
      </c>
      <c r="G29" s="45">
        <v>8.4</v>
      </c>
      <c r="H29" s="45">
        <v>8.4</v>
      </c>
      <c r="I29" s="45">
        <v>8.4</v>
      </c>
      <c r="J29" s="45">
        <v>8.4</v>
      </c>
      <c r="K29" s="45">
        <v>8.4</v>
      </c>
      <c r="L29" s="45">
        <v>8.4</v>
      </c>
      <c r="M29" s="45">
        <v>8.4</v>
      </c>
      <c r="N29" s="45">
        <v>8.4</v>
      </c>
      <c r="O29" s="45">
        <v>8.4</v>
      </c>
      <c r="P29" s="45">
        <v>8.4</v>
      </c>
      <c r="Q29" s="45">
        <v>8.4</v>
      </c>
      <c r="R29" s="45">
        <v>8.4</v>
      </c>
      <c r="S29" s="45">
        <v>8.4</v>
      </c>
      <c r="T29" s="45">
        <v>8.4</v>
      </c>
      <c r="U29" s="45">
        <v>8.4</v>
      </c>
      <c r="V29" s="45">
        <v>8.4</v>
      </c>
      <c r="W29" s="45">
        <v>8.4</v>
      </c>
      <c r="X29" s="45">
        <v>8.4</v>
      </c>
      <c r="Y29" s="45">
        <v>8.4</v>
      </c>
      <c r="Z29" s="45">
        <v>8.4</v>
      </c>
      <c r="AA29" s="45">
        <v>8.4</v>
      </c>
      <c r="AB29" s="45">
        <v>8.4</v>
      </c>
      <c r="AC29" s="45">
        <v>8.4</v>
      </c>
      <c r="AD29" s="45">
        <v>8.4</v>
      </c>
      <c r="AE29" s="45">
        <v>8.4</v>
      </c>
      <c r="AF29" s="45">
        <v>8.4</v>
      </c>
      <c r="AG29" s="49">
        <v>25</v>
      </c>
      <c r="AH29" s="47">
        <f t="shared" si="2"/>
        <v>8.4</v>
      </c>
      <c r="AI29" s="48">
        <f t="shared" si="3"/>
        <v>8.3000000000000007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9.3000000000000007</v>
      </c>
      <c r="C30" s="45">
        <v>8.6999999999999993</v>
      </c>
      <c r="D30" s="45">
        <v>9.3000000000000007</v>
      </c>
      <c r="E30" s="45">
        <v>9.3000000000000007</v>
      </c>
      <c r="F30" s="45">
        <v>9.3000000000000007</v>
      </c>
      <c r="G30" s="45">
        <v>9.3000000000000007</v>
      </c>
      <c r="H30" s="45">
        <v>9.3000000000000007</v>
      </c>
      <c r="I30" s="45">
        <v>9.3000000000000007</v>
      </c>
      <c r="J30" s="45">
        <v>9.3000000000000007</v>
      </c>
      <c r="K30" s="45">
        <v>9.3000000000000007</v>
      </c>
      <c r="L30" s="45">
        <v>9.3000000000000007</v>
      </c>
      <c r="M30" s="45">
        <v>9.3000000000000007</v>
      </c>
      <c r="N30" s="45">
        <v>9.3000000000000007</v>
      </c>
      <c r="O30" s="45">
        <v>9.3000000000000007</v>
      </c>
      <c r="P30" s="45">
        <v>9.3000000000000007</v>
      </c>
      <c r="Q30" s="45">
        <v>9.3000000000000007</v>
      </c>
      <c r="R30" s="45">
        <v>9.3000000000000007</v>
      </c>
      <c r="S30" s="45">
        <v>9.3000000000000007</v>
      </c>
      <c r="T30" s="45">
        <v>9.3000000000000007</v>
      </c>
      <c r="U30" s="45">
        <v>9.3000000000000007</v>
      </c>
      <c r="V30" s="45">
        <v>9.3000000000000007</v>
      </c>
      <c r="W30" s="45">
        <v>9.3000000000000007</v>
      </c>
      <c r="X30" s="45">
        <v>9.3000000000000007</v>
      </c>
      <c r="Y30" s="45">
        <v>9.3000000000000007</v>
      </c>
      <c r="Z30" s="45">
        <v>9.3000000000000007</v>
      </c>
      <c r="AA30" s="45">
        <v>9.3000000000000007</v>
      </c>
      <c r="AB30" s="45">
        <v>9.3000000000000007</v>
      </c>
      <c r="AC30" s="45">
        <v>9.3000000000000007</v>
      </c>
      <c r="AD30" s="45">
        <v>9.3000000000000007</v>
      </c>
      <c r="AE30" s="45">
        <v>9.3000000000000007</v>
      </c>
      <c r="AF30" s="45">
        <v>9.3000000000000007</v>
      </c>
      <c r="AG30" s="49">
        <v>23.5</v>
      </c>
      <c r="AH30" s="47">
        <f t="shared" si="2"/>
        <v>9.3000000000000007</v>
      </c>
      <c r="AI30" s="48">
        <f t="shared" si="3"/>
        <v>8.6999999999999993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4.5</v>
      </c>
      <c r="C31" s="45">
        <v>4.5</v>
      </c>
      <c r="D31" s="45">
        <v>4.5</v>
      </c>
      <c r="E31" s="45">
        <v>4.5</v>
      </c>
      <c r="F31" s="45">
        <v>4.5</v>
      </c>
      <c r="G31" s="45">
        <v>4.5</v>
      </c>
      <c r="H31" s="45">
        <v>4.5</v>
      </c>
      <c r="I31" s="45">
        <v>4.5</v>
      </c>
      <c r="J31" s="45">
        <v>4.5</v>
      </c>
      <c r="K31" s="45">
        <v>4.5</v>
      </c>
      <c r="L31" s="45">
        <v>4.5</v>
      </c>
      <c r="M31" s="45">
        <v>4.5</v>
      </c>
      <c r="N31" s="45">
        <v>4.5</v>
      </c>
      <c r="O31" s="45">
        <v>4.5</v>
      </c>
      <c r="P31" s="45">
        <v>4.5</v>
      </c>
      <c r="Q31" s="45">
        <v>4.5</v>
      </c>
      <c r="R31" s="45">
        <v>4.5</v>
      </c>
      <c r="S31" s="45">
        <v>4.5</v>
      </c>
      <c r="T31" s="45">
        <v>4.5</v>
      </c>
      <c r="U31" s="45">
        <v>4.5</v>
      </c>
      <c r="V31" s="45">
        <v>4.5</v>
      </c>
      <c r="W31" s="45">
        <v>4.5</v>
      </c>
      <c r="X31" s="45">
        <v>4.5</v>
      </c>
      <c r="Y31" s="45">
        <v>4.5</v>
      </c>
      <c r="Z31" s="45">
        <v>4.5</v>
      </c>
      <c r="AA31" s="45">
        <v>4.5</v>
      </c>
      <c r="AB31" s="45">
        <v>4.5</v>
      </c>
      <c r="AC31" s="45">
        <v>4.5</v>
      </c>
      <c r="AD31" s="45">
        <v>4.5</v>
      </c>
      <c r="AE31" s="45">
        <v>4.5</v>
      </c>
      <c r="AF31" s="45">
        <v>4.5</v>
      </c>
      <c r="AG31" s="49">
        <v>22.2</v>
      </c>
      <c r="AH31" s="47">
        <f t="shared" si="2"/>
        <v>4.5</v>
      </c>
      <c r="AI31" s="48">
        <f t="shared" si="3"/>
        <v>4.5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>
        <v>5.5</v>
      </c>
      <c r="N32" s="45">
        <v>5.5</v>
      </c>
      <c r="O32" s="45">
        <v>5.5</v>
      </c>
      <c r="P32" s="45">
        <v>5.5</v>
      </c>
      <c r="Q32" s="45">
        <v>5.5</v>
      </c>
      <c r="R32" s="45">
        <v>5.5</v>
      </c>
      <c r="S32" s="45">
        <v>5.5</v>
      </c>
      <c r="T32" s="45">
        <v>5.5</v>
      </c>
      <c r="U32" s="45">
        <v>5.5</v>
      </c>
      <c r="V32" s="45">
        <v>5.5</v>
      </c>
      <c r="W32" s="45">
        <v>5.5</v>
      </c>
      <c r="X32" s="45">
        <v>5.5</v>
      </c>
      <c r="Y32" s="45">
        <v>5.5</v>
      </c>
      <c r="Z32" s="45">
        <v>5.5</v>
      </c>
      <c r="AA32" s="45">
        <v>5.5</v>
      </c>
      <c r="AB32" s="45">
        <v>5.5</v>
      </c>
      <c r="AC32" s="45">
        <v>5.5</v>
      </c>
      <c r="AD32" s="45">
        <v>5.5</v>
      </c>
      <c r="AE32" s="45">
        <v>5.5</v>
      </c>
      <c r="AF32" s="45">
        <v>5.5</v>
      </c>
      <c r="AG32" s="49">
        <v>22.1</v>
      </c>
      <c r="AH32" s="47">
        <f t="shared" si="2"/>
        <v>5.5</v>
      </c>
      <c r="AI32" s="48">
        <f t="shared" si="3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22</v>
      </c>
      <c r="AH33" s="47">
        <f t="shared" si="2"/>
        <v>6</v>
      </c>
      <c r="AI33" s="48">
        <f t="shared" si="3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10.6</v>
      </c>
      <c r="C34" s="45">
        <v>10.4</v>
      </c>
      <c r="D34" s="45">
        <v>10.6</v>
      </c>
      <c r="E34" s="45">
        <v>10.6</v>
      </c>
      <c r="F34" s="45">
        <v>10.6</v>
      </c>
      <c r="G34" s="45">
        <v>10.6</v>
      </c>
      <c r="H34" s="45">
        <v>10.6</v>
      </c>
      <c r="I34" s="45">
        <v>10.6</v>
      </c>
      <c r="J34" s="45">
        <v>10.6</v>
      </c>
      <c r="K34" s="45">
        <v>10.6</v>
      </c>
      <c r="L34" s="45">
        <v>10.6</v>
      </c>
      <c r="M34" s="45">
        <v>10.6</v>
      </c>
      <c r="N34" s="45">
        <v>10.6</v>
      </c>
      <c r="O34" s="45">
        <v>10.6</v>
      </c>
      <c r="P34" s="45">
        <v>10.6</v>
      </c>
      <c r="Q34" s="45">
        <v>10.6</v>
      </c>
      <c r="R34" s="45">
        <v>10.6</v>
      </c>
      <c r="S34" s="45">
        <v>8</v>
      </c>
      <c r="T34" s="45">
        <v>8</v>
      </c>
      <c r="U34" s="45">
        <v>8</v>
      </c>
      <c r="V34" s="45">
        <v>8</v>
      </c>
      <c r="W34" s="45">
        <v>8</v>
      </c>
      <c r="X34" s="45">
        <v>8</v>
      </c>
      <c r="Y34" s="45">
        <v>8</v>
      </c>
      <c r="Z34" s="45">
        <v>8</v>
      </c>
      <c r="AA34" s="45">
        <v>8</v>
      </c>
      <c r="AB34" s="45">
        <v>8</v>
      </c>
      <c r="AC34" s="45">
        <v>8</v>
      </c>
      <c r="AD34" s="45">
        <v>8</v>
      </c>
      <c r="AE34" s="45">
        <v>8</v>
      </c>
      <c r="AF34" s="45">
        <v>8</v>
      </c>
      <c r="AG34" s="49">
        <v>22</v>
      </c>
      <c r="AH34" s="47">
        <f t="shared" si="2"/>
        <v>10.6</v>
      </c>
      <c r="AI34" s="48">
        <f t="shared" si="3"/>
        <v>8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6.5</v>
      </c>
      <c r="C35" s="45">
        <v>6.5</v>
      </c>
      <c r="D35" s="45">
        <v>6.5</v>
      </c>
      <c r="E35" s="45">
        <v>6.5</v>
      </c>
      <c r="F35" s="45">
        <v>6.5</v>
      </c>
      <c r="G35" s="45">
        <v>6.5</v>
      </c>
      <c r="H35" s="45">
        <v>6.5</v>
      </c>
      <c r="I35" s="45">
        <v>6.5</v>
      </c>
      <c r="J35" s="45">
        <v>6.5</v>
      </c>
      <c r="K35" s="45">
        <v>6.5</v>
      </c>
      <c r="L35" s="45">
        <v>6.5</v>
      </c>
      <c r="M35" s="45">
        <v>6.5</v>
      </c>
      <c r="N35" s="45">
        <v>6.5</v>
      </c>
      <c r="O35" s="45">
        <v>6.5</v>
      </c>
      <c r="P35" s="45">
        <v>6.5</v>
      </c>
      <c r="Q35" s="45">
        <v>6.5</v>
      </c>
      <c r="R35" s="45">
        <v>6.5</v>
      </c>
      <c r="S35" s="45">
        <v>6.5</v>
      </c>
      <c r="T35" s="45">
        <v>6.5</v>
      </c>
      <c r="U35" s="45">
        <v>6.5</v>
      </c>
      <c r="V35" s="45">
        <v>6.5</v>
      </c>
      <c r="W35" s="45">
        <v>6.5</v>
      </c>
      <c r="X35" s="45">
        <v>6.5</v>
      </c>
      <c r="Y35" s="45">
        <v>6.5</v>
      </c>
      <c r="Z35" s="45">
        <v>6.5</v>
      </c>
      <c r="AA35" s="45">
        <v>6.5</v>
      </c>
      <c r="AB35" s="45">
        <v>6.5</v>
      </c>
      <c r="AC35" s="45">
        <v>6.5</v>
      </c>
      <c r="AD35" s="45">
        <v>6.5</v>
      </c>
      <c r="AE35" s="45">
        <v>6.5</v>
      </c>
      <c r="AF35" s="45">
        <v>6.5</v>
      </c>
      <c r="AG35" s="49">
        <v>20</v>
      </c>
      <c r="AH35" s="47">
        <f t="shared" si="2"/>
        <v>6.5</v>
      </c>
      <c r="AI35" s="48">
        <f t="shared" si="3"/>
        <v>6.5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264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2"/>
        <v>4</v>
      </c>
      <c r="AI36" s="48">
        <f t="shared" si="3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5.5</v>
      </c>
      <c r="C37" s="45">
        <v>5.5</v>
      </c>
      <c r="D37" s="45">
        <v>5.5</v>
      </c>
      <c r="E37" s="45">
        <v>5.5</v>
      </c>
      <c r="F37" s="45">
        <v>5.5</v>
      </c>
      <c r="G37" s="45">
        <v>5.5</v>
      </c>
      <c r="H37" s="45">
        <v>5.5</v>
      </c>
      <c r="I37" s="45">
        <v>5.5</v>
      </c>
      <c r="J37" s="45">
        <v>5.5</v>
      </c>
      <c r="K37" s="45">
        <v>5.5</v>
      </c>
      <c r="L37" s="45">
        <v>5.5</v>
      </c>
      <c r="M37" s="45">
        <v>5.5</v>
      </c>
      <c r="N37" s="45">
        <v>5.5</v>
      </c>
      <c r="O37" s="45">
        <v>5.5</v>
      </c>
      <c r="P37" s="45">
        <v>5.5</v>
      </c>
      <c r="Q37" s="45">
        <v>5.5</v>
      </c>
      <c r="R37" s="45">
        <v>5.5</v>
      </c>
      <c r="S37" s="45">
        <v>5.5</v>
      </c>
      <c r="T37" s="45">
        <v>5.5</v>
      </c>
      <c r="U37" s="45">
        <v>5.5</v>
      </c>
      <c r="V37" s="45">
        <v>5.5</v>
      </c>
      <c r="W37" s="45">
        <v>5.5</v>
      </c>
      <c r="X37" s="45">
        <v>5.5</v>
      </c>
      <c r="Y37" s="45">
        <v>5.5</v>
      </c>
      <c r="Z37" s="45">
        <v>5.5</v>
      </c>
      <c r="AA37" s="45">
        <v>5.5</v>
      </c>
      <c r="AB37" s="45">
        <v>5.5</v>
      </c>
      <c r="AC37" s="45">
        <v>5.5</v>
      </c>
      <c r="AD37" s="45">
        <v>5.5</v>
      </c>
      <c r="AE37" s="45">
        <v>5.5</v>
      </c>
      <c r="AF37" s="45">
        <v>5.5</v>
      </c>
      <c r="AG37" s="49">
        <v>18</v>
      </c>
      <c r="AH37" s="47">
        <f t="shared" si="2"/>
        <v>5.5</v>
      </c>
      <c r="AI37" s="48">
        <f t="shared" si="3"/>
        <v>5.5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>
        <v>7.2</v>
      </c>
      <c r="N38" s="45">
        <v>7.2</v>
      </c>
      <c r="O38" s="45">
        <v>7.2</v>
      </c>
      <c r="P38" s="45">
        <v>7.2</v>
      </c>
      <c r="Q38" s="45">
        <v>7.2</v>
      </c>
      <c r="R38" s="45">
        <v>7.2</v>
      </c>
      <c r="S38" s="45">
        <v>7.2</v>
      </c>
      <c r="T38" s="45">
        <v>7.2</v>
      </c>
      <c r="U38" s="45">
        <v>7.2</v>
      </c>
      <c r="V38" s="45">
        <v>7.2</v>
      </c>
      <c r="W38" s="45">
        <v>7.2</v>
      </c>
      <c r="X38" s="45">
        <v>7.2</v>
      </c>
      <c r="Y38" s="45">
        <v>7.2</v>
      </c>
      <c r="Z38" s="45">
        <v>7.2</v>
      </c>
      <c r="AA38" s="45">
        <v>7.2</v>
      </c>
      <c r="AB38" s="45">
        <v>7.2</v>
      </c>
      <c r="AC38" s="45">
        <v>7.2</v>
      </c>
      <c r="AD38" s="45">
        <v>7.2</v>
      </c>
      <c r="AE38" s="45">
        <v>7.2</v>
      </c>
      <c r="AF38" s="45">
        <v>7.2</v>
      </c>
      <c r="AG38" s="49">
        <v>14.9</v>
      </c>
      <c r="AH38" s="47">
        <f t="shared" si="2"/>
        <v>7.2</v>
      </c>
      <c r="AI38" s="48">
        <f t="shared" si="3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265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2"/>
        <v>5</v>
      </c>
      <c r="AI40" s="48">
        <f t="shared" si="3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266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>
        <v>4</v>
      </c>
      <c r="N41" s="45">
        <v>4</v>
      </c>
      <c r="O41" s="45">
        <v>4</v>
      </c>
      <c r="P41" s="45">
        <v>4</v>
      </c>
      <c r="Q41" s="45">
        <v>4</v>
      </c>
      <c r="R41" s="45">
        <v>4</v>
      </c>
      <c r="S41" s="45">
        <v>4</v>
      </c>
      <c r="T41" s="45">
        <v>4</v>
      </c>
      <c r="U41" s="45">
        <v>4</v>
      </c>
      <c r="V41" s="45">
        <v>4</v>
      </c>
      <c r="W41" s="45">
        <v>4</v>
      </c>
      <c r="X41" s="45">
        <v>4</v>
      </c>
      <c r="Y41" s="45">
        <v>4</v>
      </c>
      <c r="Z41" s="45">
        <v>4</v>
      </c>
      <c r="AA41" s="45">
        <v>4</v>
      </c>
      <c r="AB41" s="45">
        <v>4</v>
      </c>
      <c r="AC41" s="45">
        <v>4</v>
      </c>
      <c r="AD41" s="45">
        <v>4</v>
      </c>
      <c r="AE41" s="45">
        <v>4</v>
      </c>
      <c r="AF41" s="45">
        <v>4</v>
      </c>
      <c r="AG41" s="49">
        <v>14.9</v>
      </c>
      <c r="AH41" s="47">
        <f t="shared" si="2"/>
        <v>4</v>
      </c>
      <c r="AI41" s="48">
        <f t="shared" si="3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2"/>
        <v>1.8</v>
      </c>
      <c r="AI42" s="48">
        <f t="shared" si="3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2"/>
        <v>3.8</v>
      </c>
      <c r="AI43" s="48">
        <f t="shared" si="3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4</v>
      </c>
      <c r="C44" s="45">
        <v>4</v>
      </c>
      <c r="D44" s="45">
        <v>4</v>
      </c>
      <c r="E44" s="45">
        <v>4</v>
      </c>
      <c r="F44" s="45">
        <v>4</v>
      </c>
      <c r="G44" s="45">
        <v>4</v>
      </c>
      <c r="H44" s="45">
        <v>4</v>
      </c>
      <c r="I44" s="45">
        <v>4</v>
      </c>
      <c r="J44" s="45">
        <v>4</v>
      </c>
      <c r="K44" s="45">
        <v>4</v>
      </c>
      <c r="L44" s="45">
        <v>4</v>
      </c>
      <c r="M44" s="45">
        <v>4</v>
      </c>
      <c r="N44" s="45">
        <v>4</v>
      </c>
      <c r="O44" s="45">
        <v>4</v>
      </c>
      <c r="P44" s="45">
        <v>4</v>
      </c>
      <c r="Q44" s="45">
        <v>4</v>
      </c>
      <c r="R44" s="45">
        <v>4</v>
      </c>
      <c r="S44" s="45">
        <v>4</v>
      </c>
      <c r="T44" s="45">
        <v>4</v>
      </c>
      <c r="U44" s="45">
        <v>4</v>
      </c>
      <c r="V44" s="45">
        <v>4</v>
      </c>
      <c r="W44" s="45">
        <v>4</v>
      </c>
      <c r="X44" s="45">
        <v>4</v>
      </c>
      <c r="Y44" s="45">
        <v>4</v>
      </c>
      <c r="Z44" s="45">
        <v>4</v>
      </c>
      <c r="AA44" s="45">
        <v>4</v>
      </c>
      <c r="AB44" s="45">
        <v>4</v>
      </c>
      <c r="AC44" s="45">
        <v>4</v>
      </c>
      <c r="AD44" s="45">
        <v>4</v>
      </c>
      <c r="AE44" s="45">
        <v>4</v>
      </c>
      <c r="AF44" s="45">
        <v>4</v>
      </c>
      <c r="AG44" s="49">
        <v>12</v>
      </c>
      <c r="AH44" s="47">
        <f t="shared" si="2"/>
        <v>4</v>
      </c>
      <c r="AI44" s="48">
        <f t="shared" si="3"/>
        <v>4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49">
        <v>12</v>
      </c>
      <c r="AH45" s="47">
        <f t="shared" si="2"/>
        <v>9</v>
      </c>
      <c r="AI45" s="48">
        <f t="shared" si="3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2"/>
        <v>3</v>
      </c>
      <c r="AI46" s="48">
        <f t="shared" si="3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2"/>
        <v>3.5</v>
      </c>
      <c r="AI47" s="48">
        <f t="shared" si="3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>
        <v>5</v>
      </c>
      <c r="N48" s="45">
        <v>5</v>
      </c>
      <c r="O48" s="45">
        <v>5</v>
      </c>
      <c r="P48" s="45">
        <v>5</v>
      </c>
      <c r="Q48" s="45">
        <v>5</v>
      </c>
      <c r="R48" s="45">
        <v>5</v>
      </c>
      <c r="S48" s="45">
        <v>5</v>
      </c>
      <c r="T48" s="45">
        <v>5</v>
      </c>
      <c r="U48" s="45">
        <v>5</v>
      </c>
      <c r="V48" s="45">
        <v>5</v>
      </c>
      <c r="W48" s="45">
        <v>5</v>
      </c>
      <c r="X48" s="45">
        <v>5</v>
      </c>
      <c r="Y48" s="45">
        <v>5</v>
      </c>
      <c r="Z48" s="45">
        <v>5</v>
      </c>
      <c r="AA48" s="45">
        <v>5</v>
      </c>
      <c r="AB48" s="45">
        <v>5</v>
      </c>
      <c r="AC48" s="45">
        <v>5</v>
      </c>
      <c r="AD48" s="45">
        <v>5</v>
      </c>
      <c r="AE48" s="45">
        <v>5</v>
      </c>
      <c r="AF48" s="45">
        <v>5</v>
      </c>
      <c r="AG48" s="52">
        <v>11.88</v>
      </c>
      <c r="AH48" s="47">
        <f t="shared" si="2"/>
        <v>5</v>
      </c>
      <c r="AI48" s="48">
        <f t="shared" si="3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>
        <v>3</v>
      </c>
      <c r="N49" s="45">
        <v>3</v>
      </c>
      <c r="O49" s="45">
        <v>3</v>
      </c>
      <c r="P49" s="45">
        <v>3</v>
      </c>
      <c r="Q49" s="45">
        <v>3</v>
      </c>
      <c r="R49" s="45">
        <v>3</v>
      </c>
      <c r="S49" s="45">
        <v>3</v>
      </c>
      <c r="T49" s="45">
        <v>3</v>
      </c>
      <c r="U49" s="45">
        <v>3</v>
      </c>
      <c r="V49" s="45">
        <v>3</v>
      </c>
      <c r="W49" s="45">
        <v>3</v>
      </c>
      <c r="X49" s="45">
        <v>3</v>
      </c>
      <c r="Y49" s="45">
        <v>3</v>
      </c>
      <c r="Z49" s="45">
        <v>3</v>
      </c>
      <c r="AA49" s="45">
        <v>3</v>
      </c>
      <c r="AB49" s="45">
        <v>3</v>
      </c>
      <c r="AC49" s="45">
        <v>3</v>
      </c>
      <c r="AD49" s="45">
        <v>3</v>
      </c>
      <c r="AE49" s="45">
        <v>3</v>
      </c>
      <c r="AF49" s="45">
        <v>3</v>
      </c>
      <c r="AG49" s="55">
        <v>11</v>
      </c>
      <c r="AH49" s="47">
        <f t="shared" si="2"/>
        <v>3</v>
      </c>
      <c r="AI49" s="48">
        <f t="shared" si="3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267</v>
      </c>
      <c r="B50" s="45">
        <v>3.3</v>
      </c>
      <c r="C50" s="45">
        <v>3.3</v>
      </c>
      <c r="D50" s="45">
        <v>3.3</v>
      </c>
      <c r="E50" s="45">
        <v>3.3</v>
      </c>
      <c r="F50" s="45">
        <v>3.3</v>
      </c>
      <c r="G50" s="45">
        <v>3.3</v>
      </c>
      <c r="H50" s="45">
        <v>3.3</v>
      </c>
      <c r="I50" s="45">
        <v>3.3</v>
      </c>
      <c r="J50" s="45">
        <v>3.3</v>
      </c>
      <c r="K50" s="45">
        <v>3.3</v>
      </c>
      <c r="L50" s="45">
        <v>3.3</v>
      </c>
      <c r="M50" s="45">
        <v>3.3</v>
      </c>
      <c r="N50" s="45">
        <v>3.3</v>
      </c>
      <c r="O50" s="45">
        <v>3.3</v>
      </c>
      <c r="P50" s="45">
        <v>3.3</v>
      </c>
      <c r="Q50" s="45">
        <v>3.3</v>
      </c>
      <c r="R50" s="45">
        <v>3.3</v>
      </c>
      <c r="S50" s="45">
        <v>3.3</v>
      </c>
      <c r="T50" s="45">
        <v>3.3</v>
      </c>
      <c r="U50" s="45">
        <v>3.3</v>
      </c>
      <c r="V50" s="45">
        <v>3.3</v>
      </c>
      <c r="W50" s="45">
        <v>3.3</v>
      </c>
      <c r="X50" s="45">
        <v>3.3</v>
      </c>
      <c r="Y50" s="45">
        <v>3.3</v>
      </c>
      <c r="Z50" s="45">
        <v>3.3</v>
      </c>
      <c r="AA50" s="45">
        <v>3.3</v>
      </c>
      <c r="AB50" s="45">
        <v>3.3</v>
      </c>
      <c r="AC50" s="45">
        <v>3.3</v>
      </c>
      <c r="AD50" s="45">
        <v>3.3</v>
      </c>
      <c r="AE50" s="45">
        <v>3.3</v>
      </c>
      <c r="AF50" s="45">
        <v>3.3</v>
      </c>
      <c r="AG50" s="55">
        <v>11</v>
      </c>
      <c r="AH50" s="47">
        <f t="shared" si="2"/>
        <v>3.3</v>
      </c>
      <c r="AI50" s="48">
        <f t="shared" si="3"/>
        <v>3.3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268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"/>
        <v>3</v>
      </c>
      <c r="AI51" s="48">
        <f t="shared" si="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2"/>
        <v>4</v>
      </c>
      <c r="AI52" s="48">
        <f t="shared" si="3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"/>
        <v>4.5</v>
      </c>
      <c r="AI53" s="48">
        <f t="shared" si="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269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"/>
        <v>0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175</v>
      </c>
      <c r="C56" s="57">
        <v>175</v>
      </c>
      <c r="D56" s="57">
        <v>175</v>
      </c>
      <c r="E56" s="57">
        <v>175</v>
      </c>
      <c r="F56" s="57">
        <v>175</v>
      </c>
      <c r="G56" s="57">
        <v>150</v>
      </c>
      <c r="H56" s="57">
        <v>150</v>
      </c>
      <c r="I56" s="57">
        <v>150</v>
      </c>
      <c r="J56" s="57">
        <v>150</v>
      </c>
      <c r="K56" s="57">
        <v>150</v>
      </c>
      <c r="L56" s="57">
        <v>150</v>
      </c>
      <c r="M56" s="57">
        <v>150</v>
      </c>
      <c r="N56" s="57">
        <v>150</v>
      </c>
      <c r="O56" s="57">
        <v>150</v>
      </c>
      <c r="P56" s="57">
        <v>150</v>
      </c>
      <c r="Q56" s="57">
        <v>150</v>
      </c>
      <c r="R56" s="57">
        <v>150</v>
      </c>
      <c r="S56" s="57">
        <v>150</v>
      </c>
      <c r="T56" s="57">
        <v>150</v>
      </c>
      <c r="U56" s="57">
        <v>150</v>
      </c>
      <c r="V56" s="57">
        <v>150</v>
      </c>
      <c r="W56" s="57">
        <v>150</v>
      </c>
      <c r="X56" s="57">
        <v>150</v>
      </c>
      <c r="Y56" s="57">
        <v>150</v>
      </c>
      <c r="Z56" s="57">
        <v>150</v>
      </c>
      <c r="AA56" s="57">
        <v>150</v>
      </c>
      <c r="AB56" s="57">
        <v>150</v>
      </c>
      <c r="AC56" s="57">
        <v>150</v>
      </c>
      <c r="AD56" s="57">
        <v>150</v>
      </c>
      <c r="AE56" s="57">
        <v>150</v>
      </c>
      <c r="AF56" s="57">
        <v>150</v>
      </c>
      <c r="AG56" s="55">
        <v>85</v>
      </c>
      <c r="AH56" s="47">
        <f t="shared" si="2"/>
        <v>175</v>
      </c>
      <c r="AI56" s="48">
        <f t="shared" si="3"/>
        <v>150</v>
      </c>
      <c r="AK56" s="50"/>
    </row>
    <row r="57" spans="1:88" ht="15.75" thickBot="1" x14ac:dyDescent="0.3">
      <c r="A57" s="58" t="s">
        <v>57</v>
      </c>
      <c r="B57" s="57">
        <f>9.3+21</f>
        <v>30.3</v>
      </c>
      <c r="C57" s="57">
        <f>9.8+21.7</f>
        <v>31.5</v>
      </c>
      <c r="D57" s="57">
        <f t="shared" ref="D57:F57" si="4">9.3+21</f>
        <v>30.3</v>
      </c>
      <c r="E57" s="57">
        <f t="shared" si="4"/>
        <v>30.3</v>
      </c>
      <c r="F57" s="57">
        <f t="shared" si="4"/>
        <v>30.3</v>
      </c>
      <c r="G57" s="57">
        <f>20.7+9.3</f>
        <v>30</v>
      </c>
      <c r="H57" s="57">
        <f>20.3+9.1</f>
        <v>29.4</v>
      </c>
      <c r="I57" s="57">
        <f>20.3+9.1</f>
        <v>29.4</v>
      </c>
      <c r="J57" s="57">
        <f>19.7+8.6</f>
        <v>28.299999999999997</v>
      </c>
      <c r="K57" s="51">
        <f>19+8.5</f>
        <v>27.5</v>
      </c>
      <c r="L57" s="51">
        <f>19.4+8.3</f>
        <v>27.7</v>
      </c>
      <c r="M57" s="51">
        <f>19.4+8.3</f>
        <v>27.7</v>
      </c>
      <c r="N57" s="51">
        <f>19.4+8.3</f>
        <v>27.7</v>
      </c>
      <c r="O57" s="51">
        <f t="shared" ref="O57:P57" si="5">19.4+8.3</f>
        <v>27.7</v>
      </c>
      <c r="P57" s="51">
        <f t="shared" si="5"/>
        <v>27.7</v>
      </c>
      <c r="Q57" s="51">
        <v>29.9</v>
      </c>
      <c r="R57" s="51">
        <v>29.9</v>
      </c>
      <c r="S57" s="51">
        <v>29.9</v>
      </c>
      <c r="T57" s="51">
        <v>29.9</v>
      </c>
      <c r="U57" s="51">
        <v>29.9</v>
      </c>
      <c r="V57" s="51">
        <f>7.8+18.2</f>
        <v>26</v>
      </c>
      <c r="W57" s="51">
        <f>7.8+18.2</f>
        <v>26</v>
      </c>
      <c r="X57" s="51">
        <f>7.8+18.2</f>
        <v>26</v>
      </c>
      <c r="Y57" s="51">
        <f t="shared" ref="Y57:AF57" si="6">7.8+18.2</f>
        <v>26</v>
      </c>
      <c r="Z57" s="51">
        <f t="shared" si="6"/>
        <v>26</v>
      </c>
      <c r="AA57" s="51">
        <f t="shared" si="6"/>
        <v>26</v>
      </c>
      <c r="AB57" s="51">
        <f t="shared" si="6"/>
        <v>26</v>
      </c>
      <c r="AC57" s="51">
        <f t="shared" si="6"/>
        <v>26</v>
      </c>
      <c r="AD57" s="51">
        <f t="shared" si="6"/>
        <v>26</v>
      </c>
      <c r="AE57" s="51">
        <f t="shared" si="6"/>
        <v>26</v>
      </c>
      <c r="AF57" s="51">
        <f t="shared" si="6"/>
        <v>26</v>
      </c>
      <c r="AG57" s="55">
        <v>240</v>
      </c>
      <c r="AH57" s="47">
        <f t="shared" si="2"/>
        <v>31.5</v>
      </c>
      <c r="AI57" s="48">
        <f t="shared" si="3"/>
        <v>26</v>
      </c>
      <c r="AK57" s="50"/>
    </row>
    <row r="58" spans="1:88" ht="15.75" thickBot="1" x14ac:dyDescent="0.3">
      <c r="A58" s="59" t="s">
        <v>58</v>
      </c>
      <c r="B58" s="60">
        <f t="shared" ref="B58:D58" si="7">SUM(B11:B56)</f>
        <v>534.80000000000007</v>
      </c>
      <c r="C58" s="60">
        <f t="shared" si="7"/>
        <v>533.29999999999995</v>
      </c>
      <c r="D58" s="60">
        <f t="shared" si="7"/>
        <v>526.70000000000005</v>
      </c>
      <c r="E58" s="60">
        <f t="shared" ref="E58:AB58" si="8">SUM(E11:E56)</f>
        <v>536.80000000000007</v>
      </c>
      <c r="F58" s="60">
        <f t="shared" si="8"/>
        <v>536.80000000000007</v>
      </c>
      <c r="G58" s="60">
        <f t="shared" si="8"/>
        <v>519.10000000000014</v>
      </c>
      <c r="H58" s="60">
        <f t="shared" si="8"/>
        <v>519.40000000000009</v>
      </c>
      <c r="I58" s="60">
        <f t="shared" si="8"/>
        <v>519.40000000000009</v>
      </c>
      <c r="J58" s="60">
        <f t="shared" si="8"/>
        <v>519.40000000000009</v>
      </c>
      <c r="K58" s="60">
        <f t="shared" si="8"/>
        <v>519.40000000000009</v>
      </c>
      <c r="L58" s="60">
        <f t="shared" si="8"/>
        <v>519.40000000000009</v>
      </c>
      <c r="M58" s="60">
        <f t="shared" si="8"/>
        <v>519.40000000000009</v>
      </c>
      <c r="N58" s="60">
        <f t="shared" si="8"/>
        <v>519.40000000000009</v>
      </c>
      <c r="O58" s="60">
        <f t="shared" si="8"/>
        <v>519.40000000000009</v>
      </c>
      <c r="P58" s="60">
        <f t="shared" si="8"/>
        <v>519.40000000000009</v>
      </c>
      <c r="Q58" s="60">
        <f t="shared" si="8"/>
        <v>519.40000000000009</v>
      </c>
      <c r="R58" s="60">
        <f t="shared" si="8"/>
        <v>519.40000000000009</v>
      </c>
      <c r="S58" s="60">
        <f t="shared" si="8"/>
        <v>504.30000000000007</v>
      </c>
      <c r="T58" s="60">
        <f t="shared" si="8"/>
        <v>504.30000000000007</v>
      </c>
      <c r="U58" s="60">
        <f t="shared" si="8"/>
        <v>510.5</v>
      </c>
      <c r="V58" s="60">
        <f t="shared" si="8"/>
        <v>510.5</v>
      </c>
      <c r="W58" s="60">
        <f t="shared" si="8"/>
        <v>510.5</v>
      </c>
      <c r="X58" s="60">
        <f t="shared" si="8"/>
        <v>510.5</v>
      </c>
      <c r="Y58" s="60">
        <f>SUM(Y11:Y56)</f>
        <v>506.70000000000005</v>
      </c>
      <c r="Z58" s="60">
        <f>SUM(Z11:Z56)</f>
        <v>506.70000000000005</v>
      </c>
      <c r="AA58" s="60">
        <f t="shared" si="8"/>
        <v>506.70000000000005</v>
      </c>
      <c r="AB58" s="60">
        <f t="shared" si="8"/>
        <v>506.70000000000005</v>
      </c>
      <c r="AC58" s="60">
        <f t="shared" ref="AC58:AD58" si="9">SUM(AC11:AC56)</f>
        <v>506.70000000000005</v>
      </c>
      <c r="AD58" s="60">
        <f t="shared" si="9"/>
        <v>506.70000000000005</v>
      </c>
      <c r="AE58" s="60">
        <f t="shared" ref="AE58:AF58" si="10">SUM(AE11:AE56)</f>
        <v>506.70000000000005</v>
      </c>
      <c r="AF58" s="60">
        <f t="shared" si="10"/>
        <v>506.70000000000005</v>
      </c>
      <c r="AG58" s="61">
        <f>SUM(AG14:AG56)</f>
        <v>1042.4000000000001</v>
      </c>
      <c r="AH58" s="47">
        <f t="shared" si="2"/>
        <v>536.80000000000007</v>
      </c>
      <c r="AI58" s="48">
        <f t="shared" si="3"/>
        <v>504.30000000000007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180</v>
      </c>
      <c r="L59" s="45">
        <v>300</v>
      </c>
      <c r="M59" s="45">
        <v>400</v>
      </c>
      <c r="N59" s="63">
        <v>380</v>
      </c>
      <c r="O59" s="63">
        <v>200</v>
      </c>
      <c r="P59" s="63">
        <v>60</v>
      </c>
      <c r="Q59" s="63">
        <v>40</v>
      </c>
      <c r="R59" s="63">
        <v>0</v>
      </c>
      <c r="S59" s="45">
        <v>0</v>
      </c>
      <c r="T59" s="45">
        <v>0</v>
      </c>
      <c r="U59" s="45">
        <v>0</v>
      </c>
      <c r="V59" s="45">
        <v>0</v>
      </c>
      <c r="W59" s="45">
        <v>120</v>
      </c>
      <c r="X59" s="45">
        <v>200</v>
      </c>
      <c r="Y59" s="45">
        <v>300</v>
      </c>
      <c r="Z59" s="45">
        <v>360</v>
      </c>
      <c r="AA59" s="45">
        <v>280</v>
      </c>
      <c r="AB59" s="45">
        <v>100</v>
      </c>
      <c r="AC59" s="45">
        <v>100</v>
      </c>
      <c r="AD59" s="45">
        <v>20</v>
      </c>
      <c r="AE59" s="45">
        <v>0</v>
      </c>
      <c r="AF59" s="45">
        <v>0</v>
      </c>
      <c r="AG59" s="52">
        <v>456</v>
      </c>
      <c r="AH59" s="47">
        <f t="shared" si="2"/>
        <v>400</v>
      </c>
      <c r="AI59" s="48">
        <f t="shared" si="3"/>
        <v>0</v>
      </c>
      <c r="AK59" s="50"/>
    </row>
    <row r="60" spans="1:88" x14ac:dyDescent="0.25">
      <c r="A60" s="64" t="s">
        <v>60</v>
      </c>
      <c r="B60" s="65">
        <v>36</v>
      </c>
      <c r="C60" s="65">
        <v>36</v>
      </c>
      <c r="D60" s="65">
        <v>36</v>
      </c>
      <c r="E60" s="65">
        <v>36</v>
      </c>
      <c r="F60" s="65">
        <v>36</v>
      </c>
      <c r="G60" s="65">
        <v>36</v>
      </c>
      <c r="H60" s="65">
        <v>36</v>
      </c>
      <c r="I60" s="65">
        <v>36</v>
      </c>
      <c r="J60" s="65">
        <v>36</v>
      </c>
      <c r="K60" s="65">
        <v>36</v>
      </c>
      <c r="L60" s="65">
        <v>36</v>
      </c>
      <c r="M60" s="65">
        <v>36</v>
      </c>
      <c r="N60" s="65">
        <v>36</v>
      </c>
      <c r="O60" s="65">
        <v>36</v>
      </c>
      <c r="P60" s="65">
        <v>36</v>
      </c>
      <c r="Q60" s="65">
        <v>36</v>
      </c>
      <c r="R60" s="65">
        <v>36</v>
      </c>
      <c r="S60" s="65">
        <v>36</v>
      </c>
      <c r="T60" s="65">
        <v>36</v>
      </c>
      <c r="U60" s="65">
        <v>36</v>
      </c>
      <c r="V60" s="65">
        <v>36</v>
      </c>
      <c r="W60" s="65">
        <v>36</v>
      </c>
      <c r="X60" s="65">
        <v>36</v>
      </c>
      <c r="Y60" s="65">
        <v>36</v>
      </c>
      <c r="Z60" s="65">
        <v>36</v>
      </c>
      <c r="AA60" s="65">
        <v>36</v>
      </c>
      <c r="AB60" s="65">
        <v>36</v>
      </c>
      <c r="AC60" s="65">
        <v>36</v>
      </c>
      <c r="AD60" s="65">
        <v>36</v>
      </c>
      <c r="AE60" s="65">
        <v>36</v>
      </c>
      <c r="AF60" s="65">
        <v>36</v>
      </c>
      <c r="AG60" s="55">
        <v>60</v>
      </c>
      <c r="AH60" s="47">
        <f t="shared" si="2"/>
        <v>36</v>
      </c>
      <c r="AI60" s="48">
        <f t="shared" si="3"/>
        <v>36</v>
      </c>
      <c r="AK60" s="50"/>
    </row>
    <row r="61" spans="1:88" ht="15.75" thickBot="1" x14ac:dyDescent="0.3">
      <c r="A61" s="66" t="s">
        <v>61</v>
      </c>
      <c r="B61" s="67">
        <v>10.199999999999999</v>
      </c>
      <c r="C61" s="67">
        <v>10.199999999999999</v>
      </c>
      <c r="D61" s="67">
        <v>10.199999999999999</v>
      </c>
      <c r="E61" s="67">
        <v>10.199999999999999</v>
      </c>
      <c r="F61" s="67">
        <v>10.199999999999999</v>
      </c>
      <c r="G61" s="67">
        <v>10.199999999999999</v>
      </c>
      <c r="H61" s="67">
        <v>10.199999999999999</v>
      </c>
      <c r="I61" s="67">
        <v>10.199999999999999</v>
      </c>
      <c r="J61" s="67">
        <v>10.3</v>
      </c>
      <c r="K61" s="67">
        <v>10.3</v>
      </c>
      <c r="L61" s="67">
        <v>10.199999999999999</v>
      </c>
      <c r="M61" s="67">
        <v>10.199999999999999</v>
      </c>
      <c r="N61" s="67">
        <v>10.199999999999999</v>
      </c>
      <c r="O61" s="67">
        <v>10.199999999999999</v>
      </c>
      <c r="P61" s="67">
        <v>10.199999999999999</v>
      </c>
      <c r="Q61" s="67">
        <v>10.199999999999999</v>
      </c>
      <c r="R61" s="67">
        <v>10.199999999999999</v>
      </c>
      <c r="S61" s="67">
        <v>10.199999999999999</v>
      </c>
      <c r="T61" s="67">
        <v>10.199999999999999</v>
      </c>
      <c r="U61" s="67">
        <v>10.199999999999999</v>
      </c>
      <c r="V61" s="67">
        <v>10.199999999999999</v>
      </c>
      <c r="W61" s="67">
        <v>10.199999999999999</v>
      </c>
      <c r="X61" s="67">
        <v>15</v>
      </c>
      <c r="Y61" s="67">
        <v>15.2</v>
      </c>
      <c r="Z61" s="67">
        <v>15.2</v>
      </c>
      <c r="AA61" s="67">
        <v>15.2</v>
      </c>
      <c r="AB61" s="67">
        <v>15.2</v>
      </c>
      <c r="AC61" s="67">
        <v>15.2</v>
      </c>
      <c r="AD61" s="67">
        <v>15.2</v>
      </c>
      <c r="AE61" s="67">
        <v>15.2</v>
      </c>
      <c r="AF61" s="67">
        <v>15.2</v>
      </c>
      <c r="AG61" s="68">
        <v>22.1</v>
      </c>
      <c r="AH61" s="47">
        <f t="shared" si="2"/>
        <v>15.2</v>
      </c>
      <c r="AI61" s="48">
        <f t="shared" si="3"/>
        <v>10.199999999999999</v>
      </c>
      <c r="AK61" s="50"/>
    </row>
    <row r="62" spans="1:88" ht="15.75" thickBot="1" x14ac:dyDescent="0.3">
      <c r="A62" s="69" t="s">
        <v>62</v>
      </c>
      <c r="B62" s="60">
        <f t="shared" ref="B62:D62" si="11">SUM(B59:B61)</f>
        <v>46.2</v>
      </c>
      <c r="C62" s="60">
        <f t="shared" si="11"/>
        <v>46.2</v>
      </c>
      <c r="D62" s="60">
        <f t="shared" si="11"/>
        <v>46.2</v>
      </c>
      <c r="E62" s="60">
        <f t="shared" ref="E62:AG62" si="12">SUM(E59:E61)</f>
        <v>46.2</v>
      </c>
      <c r="F62" s="60">
        <f t="shared" si="12"/>
        <v>46.2</v>
      </c>
      <c r="G62" s="60">
        <f t="shared" si="12"/>
        <v>46.2</v>
      </c>
      <c r="H62" s="60">
        <f t="shared" si="12"/>
        <v>46.2</v>
      </c>
      <c r="I62" s="60">
        <f t="shared" si="12"/>
        <v>46.2</v>
      </c>
      <c r="J62" s="60">
        <f t="shared" si="12"/>
        <v>46.3</v>
      </c>
      <c r="K62" s="60">
        <f t="shared" si="12"/>
        <v>226.3</v>
      </c>
      <c r="L62" s="60">
        <f t="shared" si="12"/>
        <v>346.2</v>
      </c>
      <c r="M62" s="60">
        <f t="shared" si="12"/>
        <v>446.2</v>
      </c>
      <c r="N62" s="60">
        <f t="shared" si="12"/>
        <v>426.2</v>
      </c>
      <c r="O62" s="60">
        <f t="shared" si="12"/>
        <v>246.2</v>
      </c>
      <c r="P62" s="60">
        <f t="shared" si="12"/>
        <v>106.2</v>
      </c>
      <c r="Q62" s="60">
        <f t="shared" si="12"/>
        <v>86.2</v>
      </c>
      <c r="R62" s="60">
        <f t="shared" si="12"/>
        <v>46.2</v>
      </c>
      <c r="S62" s="60">
        <f t="shared" si="12"/>
        <v>46.2</v>
      </c>
      <c r="T62" s="60">
        <f t="shared" si="12"/>
        <v>46.2</v>
      </c>
      <c r="U62" s="60">
        <f t="shared" si="12"/>
        <v>46.2</v>
      </c>
      <c r="V62" s="60">
        <f t="shared" si="12"/>
        <v>46.2</v>
      </c>
      <c r="W62" s="60">
        <f t="shared" si="12"/>
        <v>166.2</v>
      </c>
      <c r="X62" s="60">
        <f t="shared" si="12"/>
        <v>251</v>
      </c>
      <c r="Y62" s="60">
        <f>SUM(Y59:Y61)</f>
        <v>351.2</v>
      </c>
      <c r="Z62" s="60">
        <f>SUM(Z59:Z61)</f>
        <v>411.2</v>
      </c>
      <c r="AA62" s="60">
        <f t="shared" si="12"/>
        <v>331.2</v>
      </c>
      <c r="AB62" s="60">
        <f t="shared" si="12"/>
        <v>151.19999999999999</v>
      </c>
      <c r="AC62" s="60">
        <f t="shared" ref="AC62:AD62" si="13">SUM(AC59:AC61)</f>
        <v>151.19999999999999</v>
      </c>
      <c r="AD62" s="60">
        <f t="shared" si="13"/>
        <v>71.2</v>
      </c>
      <c r="AE62" s="60">
        <f t="shared" ref="AE62:AF62" si="14">SUM(AE59:AE61)</f>
        <v>51.2</v>
      </c>
      <c r="AF62" s="60">
        <f t="shared" si="14"/>
        <v>51.2</v>
      </c>
      <c r="AG62" s="61">
        <f t="shared" si="12"/>
        <v>538.1</v>
      </c>
      <c r="AH62" s="47">
        <f t="shared" si="2"/>
        <v>446.2</v>
      </c>
      <c r="AI62" s="48">
        <f t="shared" si="3"/>
        <v>46.2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30.7</v>
      </c>
      <c r="I63" s="45">
        <v>66.2</v>
      </c>
      <c r="J63" s="45">
        <v>141</v>
      </c>
      <c r="K63" s="45">
        <v>144.1</v>
      </c>
      <c r="L63" s="45">
        <v>144.19999999999999</v>
      </c>
      <c r="M63" s="45">
        <v>144.4</v>
      </c>
      <c r="N63" s="45">
        <v>132</v>
      </c>
      <c r="O63" s="45">
        <v>100</v>
      </c>
      <c r="P63" s="45">
        <v>60.8</v>
      </c>
      <c r="Q63" s="45">
        <v>61.1</v>
      </c>
      <c r="R63" s="45">
        <v>61.1</v>
      </c>
      <c r="S63" s="45">
        <v>48.7</v>
      </c>
      <c r="T63" s="45">
        <v>48.6</v>
      </c>
      <c r="U63" s="45">
        <v>48.6</v>
      </c>
      <c r="V63" s="45">
        <v>48.6</v>
      </c>
      <c r="W63" s="45">
        <v>85.6</v>
      </c>
      <c r="X63" s="45">
        <v>120.7</v>
      </c>
      <c r="Y63" s="45">
        <v>141.9</v>
      </c>
      <c r="Z63" s="45">
        <v>141.9</v>
      </c>
      <c r="AA63" s="45">
        <v>125.4</v>
      </c>
      <c r="AB63" s="45">
        <v>122</v>
      </c>
      <c r="AC63" s="45">
        <v>80</v>
      </c>
      <c r="AD63" s="45">
        <v>60</v>
      </c>
      <c r="AE63" s="45">
        <v>60</v>
      </c>
      <c r="AF63" s="45">
        <v>0</v>
      </c>
      <c r="AG63" s="52">
        <v>144</v>
      </c>
      <c r="AH63" s="47">
        <f t="shared" si="2"/>
        <v>144.4</v>
      </c>
      <c r="AI63" s="48">
        <f t="shared" si="3"/>
        <v>0</v>
      </c>
      <c r="AK63" s="50"/>
    </row>
    <row r="64" spans="1:88" x14ac:dyDescent="0.25">
      <c r="A64" s="54" t="s">
        <v>64</v>
      </c>
      <c r="B64" s="45">
        <v>0</v>
      </c>
      <c r="C64" s="45">
        <v>0</v>
      </c>
      <c r="D64" s="45">
        <v>0</v>
      </c>
      <c r="E64" s="65">
        <v>0</v>
      </c>
      <c r="F64" s="65">
        <v>0</v>
      </c>
      <c r="G64" s="65">
        <v>24.7</v>
      </c>
      <c r="H64" s="65">
        <v>24.9</v>
      </c>
      <c r="I64" s="65">
        <v>60</v>
      </c>
      <c r="J64" s="65">
        <v>70.2</v>
      </c>
      <c r="K64" s="65">
        <v>70</v>
      </c>
      <c r="L64" s="65">
        <v>70</v>
      </c>
      <c r="M64" s="65">
        <v>70</v>
      </c>
      <c r="N64" s="65">
        <v>50</v>
      </c>
      <c r="O64" s="65">
        <v>35</v>
      </c>
      <c r="P64" s="65">
        <v>25</v>
      </c>
      <c r="Q64" s="65">
        <v>46</v>
      </c>
      <c r="R64" s="65">
        <v>46</v>
      </c>
      <c r="S64" s="45">
        <v>30</v>
      </c>
      <c r="T64" s="45">
        <v>25</v>
      </c>
      <c r="U64" s="45">
        <v>0</v>
      </c>
      <c r="V64" s="45">
        <v>0</v>
      </c>
      <c r="W64" s="45">
        <v>35</v>
      </c>
      <c r="X64" s="45">
        <v>50</v>
      </c>
      <c r="Y64" s="45">
        <v>69</v>
      </c>
      <c r="Z64" s="45">
        <v>69</v>
      </c>
      <c r="AA64" s="45">
        <v>69</v>
      </c>
      <c r="AB64" s="45">
        <v>69</v>
      </c>
      <c r="AC64" s="45">
        <v>69</v>
      </c>
      <c r="AD64" s="45">
        <v>50</v>
      </c>
      <c r="AE64" s="45">
        <v>35</v>
      </c>
      <c r="AF64" s="45">
        <v>0</v>
      </c>
      <c r="AG64" s="55">
        <v>70</v>
      </c>
      <c r="AH64" s="47">
        <f t="shared" si="2"/>
        <v>70.2</v>
      </c>
      <c r="AI64" s="48">
        <f t="shared" si="3"/>
        <v>0</v>
      </c>
      <c r="AK64" s="50"/>
    </row>
    <row r="65" spans="1:41" x14ac:dyDescent="0.25">
      <c r="A65" s="54" t="s">
        <v>65</v>
      </c>
      <c r="B65" s="45">
        <v>0</v>
      </c>
      <c r="C65" s="45">
        <v>0</v>
      </c>
      <c r="D65" s="45">
        <v>0</v>
      </c>
      <c r="E65" s="65">
        <v>0</v>
      </c>
      <c r="F65" s="65">
        <v>0</v>
      </c>
      <c r="G65" s="65">
        <v>20.3</v>
      </c>
      <c r="H65" s="65">
        <v>34.700000000000003</v>
      </c>
      <c r="I65" s="65">
        <v>46.2</v>
      </c>
      <c r="J65" s="65">
        <v>64.099999999999994</v>
      </c>
      <c r="K65" s="65">
        <v>69</v>
      </c>
      <c r="L65" s="65">
        <v>68.7</v>
      </c>
      <c r="M65" s="65">
        <v>68.099999999999994</v>
      </c>
      <c r="N65" s="65">
        <v>40</v>
      </c>
      <c r="O65" s="65">
        <v>32</v>
      </c>
      <c r="P65" s="65">
        <v>16</v>
      </c>
      <c r="Q65" s="65">
        <v>17</v>
      </c>
      <c r="R65" s="65">
        <v>17</v>
      </c>
      <c r="S65" s="45">
        <v>16.3</v>
      </c>
      <c r="T65" s="45">
        <v>16.3</v>
      </c>
      <c r="U65" s="45">
        <v>16.3</v>
      </c>
      <c r="V65" s="45">
        <v>16.3</v>
      </c>
      <c r="W65" s="45">
        <v>47</v>
      </c>
      <c r="X65" s="45">
        <v>69.400000000000006</v>
      </c>
      <c r="Y65" s="45">
        <v>67.900000000000006</v>
      </c>
      <c r="Z65" s="45">
        <v>67.900000000000006</v>
      </c>
      <c r="AA65" s="45">
        <v>68.400000000000006</v>
      </c>
      <c r="AB65" s="45">
        <v>68.400000000000006</v>
      </c>
      <c r="AC65" s="45">
        <v>68.400000000000006</v>
      </c>
      <c r="AD65" s="45">
        <v>50</v>
      </c>
      <c r="AE65" s="45">
        <v>70</v>
      </c>
      <c r="AF65" s="45">
        <v>35</v>
      </c>
      <c r="AG65" s="55">
        <v>69</v>
      </c>
      <c r="AH65" s="47">
        <f t="shared" si="2"/>
        <v>70</v>
      </c>
      <c r="AI65" s="48">
        <f t="shared" si="3"/>
        <v>0</v>
      </c>
      <c r="AK65" s="50"/>
    </row>
    <row r="66" spans="1:41" x14ac:dyDescent="0.25">
      <c r="A66" s="54" t="s">
        <v>66</v>
      </c>
      <c r="B66" s="45">
        <v>42.3</v>
      </c>
      <c r="C66" s="45">
        <v>42.3</v>
      </c>
      <c r="D66" s="45">
        <v>42.3</v>
      </c>
      <c r="E66" s="65">
        <v>42.3</v>
      </c>
      <c r="F66" s="65">
        <v>42.3</v>
      </c>
      <c r="G66" s="65">
        <v>44.3</v>
      </c>
      <c r="H66" s="65">
        <v>44.3</v>
      </c>
      <c r="I66" s="65">
        <v>44.3</v>
      </c>
      <c r="J66" s="65">
        <v>44.3</v>
      </c>
      <c r="K66" s="57">
        <v>44.3</v>
      </c>
      <c r="L66" s="57">
        <v>44.3</v>
      </c>
      <c r="M66" s="65">
        <v>44.5</v>
      </c>
      <c r="N66" s="65">
        <v>44.5</v>
      </c>
      <c r="O66" s="65">
        <v>44.5</v>
      </c>
      <c r="P66" s="65">
        <v>44.5</v>
      </c>
      <c r="Q66" s="65">
        <v>44</v>
      </c>
      <c r="R66" s="65">
        <v>44</v>
      </c>
      <c r="S66" s="45">
        <v>43</v>
      </c>
      <c r="T66" s="45">
        <v>42</v>
      </c>
      <c r="U66" s="45">
        <v>42</v>
      </c>
      <c r="V66" s="45">
        <v>41.5</v>
      </c>
      <c r="W66" s="45">
        <v>41.3</v>
      </c>
      <c r="X66" s="45">
        <v>41.1</v>
      </c>
      <c r="Y66" s="45">
        <v>41.1</v>
      </c>
      <c r="Z66" s="45">
        <v>41.1</v>
      </c>
      <c r="AA66" s="45">
        <v>42.3</v>
      </c>
      <c r="AB66" s="45">
        <v>42.3</v>
      </c>
      <c r="AC66" s="45">
        <v>42.3</v>
      </c>
      <c r="AD66" s="45">
        <v>42.3</v>
      </c>
      <c r="AE66" s="45">
        <v>42.3</v>
      </c>
      <c r="AF66" s="45">
        <v>42.3</v>
      </c>
      <c r="AG66" s="55">
        <v>60</v>
      </c>
      <c r="AH66" s="47">
        <f t="shared" si="2"/>
        <v>44.5</v>
      </c>
      <c r="AI66" s="48">
        <f t="shared" si="3"/>
        <v>41.1</v>
      </c>
      <c r="AK66" s="50"/>
    </row>
    <row r="67" spans="1:41" x14ac:dyDescent="0.25">
      <c r="A67" s="54" t="s">
        <v>67</v>
      </c>
      <c r="B67" s="45">
        <v>0</v>
      </c>
      <c r="C67" s="45">
        <v>0</v>
      </c>
      <c r="D67" s="45">
        <v>0</v>
      </c>
      <c r="E67" s="65">
        <v>0</v>
      </c>
      <c r="F67" s="65">
        <v>0</v>
      </c>
      <c r="G67" s="65">
        <v>0</v>
      </c>
      <c r="H67" s="65">
        <v>0</v>
      </c>
      <c r="I67" s="65">
        <v>15</v>
      </c>
      <c r="J67" s="65">
        <v>15</v>
      </c>
      <c r="K67" s="57">
        <v>15</v>
      </c>
      <c r="L67" s="57">
        <v>15</v>
      </c>
      <c r="M67" s="65">
        <v>23</v>
      </c>
      <c r="N67" s="65">
        <v>23</v>
      </c>
      <c r="O67" s="65">
        <v>23</v>
      </c>
      <c r="P67" s="65">
        <v>15</v>
      </c>
      <c r="Q67" s="65">
        <v>10</v>
      </c>
      <c r="R67" s="65">
        <v>10</v>
      </c>
      <c r="S67" s="45">
        <v>0</v>
      </c>
      <c r="T67" s="45">
        <v>0</v>
      </c>
      <c r="U67" s="45">
        <v>0</v>
      </c>
      <c r="V67" s="45">
        <v>10</v>
      </c>
      <c r="W67" s="45">
        <v>15</v>
      </c>
      <c r="X67" s="45">
        <v>20</v>
      </c>
      <c r="Y67" s="45">
        <v>29</v>
      </c>
      <c r="Z67" s="45">
        <v>29</v>
      </c>
      <c r="AA67" s="45">
        <v>29</v>
      </c>
      <c r="AB67" s="45">
        <v>23</v>
      </c>
      <c r="AC67" s="45">
        <v>23</v>
      </c>
      <c r="AD67" s="45">
        <v>23</v>
      </c>
      <c r="AE67" s="45">
        <v>0</v>
      </c>
      <c r="AF67" s="45">
        <v>0</v>
      </c>
      <c r="AG67" s="55">
        <v>30</v>
      </c>
      <c r="AH67" s="47">
        <f t="shared" si="2"/>
        <v>29</v>
      </c>
      <c r="AI67" s="48">
        <f t="shared" si="3"/>
        <v>0</v>
      </c>
      <c r="AK67" s="50"/>
    </row>
    <row r="68" spans="1:41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65">
        <v>0.2</v>
      </c>
      <c r="M68" s="65">
        <v>0.6</v>
      </c>
      <c r="N68" s="65">
        <v>8</v>
      </c>
      <c r="O68" s="65">
        <v>10.1</v>
      </c>
      <c r="P68" s="65">
        <v>12.3</v>
      </c>
      <c r="Q68" s="65">
        <v>15</v>
      </c>
      <c r="R68" s="65">
        <v>15</v>
      </c>
      <c r="S68" s="45">
        <v>12</v>
      </c>
      <c r="T68" s="45">
        <v>8</v>
      </c>
      <c r="U68" s="45">
        <v>4</v>
      </c>
      <c r="V68" s="45">
        <v>0</v>
      </c>
      <c r="W68" s="45">
        <v>0</v>
      </c>
      <c r="X68" s="45">
        <v>0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55">
        <v>25</v>
      </c>
      <c r="AH68" s="47">
        <f t="shared" si="2"/>
        <v>15</v>
      </c>
      <c r="AI68" s="48">
        <f t="shared" si="3"/>
        <v>0</v>
      </c>
      <c r="AK68" s="50"/>
    </row>
    <row r="69" spans="1:41" x14ac:dyDescent="0.25">
      <c r="A69" s="54" t="s">
        <v>69</v>
      </c>
      <c r="B69" s="65">
        <v>15</v>
      </c>
      <c r="C69" s="65">
        <v>15</v>
      </c>
      <c r="D69" s="65">
        <v>15</v>
      </c>
      <c r="E69" s="65">
        <v>15</v>
      </c>
      <c r="F69" s="65">
        <v>15</v>
      </c>
      <c r="G69" s="65">
        <v>15</v>
      </c>
      <c r="H69" s="65">
        <v>15</v>
      </c>
      <c r="I69" s="65">
        <v>15</v>
      </c>
      <c r="J69" s="65">
        <v>15</v>
      </c>
      <c r="K69" s="65">
        <v>15</v>
      </c>
      <c r="L69" s="65">
        <v>15</v>
      </c>
      <c r="M69" s="65">
        <v>15</v>
      </c>
      <c r="N69" s="65">
        <v>15</v>
      </c>
      <c r="O69" s="65">
        <v>15</v>
      </c>
      <c r="P69" s="65">
        <v>15</v>
      </c>
      <c r="Q69" s="65">
        <v>15</v>
      </c>
      <c r="R69" s="65">
        <v>15</v>
      </c>
      <c r="S69" s="65">
        <v>15</v>
      </c>
      <c r="T69" s="65">
        <v>15</v>
      </c>
      <c r="U69" s="65">
        <v>15</v>
      </c>
      <c r="V69" s="65">
        <v>15</v>
      </c>
      <c r="W69" s="65">
        <v>15</v>
      </c>
      <c r="X69" s="65">
        <v>15</v>
      </c>
      <c r="Y69" s="65">
        <v>15</v>
      </c>
      <c r="Z69" s="65">
        <v>15</v>
      </c>
      <c r="AA69" s="65">
        <v>15</v>
      </c>
      <c r="AB69" s="65">
        <v>15</v>
      </c>
      <c r="AC69" s="65">
        <v>15</v>
      </c>
      <c r="AD69" s="65">
        <v>15</v>
      </c>
      <c r="AE69" s="65">
        <v>15</v>
      </c>
      <c r="AF69" s="65">
        <v>15</v>
      </c>
      <c r="AG69" s="55">
        <v>24</v>
      </c>
      <c r="AH69" s="47">
        <f t="shared" si="2"/>
        <v>15</v>
      </c>
      <c r="AI69" s="48">
        <f t="shared" si="3"/>
        <v>15</v>
      </c>
      <c r="AK69" s="50"/>
    </row>
    <row r="70" spans="1:41" x14ac:dyDescent="0.25">
      <c r="A70" s="54" t="s">
        <v>70</v>
      </c>
      <c r="B70" s="65">
        <v>3.6</v>
      </c>
      <c r="C70" s="65">
        <v>3.6</v>
      </c>
      <c r="D70" s="65">
        <v>3.6</v>
      </c>
      <c r="E70" s="65">
        <v>3.6</v>
      </c>
      <c r="F70" s="65">
        <v>3.6</v>
      </c>
      <c r="G70" s="65">
        <v>3.6</v>
      </c>
      <c r="H70" s="65">
        <v>3.6</v>
      </c>
      <c r="I70" s="65">
        <v>3.6</v>
      </c>
      <c r="J70" s="65">
        <v>3.6</v>
      </c>
      <c r="K70" s="65">
        <v>3.6</v>
      </c>
      <c r="L70" s="65">
        <v>3.6</v>
      </c>
      <c r="M70" s="65">
        <v>3.6</v>
      </c>
      <c r="N70" s="65">
        <v>3.6</v>
      </c>
      <c r="O70" s="65">
        <v>3.6</v>
      </c>
      <c r="P70" s="65">
        <v>3.6</v>
      </c>
      <c r="Q70" s="65">
        <v>3.6</v>
      </c>
      <c r="R70" s="65">
        <v>3.6</v>
      </c>
      <c r="S70" s="65">
        <v>3.6</v>
      </c>
      <c r="T70" s="65">
        <v>3.6</v>
      </c>
      <c r="U70" s="65">
        <v>3.6</v>
      </c>
      <c r="V70" s="65">
        <v>3.6</v>
      </c>
      <c r="W70" s="65">
        <v>3.6</v>
      </c>
      <c r="X70" s="65">
        <v>3.6</v>
      </c>
      <c r="Y70" s="65">
        <v>3.6</v>
      </c>
      <c r="Z70" s="65">
        <v>3.6</v>
      </c>
      <c r="AA70" s="65">
        <v>3.6</v>
      </c>
      <c r="AB70" s="65">
        <v>3.6</v>
      </c>
      <c r="AC70" s="65">
        <v>3.6</v>
      </c>
      <c r="AD70" s="65">
        <v>3.6</v>
      </c>
      <c r="AE70" s="65">
        <v>3.6</v>
      </c>
      <c r="AF70" s="65">
        <v>3.6</v>
      </c>
      <c r="AG70" s="55">
        <v>15</v>
      </c>
      <c r="AH70" s="47">
        <f t="shared" si="2"/>
        <v>3.6</v>
      </c>
      <c r="AI70" s="48">
        <f t="shared" si="3"/>
        <v>3.6</v>
      </c>
      <c r="AK70" s="50"/>
      <c r="AL70" s="70"/>
      <c r="AO70" s="70"/>
    </row>
    <row r="71" spans="1:41" s="70" customFormat="1" x14ac:dyDescent="0.25">
      <c r="A71" s="54" t="s">
        <v>71</v>
      </c>
      <c r="B71" s="65">
        <v>11.3</v>
      </c>
      <c r="C71" s="65">
        <v>11.1</v>
      </c>
      <c r="D71" s="65">
        <v>11.3</v>
      </c>
      <c r="E71" s="65">
        <v>11.3</v>
      </c>
      <c r="F71" s="65">
        <v>11.3</v>
      </c>
      <c r="G71" s="65">
        <v>11.3</v>
      </c>
      <c r="H71" s="65">
        <v>11.3</v>
      </c>
      <c r="I71" s="65">
        <v>11.3</v>
      </c>
      <c r="J71" s="65">
        <v>11.3</v>
      </c>
      <c r="K71" s="65">
        <v>11.3</v>
      </c>
      <c r="L71" s="65">
        <v>11.3</v>
      </c>
      <c r="M71" s="65">
        <v>11.3</v>
      </c>
      <c r="N71" s="65">
        <v>11.3</v>
      </c>
      <c r="O71" s="65">
        <v>11.3</v>
      </c>
      <c r="P71" s="65">
        <v>11.3</v>
      </c>
      <c r="Q71" s="65">
        <v>11.3</v>
      </c>
      <c r="R71" s="65">
        <v>11.3</v>
      </c>
      <c r="S71" s="65">
        <v>11.3</v>
      </c>
      <c r="T71" s="65">
        <v>11.3</v>
      </c>
      <c r="U71" s="65">
        <v>11.3</v>
      </c>
      <c r="V71" s="65">
        <v>11.3</v>
      </c>
      <c r="W71" s="65">
        <v>10.199999999999999</v>
      </c>
      <c r="X71" s="65">
        <v>10.199999999999999</v>
      </c>
      <c r="Y71" s="65">
        <v>10.199999999999999</v>
      </c>
      <c r="Z71" s="65">
        <v>10.199999999999999</v>
      </c>
      <c r="AA71" s="65">
        <v>10.199999999999999</v>
      </c>
      <c r="AB71" s="65">
        <v>10.199999999999999</v>
      </c>
      <c r="AC71" s="65">
        <v>10.199999999999999</v>
      </c>
      <c r="AD71" s="65">
        <v>10.199999999999999</v>
      </c>
      <c r="AE71" s="65">
        <v>10.199999999999999</v>
      </c>
      <c r="AF71" s="65">
        <v>10.199999999999999</v>
      </c>
      <c r="AG71" s="55">
        <v>14.1</v>
      </c>
      <c r="AH71" s="47">
        <f t="shared" si="2"/>
        <v>11.3</v>
      </c>
      <c r="AI71" s="48">
        <f t="shared" si="3"/>
        <v>10.199999999999999</v>
      </c>
      <c r="AJ71" s="1"/>
      <c r="AK71" s="50"/>
      <c r="AL71" s="1"/>
      <c r="AM71" s="1"/>
      <c r="AN71" s="1"/>
      <c r="AO71" s="1"/>
    </row>
    <row r="72" spans="1:41" x14ac:dyDescent="0.25">
      <c r="A72" s="71" t="s">
        <v>72</v>
      </c>
      <c r="B72" s="65">
        <v>5.0999999999999996</v>
      </c>
      <c r="C72" s="65">
        <v>5.7</v>
      </c>
      <c r="D72" s="65">
        <v>5.0999999999999996</v>
      </c>
      <c r="E72" s="65">
        <v>5.0999999999999996</v>
      </c>
      <c r="F72" s="65">
        <v>5.0999999999999996</v>
      </c>
      <c r="G72" s="65">
        <v>5.0999999999999996</v>
      </c>
      <c r="H72" s="65">
        <v>5.0999999999999996</v>
      </c>
      <c r="I72" s="65">
        <v>5.0999999999999996</v>
      </c>
      <c r="J72" s="65">
        <v>5.0999999999999996</v>
      </c>
      <c r="K72" s="65">
        <v>5.0999999999999996</v>
      </c>
      <c r="L72" s="65">
        <v>5.0999999999999996</v>
      </c>
      <c r="M72" s="65">
        <v>5.0999999999999996</v>
      </c>
      <c r="N72" s="65">
        <v>5.0999999999999996</v>
      </c>
      <c r="O72" s="65">
        <v>5.0999999999999996</v>
      </c>
      <c r="P72" s="65">
        <v>5.0999999999999996</v>
      </c>
      <c r="Q72" s="65">
        <v>5.0999999999999996</v>
      </c>
      <c r="R72" s="65">
        <v>5.0999999999999996</v>
      </c>
      <c r="S72" s="65">
        <v>5.0999999999999996</v>
      </c>
      <c r="T72" s="65">
        <v>5.0999999999999996</v>
      </c>
      <c r="U72" s="65">
        <v>5.0999999999999996</v>
      </c>
      <c r="V72" s="65">
        <v>5.0999999999999996</v>
      </c>
      <c r="W72" s="65">
        <v>3.3</v>
      </c>
      <c r="X72" s="65">
        <v>3.3</v>
      </c>
      <c r="Y72" s="65">
        <v>3.3</v>
      </c>
      <c r="Z72" s="65">
        <v>3.3</v>
      </c>
      <c r="AA72" s="65">
        <v>3.3</v>
      </c>
      <c r="AB72" s="65">
        <v>3.3</v>
      </c>
      <c r="AC72" s="65">
        <v>3.3</v>
      </c>
      <c r="AD72" s="65">
        <v>3.3</v>
      </c>
      <c r="AE72" s="65">
        <v>3.3</v>
      </c>
      <c r="AF72" s="65">
        <v>3.3</v>
      </c>
      <c r="AG72" s="55">
        <v>14</v>
      </c>
      <c r="AH72" s="47">
        <f t="shared" si="2"/>
        <v>5.7</v>
      </c>
      <c r="AI72" s="48">
        <f t="shared" si="3"/>
        <v>3.3</v>
      </c>
      <c r="AK72" s="50"/>
    </row>
    <row r="73" spans="1:41" x14ac:dyDescent="0.25">
      <c r="A73" s="54" t="s">
        <v>73</v>
      </c>
      <c r="B73" s="65">
        <v>5</v>
      </c>
      <c r="C73" s="65">
        <v>5</v>
      </c>
      <c r="D73" s="65">
        <v>5</v>
      </c>
      <c r="E73" s="65">
        <v>5</v>
      </c>
      <c r="F73" s="65">
        <v>5</v>
      </c>
      <c r="G73" s="65">
        <v>5</v>
      </c>
      <c r="H73" s="65">
        <v>5</v>
      </c>
      <c r="I73" s="65">
        <v>5</v>
      </c>
      <c r="J73" s="65">
        <v>5</v>
      </c>
      <c r="K73" s="65">
        <v>5</v>
      </c>
      <c r="L73" s="65">
        <v>5</v>
      </c>
      <c r="M73" s="65">
        <v>5</v>
      </c>
      <c r="N73" s="65">
        <v>5</v>
      </c>
      <c r="O73" s="65">
        <v>5</v>
      </c>
      <c r="P73" s="65">
        <v>5</v>
      </c>
      <c r="Q73" s="65">
        <v>5</v>
      </c>
      <c r="R73" s="65">
        <v>5</v>
      </c>
      <c r="S73" s="65">
        <v>5</v>
      </c>
      <c r="T73" s="65">
        <v>5</v>
      </c>
      <c r="U73" s="65">
        <v>5</v>
      </c>
      <c r="V73" s="65">
        <v>5</v>
      </c>
      <c r="W73" s="65">
        <v>5</v>
      </c>
      <c r="X73" s="65">
        <v>5</v>
      </c>
      <c r="Y73" s="65">
        <v>5</v>
      </c>
      <c r="Z73" s="65">
        <v>5</v>
      </c>
      <c r="AA73" s="65">
        <v>5</v>
      </c>
      <c r="AB73" s="65">
        <v>5</v>
      </c>
      <c r="AC73" s="65">
        <v>5</v>
      </c>
      <c r="AD73" s="65">
        <v>5</v>
      </c>
      <c r="AE73" s="65">
        <v>5</v>
      </c>
      <c r="AF73" s="65">
        <v>5</v>
      </c>
      <c r="AG73" s="55">
        <v>10.050000000000001</v>
      </c>
      <c r="AH73" s="47">
        <f t="shared" si="2"/>
        <v>5</v>
      </c>
      <c r="AI73" s="48">
        <f t="shared" si="3"/>
        <v>5</v>
      </c>
      <c r="AK73" s="50"/>
    </row>
    <row r="74" spans="1:41" x14ac:dyDescent="0.25">
      <c r="A74" s="54" t="s">
        <v>74</v>
      </c>
      <c r="B74" s="65">
        <v>2</v>
      </c>
      <c r="C74" s="65">
        <v>2</v>
      </c>
      <c r="D74" s="65">
        <v>2</v>
      </c>
      <c r="E74" s="65">
        <v>2</v>
      </c>
      <c r="F74" s="65">
        <v>2</v>
      </c>
      <c r="G74" s="65">
        <v>2</v>
      </c>
      <c r="H74" s="65">
        <v>2</v>
      </c>
      <c r="I74" s="65">
        <v>2</v>
      </c>
      <c r="J74" s="65">
        <v>2</v>
      </c>
      <c r="K74" s="65">
        <v>2</v>
      </c>
      <c r="L74" s="65">
        <v>2</v>
      </c>
      <c r="M74" s="65">
        <v>2</v>
      </c>
      <c r="N74" s="65">
        <v>2</v>
      </c>
      <c r="O74" s="65">
        <v>2</v>
      </c>
      <c r="P74" s="65">
        <v>2</v>
      </c>
      <c r="Q74" s="65">
        <v>2</v>
      </c>
      <c r="R74" s="65">
        <v>2</v>
      </c>
      <c r="S74" s="65">
        <v>2</v>
      </c>
      <c r="T74" s="65">
        <v>2</v>
      </c>
      <c r="U74" s="65">
        <v>2</v>
      </c>
      <c r="V74" s="65">
        <v>2</v>
      </c>
      <c r="W74" s="65">
        <v>2</v>
      </c>
      <c r="X74" s="65">
        <v>2</v>
      </c>
      <c r="Y74" s="65">
        <v>2</v>
      </c>
      <c r="Z74" s="65">
        <v>2</v>
      </c>
      <c r="AA74" s="65">
        <v>2</v>
      </c>
      <c r="AB74" s="65">
        <v>2</v>
      </c>
      <c r="AC74" s="65">
        <v>2</v>
      </c>
      <c r="AD74" s="65">
        <v>2</v>
      </c>
      <c r="AE74" s="65">
        <v>2</v>
      </c>
      <c r="AF74" s="65">
        <v>2</v>
      </c>
      <c r="AG74" s="55">
        <v>6.2</v>
      </c>
      <c r="AH74" s="47">
        <f t="shared" si="2"/>
        <v>2</v>
      </c>
      <c r="AI74" s="48">
        <f t="shared" si="3"/>
        <v>2</v>
      </c>
      <c r="AK74" s="50"/>
    </row>
    <row r="75" spans="1:41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4.5</v>
      </c>
      <c r="Z75" s="72">
        <v>5.5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2"/>
        <v>5.5</v>
      </c>
      <c r="AI75" s="48">
        <f t="shared" si="3"/>
        <v>3.54</v>
      </c>
      <c r="AK75" s="50"/>
    </row>
    <row r="76" spans="1:41" ht="15.75" thickBot="1" x14ac:dyDescent="0.3">
      <c r="A76" s="74" t="s">
        <v>76</v>
      </c>
      <c r="B76" s="60">
        <f t="shared" ref="B76:D76" si="15">SUM(B63:B75)</f>
        <v>87.84</v>
      </c>
      <c r="C76" s="60">
        <f t="shared" si="15"/>
        <v>88.240000000000009</v>
      </c>
      <c r="D76" s="60">
        <f t="shared" si="15"/>
        <v>87.84</v>
      </c>
      <c r="E76" s="60">
        <f t="shared" ref="E76:AG76" si="16">SUM(E63:E75)</f>
        <v>87.84</v>
      </c>
      <c r="F76" s="60">
        <f t="shared" si="16"/>
        <v>87.84</v>
      </c>
      <c r="G76" s="60">
        <f t="shared" si="16"/>
        <v>134.83999999999997</v>
      </c>
      <c r="H76" s="60">
        <f t="shared" si="16"/>
        <v>180.14</v>
      </c>
      <c r="I76" s="60">
        <f t="shared" si="16"/>
        <v>277.24</v>
      </c>
      <c r="J76" s="60">
        <f t="shared" si="16"/>
        <v>380.14000000000004</v>
      </c>
      <c r="K76" s="60">
        <f t="shared" si="16"/>
        <v>387.94000000000011</v>
      </c>
      <c r="L76" s="60">
        <f t="shared" si="16"/>
        <v>387.94000000000005</v>
      </c>
      <c r="M76" s="60">
        <f t="shared" si="16"/>
        <v>396.1400000000001</v>
      </c>
      <c r="N76" s="60">
        <f t="shared" si="16"/>
        <v>343.04000000000008</v>
      </c>
      <c r="O76" s="60">
        <f t="shared" si="16"/>
        <v>290.1400000000001</v>
      </c>
      <c r="P76" s="60">
        <f t="shared" si="16"/>
        <v>219.14000000000001</v>
      </c>
      <c r="Q76" s="60">
        <f t="shared" si="16"/>
        <v>238.64</v>
      </c>
      <c r="R76" s="60">
        <f t="shared" si="16"/>
        <v>238.64</v>
      </c>
      <c r="S76" s="60">
        <f t="shared" si="16"/>
        <v>195.54</v>
      </c>
      <c r="T76" s="60">
        <f t="shared" si="16"/>
        <v>185.43999999999997</v>
      </c>
      <c r="U76" s="60">
        <f t="shared" si="16"/>
        <v>156.44</v>
      </c>
      <c r="V76" s="60">
        <f t="shared" si="16"/>
        <v>161.94</v>
      </c>
      <c r="W76" s="60">
        <f t="shared" si="16"/>
        <v>266.54000000000002</v>
      </c>
      <c r="X76" s="60">
        <f t="shared" si="16"/>
        <v>343.84000000000003</v>
      </c>
      <c r="Y76" s="60">
        <f>SUM(Y63:Y75)</f>
        <v>392.50000000000006</v>
      </c>
      <c r="Z76" s="60">
        <f>SUM(Z63:Z75)</f>
        <v>393.50000000000006</v>
      </c>
      <c r="AA76" s="60">
        <f t="shared" si="16"/>
        <v>376.74000000000007</v>
      </c>
      <c r="AB76" s="60">
        <f t="shared" si="16"/>
        <v>367.34000000000003</v>
      </c>
      <c r="AC76" s="60">
        <f t="shared" ref="AC76:AD76" si="17">SUM(AC63:AC75)</f>
        <v>325.34000000000003</v>
      </c>
      <c r="AD76" s="60">
        <f t="shared" si="17"/>
        <v>267.94</v>
      </c>
      <c r="AE76" s="60">
        <f t="shared" ref="AE76:AF76" si="18">SUM(AE63:AE75)</f>
        <v>249.94</v>
      </c>
      <c r="AF76" s="60">
        <f t="shared" si="18"/>
        <v>119.94</v>
      </c>
      <c r="AG76" s="61">
        <f t="shared" si="16"/>
        <v>489.91</v>
      </c>
      <c r="AH76" s="47">
        <f t="shared" si="2"/>
        <v>396.1400000000001</v>
      </c>
      <c r="AI76" s="48">
        <f t="shared" si="3"/>
        <v>87.84</v>
      </c>
      <c r="AK76" s="50"/>
    </row>
    <row r="77" spans="1:41" x14ac:dyDescent="0.25">
      <c r="A77" s="44" t="s">
        <v>77</v>
      </c>
      <c r="B77" s="45">
        <v>0</v>
      </c>
      <c r="C77" s="45">
        <v>0</v>
      </c>
      <c r="D77" s="45">
        <v>0</v>
      </c>
      <c r="E77" s="45"/>
      <c r="F77" s="45"/>
      <c r="G77" s="45"/>
      <c r="H77" s="45"/>
      <c r="I77" s="45"/>
      <c r="J77" s="45"/>
      <c r="K77" s="45">
        <v>14</v>
      </c>
      <c r="L77" s="45">
        <v>19.5</v>
      </c>
      <c r="M77" s="45">
        <v>10.199999999999999</v>
      </c>
      <c r="N77" s="45">
        <v>0</v>
      </c>
      <c r="O77" s="45">
        <v>0</v>
      </c>
      <c r="P77" s="45">
        <v>0</v>
      </c>
      <c r="Q77" s="45">
        <v>14</v>
      </c>
      <c r="R77" s="45">
        <v>14</v>
      </c>
      <c r="S77" s="45">
        <v>14</v>
      </c>
      <c r="T77" s="45">
        <v>0</v>
      </c>
      <c r="U77" s="45">
        <v>0</v>
      </c>
      <c r="V77" s="45">
        <v>0</v>
      </c>
      <c r="W77" s="45">
        <v>13.1</v>
      </c>
      <c r="X77" s="45">
        <v>26</v>
      </c>
      <c r="Y77" s="45">
        <v>29.7</v>
      </c>
      <c r="Z77" s="45">
        <v>29</v>
      </c>
      <c r="AA77" s="45">
        <v>29</v>
      </c>
      <c r="AB77" s="45">
        <v>29</v>
      </c>
      <c r="AC77" s="45">
        <v>14</v>
      </c>
      <c r="AD77" s="45">
        <v>14</v>
      </c>
      <c r="AE77" s="45">
        <v>20</v>
      </c>
      <c r="AF77" s="45">
        <v>0</v>
      </c>
      <c r="AG77" s="52">
        <v>60</v>
      </c>
      <c r="AH77" s="47">
        <f t="shared" si="2"/>
        <v>29.7</v>
      </c>
      <c r="AI77" s="48">
        <f t="shared" si="3"/>
        <v>0</v>
      </c>
      <c r="AK77" s="50"/>
    </row>
    <row r="78" spans="1:41" x14ac:dyDescent="0.25">
      <c r="A78" s="54" t="s">
        <v>78</v>
      </c>
      <c r="B78" s="65">
        <v>0</v>
      </c>
      <c r="C78" s="65">
        <v>0</v>
      </c>
      <c r="D78" s="65">
        <v>0</v>
      </c>
      <c r="E78" s="65"/>
      <c r="F78" s="65"/>
      <c r="G78" s="65"/>
      <c r="H78" s="65"/>
      <c r="I78" s="65"/>
      <c r="J78" s="65"/>
      <c r="K78" s="65">
        <v>0</v>
      </c>
      <c r="L78" s="65">
        <v>5.0999999999999996</v>
      </c>
      <c r="M78" s="65">
        <v>4.8</v>
      </c>
      <c r="N78" s="65">
        <v>0</v>
      </c>
      <c r="O78" s="65">
        <v>0</v>
      </c>
      <c r="P78" s="65">
        <v>0</v>
      </c>
      <c r="Q78" s="65">
        <v>3.4</v>
      </c>
      <c r="R78" s="65">
        <v>3.4</v>
      </c>
      <c r="S78" s="65">
        <v>6</v>
      </c>
      <c r="T78" s="65">
        <v>0</v>
      </c>
      <c r="U78" s="65">
        <v>0</v>
      </c>
      <c r="V78" s="65">
        <v>0</v>
      </c>
      <c r="W78" s="65">
        <v>3.9</v>
      </c>
      <c r="X78" s="65">
        <v>4.5</v>
      </c>
      <c r="Y78" s="65">
        <v>13.6</v>
      </c>
      <c r="Z78" s="65">
        <v>8.5</v>
      </c>
      <c r="AA78" s="65">
        <v>8.5</v>
      </c>
      <c r="AB78" s="65">
        <v>14.2</v>
      </c>
      <c r="AC78" s="65">
        <v>10</v>
      </c>
      <c r="AD78" s="65">
        <v>10</v>
      </c>
      <c r="AE78" s="65">
        <v>10</v>
      </c>
      <c r="AF78" s="65">
        <v>0</v>
      </c>
      <c r="AG78" s="55">
        <v>32</v>
      </c>
      <c r="AH78" s="47">
        <f t="shared" si="2"/>
        <v>14.2</v>
      </c>
      <c r="AI78" s="48">
        <f t="shared" si="3"/>
        <v>0</v>
      </c>
      <c r="AK78" s="50"/>
    </row>
    <row r="79" spans="1:41" ht="15.75" thickBot="1" x14ac:dyDescent="0.3">
      <c r="A79" s="71" t="s">
        <v>79</v>
      </c>
      <c r="B79" s="67">
        <v>0</v>
      </c>
      <c r="C79" s="67">
        <v>0</v>
      </c>
      <c r="D79" s="67">
        <v>0</v>
      </c>
      <c r="E79" s="67"/>
      <c r="F79" s="67"/>
      <c r="G79" s="67"/>
      <c r="H79" s="67"/>
      <c r="I79" s="67"/>
      <c r="J79" s="67"/>
      <c r="K79" s="67">
        <v>0</v>
      </c>
      <c r="L79" s="67">
        <v>1.9</v>
      </c>
      <c r="M79" s="67">
        <v>1.8</v>
      </c>
      <c r="N79" s="67">
        <v>0</v>
      </c>
      <c r="O79" s="67">
        <v>0</v>
      </c>
      <c r="P79" s="67">
        <v>0</v>
      </c>
      <c r="Q79" s="67">
        <v>1.2</v>
      </c>
      <c r="R79" s="67">
        <v>1.2</v>
      </c>
      <c r="S79" s="67">
        <v>2.2000000000000002</v>
      </c>
      <c r="T79" s="67">
        <v>0</v>
      </c>
      <c r="U79" s="67">
        <v>0</v>
      </c>
      <c r="V79" s="67">
        <v>0</v>
      </c>
      <c r="W79" s="67">
        <v>1.4</v>
      </c>
      <c r="X79" s="67">
        <v>1.6</v>
      </c>
      <c r="Y79" s="67">
        <v>5</v>
      </c>
      <c r="Z79" s="67">
        <v>3.1</v>
      </c>
      <c r="AA79" s="67">
        <v>3.1</v>
      </c>
      <c r="AB79" s="67">
        <v>5.2</v>
      </c>
      <c r="AC79" s="67">
        <v>3</v>
      </c>
      <c r="AD79" s="67">
        <v>3</v>
      </c>
      <c r="AE79" s="67">
        <v>5</v>
      </c>
      <c r="AF79" s="67">
        <v>0</v>
      </c>
      <c r="AG79" s="68">
        <v>14</v>
      </c>
      <c r="AH79" s="47">
        <f t="shared" si="2"/>
        <v>5.2</v>
      </c>
      <c r="AI79" s="48">
        <f t="shared" si="3"/>
        <v>0</v>
      </c>
      <c r="AK79" s="50"/>
    </row>
    <row r="80" spans="1:41" ht="15.75" thickBot="1" x14ac:dyDescent="0.3">
      <c r="A80" s="74" t="s">
        <v>80</v>
      </c>
      <c r="B80" s="60">
        <f t="shared" ref="B80:D80" si="19">B77+B78+B79</f>
        <v>0</v>
      </c>
      <c r="C80" s="60">
        <f t="shared" si="19"/>
        <v>0</v>
      </c>
      <c r="D80" s="60">
        <f t="shared" si="19"/>
        <v>0</v>
      </c>
      <c r="E80" s="60">
        <f t="shared" ref="E80:AB80" si="20">E77+E78+E79</f>
        <v>0</v>
      </c>
      <c r="F80" s="60">
        <f t="shared" si="20"/>
        <v>0</v>
      </c>
      <c r="G80" s="60">
        <f t="shared" si="20"/>
        <v>0</v>
      </c>
      <c r="H80" s="60">
        <f t="shared" si="20"/>
        <v>0</v>
      </c>
      <c r="I80" s="60">
        <f t="shared" si="20"/>
        <v>0</v>
      </c>
      <c r="J80" s="60">
        <f t="shared" si="20"/>
        <v>0</v>
      </c>
      <c r="K80" s="60">
        <f t="shared" si="20"/>
        <v>14</v>
      </c>
      <c r="L80" s="60">
        <f t="shared" si="20"/>
        <v>26.5</v>
      </c>
      <c r="M80" s="60">
        <f t="shared" si="20"/>
        <v>16.8</v>
      </c>
      <c r="N80" s="60">
        <f t="shared" si="20"/>
        <v>0</v>
      </c>
      <c r="O80" s="60">
        <f t="shared" si="20"/>
        <v>0</v>
      </c>
      <c r="P80" s="60">
        <f t="shared" si="20"/>
        <v>0</v>
      </c>
      <c r="Q80" s="60">
        <f t="shared" si="20"/>
        <v>18.599999999999998</v>
      </c>
      <c r="R80" s="60">
        <f t="shared" si="20"/>
        <v>18.599999999999998</v>
      </c>
      <c r="S80" s="60">
        <f t="shared" si="20"/>
        <v>22.2</v>
      </c>
      <c r="T80" s="60">
        <f t="shared" si="20"/>
        <v>0</v>
      </c>
      <c r="U80" s="60">
        <f t="shared" si="20"/>
        <v>0</v>
      </c>
      <c r="V80" s="60">
        <f t="shared" si="20"/>
        <v>0</v>
      </c>
      <c r="W80" s="60">
        <f t="shared" si="20"/>
        <v>18.399999999999999</v>
      </c>
      <c r="X80" s="60">
        <f t="shared" si="20"/>
        <v>32.1</v>
      </c>
      <c r="Y80" s="60">
        <f>Y77+Y78+Y79</f>
        <v>48.3</v>
      </c>
      <c r="Z80" s="60">
        <f>Z77+Z78+Z79</f>
        <v>40.6</v>
      </c>
      <c r="AA80" s="60">
        <f t="shared" si="20"/>
        <v>40.6</v>
      </c>
      <c r="AB80" s="60">
        <f t="shared" si="20"/>
        <v>48.400000000000006</v>
      </c>
      <c r="AC80" s="60">
        <f t="shared" ref="AC80:AD80" si="21">AC77+AC78+AC79</f>
        <v>27</v>
      </c>
      <c r="AD80" s="60">
        <f t="shared" si="21"/>
        <v>27</v>
      </c>
      <c r="AE80" s="60">
        <f t="shared" ref="AE80:AF80" si="22">AE77+AE78+AE79</f>
        <v>35</v>
      </c>
      <c r="AF80" s="60">
        <f t="shared" si="22"/>
        <v>0</v>
      </c>
      <c r="AG80" s="61">
        <f>SUM(AG77:AG79)</f>
        <v>106</v>
      </c>
      <c r="AH80" s="47">
        <f t="shared" si="2"/>
        <v>48.400000000000006</v>
      </c>
      <c r="AI80" s="48">
        <f t="shared" si="3"/>
        <v>0</v>
      </c>
      <c r="AK80" s="50"/>
    </row>
    <row r="81" spans="1:40" x14ac:dyDescent="0.25">
      <c r="A81" s="44" t="s">
        <v>81</v>
      </c>
      <c r="B81" s="45">
        <v>64</v>
      </c>
      <c r="C81" s="45">
        <v>58.9</v>
      </c>
      <c r="D81" s="45">
        <v>71</v>
      </c>
      <c r="E81" s="45">
        <v>63</v>
      </c>
      <c r="F81" s="45">
        <v>52</v>
      </c>
      <c r="G81" s="45">
        <v>50.1</v>
      </c>
      <c r="H81" s="45">
        <v>70</v>
      </c>
      <c r="I81" s="45">
        <v>72</v>
      </c>
      <c r="J81" s="45">
        <v>69.8</v>
      </c>
      <c r="K81" s="45">
        <v>65.7</v>
      </c>
      <c r="L81" s="45">
        <v>72.7</v>
      </c>
      <c r="M81" s="45">
        <v>60.8</v>
      </c>
      <c r="N81" s="45">
        <v>42</v>
      </c>
      <c r="O81" s="45">
        <v>35</v>
      </c>
      <c r="P81" s="45">
        <v>38</v>
      </c>
      <c r="Q81" s="45">
        <v>52</v>
      </c>
      <c r="R81" s="45">
        <v>66</v>
      </c>
      <c r="S81" s="45">
        <v>73.5</v>
      </c>
      <c r="T81" s="45">
        <v>72.3</v>
      </c>
      <c r="U81" s="45">
        <v>73.900000000000006</v>
      </c>
      <c r="V81" s="45">
        <v>63.7</v>
      </c>
      <c r="W81" s="45">
        <v>67.3</v>
      </c>
      <c r="X81" s="45">
        <v>58.4</v>
      </c>
      <c r="Y81" s="45">
        <v>63.5</v>
      </c>
      <c r="Z81" s="45">
        <v>64.599999999999994</v>
      </c>
      <c r="AA81" s="45">
        <v>61.6</v>
      </c>
      <c r="AB81" s="45">
        <v>56</v>
      </c>
      <c r="AC81" s="45">
        <v>52</v>
      </c>
      <c r="AD81" s="45">
        <v>55</v>
      </c>
      <c r="AE81" s="45">
        <v>59</v>
      </c>
      <c r="AF81" s="45">
        <v>59</v>
      </c>
      <c r="AG81" s="52"/>
      <c r="AH81" s="47">
        <f t="shared" si="2"/>
        <v>73.900000000000006</v>
      </c>
      <c r="AI81" s="48">
        <f t="shared" si="3"/>
        <v>35</v>
      </c>
      <c r="AK81" s="50"/>
    </row>
    <row r="82" spans="1:40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>
        <v>0</v>
      </c>
      <c r="U82" s="65">
        <v>0</v>
      </c>
      <c r="V82" s="65">
        <v>0</v>
      </c>
      <c r="W82" s="65">
        <v>0</v>
      </c>
      <c r="X82" s="65">
        <v>0</v>
      </c>
      <c r="Y82" s="65">
        <v>0</v>
      </c>
      <c r="Z82" s="65">
        <v>0</v>
      </c>
      <c r="AA82" s="65">
        <v>0</v>
      </c>
      <c r="AB82" s="65">
        <v>0</v>
      </c>
      <c r="AC82" s="65">
        <v>0</v>
      </c>
      <c r="AD82" s="65">
        <v>0</v>
      </c>
      <c r="AE82" s="65">
        <v>0</v>
      </c>
      <c r="AF82" s="65">
        <v>0</v>
      </c>
      <c r="AG82" s="55"/>
      <c r="AH82" s="47">
        <f t="shared" si="2"/>
        <v>0</v>
      </c>
      <c r="AI82" s="48">
        <f t="shared" si="3"/>
        <v>0</v>
      </c>
      <c r="AK82" s="50"/>
    </row>
    <row r="83" spans="1:40" x14ac:dyDescent="0.25">
      <c r="A83" s="54" t="s">
        <v>83</v>
      </c>
      <c r="B83" s="65">
        <v>384</v>
      </c>
      <c r="C83" s="65">
        <v>380</v>
      </c>
      <c r="D83" s="65">
        <v>412</v>
      </c>
      <c r="E83" s="65">
        <v>345</v>
      </c>
      <c r="F83" s="65">
        <v>380</v>
      </c>
      <c r="G83" s="65">
        <v>413.6</v>
      </c>
      <c r="H83" s="65">
        <v>410</v>
      </c>
      <c r="I83" s="65">
        <v>460</v>
      </c>
      <c r="J83" s="65">
        <v>479</v>
      </c>
      <c r="K83" s="65">
        <v>235</v>
      </c>
      <c r="L83" s="65">
        <v>75</v>
      </c>
      <c r="M83" s="65">
        <v>41.5</v>
      </c>
      <c r="N83" s="65">
        <v>61</v>
      </c>
      <c r="O83" s="65">
        <v>300</v>
      </c>
      <c r="P83" s="65">
        <v>347</v>
      </c>
      <c r="Q83" s="65">
        <v>444</v>
      </c>
      <c r="R83" s="65">
        <v>457</v>
      </c>
      <c r="S83" s="65">
        <v>493</v>
      </c>
      <c r="T83" s="65">
        <v>477</v>
      </c>
      <c r="U83" s="65">
        <v>490.1</v>
      </c>
      <c r="V83" s="65">
        <v>463.4</v>
      </c>
      <c r="W83" s="65">
        <v>380.3</v>
      </c>
      <c r="X83" s="65">
        <v>292</v>
      </c>
      <c r="Y83" s="65">
        <v>205.8</v>
      </c>
      <c r="Z83" s="65">
        <v>131.19999999999999</v>
      </c>
      <c r="AA83" s="65">
        <v>180</v>
      </c>
      <c r="AB83" s="65">
        <v>289</v>
      </c>
      <c r="AC83" s="65">
        <v>339</v>
      </c>
      <c r="AD83" s="65">
        <v>410</v>
      </c>
      <c r="AE83" s="65">
        <v>406</v>
      </c>
      <c r="AF83" s="65">
        <v>390</v>
      </c>
      <c r="AG83" s="75"/>
      <c r="AH83" s="47">
        <f t="shared" si="2"/>
        <v>493</v>
      </c>
      <c r="AI83" s="48">
        <f t="shared" si="3"/>
        <v>41.5</v>
      </c>
      <c r="AK83" s="50"/>
    </row>
    <row r="84" spans="1:40" x14ac:dyDescent="0.25">
      <c r="A84" s="54" t="s">
        <v>84</v>
      </c>
      <c r="B84" s="76">
        <v>20</v>
      </c>
      <c r="C84" s="76">
        <v>20</v>
      </c>
      <c r="D84" s="76">
        <v>40</v>
      </c>
      <c r="E84" s="76">
        <v>42</v>
      </c>
      <c r="F84" s="76">
        <v>48</v>
      </c>
      <c r="G84" s="76">
        <v>48</v>
      </c>
      <c r="H84" s="76">
        <v>45</v>
      </c>
      <c r="I84" s="76">
        <v>45</v>
      </c>
      <c r="J84" s="76">
        <v>50</v>
      </c>
      <c r="K84" s="76">
        <v>27</v>
      </c>
      <c r="L84" s="76">
        <v>25</v>
      </c>
      <c r="M84" s="76">
        <v>22.2</v>
      </c>
      <c r="N84" s="76">
        <v>16.5</v>
      </c>
      <c r="O84" s="76">
        <v>22</v>
      </c>
      <c r="P84" s="76">
        <v>33</v>
      </c>
      <c r="Q84" s="76">
        <v>49</v>
      </c>
      <c r="R84" s="76">
        <v>46.5</v>
      </c>
      <c r="S84" s="76">
        <v>51</v>
      </c>
      <c r="T84" s="76">
        <v>52</v>
      </c>
      <c r="U84" s="76">
        <v>50</v>
      </c>
      <c r="V84" s="76">
        <v>40</v>
      </c>
      <c r="W84" s="76">
        <v>38</v>
      </c>
      <c r="X84" s="76">
        <v>35</v>
      </c>
      <c r="Y84" s="76">
        <v>35</v>
      </c>
      <c r="Z84" s="76">
        <v>33</v>
      </c>
      <c r="AA84" s="76">
        <v>35</v>
      </c>
      <c r="AB84" s="76">
        <v>24</v>
      </c>
      <c r="AC84" s="76">
        <v>27</v>
      </c>
      <c r="AD84" s="76">
        <v>33</v>
      </c>
      <c r="AE84" s="76">
        <v>10</v>
      </c>
      <c r="AF84" s="76">
        <v>35</v>
      </c>
      <c r="AG84" s="75"/>
      <c r="AH84" s="47">
        <f t="shared" si="2"/>
        <v>52</v>
      </c>
      <c r="AI84" s="48">
        <f t="shared" si="3"/>
        <v>10</v>
      </c>
      <c r="AK84" s="50"/>
    </row>
    <row r="85" spans="1:40" x14ac:dyDescent="0.25">
      <c r="A85" s="54" t="s">
        <v>85</v>
      </c>
      <c r="B85" s="45">
        <v>120</v>
      </c>
      <c r="C85" s="45">
        <v>122</v>
      </c>
      <c r="D85" s="45">
        <v>26</v>
      </c>
      <c r="E85" s="45">
        <v>20</v>
      </c>
      <c r="F85" s="45">
        <v>21</v>
      </c>
      <c r="G85" s="45">
        <v>22</v>
      </c>
      <c r="H85" s="45">
        <v>22</v>
      </c>
      <c r="I85" s="45">
        <v>23</v>
      </c>
      <c r="J85" s="45">
        <v>23.6</v>
      </c>
      <c r="K85" s="45">
        <v>22</v>
      </c>
      <c r="L85" s="45">
        <v>0</v>
      </c>
      <c r="M85" s="45">
        <v>0</v>
      </c>
      <c r="N85" s="45">
        <v>0</v>
      </c>
      <c r="O85" s="45">
        <v>0</v>
      </c>
      <c r="P85" s="45">
        <v>0</v>
      </c>
      <c r="Q85" s="45">
        <v>0</v>
      </c>
      <c r="R85" s="45">
        <v>0</v>
      </c>
      <c r="S85" s="45">
        <v>0</v>
      </c>
      <c r="T85" s="45">
        <v>0</v>
      </c>
      <c r="U85" s="45">
        <v>0</v>
      </c>
      <c r="V85" s="45">
        <v>0</v>
      </c>
      <c r="W85" s="45">
        <v>0</v>
      </c>
      <c r="X85" s="45">
        <v>0</v>
      </c>
      <c r="Y85" s="45">
        <v>0</v>
      </c>
      <c r="Z85" s="45">
        <v>0</v>
      </c>
      <c r="AA85" s="45">
        <v>0</v>
      </c>
      <c r="AB85" s="45">
        <v>0</v>
      </c>
      <c r="AC85" s="45">
        <v>0</v>
      </c>
      <c r="AD85" s="45">
        <v>0</v>
      </c>
      <c r="AE85" s="45">
        <v>0</v>
      </c>
      <c r="AF85" s="45">
        <v>0</v>
      </c>
      <c r="AG85" s="75"/>
      <c r="AH85" s="47">
        <f t="shared" ref="AH85:AH130" si="23">MAX(B85:AF85)</f>
        <v>122</v>
      </c>
      <c r="AI85" s="48">
        <f t="shared" ref="AI85:AI130" si="24">MIN(B85:AF85)</f>
        <v>0</v>
      </c>
      <c r="AK85" s="50"/>
    </row>
    <row r="86" spans="1:40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/>
      <c r="AH86" s="47">
        <f t="shared" si="23"/>
        <v>0</v>
      </c>
      <c r="AI86" s="48">
        <f t="shared" si="24"/>
        <v>0</v>
      </c>
      <c r="AK86" s="50"/>
    </row>
    <row r="87" spans="1:40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>
        <v>0</v>
      </c>
      <c r="T87" s="77">
        <v>0</v>
      </c>
      <c r="U87" s="77">
        <v>0</v>
      </c>
      <c r="V87" s="77">
        <v>0</v>
      </c>
      <c r="W87" s="77">
        <v>0</v>
      </c>
      <c r="X87" s="77">
        <v>0</v>
      </c>
      <c r="Y87" s="77">
        <v>0</v>
      </c>
      <c r="Z87" s="77">
        <v>0</v>
      </c>
      <c r="AA87" s="77">
        <v>0</v>
      </c>
      <c r="AB87" s="77">
        <v>0</v>
      </c>
      <c r="AC87" s="77">
        <v>0</v>
      </c>
      <c r="AD87" s="77">
        <v>0</v>
      </c>
      <c r="AE87" s="77">
        <v>0</v>
      </c>
      <c r="AF87" s="77">
        <v>0</v>
      </c>
      <c r="AG87" s="75"/>
      <c r="AH87" s="47">
        <f t="shared" si="23"/>
        <v>0</v>
      </c>
      <c r="AI87" s="48">
        <f t="shared" si="24"/>
        <v>0</v>
      </c>
      <c r="AK87" s="50"/>
      <c r="AL87" s="78" t="s">
        <v>88</v>
      </c>
      <c r="AM87" s="78"/>
    </row>
    <row r="88" spans="1:40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>
        <v>0</v>
      </c>
      <c r="T88" s="77">
        <v>0</v>
      </c>
      <c r="U88" s="77">
        <v>0</v>
      </c>
      <c r="V88" s="77">
        <v>0</v>
      </c>
      <c r="W88" s="77">
        <v>0</v>
      </c>
      <c r="X88" s="77">
        <v>0</v>
      </c>
      <c r="Y88" s="77">
        <v>0</v>
      </c>
      <c r="Z88" s="77">
        <v>0</v>
      </c>
      <c r="AA88" s="77">
        <v>0</v>
      </c>
      <c r="AB88" s="77">
        <v>0</v>
      </c>
      <c r="AC88" s="77">
        <v>0</v>
      </c>
      <c r="AD88" s="77">
        <v>0</v>
      </c>
      <c r="AE88" s="77">
        <v>0</v>
      </c>
      <c r="AF88" s="77">
        <v>0</v>
      </c>
      <c r="AG88" s="75"/>
      <c r="AH88" s="47">
        <f t="shared" si="23"/>
        <v>0</v>
      </c>
      <c r="AI88" s="48">
        <f t="shared" si="24"/>
        <v>0</v>
      </c>
      <c r="AK88" s="79"/>
      <c r="AL88" s="80"/>
      <c r="AM88" s="80"/>
      <c r="AN88" s="81"/>
    </row>
    <row r="89" spans="1:40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>
        <v>0</v>
      </c>
      <c r="T89" s="77">
        <v>0</v>
      </c>
      <c r="U89" s="77">
        <v>0</v>
      </c>
      <c r="V89" s="77">
        <v>0</v>
      </c>
      <c r="W89" s="77">
        <v>0</v>
      </c>
      <c r="X89" s="77">
        <v>0</v>
      </c>
      <c r="Y89" s="77">
        <v>0</v>
      </c>
      <c r="Z89" s="77">
        <v>0</v>
      </c>
      <c r="AA89" s="77">
        <v>0</v>
      </c>
      <c r="AB89" s="77">
        <v>0</v>
      </c>
      <c r="AC89" s="77">
        <v>0</v>
      </c>
      <c r="AD89" s="77">
        <v>0</v>
      </c>
      <c r="AE89" s="77">
        <v>0</v>
      </c>
      <c r="AF89" s="77">
        <v>0</v>
      </c>
      <c r="AG89" s="75"/>
      <c r="AH89" s="47">
        <f t="shared" si="23"/>
        <v>0</v>
      </c>
      <c r="AI89" s="48">
        <f t="shared" si="24"/>
        <v>0</v>
      </c>
      <c r="AK89" s="82" t="s">
        <v>91</v>
      </c>
      <c r="AL89" s="65"/>
      <c r="AM89" s="76"/>
      <c r="AN89" s="83"/>
    </row>
    <row r="90" spans="1:40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>
        <v>0</v>
      </c>
      <c r="T90" s="77">
        <v>0</v>
      </c>
      <c r="U90" s="77">
        <v>0</v>
      </c>
      <c r="V90" s="77">
        <v>0</v>
      </c>
      <c r="W90" s="77">
        <v>0</v>
      </c>
      <c r="X90" s="77">
        <v>0</v>
      </c>
      <c r="Y90" s="77">
        <v>0</v>
      </c>
      <c r="Z90" s="77">
        <v>0</v>
      </c>
      <c r="AA90" s="77">
        <v>0</v>
      </c>
      <c r="AB90" s="77">
        <v>0</v>
      </c>
      <c r="AC90" s="77">
        <v>0</v>
      </c>
      <c r="AD90" s="77">
        <v>0</v>
      </c>
      <c r="AE90" s="77">
        <v>0</v>
      </c>
      <c r="AF90" s="77">
        <v>0</v>
      </c>
      <c r="AG90" s="85"/>
      <c r="AH90" s="47">
        <f t="shared" si="23"/>
        <v>0</v>
      </c>
      <c r="AI90" s="48">
        <f t="shared" si="24"/>
        <v>0</v>
      </c>
      <c r="AK90" s="82" t="s">
        <v>93</v>
      </c>
      <c r="AL90" s="76"/>
      <c r="AM90" s="76"/>
      <c r="AN90" s="83"/>
    </row>
    <row r="91" spans="1:40" ht="15.75" thickBot="1" x14ac:dyDescent="0.3">
      <c r="A91" s="84" t="s">
        <v>421</v>
      </c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>
        <v>0</v>
      </c>
      <c r="T91" s="77">
        <v>0</v>
      </c>
      <c r="U91" s="77">
        <v>62</v>
      </c>
      <c r="V91" s="77">
        <v>61.9</v>
      </c>
      <c r="W91" s="77">
        <v>66.400000000000006</v>
      </c>
      <c r="X91" s="77">
        <v>70.599999999999994</v>
      </c>
      <c r="Y91" s="77">
        <v>75.7</v>
      </c>
      <c r="Z91" s="77">
        <v>75.099999999999994</v>
      </c>
      <c r="AA91" s="77">
        <v>76.2</v>
      </c>
      <c r="AB91" s="77">
        <v>73</v>
      </c>
      <c r="AC91" s="77">
        <v>71.5</v>
      </c>
      <c r="AD91" s="77">
        <v>69</v>
      </c>
      <c r="AE91" s="77">
        <v>80</v>
      </c>
      <c r="AF91" s="77">
        <v>80</v>
      </c>
      <c r="AG91" s="85"/>
      <c r="AH91" s="47">
        <f t="shared" si="23"/>
        <v>80</v>
      </c>
      <c r="AI91" s="48">
        <f t="shared" si="24"/>
        <v>0</v>
      </c>
      <c r="AK91" s="86"/>
      <c r="AL91" s="45"/>
      <c r="AM91" s="45"/>
      <c r="AN91" s="87"/>
    </row>
    <row r="92" spans="1:40" ht="15.75" thickBot="1" x14ac:dyDescent="0.3">
      <c r="A92" s="74" t="s">
        <v>95</v>
      </c>
      <c r="B92" s="60">
        <f t="shared" ref="B92:D92" si="25">SUMIF(B81:B91,"&gt;0")</f>
        <v>588</v>
      </c>
      <c r="C92" s="60">
        <f t="shared" si="25"/>
        <v>580.9</v>
      </c>
      <c r="D92" s="60">
        <f t="shared" si="25"/>
        <v>549</v>
      </c>
      <c r="E92" s="60">
        <f t="shared" ref="E92:AB92" si="26">SUMIF(E81:E91,"&gt;0")</f>
        <v>470</v>
      </c>
      <c r="F92" s="60">
        <f t="shared" si="26"/>
        <v>501</v>
      </c>
      <c r="G92" s="60">
        <f t="shared" si="26"/>
        <v>533.70000000000005</v>
      </c>
      <c r="H92" s="60">
        <f t="shared" si="26"/>
        <v>547</v>
      </c>
      <c r="I92" s="60">
        <f t="shared" si="26"/>
        <v>600</v>
      </c>
      <c r="J92" s="60">
        <f t="shared" si="26"/>
        <v>622.4</v>
      </c>
      <c r="K92" s="60">
        <f t="shared" si="26"/>
        <v>349.7</v>
      </c>
      <c r="L92" s="60">
        <f t="shared" si="26"/>
        <v>172.7</v>
      </c>
      <c r="M92" s="60">
        <f t="shared" si="26"/>
        <v>124.5</v>
      </c>
      <c r="N92" s="60">
        <f t="shared" si="26"/>
        <v>119.5</v>
      </c>
      <c r="O92" s="60">
        <f t="shared" si="26"/>
        <v>357</v>
      </c>
      <c r="P92" s="60">
        <f t="shared" si="26"/>
        <v>418</v>
      </c>
      <c r="Q92" s="60">
        <f t="shared" si="26"/>
        <v>545</v>
      </c>
      <c r="R92" s="60">
        <f t="shared" si="26"/>
        <v>569.5</v>
      </c>
      <c r="S92" s="60">
        <f t="shared" si="26"/>
        <v>617.5</v>
      </c>
      <c r="T92" s="60">
        <f t="shared" si="26"/>
        <v>601.29999999999995</v>
      </c>
      <c r="U92" s="60">
        <f t="shared" si="26"/>
        <v>676</v>
      </c>
      <c r="V92" s="60">
        <f t="shared" si="26"/>
        <v>629</v>
      </c>
      <c r="W92" s="60">
        <f t="shared" si="26"/>
        <v>552</v>
      </c>
      <c r="X92" s="60">
        <f t="shared" si="26"/>
        <v>456</v>
      </c>
      <c r="Y92" s="60">
        <f>SUMIF(Y81:Y91,"&gt;0")</f>
        <v>380</v>
      </c>
      <c r="Z92" s="60">
        <f>SUMIF(Z81:Z91,"&gt;0")</f>
        <v>303.89999999999998</v>
      </c>
      <c r="AA92" s="60">
        <f t="shared" si="26"/>
        <v>352.8</v>
      </c>
      <c r="AB92" s="60">
        <f t="shared" si="26"/>
        <v>442</v>
      </c>
      <c r="AC92" s="60">
        <f t="shared" ref="AC92:AD92" si="27">SUMIF(AC81:AC91,"&gt;0")</f>
        <v>489.5</v>
      </c>
      <c r="AD92" s="60">
        <f t="shared" si="27"/>
        <v>567</v>
      </c>
      <c r="AE92" s="60">
        <f t="shared" ref="AE92:AF92" si="28">SUMIF(AE81:AE91,"&gt;0")</f>
        <v>555</v>
      </c>
      <c r="AF92" s="60">
        <f t="shared" si="28"/>
        <v>564</v>
      </c>
      <c r="AG92" s="88">
        <f>SUM(AG81:AG91)</f>
        <v>0</v>
      </c>
      <c r="AH92" s="47">
        <f t="shared" si="23"/>
        <v>676</v>
      </c>
      <c r="AI92" s="48">
        <f t="shared" si="24"/>
        <v>119.5</v>
      </c>
      <c r="AK92" s="86"/>
      <c r="AL92" s="77"/>
      <c r="AM92" s="89"/>
      <c r="AN92" s="255"/>
    </row>
    <row r="93" spans="1:40" x14ac:dyDescent="0.25">
      <c r="A93" s="44" t="s">
        <v>96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23"/>
        <v>0</v>
      </c>
      <c r="AI93" s="48">
        <f t="shared" si="24"/>
        <v>0</v>
      </c>
      <c r="AK93" s="86"/>
      <c r="AL93" s="77"/>
      <c r="AM93" s="77"/>
      <c r="AN93" s="256"/>
    </row>
    <row r="94" spans="1:40" ht="15.75" thickBot="1" x14ac:dyDescent="0.3">
      <c r="A94" s="54" t="s">
        <v>97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23"/>
        <v>0</v>
      </c>
      <c r="AI94" s="48">
        <f t="shared" si="24"/>
        <v>0</v>
      </c>
      <c r="AK94" s="91"/>
      <c r="AL94" s="92"/>
      <c r="AM94" s="92"/>
      <c r="AN94" s="93"/>
    </row>
    <row r="95" spans="1:40" ht="15.75" thickBot="1" x14ac:dyDescent="0.3">
      <c r="A95" s="84" t="s">
        <v>98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23"/>
        <v>0</v>
      </c>
      <c r="AI95" s="48">
        <f t="shared" si="24"/>
        <v>0</v>
      </c>
    </row>
    <row r="96" spans="1:40" ht="15.75" thickBot="1" x14ac:dyDescent="0.3">
      <c r="A96" s="74" t="s">
        <v>99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>
        <v>0</v>
      </c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23"/>
        <v>0</v>
      </c>
      <c r="AI96" s="48">
        <f t="shared" si="24"/>
        <v>0</v>
      </c>
    </row>
    <row r="97" spans="1:37" ht="15.75" thickBot="1" x14ac:dyDescent="0.3">
      <c r="A97" s="74" t="s">
        <v>100</v>
      </c>
      <c r="B97" s="95">
        <f t="shared" ref="B97:D97" si="29">B58+B62+B80+B76+B92+B96</f>
        <v>1256.8400000000001</v>
      </c>
      <c r="C97" s="95">
        <f t="shared" si="29"/>
        <v>1248.6399999999999</v>
      </c>
      <c r="D97" s="95">
        <f t="shared" si="29"/>
        <v>1209.7400000000002</v>
      </c>
      <c r="E97" s="95">
        <f t="shared" ref="E97:AG97" si="30">E58+E62+E80+E76+E92+E96</f>
        <v>1140.8400000000001</v>
      </c>
      <c r="F97" s="95">
        <f t="shared" si="30"/>
        <v>1171.8400000000001</v>
      </c>
      <c r="G97" s="95">
        <f t="shared" si="30"/>
        <v>1233.8400000000001</v>
      </c>
      <c r="H97" s="95">
        <f t="shared" si="30"/>
        <v>1292.7400000000002</v>
      </c>
      <c r="I97" s="95">
        <f t="shared" si="30"/>
        <v>1442.8400000000001</v>
      </c>
      <c r="J97" s="95">
        <f t="shared" si="30"/>
        <v>1568.2400000000002</v>
      </c>
      <c r="K97" s="95">
        <f t="shared" si="30"/>
        <v>1497.3400000000001</v>
      </c>
      <c r="L97" s="95">
        <f t="shared" si="30"/>
        <v>1452.7400000000002</v>
      </c>
      <c r="M97" s="95">
        <f t="shared" si="30"/>
        <v>1503.0400000000002</v>
      </c>
      <c r="N97" s="95">
        <f t="shared" si="30"/>
        <v>1408.1400000000003</v>
      </c>
      <c r="O97" s="95">
        <f t="shared" si="30"/>
        <v>1412.7400000000002</v>
      </c>
      <c r="P97" s="95">
        <f t="shared" si="30"/>
        <v>1262.7400000000002</v>
      </c>
      <c r="Q97" s="95">
        <f t="shared" si="30"/>
        <v>1407.8400000000001</v>
      </c>
      <c r="R97" s="95">
        <f t="shared" si="30"/>
        <v>1392.3400000000001</v>
      </c>
      <c r="S97" s="95">
        <f t="shared" si="30"/>
        <v>1385.7400000000002</v>
      </c>
      <c r="T97" s="95">
        <f t="shared" si="30"/>
        <v>1337.24</v>
      </c>
      <c r="U97" s="95">
        <f t="shared" si="30"/>
        <v>1389.14</v>
      </c>
      <c r="V97" s="95">
        <f t="shared" si="30"/>
        <v>1347.64</v>
      </c>
      <c r="W97" s="95">
        <f t="shared" si="30"/>
        <v>1513.64</v>
      </c>
      <c r="X97" s="95">
        <f t="shared" si="30"/>
        <v>1593.44</v>
      </c>
      <c r="Y97" s="95">
        <f>Y58+Y62+Y80+Y76+Y92+Y96</f>
        <v>1678.7</v>
      </c>
      <c r="Z97" s="95">
        <f>Z58+Z62+Z80+Z76+Z92+Z96</f>
        <v>1655.9</v>
      </c>
      <c r="AA97" s="95">
        <f t="shared" si="30"/>
        <v>1608.0400000000002</v>
      </c>
      <c r="AB97" s="95">
        <f t="shared" si="30"/>
        <v>1515.64</v>
      </c>
      <c r="AC97" s="95">
        <f t="shared" ref="AC97:AD97" si="31">AC58+AC62+AC80+AC76+AC92+AC96</f>
        <v>1499.7400000000002</v>
      </c>
      <c r="AD97" s="95">
        <f t="shared" si="31"/>
        <v>1439.8400000000001</v>
      </c>
      <c r="AE97" s="95">
        <f t="shared" ref="AE97:AF97" si="32">AE58+AE62+AE80+AE76+AE92+AE96</f>
        <v>1397.8400000000001</v>
      </c>
      <c r="AF97" s="95">
        <f t="shared" si="32"/>
        <v>1241.8400000000001</v>
      </c>
      <c r="AG97" s="61">
        <f t="shared" si="30"/>
        <v>2231.81</v>
      </c>
      <c r="AH97" s="47">
        <f t="shared" si="23"/>
        <v>1678.7</v>
      </c>
      <c r="AI97" s="48">
        <f t="shared" si="24"/>
        <v>1140.8400000000001</v>
      </c>
    </row>
    <row r="98" spans="1:37" ht="15.75" thickBot="1" x14ac:dyDescent="0.3">
      <c r="A98" s="96" t="s">
        <v>101</v>
      </c>
      <c r="B98" s="97"/>
      <c r="C98" s="97"/>
      <c r="D98" s="97"/>
      <c r="E98" s="97"/>
      <c r="F98" s="97"/>
      <c r="G98" s="97"/>
      <c r="H98" s="97"/>
      <c r="I98" s="97"/>
      <c r="J98" s="97"/>
      <c r="K98" s="97">
        <v>250</v>
      </c>
      <c r="L98" s="97">
        <v>250</v>
      </c>
      <c r="M98" s="97">
        <v>250</v>
      </c>
      <c r="N98" s="97">
        <v>250</v>
      </c>
      <c r="O98" s="97">
        <v>250</v>
      </c>
      <c r="P98" s="97">
        <v>250</v>
      </c>
      <c r="Q98" s="97">
        <v>100</v>
      </c>
      <c r="R98" s="97">
        <v>100</v>
      </c>
      <c r="S98" s="97">
        <v>100</v>
      </c>
      <c r="T98" s="97">
        <v>200</v>
      </c>
      <c r="U98" s="97">
        <v>180</v>
      </c>
      <c r="V98" s="97">
        <v>150</v>
      </c>
      <c r="W98" s="97">
        <v>200</v>
      </c>
      <c r="X98" s="97">
        <v>200</v>
      </c>
      <c r="Y98" s="97">
        <v>200</v>
      </c>
      <c r="Z98" s="97">
        <v>200</v>
      </c>
      <c r="AA98" s="97">
        <v>200</v>
      </c>
      <c r="AB98" s="97">
        <v>200</v>
      </c>
      <c r="AC98" s="97">
        <v>200</v>
      </c>
      <c r="AD98" s="97">
        <v>0</v>
      </c>
      <c r="AE98" s="97">
        <v>0</v>
      </c>
      <c r="AF98" s="97">
        <v>0</v>
      </c>
      <c r="AG98" s="88"/>
      <c r="AH98" s="47">
        <f t="shared" si="23"/>
        <v>250</v>
      </c>
      <c r="AI98" s="48">
        <f t="shared" si="24"/>
        <v>0</v>
      </c>
    </row>
    <row r="99" spans="1:37" ht="15.75" thickBot="1" x14ac:dyDescent="0.3">
      <c r="A99" s="74" t="s">
        <v>102</v>
      </c>
      <c r="B99" s="95">
        <f t="shared" ref="B99:D99" si="33">B97+B98</f>
        <v>1256.8400000000001</v>
      </c>
      <c r="C99" s="95">
        <f t="shared" si="33"/>
        <v>1248.6399999999999</v>
      </c>
      <c r="D99" s="95">
        <f t="shared" si="33"/>
        <v>1209.7400000000002</v>
      </c>
      <c r="E99" s="95">
        <f t="shared" ref="E99:AB99" si="34">E97+E98</f>
        <v>1140.8400000000001</v>
      </c>
      <c r="F99" s="95">
        <f t="shared" si="34"/>
        <v>1171.8400000000001</v>
      </c>
      <c r="G99" s="95">
        <f t="shared" si="34"/>
        <v>1233.8400000000001</v>
      </c>
      <c r="H99" s="95">
        <f t="shared" si="34"/>
        <v>1292.7400000000002</v>
      </c>
      <c r="I99" s="95">
        <f t="shared" si="34"/>
        <v>1442.8400000000001</v>
      </c>
      <c r="J99" s="95">
        <f t="shared" si="34"/>
        <v>1568.2400000000002</v>
      </c>
      <c r="K99" s="95">
        <f t="shared" si="34"/>
        <v>1747.3400000000001</v>
      </c>
      <c r="L99" s="95">
        <f t="shared" si="34"/>
        <v>1702.7400000000002</v>
      </c>
      <c r="M99" s="95">
        <f t="shared" si="34"/>
        <v>1753.0400000000002</v>
      </c>
      <c r="N99" s="95">
        <f t="shared" si="34"/>
        <v>1658.1400000000003</v>
      </c>
      <c r="O99" s="95">
        <f t="shared" si="34"/>
        <v>1662.7400000000002</v>
      </c>
      <c r="P99" s="95">
        <f t="shared" si="34"/>
        <v>1512.7400000000002</v>
      </c>
      <c r="Q99" s="95">
        <f t="shared" si="34"/>
        <v>1507.8400000000001</v>
      </c>
      <c r="R99" s="95">
        <f t="shared" si="34"/>
        <v>1492.3400000000001</v>
      </c>
      <c r="S99" s="95">
        <f t="shared" si="34"/>
        <v>1485.7400000000002</v>
      </c>
      <c r="T99" s="95">
        <f t="shared" si="34"/>
        <v>1537.24</v>
      </c>
      <c r="U99" s="95">
        <f t="shared" si="34"/>
        <v>1569.14</v>
      </c>
      <c r="V99" s="95">
        <f t="shared" si="34"/>
        <v>1497.64</v>
      </c>
      <c r="W99" s="95">
        <f t="shared" si="34"/>
        <v>1713.64</v>
      </c>
      <c r="X99" s="95">
        <f t="shared" si="34"/>
        <v>1793.44</v>
      </c>
      <c r="Y99" s="95">
        <f>Y97+Y98</f>
        <v>1878.7</v>
      </c>
      <c r="Z99" s="95">
        <f>Z97+Z98</f>
        <v>1855.9</v>
      </c>
      <c r="AA99" s="95">
        <f t="shared" si="34"/>
        <v>1808.0400000000002</v>
      </c>
      <c r="AB99" s="95">
        <f t="shared" si="34"/>
        <v>1715.64</v>
      </c>
      <c r="AC99" s="95">
        <f t="shared" ref="AC99:AD99" si="35">AC97+AC98</f>
        <v>1699.7400000000002</v>
      </c>
      <c r="AD99" s="95">
        <f t="shared" si="35"/>
        <v>1439.8400000000001</v>
      </c>
      <c r="AE99" s="95">
        <f t="shared" ref="AE99:AF99" si="36">AE97+AE98</f>
        <v>1397.8400000000001</v>
      </c>
      <c r="AF99" s="95">
        <f t="shared" si="36"/>
        <v>1241.8400000000001</v>
      </c>
      <c r="AG99" s="88">
        <f>AG96+AG92+AG80+AG76+AG58+AG98</f>
        <v>1693.71</v>
      </c>
      <c r="AH99" s="47">
        <f t="shared" si="23"/>
        <v>1878.7</v>
      </c>
      <c r="AI99" s="48">
        <f t="shared" si="24"/>
        <v>1140.8400000000001</v>
      </c>
    </row>
    <row r="100" spans="1:37" ht="15.75" thickBot="1" x14ac:dyDescent="0.3">
      <c r="A100" s="74" t="s">
        <v>103</v>
      </c>
      <c r="B100" s="95">
        <f t="shared" ref="B100:D100" si="37">B99-(B107)</f>
        <v>1255.8400000000001</v>
      </c>
      <c r="C100" s="95">
        <f t="shared" si="37"/>
        <v>1246.6399999999999</v>
      </c>
      <c r="D100" s="95">
        <f t="shared" si="37"/>
        <v>1206.7400000000002</v>
      </c>
      <c r="E100" s="95">
        <f t="shared" ref="E100:M100" si="38">E99-(E107)</f>
        <v>1140.8400000000001</v>
      </c>
      <c r="F100" s="95">
        <f t="shared" si="38"/>
        <v>1171.8400000000001</v>
      </c>
      <c r="G100" s="95">
        <f t="shared" si="38"/>
        <v>1233.8400000000001</v>
      </c>
      <c r="H100" s="95">
        <f t="shared" si="38"/>
        <v>1292.7400000000002</v>
      </c>
      <c r="I100" s="95">
        <f t="shared" si="38"/>
        <v>1442.8400000000001</v>
      </c>
      <c r="J100" s="95">
        <f t="shared" si="38"/>
        <v>1568.2400000000002</v>
      </c>
      <c r="K100" s="95">
        <f t="shared" si="38"/>
        <v>1747.3400000000001</v>
      </c>
      <c r="L100" s="95">
        <f t="shared" si="38"/>
        <v>1702.7400000000002</v>
      </c>
      <c r="M100" s="95">
        <f t="shared" si="38"/>
        <v>1753.0400000000002</v>
      </c>
      <c r="N100" s="95">
        <f>N99-(N107)</f>
        <v>1658.1400000000003</v>
      </c>
      <c r="O100" s="95">
        <f t="shared" ref="O100:AB100" si="39">O99-(O107)</f>
        <v>1662.7400000000002</v>
      </c>
      <c r="P100" s="95">
        <f t="shared" si="39"/>
        <v>1512.7400000000002</v>
      </c>
      <c r="Q100" s="95">
        <f t="shared" si="39"/>
        <v>1507.8400000000001</v>
      </c>
      <c r="R100" s="95">
        <f t="shared" si="39"/>
        <v>1492.3400000000001</v>
      </c>
      <c r="S100" s="95">
        <f t="shared" si="39"/>
        <v>1485.7400000000002</v>
      </c>
      <c r="T100" s="95">
        <f t="shared" si="39"/>
        <v>1537.24</v>
      </c>
      <c r="U100" s="95">
        <f t="shared" si="39"/>
        <v>1569.14</v>
      </c>
      <c r="V100" s="95">
        <f t="shared" si="39"/>
        <v>1497.64</v>
      </c>
      <c r="W100" s="95">
        <f t="shared" si="39"/>
        <v>1713.64</v>
      </c>
      <c r="X100" s="95">
        <f t="shared" si="39"/>
        <v>1793.44</v>
      </c>
      <c r="Y100" s="95">
        <f t="shared" si="39"/>
        <v>1877.7</v>
      </c>
      <c r="Z100" s="95">
        <f t="shared" si="39"/>
        <v>1853.9</v>
      </c>
      <c r="AA100" s="95">
        <f t="shared" si="39"/>
        <v>1808.0400000000002</v>
      </c>
      <c r="AB100" s="95">
        <f t="shared" si="39"/>
        <v>1715.64</v>
      </c>
      <c r="AC100" s="95">
        <f t="shared" ref="AC100:AD100" si="40">AC99-(AC107)</f>
        <v>1698.7400000000002</v>
      </c>
      <c r="AD100" s="95">
        <f t="shared" si="40"/>
        <v>1437.8400000000001</v>
      </c>
      <c r="AE100" s="95">
        <f t="shared" ref="AE100:AF100" si="41">AE99-(AE107)</f>
        <v>1394.8400000000001</v>
      </c>
      <c r="AF100" s="95">
        <f t="shared" si="41"/>
        <v>1237.8400000000001</v>
      </c>
      <c r="AG100" s="88"/>
      <c r="AH100" s="47">
        <f t="shared" si="23"/>
        <v>1877.7</v>
      </c>
      <c r="AI100" s="48">
        <f t="shared" si="24"/>
        <v>1140.8400000000001</v>
      </c>
    </row>
    <row r="101" spans="1:37" x14ac:dyDescent="0.25">
      <c r="A101" s="44" t="s">
        <v>84</v>
      </c>
      <c r="B101" s="76">
        <f t="shared" ref="B101:D101" si="42">IF(B84&lt;0,B84*-1,0)</f>
        <v>0</v>
      </c>
      <c r="C101" s="76">
        <f t="shared" si="42"/>
        <v>0</v>
      </c>
      <c r="D101" s="76">
        <f t="shared" si="42"/>
        <v>0</v>
      </c>
      <c r="E101" s="76">
        <f t="shared" ref="E101:AB101" si="43">IF(E84&lt;0,E84*-1,0)</f>
        <v>0</v>
      </c>
      <c r="F101" s="76">
        <f t="shared" si="43"/>
        <v>0</v>
      </c>
      <c r="G101" s="76">
        <f t="shared" si="43"/>
        <v>0</v>
      </c>
      <c r="H101" s="76">
        <f t="shared" si="43"/>
        <v>0</v>
      </c>
      <c r="I101" s="76">
        <f t="shared" si="43"/>
        <v>0</v>
      </c>
      <c r="J101" s="76">
        <f t="shared" si="43"/>
        <v>0</v>
      </c>
      <c r="K101" s="76">
        <f t="shared" si="43"/>
        <v>0</v>
      </c>
      <c r="L101" s="76">
        <f t="shared" si="43"/>
        <v>0</v>
      </c>
      <c r="M101" s="76">
        <f t="shared" si="43"/>
        <v>0</v>
      </c>
      <c r="N101" s="76">
        <f t="shared" si="43"/>
        <v>0</v>
      </c>
      <c r="O101" s="76">
        <f t="shared" si="43"/>
        <v>0</v>
      </c>
      <c r="P101" s="76">
        <f t="shared" si="43"/>
        <v>0</v>
      </c>
      <c r="Q101" s="76">
        <f t="shared" si="43"/>
        <v>0</v>
      </c>
      <c r="R101" s="76">
        <f t="shared" si="43"/>
        <v>0</v>
      </c>
      <c r="S101" s="76">
        <f t="shared" si="43"/>
        <v>0</v>
      </c>
      <c r="T101" s="76">
        <f t="shared" si="43"/>
        <v>0</v>
      </c>
      <c r="U101" s="76">
        <f t="shared" si="43"/>
        <v>0</v>
      </c>
      <c r="V101" s="76">
        <f t="shared" si="43"/>
        <v>0</v>
      </c>
      <c r="W101" s="76">
        <f t="shared" si="43"/>
        <v>0</v>
      </c>
      <c r="X101" s="76">
        <f t="shared" si="43"/>
        <v>0</v>
      </c>
      <c r="Y101" s="76">
        <f t="shared" si="43"/>
        <v>0</v>
      </c>
      <c r="Z101" s="76">
        <f t="shared" si="43"/>
        <v>0</v>
      </c>
      <c r="AA101" s="76">
        <f t="shared" si="43"/>
        <v>0</v>
      </c>
      <c r="AB101" s="76">
        <f t="shared" si="43"/>
        <v>0</v>
      </c>
      <c r="AC101" s="76">
        <f t="shared" ref="AC101:AD101" si="44">IF(AC84&lt;0,AC84*-1,0)</f>
        <v>0</v>
      </c>
      <c r="AD101" s="76">
        <f t="shared" si="44"/>
        <v>0</v>
      </c>
      <c r="AE101" s="76">
        <f t="shared" ref="AE101:AF101" si="45">IF(AE84&lt;0,AE84*-1,0)</f>
        <v>0</v>
      </c>
      <c r="AF101" s="76">
        <f t="shared" si="45"/>
        <v>0</v>
      </c>
      <c r="AG101" s="52"/>
      <c r="AH101" s="47">
        <f t="shared" si="23"/>
        <v>0</v>
      </c>
      <c r="AI101" s="48">
        <f t="shared" si="24"/>
        <v>0</v>
      </c>
    </row>
    <row r="102" spans="1:37" x14ac:dyDescent="0.25">
      <c r="A102" s="54" t="s">
        <v>82</v>
      </c>
      <c r="B102" s="76">
        <f t="shared" ref="B102:D102" si="46">IF(B82&lt;0,B82*-1,0)</f>
        <v>0</v>
      </c>
      <c r="C102" s="76">
        <f t="shared" si="46"/>
        <v>0</v>
      </c>
      <c r="D102" s="76">
        <f t="shared" si="46"/>
        <v>0</v>
      </c>
      <c r="E102" s="76">
        <f t="shared" ref="E102:AB102" si="47">IF(E82&lt;0,E82*-1,0)</f>
        <v>0</v>
      </c>
      <c r="F102" s="76">
        <f t="shared" si="47"/>
        <v>0</v>
      </c>
      <c r="G102" s="76">
        <f t="shared" si="47"/>
        <v>0</v>
      </c>
      <c r="H102" s="76">
        <f t="shared" si="47"/>
        <v>0</v>
      </c>
      <c r="I102" s="76">
        <f t="shared" si="47"/>
        <v>0</v>
      </c>
      <c r="J102" s="76">
        <f t="shared" si="47"/>
        <v>0</v>
      </c>
      <c r="K102" s="76">
        <f t="shared" si="47"/>
        <v>0</v>
      </c>
      <c r="L102" s="76">
        <f t="shared" si="47"/>
        <v>0</v>
      </c>
      <c r="M102" s="76">
        <f t="shared" si="47"/>
        <v>0</v>
      </c>
      <c r="N102" s="76">
        <f t="shared" si="47"/>
        <v>0</v>
      </c>
      <c r="O102" s="76">
        <f t="shared" si="47"/>
        <v>0</v>
      </c>
      <c r="P102" s="76">
        <f t="shared" si="47"/>
        <v>0</v>
      </c>
      <c r="Q102" s="76">
        <f t="shared" si="47"/>
        <v>0</v>
      </c>
      <c r="R102" s="76">
        <f t="shared" si="47"/>
        <v>0</v>
      </c>
      <c r="S102" s="76">
        <f t="shared" si="47"/>
        <v>0</v>
      </c>
      <c r="T102" s="76">
        <f t="shared" si="47"/>
        <v>0</v>
      </c>
      <c r="U102" s="76">
        <f t="shared" si="47"/>
        <v>0</v>
      </c>
      <c r="V102" s="76">
        <f t="shared" si="47"/>
        <v>0</v>
      </c>
      <c r="W102" s="76">
        <f t="shared" si="47"/>
        <v>0</v>
      </c>
      <c r="X102" s="76">
        <f t="shared" si="47"/>
        <v>0</v>
      </c>
      <c r="Y102" s="76">
        <f t="shared" si="47"/>
        <v>0</v>
      </c>
      <c r="Z102" s="76">
        <f t="shared" si="47"/>
        <v>0</v>
      </c>
      <c r="AA102" s="76">
        <f t="shared" si="47"/>
        <v>0</v>
      </c>
      <c r="AB102" s="76">
        <f t="shared" si="47"/>
        <v>0</v>
      </c>
      <c r="AC102" s="76">
        <f t="shared" ref="AC102:AD102" si="48">IF(AC82&lt;0,AC82*-1,0)</f>
        <v>0</v>
      </c>
      <c r="AD102" s="76">
        <f t="shared" si="48"/>
        <v>0</v>
      </c>
      <c r="AE102" s="76">
        <f t="shared" ref="AE102:AF102" si="49">IF(AE82&lt;0,AE82*-1,0)</f>
        <v>0</v>
      </c>
      <c r="AF102" s="76">
        <f t="shared" si="49"/>
        <v>0</v>
      </c>
      <c r="AG102" s="55"/>
      <c r="AH102" s="47">
        <f t="shared" si="23"/>
        <v>0</v>
      </c>
      <c r="AI102" s="48">
        <f t="shared" si="24"/>
        <v>0</v>
      </c>
    </row>
    <row r="103" spans="1:37" x14ac:dyDescent="0.25">
      <c r="A103" s="84" t="s">
        <v>104</v>
      </c>
      <c r="B103" s="76">
        <f t="shared" ref="B103:D103" si="50">IF(B85&lt;0,B85*-1,0)</f>
        <v>0</v>
      </c>
      <c r="C103" s="76">
        <f t="shared" si="50"/>
        <v>0</v>
      </c>
      <c r="D103" s="76">
        <f t="shared" si="50"/>
        <v>0</v>
      </c>
      <c r="E103" s="76">
        <f t="shared" ref="E103:AB103" si="51">IF(E85&lt;0,E85*-1,0)</f>
        <v>0</v>
      </c>
      <c r="F103" s="76">
        <f t="shared" si="51"/>
        <v>0</v>
      </c>
      <c r="G103" s="76">
        <f t="shared" si="51"/>
        <v>0</v>
      </c>
      <c r="H103" s="76">
        <f t="shared" si="51"/>
        <v>0</v>
      </c>
      <c r="I103" s="76">
        <f t="shared" si="51"/>
        <v>0</v>
      </c>
      <c r="J103" s="76">
        <f t="shared" si="51"/>
        <v>0</v>
      </c>
      <c r="K103" s="76">
        <f t="shared" si="51"/>
        <v>0</v>
      </c>
      <c r="L103" s="76">
        <f t="shared" si="51"/>
        <v>0</v>
      </c>
      <c r="M103" s="76">
        <f t="shared" si="51"/>
        <v>0</v>
      </c>
      <c r="N103" s="76">
        <f t="shared" si="51"/>
        <v>0</v>
      </c>
      <c r="O103" s="76">
        <f t="shared" si="51"/>
        <v>0</v>
      </c>
      <c r="P103" s="76">
        <f t="shared" si="51"/>
        <v>0</v>
      </c>
      <c r="Q103" s="76">
        <f t="shared" si="51"/>
        <v>0</v>
      </c>
      <c r="R103" s="76">
        <f t="shared" si="51"/>
        <v>0</v>
      </c>
      <c r="S103" s="76">
        <f t="shared" si="51"/>
        <v>0</v>
      </c>
      <c r="T103" s="76">
        <f t="shared" si="51"/>
        <v>0</v>
      </c>
      <c r="U103" s="76">
        <f t="shared" si="51"/>
        <v>0</v>
      </c>
      <c r="V103" s="76">
        <f t="shared" si="51"/>
        <v>0</v>
      </c>
      <c r="W103" s="76">
        <f t="shared" si="51"/>
        <v>0</v>
      </c>
      <c r="X103" s="76">
        <f t="shared" si="51"/>
        <v>0</v>
      </c>
      <c r="Y103" s="76">
        <f t="shared" si="51"/>
        <v>0</v>
      </c>
      <c r="Z103" s="76">
        <f t="shared" si="51"/>
        <v>0</v>
      </c>
      <c r="AA103" s="76">
        <f t="shared" si="51"/>
        <v>0</v>
      </c>
      <c r="AB103" s="76">
        <f t="shared" si="51"/>
        <v>0</v>
      </c>
      <c r="AC103" s="76">
        <f t="shared" ref="AC103:AD103" si="52">IF(AC85&lt;0,AC85*-1,0)</f>
        <v>0</v>
      </c>
      <c r="AD103" s="76">
        <f t="shared" si="52"/>
        <v>0</v>
      </c>
      <c r="AE103" s="76">
        <f t="shared" ref="AE103:AF103" si="53">IF(AE85&lt;0,AE85*-1,0)</f>
        <v>0</v>
      </c>
      <c r="AF103" s="76">
        <f t="shared" si="53"/>
        <v>0</v>
      </c>
      <c r="AG103" s="98"/>
      <c r="AH103" s="47">
        <f t="shared" si="23"/>
        <v>0</v>
      </c>
      <c r="AI103" s="48">
        <f t="shared" si="24"/>
        <v>0</v>
      </c>
    </row>
    <row r="104" spans="1:37" x14ac:dyDescent="0.25">
      <c r="A104" s="84" t="s">
        <v>105</v>
      </c>
      <c r="B104" s="76">
        <f t="shared" ref="B104:D104" si="54">IF(B83&lt;0,B83*-1,0)</f>
        <v>0</v>
      </c>
      <c r="C104" s="76">
        <f t="shared" si="54"/>
        <v>0</v>
      </c>
      <c r="D104" s="76">
        <f t="shared" si="54"/>
        <v>0</v>
      </c>
      <c r="E104" s="76">
        <f t="shared" ref="E104:AB104" si="55">IF(E83&lt;0,E83*-1,0)</f>
        <v>0</v>
      </c>
      <c r="F104" s="76">
        <f t="shared" si="55"/>
        <v>0</v>
      </c>
      <c r="G104" s="76">
        <f t="shared" si="55"/>
        <v>0</v>
      </c>
      <c r="H104" s="76">
        <f t="shared" si="55"/>
        <v>0</v>
      </c>
      <c r="I104" s="76">
        <f t="shared" si="55"/>
        <v>0</v>
      </c>
      <c r="J104" s="76">
        <f t="shared" si="55"/>
        <v>0</v>
      </c>
      <c r="K104" s="76">
        <f t="shared" si="55"/>
        <v>0</v>
      </c>
      <c r="L104" s="76">
        <f t="shared" si="55"/>
        <v>0</v>
      </c>
      <c r="M104" s="76">
        <f t="shared" si="55"/>
        <v>0</v>
      </c>
      <c r="N104" s="76">
        <f t="shared" si="55"/>
        <v>0</v>
      </c>
      <c r="O104" s="76">
        <f t="shared" si="55"/>
        <v>0</v>
      </c>
      <c r="P104" s="76">
        <f t="shared" si="55"/>
        <v>0</v>
      </c>
      <c r="Q104" s="76">
        <f t="shared" si="55"/>
        <v>0</v>
      </c>
      <c r="R104" s="76">
        <f t="shared" si="55"/>
        <v>0</v>
      </c>
      <c r="S104" s="76">
        <f t="shared" si="55"/>
        <v>0</v>
      </c>
      <c r="T104" s="76">
        <f t="shared" si="55"/>
        <v>0</v>
      </c>
      <c r="U104" s="76">
        <f t="shared" si="55"/>
        <v>0</v>
      </c>
      <c r="V104" s="76">
        <f t="shared" si="55"/>
        <v>0</v>
      </c>
      <c r="W104" s="76">
        <f t="shared" si="55"/>
        <v>0</v>
      </c>
      <c r="X104" s="76">
        <f t="shared" si="55"/>
        <v>0</v>
      </c>
      <c r="Y104" s="76">
        <f t="shared" si="55"/>
        <v>0</v>
      </c>
      <c r="Z104" s="76">
        <f t="shared" si="55"/>
        <v>0</v>
      </c>
      <c r="AA104" s="76">
        <f t="shared" si="55"/>
        <v>0</v>
      </c>
      <c r="AB104" s="76">
        <f t="shared" si="55"/>
        <v>0</v>
      </c>
      <c r="AC104" s="76">
        <f t="shared" ref="AC104:AD104" si="56">IF(AC83&lt;0,AC83*-1,0)</f>
        <v>0</v>
      </c>
      <c r="AD104" s="76">
        <f t="shared" si="56"/>
        <v>0</v>
      </c>
      <c r="AE104" s="76">
        <f t="shared" ref="AE104:AF104" si="57">IF(AE83&lt;0,AE83*-1,0)</f>
        <v>0</v>
      </c>
      <c r="AF104" s="76">
        <f t="shared" si="57"/>
        <v>0</v>
      </c>
      <c r="AG104" s="98"/>
      <c r="AH104" s="47">
        <f t="shared" si="23"/>
        <v>0</v>
      </c>
      <c r="AI104" s="48">
        <f t="shared" si="24"/>
        <v>0</v>
      </c>
    </row>
    <row r="105" spans="1:37" x14ac:dyDescent="0.25">
      <c r="A105" s="84" t="s">
        <v>81</v>
      </c>
      <c r="B105" s="76">
        <f t="shared" ref="B105:D105" si="58">IF(B81&lt;0,B81*-1,0)</f>
        <v>0</v>
      </c>
      <c r="C105" s="76">
        <f t="shared" si="58"/>
        <v>0</v>
      </c>
      <c r="D105" s="76">
        <f t="shared" si="58"/>
        <v>0</v>
      </c>
      <c r="E105" s="76">
        <f t="shared" ref="E105:AB105" si="59">IF(E81&lt;0,E81*-1,0)</f>
        <v>0</v>
      </c>
      <c r="F105" s="76">
        <f t="shared" si="59"/>
        <v>0</v>
      </c>
      <c r="G105" s="76">
        <f t="shared" si="59"/>
        <v>0</v>
      </c>
      <c r="H105" s="76">
        <f t="shared" si="59"/>
        <v>0</v>
      </c>
      <c r="I105" s="76">
        <f t="shared" si="59"/>
        <v>0</v>
      </c>
      <c r="J105" s="76">
        <f t="shared" si="59"/>
        <v>0</v>
      </c>
      <c r="K105" s="76">
        <f t="shared" si="59"/>
        <v>0</v>
      </c>
      <c r="L105" s="76">
        <f t="shared" si="59"/>
        <v>0</v>
      </c>
      <c r="M105" s="76">
        <f t="shared" si="59"/>
        <v>0</v>
      </c>
      <c r="N105" s="76">
        <f t="shared" si="59"/>
        <v>0</v>
      </c>
      <c r="O105" s="76">
        <f t="shared" si="59"/>
        <v>0</v>
      </c>
      <c r="P105" s="76">
        <f t="shared" si="59"/>
        <v>0</v>
      </c>
      <c r="Q105" s="76">
        <f t="shared" si="59"/>
        <v>0</v>
      </c>
      <c r="R105" s="76">
        <f t="shared" si="59"/>
        <v>0</v>
      </c>
      <c r="S105" s="76">
        <f t="shared" si="59"/>
        <v>0</v>
      </c>
      <c r="T105" s="76">
        <f t="shared" si="59"/>
        <v>0</v>
      </c>
      <c r="U105" s="76">
        <f t="shared" si="59"/>
        <v>0</v>
      </c>
      <c r="V105" s="76">
        <f t="shared" si="59"/>
        <v>0</v>
      </c>
      <c r="W105" s="76">
        <f t="shared" si="59"/>
        <v>0</v>
      </c>
      <c r="X105" s="76">
        <f t="shared" si="59"/>
        <v>0</v>
      </c>
      <c r="Y105" s="76">
        <f t="shared" si="59"/>
        <v>0</v>
      </c>
      <c r="Z105" s="76">
        <f t="shared" si="59"/>
        <v>0</v>
      </c>
      <c r="AA105" s="76">
        <f t="shared" si="59"/>
        <v>0</v>
      </c>
      <c r="AB105" s="76">
        <f t="shared" si="59"/>
        <v>0</v>
      </c>
      <c r="AC105" s="76">
        <f t="shared" ref="AC105:AD105" si="60">IF(AC81&lt;0,AC81*-1,0)</f>
        <v>0</v>
      </c>
      <c r="AD105" s="76">
        <f t="shared" si="60"/>
        <v>0</v>
      </c>
      <c r="AE105" s="76">
        <f t="shared" ref="AE105:AF105" si="61">IF(AE81&lt;0,AE81*-1,0)</f>
        <v>0</v>
      </c>
      <c r="AF105" s="76">
        <f t="shared" si="61"/>
        <v>0</v>
      </c>
      <c r="AG105" s="98"/>
      <c r="AH105" s="47">
        <f t="shared" si="23"/>
        <v>0</v>
      </c>
      <c r="AI105" s="48">
        <f t="shared" si="24"/>
        <v>0</v>
      </c>
    </row>
    <row r="106" spans="1:37" ht="15.75" thickBot="1" x14ac:dyDescent="0.3">
      <c r="A106" s="84" t="s">
        <v>106</v>
      </c>
      <c r="B106" s="94">
        <v>1</v>
      </c>
      <c r="C106" s="94">
        <v>2</v>
      </c>
      <c r="D106" s="94">
        <v>3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1</v>
      </c>
      <c r="Z106" s="94">
        <v>2</v>
      </c>
      <c r="AA106" s="94">
        <v>0</v>
      </c>
      <c r="AB106" s="94">
        <v>0</v>
      </c>
      <c r="AC106" s="94">
        <v>1</v>
      </c>
      <c r="AD106" s="94">
        <v>2</v>
      </c>
      <c r="AE106" s="94">
        <v>3</v>
      </c>
      <c r="AF106" s="94">
        <v>4</v>
      </c>
      <c r="AG106" s="85"/>
      <c r="AH106" s="47">
        <f t="shared" si="23"/>
        <v>4</v>
      </c>
      <c r="AI106" s="48">
        <f t="shared" si="24"/>
        <v>0</v>
      </c>
    </row>
    <row r="107" spans="1:37" ht="15.75" thickBot="1" x14ac:dyDescent="0.3">
      <c r="A107" s="99" t="s">
        <v>107</v>
      </c>
      <c r="B107" s="60">
        <f t="shared" ref="B107:D107" si="62">SUM(B101:B106)</f>
        <v>1</v>
      </c>
      <c r="C107" s="60">
        <f t="shared" si="62"/>
        <v>2</v>
      </c>
      <c r="D107" s="60">
        <f t="shared" si="62"/>
        <v>3</v>
      </c>
      <c r="E107" s="60">
        <f t="shared" ref="E107:AB107" si="63">SUM(E101:E106)</f>
        <v>0</v>
      </c>
      <c r="F107" s="60">
        <f t="shared" si="63"/>
        <v>0</v>
      </c>
      <c r="G107" s="60">
        <f t="shared" si="63"/>
        <v>0</v>
      </c>
      <c r="H107" s="60">
        <f t="shared" si="63"/>
        <v>0</v>
      </c>
      <c r="I107" s="60">
        <f t="shared" si="63"/>
        <v>0</v>
      </c>
      <c r="J107" s="60">
        <f t="shared" si="63"/>
        <v>0</v>
      </c>
      <c r="K107" s="60">
        <f t="shared" si="63"/>
        <v>0</v>
      </c>
      <c r="L107" s="60">
        <f t="shared" si="63"/>
        <v>0</v>
      </c>
      <c r="M107" s="60">
        <f t="shared" si="63"/>
        <v>0</v>
      </c>
      <c r="N107" s="60">
        <f t="shared" si="63"/>
        <v>0</v>
      </c>
      <c r="O107" s="60">
        <f t="shared" si="63"/>
        <v>0</v>
      </c>
      <c r="P107" s="60">
        <f t="shared" si="63"/>
        <v>0</v>
      </c>
      <c r="Q107" s="60">
        <f t="shared" si="63"/>
        <v>0</v>
      </c>
      <c r="R107" s="60">
        <f t="shared" si="63"/>
        <v>0</v>
      </c>
      <c r="S107" s="60">
        <f t="shared" si="63"/>
        <v>0</v>
      </c>
      <c r="T107" s="60">
        <f t="shared" si="63"/>
        <v>0</v>
      </c>
      <c r="U107" s="60">
        <f t="shared" si="63"/>
        <v>0</v>
      </c>
      <c r="V107" s="60">
        <f t="shared" si="63"/>
        <v>0</v>
      </c>
      <c r="W107" s="60">
        <f t="shared" si="63"/>
        <v>0</v>
      </c>
      <c r="X107" s="60">
        <f t="shared" si="63"/>
        <v>0</v>
      </c>
      <c r="Y107" s="60">
        <f t="shared" si="63"/>
        <v>1</v>
      </c>
      <c r="Z107" s="60">
        <f t="shared" si="63"/>
        <v>2</v>
      </c>
      <c r="AA107" s="60">
        <f t="shared" si="63"/>
        <v>0</v>
      </c>
      <c r="AB107" s="60">
        <f t="shared" si="63"/>
        <v>0</v>
      </c>
      <c r="AC107" s="60">
        <f t="shared" ref="AC107:AD107" si="64">SUM(AC101:AC106)</f>
        <v>1</v>
      </c>
      <c r="AD107" s="60">
        <f t="shared" si="64"/>
        <v>2</v>
      </c>
      <c r="AE107" s="60">
        <f t="shared" ref="AE107:AF107" si="65">SUM(AE101:AE106)</f>
        <v>3</v>
      </c>
      <c r="AF107" s="60">
        <f t="shared" si="65"/>
        <v>4</v>
      </c>
      <c r="AG107" s="88"/>
      <c r="AH107" s="47">
        <f t="shared" si="23"/>
        <v>4</v>
      </c>
      <c r="AI107" s="48">
        <f t="shared" si="24"/>
        <v>0</v>
      </c>
      <c r="AK107" s="50"/>
    </row>
    <row r="108" spans="1:37" ht="15.75" thickBot="1" x14ac:dyDescent="0.3">
      <c r="A108" s="74" t="s">
        <v>108</v>
      </c>
      <c r="B108" s="60">
        <f t="shared" ref="B108:D108" si="66">B92-B107</f>
        <v>587</v>
      </c>
      <c r="C108" s="60">
        <f t="shared" si="66"/>
        <v>578.9</v>
      </c>
      <c r="D108" s="60">
        <f t="shared" si="66"/>
        <v>546</v>
      </c>
      <c r="E108" s="60">
        <f t="shared" ref="E108:AB108" si="67">E92-E107</f>
        <v>470</v>
      </c>
      <c r="F108" s="60">
        <f t="shared" si="67"/>
        <v>501</v>
      </c>
      <c r="G108" s="60">
        <f t="shared" si="67"/>
        <v>533.70000000000005</v>
      </c>
      <c r="H108" s="60">
        <f t="shared" si="67"/>
        <v>547</v>
      </c>
      <c r="I108" s="60">
        <f t="shared" si="67"/>
        <v>600</v>
      </c>
      <c r="J108" s="60">
        <f t="shared" si="67"/>
        <v>622.4</v>
      </c>
      <c r="K108" s="60">
        <f t="shared" si="67"/>
        <v>349.7</v>
      </c>
      <c r="L108" s="60">
        <f t="shared" si="67"/>
        <v>172.7</v>
      </c>
      <c r="M108" s="60">
        <f t="shared" si="67"/>
        <v>124.5</v>
      </c>
      <c r="N108" s="60">
        <f t="shared" si="67"/>
        <v>119.5</v>
      </c>
      <c r="O108" s="60">
        <f t="shared" si="67"/>
        <v>357</v>
      </c>
      <c r="P108" s="60">
        <f t="shared" si="67"/>
        <v>418</v>
      </c>
      <c r="Q108" s="60">
        <f t="shared" si="67"/>
        <v>545</v>
      </c>
      <c r="R108" s="60">
        <f t="shared" si="67"/>
        <v>569.5</v>
      </c>
      <c r="S108" s="60">
        <f t="shared" si="67"/>
        <v>617.5</v>
      </c>
      <c r="T108" s="60">
        <f t="shared" si="67"/>
        <v>601.29999999999995</v>
      </c>
      <c r="U108" s="60">
        <f t="shared" si="67"/>
        <v>676</v>
      </c>
      <c r="V108" s="60">
        <f t="shared" si="67"/>
        <v>629</v>
      </c>
      <c r="W108" s="60">
        <f t="shared" si="67"/>
        <v>552</v>
      </c>
      <c r="X108" s="60">
        <f t="shared" si="67"/>
        <v>456</v>
      </c>
      <c r="Y108" s="60">
        <f>Y92-Y107</f>
        <v>379</v>
      </c>
      <c r="Z108" s="60">
        <f>Z92-Z107</f>
        <v>301.89999999999998</v>
      </c>
      <c r="AA108" s="60">
        <f t="shared" si="67"/>
        <v>352.8</v>
      </c>
      <c r="AB108" s="60">
        <f t="shared" si="67"/>
        <v>442</v>
      </c>
      <c r="AC108" s="60">
        <f t="shared" ref="AC108:AD108" si="68">AC92-AC107</f>
        <v>488.5</v>
      </c>
      <c r="AD108" s="60">
        <f t="shared" si="68"/>
        <v>565</v>
      </c>
      <c r="AE108" s="60">
        <f t="shared" ref="AE108:AF108" si="69">AE92-AE107</f>
        <v>552</v>
      </c>
      <c r="AF108" s="60">
        <f t="shared" si="69"/>
        <v>560</v>
      </c>
      <c r="AG108" s="88"/>
      <c r="AH108" s="47">
        <f t="shared" si="23"/>
        <v>676</v>
      </c>
      <c r="AI108" s="48">
        <f t="shared" si="24"/>
        <v>119.5</v>
      </c>
    </row>
    <row r="109" spans="1:37" x14ac:dyDescent="0.25">
      <c r="A109" s="100" t="s">
        <v>109</v>
      </c>
      <c r="B109" s="101">
        <v>49.99</v>
      </c>
      <c r="C109" s="101">
        <v>50</v>
      </c>
      <c r="D109" s="101">
        <v>49.97</v>
      </c>
      <c r="E109" s="101">
        <v>49.984999999999999</v>
      </c>
      <c r="F109" s="101">
        <v>49.999000000000002</v>
      </c>
      <c r="G109" s="101">
        <v>50.055999999999997</v>
      </c>
      <c r="H109" s="101">
        <v>50.000999999999998</v>
      </c>
      <c r="I109" s="101">
        <v>50.072000000000003</v>
      </c>
      <c r="J109" s="101">
        <v>50.005000000000003</v>
      </c>
      <c r="K109" s="101">
        <v>49.959000000000003</v>
      </c>
      <c r="L109" s="101">
        <v>49.886000000000003</v>
      </c>
      <c r="M109" s="101">
        <v>50.054000000000002</v>
      </c>
      <c r="N109" s="101">
        <v>50.070999999999998</v>
      </c>
      <c r="O109" s="101">
        <v>50.061999999999998</v>
      </c>
      <c r="P109" s="101">
        <v>50.036000000000001</v>
      </c>
      <c r="Q109" s="101">
        <v>50.015000000000001</v>
      </c>
      <c r="R109" s="101" t="s">
        <v>439</v>
      </c>
      <c r="S109" s="101">
        <v>50</v>
      </c>
      <c r="T109" s="101">
        <v>49.981999999999999</v>
      </c>
      <c r="U109" s="101">
        <v>50.021999999999998</v>
      </c>
      <c r="V109" s="101">
        <v>50.067999999999998</v>
      </c>
      <c r="W109" s="101">
        <v>50.106999999999999</v>
      </c>
      <c r="X109" s="101">
        <v>49.984000000000002</v>
      </c>
      <c r="Y109" s="101">
        <v>50.037999999999997</v>
      </c>
      <c r="Z109" s="101">
        <v>49.8</v>
      </c>
      <c r="AA109" s="101">
        <v>49.902999999999999</v>
      </c>
      <c r="AB109" s="101">
        <v>50.034999999999997</v>
      </c>
      <c r="AC109" s="101">
        <v>50.05</v>
      </c>
      <c r="AD109" s="101">
        <v>50.023000000000003</v>
      </c>
      <c r="AE109" s="101">
        <v>50.1</v>
      </c>
      <c r="AF109" s="101">
        <v>49.98</v>
      </c>
      <c r="AG109" s="102"/>
      <c r="AH109" s="47">
        <f t="shared" si="23"/>
        <v>50.106999999999999</v>
      </c>
      <c r="AI109" s="48">
        <f t="shared" si="24"/>
        <v>49.8</v>
      </c>
    </row>
    <row r="110" spans="1:37" x14ac:dyDescent="0.25">
      <c r="A110" s="103" t="s">
        <v>110</v>
      </c>
      <c r="B110" s="65">
        <v>128.9</v>
      </c>
      <c r="C110" s="65">
        <v>128.30000000000001</v>
      </c>
      <c r="D110" s="65">
        <v>128.19999999999999</v>
      </c>
      <c r="E110" s="65">
        <v>129.9</v>
      </c>
      <c r="F110" s="65">
        <v>128.19999999999999</v>
      </c>
      <c r="G110" s="65">
        <v>127.6</v>
      </c>
      <c r="H110" s="65">
        <v>127.3</v>
      </c>
      <c r="I110" s="65">
        <v>125</v>
      </c>
      <c r="J110" s="65">
        <v>123</v>
      </c>
      <c r="K110" s="65">
        <v>126.5</v>
      </c>
      <c r="L110" s="65">
        <v>125.6</v>
      </c>
      <c r="M110" s="65">
        <v>124.7</v>
      </c>
      <c r="N110" s="65">
        <v>123.6</v>
      </c>
      <c r="O110" s="65">
        <v>123.7</v>
      </c>
      <c r="P110" s="65">
        <v>122.7</v>
      </c>
      <c r="Q110" s="65">
        <v>123.5</v>
      </c>
      <c r="R110" s="65">
        <v>124.3</v>
      </c>
      <c r="S110" s="65">
        <v>124</v>
      </c>
      <c r="T110" s="65">
        <v>125.3</v>
      </c>
      <c r="U110" s="65">
        <v>125.7</v>
      </c>
      <c r="V110" s="65">
        <v>124.6</v>
      </c>
      <c r="W110" s="65">
        <v>125.1</v>
      </c>
      <c r="X110" s="65">
        <v>125.2</v>
      </c>
      <c r="Y110" s="65">
        <v>124.5</v>
      </c>
      <c r="Z110" s="65">
        <v>124.5</v>
      </c>
      <c r="AA110" s="65">
        <v>126.5</v>
      </c>
      <c r="AB110" s="65">
        <v>128</v>
      </c>
      <c r="AC110" s="65">
        <v>128</v>
      </c>
      <c r="AD110" s="65">
        <v>128</v>
      </c>
      <c r="AE110" s="65">
        <v>128</v>
      </c>
      <c r="AF110" s="65">
        <v>128</v>
      </c>
      <c r="AG110" s="104"/>
      <c r="AH110" s="47">
        <f t="shared" si="23"/>
        <v>129.9</v>
      </c>
      <c r="AI110" s="48">
        <f t="shared" si="24"/>
        <v>122.7</v>
      </c>
    </row>
    <row r="111" spans="1:37" x14ac:dyDescent="0.25">
      <c r="A111" s="103" t="s">
        <v>111</v>
      </c>
      <c r="B111" s="65">
        <v>132.1</v>
      </c>
      <c r="C111" s="65">
        <v>132.1</v>
      </c>
      <c r="D111" s="65">
        <v>132</v>
      </c>
      <c r="E111" s="65">
        <v>133.30000000000001</v>
      </c>
      <c r="F111" s="65">
        <v>131.80000000000001</v>
      </c>
      <c r="G111" s="65">
        <v>131</v>
      </c>
      <c r="H111" s="65">
        <v>130.6</v>
      </c>
      <c r="I111" s="65">
        <v>128.30000000000001</v>
      </c>
      <c r="J111" s="65">
        <v>126.6</v>
      </c>
      <c r="K111" s="65">
        <v>127.6</v>
      </c>
      <c r="L111" s="65">
        <v>127.8</v>
      </c>
      <c r="M111" s="65">
        <v>126.9</v>
      </c>
      <c r="N111" s="65">
        <v>125.1</v>
      </c>
      <c r="O111" s="65">
        <v>125.4</v>
      </c>
      <c r="P111" s="65">
        <v>124.7</v>
      </c>
      <c r="Q111" s="65">
        <v>125.4</v>
      </c>
      <c r="R111" s="65">
        <v>126.4</v>
      </c>
      <c r="S111" s="65">
        <v>126.3</v>
      </c>
      <c r="T111" s="65">
        <v>127.1</v>
      </c>
      <c r="U111" s="65">
        <v>127.5</v>
      </c>
      <c r="V111" s="65">
        <v>126.6</v>
      </c>
      <c r="W111" s="65">
        <v>126.5</v>
      </c>
      <c r="X111" s="65">
        <v>126.3</v>
      </c>
      <c r="Y111" s="65">
        <v>125</v>
      </c>
      <c r="Z111" s="65">
        <v>125</v>
      </c>
      <c r="AA111" s="65">
        <v>127</v>
      </c>
      <c r="AB111" s="65">
        <v>128.5</v>
      </c>
      <c r="AC111" s="65">
        <v>129</v>
      </c>
      <c r="AD111" s="65">
        <v>129</v>
      </c>
      <c r="AE111" s="65">
        <v>131</v>
      </c>
      <c r="AF111" s="65">
        <v>132</v>
      </c>
      <c r="AG111" s="104"/>
      <c r="AH111" s="47">
        <f t="shared" si="23"/>
        <v>133.30000000000001</v>
      </c>
      <c r="AI111" s="48">
        <f t="shared" si="24"/>
        <v>124.7</v>
      </c>
    </row>
    <row r="112" spans="1:37" x14ac:dyDescent="0.25">
      <c r="A112" s="103" t="s">
        <v>112</v>
      </c>
      <c r="B112" s="65">
        <v>131.69999999999999</v>
      </c>
      <c r="C112" s="65">
        <v>131.9</v>
      </c>
      <c r="D112" s="65">
        <v>132.19999999999999</v>
      </c>
      <c r="E112" s="65">
        <v>129.4</v>
      </c>
      <c r="F112" s="65">
        <v>130.9</v>
      </c>
      <c r="G112" s="65">
        <v>128.30000000000001</v>
      </c>
      <c r="H112" s="65">
        <v>129.1</v>
      </c>
      <c r="I112" s="65">
        <v>127.1</v>
      </c>
      <c r="J112" s="65">
        <v>126.8</v>
      </c>
      <c r="K112" s="65">
        <v>130.80000000000001</v>
      </c>
      <c r="L112" s="65">
        <v>128.1</v>
      </c>
      <c r="M112" s="65">
        <v>128</v>
      </c>
      <c r="N112" s="65">
        <v>131.4</v>
      </c>
      <c r="O112" s="65">
        <v>132.1</v>
      </c>
      <c r="P112" s="65">
        <v>125</v>
      </c>
      <c r="Q112" s="65">
        <v>127</v>
      </c>
      <c r="R112" s="65">
        <v>127.5</v>
      </c>
      <c r="S112" s="65">
        <v>123.2</v>
      </c>
      <c r="T112" s="65">
        <v>126.5</v>
      </c>
      <c r="U112" s="65">
        <v>128.69999999999999</v>
      </c>
      <c r="V112" s="65">
        <v>129.9</v>
      </c>
      <c r="W112" s="65">
        <v>125.8</v>
      </c>
      <c r="X112" s="65">
        <v>128.1</v>
      </c>
      <c r="Y112" s="65">
        <v>130</v>
      </c>
      <c r="Z112" s="65">
        <v>130</v>
      </c>
      <c r="AA112" s="65">
        <v>130</v>
      </c>
      <c r="AB112" s="65">
        <v>132.4</v>
      </c>
      <c r="AC112" s="65">
        <v>132</v>
      </c>
      <c r="AD112" s="65">
        <v>132</v>
      </c>
      <c r="AE112" s="65">
        <v>130</v>
      </c>
      <c r="AF112" s="65">
        <v>130</v>
      </c>
      <c r="AG112" s="104"/>
      <c r="AH112" s="47">
        <f t="shared" si="23"/>
        <v>132.4</v>
      </c>
      <c r="AI112" s="48">
        <f t="shared" si="24"/>
        <v>123.2</v>
      </c>
    </row>
    <row r="113" spans="1:35" x14ac:dyDescent="0.25">
      <c r="A113" s="105" t="s">
        <v>113</v>
      </c>
      <c r="B113" s="65">
        <v>133.9</v>
      </c>
      <c r="C113" s="65">
        <v>133.9</v>
      </c>
      <c r="D113" s="65">
        <v>134.1</v>
      </c>
      <c r="E113" s="65">
        <v>131.9</v>
      </c>
      <c r="F113" s="65">
        <v>133</v>
      </c>
      <c r="G113" s="65">
        <v>131.1</v>
      </c>
      <c r="H113" s="65">
        <v>130.80000000000001</v>
      </c>
      <c r="I113" s="65">
        <v>130.9</v>
      </c>
      <c r="J113" s="65">
        <v>129.19999999999999</v>
      </c>
      <c r="K113" s="65">
        <v>131.6</v>
      </c>
      <c r="L113" s="65">
        <v>128.69999999999999</v>
      </c>
      <c r="M113" s="65">
        <v>129</v>
      </c>
      <c r="N113" s="65">
        <v>131.9</v>
      </c>
      <c r="O113" s="65">
        <v>133.1</v>
      </c>
      <c r="P113" s="65">
        <v>128.4</v>
      </c>
      <c r="Q113" s="65">
        <v>129.9</v>
      </c>
      <c r="R113" s="65">
        <v>130.9</v>
      </c>
      <c r="S113" s="65">
        <v>126.3</v>
      </c>
      <c r="T113" s="65">
        <v>128.4</v>
      </c>
      <c r="U113" s="65">
        <v>129.80000000000001</v>
      </c>
      <c r="V113" s="65">
        <v>131.6</v>
      </c>
      <c r="W113" s="65">
        <v>126.7</v>
      </c>
      <c r="X113" s="65">
        <v>128.69999999999999</v>
      </c>
      <c r="Y113" s="65">
        <v>130.9</v>
      </c>
      <c r="Z113" s="65">
        <v>130.9</v>
      </c>
      <c r="AA113" s="65">
        <v>131.9</v>
      </c>
      <c r="AB113" s="65">
        <v>133.1</v>
      </c>
      <c r="AC113" s="65">
        <v>133</v>
      </c>
      <c r="AD113" s="65">
        <v>133</v>
      </c>
      <c r="AE113" s="65">
        <v>132</v>
      </c>
      <c r="AF113" s="65">
        <v>132</v>
      </c>
      <c r="AG113" s="104"/>
      <c r="AH113" s="47">
        <f t="shared" si="23"/>
        <v>134.1</v>
      </c>
      <c r="AI113" s="48">
        <f t="shared" si="24"/>
        <v>126.3</v>
      </c>
    </row>
    <row r="114" spans="1:35" x14ac:dyDescent="0.25">
      <c r="A114" s="105" t="s">
        <v>114</v>
      </c>
      <c r="B114" s="106">
        <v>130</v>
      </c>
      <c r="C114" s="106">
        <v>129.69999999999999</v>
      </c>
      <c r="D114" s="106">
        <v>130.5</v>
      </c>
      <c r="E114" s="106">
        <v>133.6</v>
      </c>
      <c r="F114" s="106">
        <v>132.6</v>
      </c>
      <c r="G114" s="106">
        <v>129.69999999999999</v>
      </c>
      <c r="H114" s="106">
        <v>131.30000000000001</v>
      </c>
      <c r="I114" s="106">
        <v>131.1</v>
      </c>
      <c r="J114" s="106">
        <v>130.9</v>
      </c>
      <c r="K114" s="106">
        <v>132.30000000000001</v>
      </c>
      <c r="L114" s="106">
        <v>130.80000000000001</v>
      </c>
      <c r="M114" s="106">
        <v>130.69999999999999</v>
      </c>
      <c r="N114" s="106">
        <v>130.9</v>
      </c>
      <c r="O114" s="106">
        <v>128</v>
      </c>
      <c r="P114" s="106">
        <v>131</v>
      </c>
      <c r="Q114" s="106">
        <v>133</v>
      </c>
      <c r="R114" s="106">
        <v>134.30000000000001</v>
      </c>
      <c r="S114" s="106">
        <v>132.5</v>
      </c>
      <c r="T114" s="106">
        <v>133.5</v>
      </c>
      <c r="U114" s="106">
        <v>136.6</v>
      </c>
      <c r="V114" s="106">
        <v>134</v>
      </c>
      <c r="W114" s="106">
        <v>133.69999999999999</v>
      </c>
      <c r="X114" s="106">
        <v>135.19999999999999</v>
      </c>
      <c r="Y114" s="106">
        <v>131.80000000000001</v>
      </c>
      <c r="Z114" s="106">
        <v>131.80000000000001</v>
      </c>
      <c r="AA114" s="106">
        <v>133</v>
      </c>
      <c r="AB114" s="106">
        <v>134.9</v>
      </c>
      <c r="AC114" s="106">
        <v>135</v>
      </c>
      <c r="AD114" s="106">
        <v>135</v>
      </c>
      <c r="AE114" s="106">
        <v>135</v>
      </c>
      <c r="AF114" s="106">
        <v>136</v>
      </c>
      <c r="AG114" s="107"/>
      <c r="AH114" s="47">
        <f t="shared" si="23"/>
        <v>136.6</v>
      </c>
      <c r="AI114" s="48">
        <f t="shared" si="24"/>
        <v>128</v>
      </c>
    </row>
    <row r="115" spans="1:35" x14ac:dyDescent="0.25">
      <c r="A115" s="103" t="s">
        <v>115</v>
      </c>
      <c r="B115" s="65">
        <v>134.19999999999999</v>
      </c>
      <c r="C115" s="65">
        <v>136.4</v>
      </c>
      <c r="D115" s="65">
        <v>133</v>
      </c>
      <c r="E115" s="65">
        <v>130.9</v>
      </c>
      <c r="F115" s="65">
        <v>138.5</v>
      </c>
      <c r="G115" s="65">
        <v>137.1</v>
      </c>
      <c r="H115" s="65">
        <v>133</v>
      </c>
      <c r="I115" s="65">
        <v>125</v>
      </c>
      <c r="J115" s="65">
        <v>124.2</v>
      </c>
      <c r="K115" s="65">
        <v>132.69999999999999</v>
      </c>
      <c r="L115" s="65">
        <v>128</v>
      </c>
      <c r="M115" s="65">
        <v>130.30000000000001</v>
      </c>
      <c r="N115" s="65">
        <v>132</v>
      </c>
      <c r="O115" s="65">
        <v>135</v>
      </c>
      <c r="P115" s="65">
        <v>133.19999999999999</v>
      </c>
      <c r="Q115" s="65">
        <v>133.19999999999999</v>
      </c>
      <c r="R115" s="65">
        <v>131.4</v>
      </c>
      <c r="S115" s="65">
        <v>133.6</v>
      </c>
      <c r="T115" s="65">
        <v>130.19999999999999</v>
      </c>
      <c r="U115" s="65">
        <v>133</v>
      </c>
      <c r="V115" s="65">
        <v>137.9</v>
      </c>
      <c r="W115" s="65">
        <v>136.5</v>
      </c>
      <c r="X115" s="65">
        <v>128</v>
      </c>
      <c r="Y115" s="65">
        <v>129.6</v>
      </c>
      <c r="Z115" s="65">
        <v>129.6</v>
      </c>
      <c r="AA115" s="65">
        <v>132</v>
      </c>
      <c r="AB115" s="65">
        <v>130.80000000000001</v>
      </c>
      <c r="AC115" s="65">
        <v>131</v>
      </c>
      <c r="AD115" s="65">
        <v>131</v>
      </c>
      <c r="AE115" s="65">
        <v>133</v>
      </c>
      <c r="AF115" s="65">
        <v>132</v>
      </c>
      <c r="AG115" s="104"/>
      <c r="AH115" s="47">
        <f t="shared" si="23"/>
        <v>138.5</v>
      </c>
      <c r="AI115" s="48">
        <f t="shared" si="24"/>
        <v>124.2</v>
      </c>
    </row>
    <row r="116" spans="1:35" ht="15.75" thickBot="1" x14ac:dyDescent="0.3">
      <c r="A116" s="103" t="s">
        <v>116</v>
      </c>
      <c r="B116" s="92">
        <v>66</v>
      </c>
      <c r="C116" s="92">
        <v>66.3</v>
      </c>
      <c r="D116" s="92">
        <v>66.400000000000006</v>
      </c>
      <c r="E116" s="92">
        <v>67</v>
      </c>
      <c r="F116" s="92">
        <v>66.5</v>
      </c>
      <c r="G116" s="92">
        <v>65.7</v>
      </c>
      <c r="H116" s="92">
        <v>65.599999999999994</v>
      </c>
      <c r="I116" s="92">
        <v>64.2</v>
      </c>
      <c r="J116" s="92">
        <v>63.7</v>
      </c>
      <c r="K116" s="92">
        <v>64</v>
      </c>
      <c r="L116" s="92">
        <v>64</v>
      </c>
      <c r="M116" s="92">
        <v>63.4</v>
      </c>
      <c r="N116" s="92">
        <v>62.6</v>
      </c>
      <c r="O116" s="92">
        <v>62.9</v>
      </c>
      <c r="P116" s="92">
        <v>62.9</v>
      </c>
      <c r="Q116" s="92">
        <v>63.1</v>
      </c>
      <c r="R116" s="92">
        <v>63.6</v>
      </c>
      <c r="S116" s="92">
        <v>63.7</v>
      </c>
      <c r="T116" s="92">
        <v>63.7</v>
      </c>
      <c r="U116" s="92">
        <v>63.9</v>
      </c>
      <c r="V116" s="92">
        <v>63.2</v>
      </c>
      <c r="W116" s="92">
        <v>63.4</v>
      </c>
      <c r="X116" s="92">
        <v>63.1</v>
      </c>
      <c r="Y116" s="92">
        <v>62.6</v>
      </c>
      <c r="Z116" s="92">
        <v>62.6</v>
      </c>
      <c r="AA116" s="92">
        <v>63.7</v>
      </c>
      <c r="AB116" s="92">
        <v>64.400000000000006</v>
      </c>
      <c r="AC116" s="92">
        <v>64.7</v>
      </c>
      <c r="AD116" s="92">
        <v>64.7</v>
      </c>
      <c r="AE116" s="92">
        <v>66</v>
      </c>
      <c r="AF116" s="92">
        <v>66.400000000000006</v>
      </c>
      <c r="AG116" s="108"/>
      <c r="AH116" s="47">
        <f t="shared" si="23"/>
        <v>67</v>
      </c>
      <c r="AI116" s="48">
        <f t="shared" si="24"/>
        <v>62.6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 t="s">
        <v>117</v>
      </c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23"/>
        <v>0</v>
      </c>
      <c r="AI117" s="48">
        <f t="shared" si="24"/>
        <v>0</v>
      </c>
    </row>
    <row r="118" spans="1:35" ht="15.75" thickBot="1" x14ac:dyDescent="0.3">
      <c r="A118" s="110" t="s">
        <v>118</v>
      </c>
      <c r="B118" s="111">
        <f>SUM(B22,B28,B31:B32,B66,B68:B69,B71,B73,B119:B123,B155,B161,B167,B176,B178,B190,B197,B200:B201,B208,B210,B212,B216:B218,B220:B222,B227,B233:B234,B236:B238,B246,B251)</f>
        <v>169.55599999999998</v>
      </c>
      <c r="C118" s="111">
        <f t="shared" ref="C118:D118" si="70">SUM(C22,C28,C31:C32,C66,C68:C69,C71,C73,C119:C123,C155,C161,C167,C176,C178,C190,C197,C200:C201,C208,C210,C212,C216:C218,C220:C222,C227,C233:C234,C236:C238,C246,C251)</f>
        <v>153.74</v>
      </c>
      <c r="D118" s="111">
        <f t="shared" si="70"/>
        <v>145.33999999999997</v>
      </c>
      <c r="E118" s="111">
        <f t="shared" ref="E118:O118" si="71">SUM(E22,E28,E31:E32,E66,E68:E69,E71,E73,E119:E123,E155,E161,E167,E176,E178,E190,E197,E200:E201,E208,E210,E212,E216:E218,E220:E222,E227,E233:E234,E236:E238,E246,E251)</f>
        <v>145.91999999999996</v>
      </c>
      <c r="F118" s="111">
        <f t="shared" si="71"/>
        <v>165.71999999999997</v>
      </c>
      <c r="G118" s="111">
        <f t="shared" si="71"/>
        <v>188.21999999999997</v>
      </c>
      <c r="H118" s="111">
        <f t="shared" si="71"/>
        <v>222.22</v>
      </c>
      <c r="I118" s="111">
        <f t="shared" si="71"/>
        <v>272.12</v>
      </c>
      <c r="J118" s="111">
        <f t="shared" si="71"/>
        <v>335.94</v>
      </c>
      <c r="K118" s="111">
        <f t="shared" si="71"/>
        <v>394.73999999999995</v>
      </c>
      <c r="L118" s="111">
        <f t="shared" si="71"/>
        <v>423.84</v>
      </c>
      <c r="M118" s="111">
        <f t="shared" si="71"/>
        <v>431.48499999999996</v>
      </c>
      <c r="N118" s="111">
        <f t="shared" si="71"/>
        <v>398.74</v>
      </c>
      <c r="O118" s="111">
        <f t="shared" si="71"/>
        <v>370.14</v>
      </c>
      <c r="P118" s="111">
        <v>42</v>
      </c>
      <c r="Q118" s="111">
        <f t="shared" ref="Q118:AB118" si="72">SUM(Q22,Q28,Q31:Q32,Q66,Q68:Q69,Q71,Q73,Q119:Q123,Q155,Q161,Q167,Q176,Q178,Q190,Q197,Q200:Q201,Q208,Q210,Q212,Q216:Q218,Q220:Q222,Q227,Q233:Q234,Q236:Q238,Q246,Q251)</f>
        <v>372.38499999999993</v>
      </c>
      <c r="R118" s="111">
        <f t="shared" si="72"/>
        <v>204.74</v>
      </c>
      <c r="S118" s="111">
        <f t="shared" si="72"/>
        <v>330.23999999999995</v>
      </c>
      <c r="T118" s="111">
        <f t="shared" si="72"/>
        <v>345.81399999999996</v>
      </c>
      <c r="U118" s="111">
        <f t="shared" si="72"/>
        <v>363.57</v>
      </c>
      <c r="V118" s="111">
        <f t="shared" si="72"/>
        <v>382.44199999999995</v>
      </c>
      <c r="W118" s="111">
        <f t="shared" si="72"/>
        <v>381.142</v>
      </c>
      <c r="X118" s="111">
        <f t="shared" si="72"/>
        <v>462.66699999999997</v>
      </c>
      <c r="Y118" s="111">
        <f t="shared" ref="Y118:Z118" si="73">SUM(Y20,Y26,Y37:Y38,Y66,Y68:Y69,Y71,Y73,Y119:Y123,Y148,Y154,Y160,Y169,Y171,Y183,Y190,Y193:Y194,Y201,Y203,Y205,Y209:Y211,Y213:Y215,Y220,Y226:Y227,Y229:Y231,Y239,Y244)</f>
        <v>484.05199999999996</v>
      </c>
      <c r="Z118" s="111">
        <f t="shared" si="73"/>
        <v>491.1</v>
      </c>
      <c r="AA118" s="111">
        <f t="shared" si="72"/>
        <v>464.04</v>
      </c>
      <c r="AB118" s="111">
        <f t="shared" si="72"/>
        <v>475.04</v>
      </c>
      <c r="AC118" s="111">
        <f t="shared" ref="AC118:AD118" si="74">SUM(AC22,AC28,AC31:AC32,AC66,AC68:AC69,AC71,AC73,AC119:AC123,AC155,AC161,AC167,AC176,AC178,AC190,AC197,AC200:AC201,AC208,AC210,AC212,AC216:AC218,AC220:AC222,AC227,AC233:AC234,AC236:AC238,AC246,AC251)</f>
        <v>425.44</v>
      </c>
      <c r="AD118" s="111">
        <f t="shared" si="74"/>
        <v>394.44</v>
      </c>
      <c r="AE118" s="111">
        <f t="shared" ref="AE118:AF118" si="75">SUM(AE22,AE28,AE31:AE32,AE66,AE68:AE69,AE71,AE73,AE119:AE123,AE155,AE161,AE167,AE176,AE178,AE190,AE197,AE200:AE201,AE208,AE210,AE212,AE216:AE218,AE220:AE222,AE227,AE233:AE234,AE236:AE238,AE246,AE251)</f>
        <v>290.44</v>
      </c>
      <c r="AF118" s="111">
        <f t="shared" si="75"/>
        <v>181.44</v>
      </c>
      <c r="AG118" s="112"/>
      <c r="AH118" s="47">
        <f t="shared" si="23"/>
        <v>491.1</v>
      </c>
      <c r="AI118" s="48">
        <f t="shared" si="24"/>
        <v>42</v>
      </c>
    </row>
    <row r="119" spans="1:35" x14ac:dyDescent="0.25">
      <c r="A119" s="172" t="s">
        <v>119</v>
      </c>
      <c r="B119" s="113">
        <v>-16</v>
      </c>
      <c r="C119" s="113">
        <v>-10.6</v>
      </c>
      <c r="D119" s="113">
        <v>-5.4</v>
      </c>
      <c r="E119" s="113">
        <v>-0.7</v>
      </c>
      <c r="F119" s="113">
        <v>1.1000000000000001</v>
      </c>
      <c r="G119" s="113">
        <v>-0.7</v>
      </c>
      <c r="H119" s="113">
        <v>15.4</v>
      </c>
      <c r="I119" s="113">
        <v>29</v>
      </c>
      <c r="J119" s="113">
        <v>36.200000000000003</v>
      </c>
      <c r="K119" s="113">
        <v>37.299999999999997</v>
      </c>
      <c r="L119" s="113">
        <v>37.4</v>
      </c>
      <c r="M119" s="113">
        <v>41.9</v>
      </c>
      <c r="N119" s="113">
        <v>33.700000000000003</v>
      </c>
      <c r="O119" s="113">
        <v>16</v>
      </c>
      <c r="P119" s="113">
        <v>6</v>
      </c>
      <c r="Q119" s="113">
        <v>5.9</v>
      </c>
      <c r="R119" s="113">
        <v>6.2</v>
      </c>
      <c r="S119" s="113">
        <v>14.9</v>
      </c>
      <c r="T119" s="113">
        <v>16</v>
      </c>
      <c r="U119" s="113">
        <v>23.7</v>
      </c>
      <c r="V119" s="113">
        <v>30.4</v>
      </c>
      <c r="W119" s="113">
        <v>30.4</v>
      </c>
      <c r="X119" s="113">
        <v>57.1</v>
      </c>
      <c r="Y119" s="113">
        <v>57.9</v>
      </c>
      <c r="Z119" s="113">
        <v>59.7</v>
      </c>
      <c r="AA119" s="113">
        <v>58.8</v>
      </c>
      <c r="AB119" s="113">
        <v>62.3</v>
      </c>
      <c r="AC119" s="113">
        <v>73</v>
      </c>
      <c r="AD119" s="113">
        <v>65</v>
      </c>
      <c r="AE119" s="113">
        <v>57</v>
      </c>
      <c r="AF119" s="113">
        <v>25</v>
      </c>
      <c r="AG119" s="114">
        <v>75</v>
      </c>
      <c r="AH119" s="47">
        <f t="shared" si="23"/>
        <v>73</v>
      </c>
      <c r="AI119" s="48">
        <f t="shared" si="24"/>
        <v>-16</v>
      </c>
    </row>
    <row r="120" spans="1:35" x14ac:dyDescent="0.25">
      <c r="A120" s="173" t="s">
        <v>120</v>
      </c>
      <c r="B120" s="115">
        <v>-21</v>
      </c>
      <c r="C120" s="115">
        <v>-15.5</v>
      </c>
      <c r="D120" s="115">
        <v>-7.2</v>
      </c>
      <c r="E120" s="115">
        <v>0.3</v>
      </c>
      <c r="F120" s="115">
        <v>-1</v>
      </c>
      <c r="G120" s="115">
        <v>-1.5</v>
      </c>
      <c r="H120" s="115">
        <v>19.100000000000001</v>
      </c>
      <c r="I120" s="115">
        <v>39.799999999999997</v>
      </c>
      <c r="J120" s="115">
        <v>47.2</v>
      </c>
      <c r="K120" s="115">
        <v>51.7</v>
      </c>
      <c r="L120" s="115">
        <v>51.8</v>
      </c>
      <c r="M120" s="115">
        <v>58.3</v>
      </c>
      <c r="N120" s="115">
        <v>47</v>
      </c>
      <c r="O120" s="115">
        <v>25</v>
      </c>
      <c r="P120" s="115">
        <v>37.700000000000003</v>
      </c>
      <c r="Q120" s="115">
        <v>37.700000000000003</v>
      </c>
      <c r="R120" s="115">
        <v>40</v>
      </c>
      <c r="S120" s="115">
        <v>18</v>
      </c>
      <c r="T120" s="115">
        <v>18.100000000000001</v>
      </c>
      <c r="U120" s="115">
        <v>27.7</v>
      </c>
      <c r="V120" s="115">
        <v>39.799999999999997</v>
      </c>
      <c r="W120" s="115">
        <v>39.799999999999997</v>
      </c>
      <c r="X120" s="115">
        <v>76.5</v>
      </c>
      <c r="Y120" s="115">
        <v>79</v>
      </c>
      <c r="Z120" s="115">
        <v>82.3</v>
      </c>
      <c r="AA120" s="115">
        <v>79.8</v>
      </c>
      <c r="AB120" s="115">
        <v>85</v>
      </c>
      <c r="AC120" s="115">
        <v>53</v>
      </c>
      <c r="AD120" s="115">
        <v>47</v>
      </c>
      <c r="AE120" s="115">
        <v>40</v>
      </c>
      <c r="AF120" s="115">
        <v>20</v>
      </c>
      <c r="AG120" s="114">
        <v>240</v>
      </c>
      <c r="AH120" s="47">
        <f t="shared" si="23"/>
        <v>85</v>
      </c>
      <c r="AI120" s="48">
        <f t="shared" si="24"/>
        <v>-21</v>
      </c>
    </row>
    <row r="121" spans="1:35" x14ac:dyDescent="0.25">
      <c r="A121" s="173" t="s">
        <v>121</v>
      </c>
      <c r="B121" s="115">
        <v>-15.6</v>
      </c>
      <c r="C121" s="115">
        <f>-12.1-13.5</f>
        <v>-25.6</v>
      </c>
      <c r="D121" s="115">
        <f>-16.9-19</f>
        <v>-35.9</v>
      </c>
      <c r="E121" s="115">
        <f>-17-20</f>
        <v>-37</v>
      </c>
      <c r="F121" s="115">
        <f>-16.7-18.7</f>
        <v>-35.4</v>
      </c>
      <c r="G121" s="115">
        <f>-13.3-14.9</f>
        <v>-28.200000000000003</v>
      </c>
      <c r="H121" s="115">
        <f>-11-13</f>
        <v>-24</v>
      </c>
      <c r="I121" s="115">
        <f>-10-12</f>
        <v>-22</v>
      </c>
      <c r="J121" s="115">
        <f>-1.4-2</f>
        <v>-3.4</v>
      </c>
      <c r="K121" s="115">
        <f>19+19.2</f>
        <v>38.200000000000003</v>
      </c>
      <c r="L121" s="115">
        <f>23+23.9</f>
        <v>46.9</v>
      </c>
      <c r="M121" s="115">
        <v>37.799999999999997</v>
      </c>
      <c r="N121" s="115">
        <v>36</v>
      </c>
      <c r="O121" s="115">
        <v>43</v>
      </c>
      <c r="P121" s="115">
        <v>32</v>
      </c>
      <c r="Q121" s="115">
        <v>28.6</v>
      </c>
      <c r="R121" s="115">
        <v>22</v>
      </c>
      <c r="S121" s="115">
        <v>11.6</v>
      </c>
      <c r="T121" s="115">
        <v>33</v>
      </c>
      <c r="U121" s="115">
        <v>35</v>
      </c>
      <c r="V121" s="115">
        <v>37</v>
      </c>
      <c r="W121" s="115">
        <v>37</v>
      </c>
      <c r="X121" s="115">
        <v>40.299999999999997</v>
      </c>
      <c r="Y121" s="115">
        <v>38</v>
      </c>
      <c r="Z121" s="115">
        <v>40</v>
      </c>
      <c r="AA121" s="115">
        <v>35</v>
      </c>
      <c r="AB121" s="115">
        <v>49</v>
      </c>
      <c r="AC121" s="115">
        <v>44</v>
      </c>
      <c r="AD121" s="115">
        <v>33</v>
      </c>
      <c r="AE121" s="115">
        <v>5</v>
      </c>
      <c r="AF121" s="115">
        <v>-35</v>
      </c>
      <c r="AG121" s="114">
        <v>240</v>
      </c>
      <c r="AH121" s="47">
        <f t="shared" si="23"/>
        <v>49</v>
      </c>
      <c r="AI121" s="48">
        <f t="shared" si="24"/>
        <v>-37</v>
      </c>
    </row>
    <row r="122" spans="1:35" ht="15.75" thickBot="1" x14ac:dyDescent="0.3">
      <c r="A122" s="173" t="s">
        <v>122</v>
      </c>
      <c r="B122" s="115">
        <v>-5.9</v>
      </c>
      <c r="C122" s="115">
        <v>-10.4</v>
      </c>
      <c r="D122" s="115">
        <v>-11</v>
      </c>
      <c r="E122" s="115">
        <v>-11</v>
      </c>
      <c r="F122" s="115">
        <v>-9.6999999999999993</v>
      </c>
      <c r="G122" s="115">
        <v>-2.2999999999999998</v>
      </c>
      <c r="H122" s="115">
        <v>-1</v>
      </c>
      <c r="I122" s="115">
        <v>4.4000000000000004</v>
      </c>
      <c r="J122" s="115">
        <v>5.5</v>
      </c>
      <c r="K122" s="115">
        <v>33.5</v>
      </c>
      <c r="L122" s="115">
        <v>37.1</v>
      </c>
      <c r="M122" s="115">
        <v>32.6</v>
      </c>
      <c r="N122" s="115">
        <v>26</v>
      </c>
      <c r="O122" s="115">
        <v>28</v>
      </c>
      <c r="P122" s="115">
        <v>30</v>
      </c>
      <c r="Q122" s="115">
        <v>28.7</v>
      </c>
      <c r="R122" s="115">
        <v>19</v>
      </c>
      <c r="S122" s="115">
        <v>18.7</v>
      </c>
      <c r="T122" s="115">
        <v>23.7</v>
      </c>
      <c r="U122" s="115">
        <v>25.3</v>
      </c>
      <c r="V122" s="115">
        <v>25.2</v>
      </c>
      <c r="W122" s="115">
        <v>25.2</v>
      </c>
      <c r="X122" s="115">
        <v>44.4</v>
      </c>
      <c r="Y122" s="115">
        <v>46.7</v>
      </c>
      <c r="Z122" s="115">
        <v>46.3</v>
      </c>
      <c r="AA122" s="115">
        <v>47</v>
      </c>
      <c r="AB122" s="115">
        <v>45.3</v>
      </c>
      <c r="AC122" s="115">
        <v>37</v>
      </c>
      <c r="AD122" s="115">
        <v>31</v>
      </c>
      <c r="AE122" s="115">
        <v>10</v>
      </c>
      <c r="AF122" s="115">
        <v>-2</v>
      </c>
      <c r="AG122" s="114">
        <v>60</v>
      </c>
      <c r="AH122" s="47">
        <f t="shared" si="23"/>
        <v>47</v>
      </c>
      <c r="AI122" s="48">
        <f t="shared" si="24"/>
        <v>-11</v>
      </c>
    </row>
    <row r="123" spans="1:35" x14ac:dyDescent="0.25">
      <c r="A123" s="172" t="s">
        <v>260</v>
      </c>
      <c r="B123" s="117">
        <f>79.51*1.6</f>
        <v>127.21600000000001</v>
      </c>
      <c r="C123" s="117">
        <f>72*1.6</f>
        <v>115.2</v>
      </c>
      <c r="D123" s="117">
        <f>65*1.6</f>
        <v>104</v>
      </c>
      <c r="E123" s="117">
        <f>57*1.64</f>
        <v>93.47999999999999</v>
      </c>
      <c r="F123" s="117">
        <f>67*1.64</f>
        <v>109.88</v>
      </c>
      <c r="G123" s="117">
        <f>72*1.64</f>
        <v>118.08</v>
      </c>
      <c r="H123" s="117">
        <f>67*1.64</f>
        <v>109.88</v>
      </c>
      <c r="I123" s="117">
        <f>72*1.64</f>
        <v>118.08</v>
      </c>
      <c r="J123" s="117">
        <f>90*1.64</f>
        <v>147.6</v>
      </c>
      <c r="K123" s="117">
        <f>80*1.64</f>
        <v>131.19999999999999</v>
      </c>
      <c r="L123" s="117">
        <f>90*1.64</f>
        <v>147.6</v>
      </c>
      <c r="M123" s="117">
        <f>1.65*95.3</f>
        <v>157.24499999999998</v>
      </c>
      <c r="N123" s="117">
        <v>145</v>
      </c>
      <c r="O123" s="117">
        <v>145</v>
      </c>
      <c r="P123" s="117">
        <f>1.65*96.9</f>
        <v>159.88499999999999</v>
      </c>
      <c r="Q123" s="117">
        <f>1.65*93.3</f>
        <v>153.94499999999999</v>
      </c>
      <c r="R123" s="117"/>
      <c r="S123" s="117">
        <v>161</v>
      </c>
      <c r="T123" s="117">
        <f>92.2*1.67</f>
        <v>153.97399999999999</v>
      </c>
      <c r="U123" s="117">
        <f>89*1.67</f>
        <v>148.63</v>
      </c>
      <c r="V123" s="117">
        <f>90.6*1.67</f>
        <v>151.30199999999999</v>
      </c>
      <c r="W123" s="117">
        <f>90.6*1.67</f>
        <v>151.30199999999999</v>
      </c>
      <c r="X123" s="117">
        <f>88.1*1.67</f>
        <v>147.12699999999998</v>
      </c>
      <c r="Y123" s="117">
        <f>95.6*1.67</f>
        <v>159.65199999999999</v>
      </c>
      <c r="Z123" s="117">
        <v>160</v>
      </c>
      <c r="AA123" s="117">
        <v>145</v>
      </c>
      <c r="AB123" s="117">
        <v>135</v>
      </c>
      <c r="AC123" s="117">
        <v>120</v>
      </c>
      <c r="AD123" s="117">
        <v>120</v>
      </c>
      <c r="AE123" s="117">
        <v>80</v>
      </c>
      <c r="AF123" s="117">
        <v>75</v>
      </c>
      <c r="AG123" s="118">
        <v>120</v>
      </c>
      <c r="AH123" s="47">
        <f t="shared" si="23"/>
        <v>161</v>
      </c>
      <c r="AI123" s="48">
        <f t="shared" si="24"/>
        <v>75</v>
      </c>
    </row>
    <row r="124" spans="1:35" x14ac:dyDescent="0.25">
      <c r="A124" s="173" t="s">
        <v>259</v>
      </c>
      <c r="B124" s="117">
        <v>93.2</v>
      </c>
      <c r="C124" s="117">
        <v>89.5</v>
      </c>
      <c r="D124" s="117">
        <v>93.5</v>
      </c>
      <c r="E124" s="117">
        <v>73.7</v>
      </c>
      <c r="F124" s="117">
        <v>83</v>
      </c>
      <c r="G124" s="117">
        <v>85.2</v>
      </c>
      <c r="H124" s="117">
        <v>81</v>
      </c>
      <c r="I124" s="117">
        <v>84.8</v>
      </c>
      <c r="J124" s="117">
        <v>98.8</v>
      </c>
      <c r="K124" s="117">
        <v>91.3</v>
      </c>
      <c r="L124" s="117">
        <v>99.2</v>
      </c>
      <c r="M124" s="117">
        <v>103.1</v>
      </c>
      <c r="N124" s="117">
        <v>106</v>
      </c>
      <c r="O124" s="117">
        <v>106</v>
      </c>
      <c r="P124" s="117">
        <v>107.3</v>
      </c>
      <c r="Q124" s="117">
        <v>101.2</v>
      </c>
      <c r="R124" s="117">
        <v>96.8</v>
      </c>
      <c r="S124" s="117">
        <v>97.5</v>
      </c>
      <c r="T124" s="117">
        <v>102.7</v>
      </c>
      <c r="U124" s="117">
        <v>99.1</v>
      </c>
      <c r="V124" s="117">
        <v>100.7</v>
      </c>
      <c r="W124" s="117">
        <v>100.7</v>
      </c>
      <c r="X124" s="117">
        <v>98.2</v>
      </c>
      <c r="Y124" s="117">
        <v>103.5</v>
      </c>
      <c r="Z124" s="117">
        <v>101.8</v>
      </c>
      <c r="AA124" s="117">
        <v>97.3</v>
      </c>
      <c r="AB124" s="117">
        <v>83</v>
      </c>
      <c r="AC124" s="117">
        <v>92</v>
      </c>
      <c r="AD124" s="117">
        <v>92</v>
      </c>
      <c r="AE124" s="117">
        <v>75</v>
      </c>
      <c r="AF124" s="117">
        <v>76</v>
      </c>
      <c r="AG124" s="118"/>
      <c r="AH124" s="47"/>
      <c r="AI124" s="48"/>
    </row>
    <row r="125" spans="1:35" x14ac:dyDescent="0.25">
      <c r="A125" s="173" t="s">
        <v>256</v>
      </c>
      <c r="B125" s="117">
        <v>63.5</v>
      </c>
      <c r="C125" s="117">
        <v>67</v>
      </c>
      <c r="D125" s="117">
        <v>63.5</v>
      </c>
      <c r="E125" s="117">
        <v>52.1</v>
      </c>
      <c r="F125" s="117">
        <v>56.6</v>
      </c>
      <c r="G125" s="117">
        <v>63.8</v>
      </c>
      <c r="H125" s="117">
        <v>40.1</v>
      </c>
      <c r="I125" s="117">
        <v>16.600000000000001</v>
      </c>
      <c r="J125" s="117">
        <v>10.3</v>
      </c>
      <c r="K125" s="117">
        <v>-28.9</v>
      </c>
      <c r="L125" s="117">
        <v>-30.2</v>
      </c>
      <c r="M125" s="117">
        <v>-32.4</v>
      </c>
      <c r="N125" s="117">
        <v>-14</v>
      </c>
      <c r="O125" s="117">
        <v>24</v>
      </c>
      <c r="P125" s="117">
        <v>26</v>
      </c>
      <c r="Q125" s="117">
        <v>29.3</v>
      </c>
      <c r="R125" s="117">
        <v>33</v>
      </c>
      <c r="S125" s="117">
        <v>40.200000000000003</v>
      </c>
      <c r="T125" s="117">
        <v>37.6</v>
      </c>
      <c r="U125" s="117">
        <v>19.8</v>
      </c>
      <c r="V125" s="117">
        <v>-6.6</v>
      </c>
      <c r="W125" s="117">
        <v>-6.6</v>
      </c>
      <c r="X125" s="117">
        <v>-56.2</v>
      </c>
      <c r="Y125" s="117">
        <v>-65.400000000000006</v>
      </c>
      <c r="Z125" s="117">
        <v>-64.2</v>
      </c>
      <c r="AA125" s="117">
        <v>-67.7</v>
      </c>
      <c r="AB125" s="117">
        <v>-80</v>
      </c>
      <c r="AC125" s="117">
        <v>-53</v>
      </c>
      <c r="AD125" s="117">
        <v>-37</v>
      </c>
      <c r="AE125" s="117">
        <v>-4</v>
      </c>
      <c r="AF125" s="117">
        <v>39</v>
      </c>
      <c r="AG125" s="118"/>
      <c r="AH125" s="47"/>
      <c r="AI125" s="48"/>
    </row>
    <row r="126" spans="1:35" ht="15.75" thickBot="1" x14ac:dyDescent="0.3">
      <c r="A126" s="173" t="s">
        <v>255</v>
      </c>
      <c r="B126" s="117">
        <v>91.5</v>
      </c>
      <c r="C126" s="117">
        <v>87</v>
      </c>
      <c r="D126" s="117">
        <v>91.5</v>
      </c>
      <c r="E126" s="117">
        <v>85.6</v>
      </c>
      <c r="F126" s="117">
        <v>91.7</v>
      </c>
      <c r="G126" s="117">
        <v>94.5</v>
      </c>
      <c r="H126" s="117">
        <v>97.9</v>
      </c>
      <c r="I126" s="117">
        <v>98.5</v>
      </c>
      <c r="J126" s="117">
        <v>105.5</v>
      </c>
      <c r="K126" s="117">
        <v>73.8</v>
      </c>
      <c r="L126" s="117">
        <v>91.4</v>
      </c>
      <c r="M126" s="117">
        <v>87.5</v>
      </c>
      <c r="N126" s="117">
        <v>86</v>
      </c>
      <c r="O126" s="117">
        <v>98</v>
      </c>
      <c r="P126" s="117">
        <v>99</v>
      </c>
      <c r="Q126" s="117">
        <v>97.6</v>
      </c>
      <c r="R126" s="117">
        <v>96</v>
      </c>
      <c r="S126" s="117">
        <v>100.6</v>
      </c>
      <c r="T126" s="117">
        <v>95.7</v>
      </c>
      <c r="U126" s="117">
        <v>91.4</v>
      </c>
      <c r="V126" s="117">
        <v>101.1</v>
      </c>
      <c r="W126" s="117">
        <v>101.1</v>
      </c>
      <c r="X126" s="117">
        <v>87</v>
      </c>
      <c r="Y126" s="117">
        <v>84.5</v>
      </c>
      <c r="Z126" s="117">
        <v>83.1</v>
      </c>
      <c r="AA126" s="117">
        <v>81.3</v>
      </c>
      <c r="AB126" s="117">
        <v>75</v>
      </c>
      <c r="AC126" s="117">
        <v>83</v>
      </c>
      <c r="AD126" s="117">
        <v>91</v>
      </c>
      <c r="AE126" s="117">
        <v>93</v>
      </c>
      <c r="AF126" s="117">
        <v>93</v>
      </c>
      <c r="AG126" s="114"/>
      <c r="AH126" s="47">
        <f t="shared" si="23"/>
        <v>105.5</v>
      </c>
      <c r="AI126" s="48">
        <f t="shared" si="24"/>
        <v>73.8</v>
      </c>
    </row>
    <row r="127" spans="1:35" x14ac:dyDescent="0.25">
      <c r="A127" s="172" t="s">
        <v>257</v>
      </c>
      <c r="B127" s="117">
        <v>-10.199999999999999</v>
      </c>
      <c r="C127" s="117">
        <v>-13.4</v>
      </c>
      <c r="D127" s="117">
        <v>-10.199999999999999</v>
      </c>
      <c r="E127" s="117">
        <v>-14</v>
      </c>
      <c r="F127" s="117">
        <v>-14.2</v>
      </c>
      <c r="G127" s="117">
        <v>-13.7</v>
      </c>
      <c r="H127" s="117">
        <v>-14.9</v>
      </c>
      <c r="I127" s="117">
        <v>-15.2</v>
      </c>
      <c r="J127" s="117">
        <v>-14</v>
      </c>
      <c r="K127" s="117">
        <v>-6</v>
      </c>
      <c r="L127" s="117">
        <v>-4.8</v>
      </c>
      <c r="M127" s="117">
        <v>0</v>
      </c>
      <c r="N127" s="117">
        <v>0</v>
      </c>
      <c r="O127" s="117">
        <v>0</v>
      </c>
      <c r="P127" s="117">
        <v>0</v>
      </c>
      <c r="Q127" s="117">
        <v>0</v>
      </c>
      <c r="R127" s="117">
        <v>0</v>
      </c>
      <c r="S127" s="117">
        <v>0</v>
      </c>
      <c r="T127" s="117">
        <v>-4.8</v>
      </c>
      <c r="U127" s="117">
        <v>-5</v>
      </c>
      <c r="V127" s="117">
        <v>-6.2</v>
      </c>
      <c r="W127" s="117">
        <v>-6.2</v>
      </c>
      <c r="X127" s="117">
        <v>-22.3</v>
      </c>
      <c r="Y127" s="117">
        <v>-21.7</v>
      </c>
      <c r="Z127" s="117">
        <v>-20.5</v>
      </c>
      <c r="AA127" s="117">
        <v>-18</v>
      </c>
      <c r="AB127" s="117">
        <v>-21</v>
      </c>
      <c r="AC127" s="117">
        <v>-8</v>
      </c>
      <c r="AD127" s="117">
        <v>-10</v>
      </c>
      <c r="AE127" s="117">
        <v>3</v>
      </c>
      <c r="AF127" s="117">
        <v>1</v>
      </c>
      <c r="AG127" s="114"/>
      <c r="AH127" s="47">
        <f t="shared" si="23"/>
        <v>3</v>
      </c>
      <c r="AI127" s="48">
        <f t="shared" si="24"/>
        <v>-22.3</v>
      </c>
    </row>
    <row r="128" spans="1:35" x14ac:dyDescent="0.25">
      <c r="A128" s="173" t="s">
        <v>124</v>
      </c>
      <c r="B128" s="106">
        <v>-5.0999999999999996</v>
      </c>
      <c r="C128" s="106">
        <v>0</v>
      </c>
      <c r="D128" s="106">
        <v>-5.0999999999999996</v>
      </c>
      <c r="E128" s="106">
        <v>1.8</v>
      </c>
      <c r="F128" s="106">
        <v>0</v>
      </c>
      <c r="G128" s="106">
        <v>-2.2000000000000002</v>
      </c>
      <c r="H128" s="106">
        <v>-7.7</v>
      </c>
      <c r="I128" s="106">
        <v>-14.4</v>
      </c>
      <c r="J128" s="106">
        <v>-26.7</v>
      </c>
      <c r="K128" s="106">
        <v>-33.4</v>
      </c>
      <c r="L128" s="106">
        <v>-36.6</v>
      </c>
      <c r="M128" s="106">
        <v>-39.6</v>
      </c>
      <c r="N128" s="106">
        <v>-26.9</v>
      </c>
      <c r="O128" s="106">
        <v>-17</v>
      </c>
      <c r="P128" s="106">
        <v>-16</v>
      </c>
      <c r="Q128" s="106">
        <v>-10.5</v>
      </c>
      <c r="R128" s="106">
        <v>-8.1</v>
      </c>
      <c r="S128" s="106">
        <v>-8.3000000000000007</v>
      </c>
      <c r="T128" s="106">
        <v>-15.7</v>
      </c>
      <c r="U128" s="106">
        <v>-20.399999999999999</v>
      </c>
      <c r="V128" s="106">
        <v>-26</v>
      </c>
      <c r="W128" s="106">
        <v>-26</v>
      </c>
      <c r="X128" s="106">
        <v>-45.7</v>
      </c>
      <c r="Y128" s="106">
        <v>-41.8</v>
      </c>
      <c r="Z128" s="106">
        <v>-36.5</v>
      </c>
      <c r="AA128" s="106">
        <v>-33.1</v>
      </c>
      <c r="AB128" s="106">
        <v>-26.1</v>
      </c>
      <c r="AC128" s="106">
        <v>-23</v>
      </c>
      <c r="AD128" s="106">
        <v>-18</v>
      </c>
      <c r="AE128" s="106">
        <v>-7</v>
      </c>
      <c r="AF128" s="106">
        <v>-3</v>
      </c>
      <c r="AG128" s="114"/>
      <c r="AH128" s="47">
        <f t="shared" si="23"/>
        <v>1.8</v>
      </c>
      <c r="AI128" s="48">
        <f t="shared" si="24"/>
        <v>-45.7</v>
      </c>
    </row>
    <row r="129" spans="1:37" x14ac:dyDescent="0.25">
      <c r="A129" s="173" t="s">
        <v>261</v>
      </c>
      <c r="B129" s="106">
        <v>23.4</v>
      </c>
      <c r="C129" s="106">
        <v>24.1</v>
      </c>
      <c r="D129" s="106">
        <v>23.4</v>
      </c>
      <c r="E129" s="106">
        <v>20.3</v>
      </c>
      <c r="F129" s="106">
        <v>20</v>
      </c>
      <c r="G129" s="106"/>
      <c r="H129" s="106">
        <v>21.3</v>
      </c>
      <c r="I129" s="106">
        <v>25.8</v>
      </c>
      <c r="J129" s="106">
        <v>21.2</v>
      </c>
      <c r="K129" s="106">
        <v>12.3</v>
      </c>
      <c r="L129" s="106">
        <v>12.1</v>
      </c>
      <c r="M129" s="106">
        <v>12.4</v>
      </c>
      <c r="N129" s="106">
        <v>12</v>
      </c>
      <c r="O129" s="106">
        <v>9</v>
      </c>
      <c r="P129" s="106">
        <v>12</v>
      </c>
      <c r="Q129" s="106">
        <v>18.2</v>
      </c>
      <c r="R129" s="106">
        <v>20</v>
      </c>
      <c r="S129" s="106">
        <v>20.7</v>
      </c>
      <c r="T129" s="106">
        <v>10.9</v>
      </c>
      <c r="U129" s="106">
        <v>11.6</v>
      </c>
      <c r="V129" s="106">
        <v>11.5</v>
      </c>
      <c r="W129" s="106">
        <v>11.5</v>
      </c>
      <c r="X129" s="106">
        <v>11.6</v>
      </c>
      <c r="Y129" s="106">
        <v>11.5</v>
      </c>
      <c r="Z129" s="106">
        <v>11.1</v>
      </c>
      <c r="AA129" s="106">
        <v>10.7</v>
      </c>
      <c r="AB129" s="106">
        <v>10</v>
      </c>
      <c r="AC129" s="106">
        <v>10</v>
      </c>
      <c r="AD129" s="106">
        <v>9</v>
      </c>
      <c r="AE129" s="106">
        <v>28</v>
      </c>
      <c r="AF129" s="106">
        <v>28</v>
      </c>
      <c r="AG129" s="114"/>
      <c r="AH129" s="47">
        <f t="shared" si="23"/>
        <v>28</v>
      </c>
      <c r="AI129" s="48">
        <f t="shared" si="24"/>
        <v>9</v>
      </c>
    </row>
    <row r="130" spans="1:37" ht="15.75" thickBot="1" x14ac:dyDescent="0.3">
      <c r="A130" s="173" t="s">
        <v>258</v>
      </c>
      <c r="B130" s="106">
        <v>92.5</v>
      </c>
      <c r="C130" s="106">
        <v>86.5</v>
      </c>
      <c r="D130" s="106">
        <v>92.5</v>
      </c>
      <c r="E130" s="106">
        <v>80</v>
      </c>
      <c r="F130" s="106">
        <v>33.1</v>
      </c>
      <c r="G130" s="106">
        <v>82.3</v>
      </c>
      <c r="H130" s="106">
        <v>85.6</v>
      </c>
      <c r="I130" s="106">
        <v>101</v>
      </c>
      <c r="J130" s="106">
        <v>112.5</v>
      </c>
      <c r="K130" s="106">
        <v>90.1</v>
      </c>
      <c r="L130" s="106">
        <v>85.4</v>
      </c>
      <c r="M130" s="106">
        <v>84.1</v>
      </c>
      <c r="N130" s="106">
        <v>76</v>
      </c>
      <c r="O130" s="106">
        <v>61</v>
      </c>
      <c r="P130" s="106">
        <v>62</v>
      </c>
      <c r="Q130" s="106">
        <v>106</v>
      </c>
      <c r="R130" s="106">
        <v>100</v>
      </c>
      <c r="S130" s="106">
        <v>103.3</v>
      </c>
      <c r="T130" s="106">
        <v>104.4</v>
      </c>
      <c r="U130" s="106">
        <v>107.2</v>
      </c>
      <c r="V130" s="106">
        <v>92.8</v>
      </c>
      <c r="W130" s="106">
        <v>92.8</v>
      </c>
      <c r="X130" s="106">
        <v>116</v>
      </c>
      <c r="Y130" s="106">
        <v>111.5</v>
      </c>
      <c r="Z130" s="106">
        <v>106.2</v>
      </c>
      <c r="AA130" s="106">
        <v>104</v>
      </c>
      <c r="AB130" s="106">
        <v>96</v>
      </c>
      <c r="AC130" s="106">
        <v>92</v>
      </c>
      <c r="AD130" s="106">
        <v>90</v>
      </c>
      <c r="AE130" s="106">
        <v>96</v>
      </c>
      <c r="AF130" s="106">
        <v>86</v>
      </c>
      <c r="AG130" s="114"/>
      <c r="AH130" s="47">
        <f t="shared" si="23"/>
        <v>116</v>
      </c>
      <c r="AI130" s="48">
        <f t="shared" si="24"/>
        <v>33.1</v>
      </c>
    </row>
    <row r="131" spans="1:37" x14ac:dyDescent="0.25">
      <c r="A131" s="144" t="s">
        <v>238</v>
      </c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6"/>
      <c r="AG131" s="43"/>
      <c r="AH131" s="47"/>
      <c r="AI131" s="48"/>
    </row>
    <row r="132" spans="1:37" ht="16.5" x14ac:dyDescent="0.25">
      <c r="A132" s="189" t="s">
        <v>368</v>
      </c>
      <c r="B132" s="147">
        <v>1983.31</v>
      </c>
      <c r="C132" s="147">
        <v>1983.62</v>
      </c>
      <c r="D132" s="147">
        <v>1982.71</v>
      </c>
      <c r="E132" s="147">
        <v>1984.2</v>
      </c>
      <c r="F132" s="147">
        <v>1984.45</v>
      </c>
      <c r="G132" s="205"/>
      <c r="H132" s="205"/>
      <c r="I132" s="205">
        <v>1984.95</v>
      </c>
      <c r="J132" s="205"/>
      <c r="K132" s="205">
        <v>1985.1</v>
      </c>
      <c r="L132" s="205"/>
      <c r="M132" s="205">
        <v>1984.57</v>
      </c>
      <c r="N132" s="205">
        <v>1983.5</v>
      </c>
      <c r="O132" s="205">
        <v>1982.67</v>
      </c>
      <c r="P132" s="205">
        <v>1982.5</v>
      </c>
      <c r="Q132" s="205">
        <v>1982.62</v>
      </c>
      <c r="R132" s="205">
        <v>1982.8</v>
      </c>
      <c r="S132" s="205">
        <v>1983.1</v>
      </c>
      <c r="T132" s="205">
        <v>1983.43</v>
      </c>
      <c r="U132" s="205">
        <v>1983.7</v>
      </c>
      <c r="V132" s="205">
        <v>1983.99</v>
      </c>
      <c r="W132" s="205"/>
      <c r="X132" s="205">
        <v>1984</v>
      </c>
      <c r="Y132" s="205"/>
      <c r="Z132" s="205">
        <v>1983.2</v>
      </c>
      <c r="AA132" s="205">
        <v>1982.8</v>
      </c>
      <c r="AB132" s="147">
        <v>1982.66</v>
      </c>
      <c r="AC132" s="147"/>
      <c r="AD132" s="147"/>
      <c r="AE132" s="147">
        <v>1982.9</v>
      </c>
      <c r="AF132" s="148"/>
      <c r="AG132" s="149"/>
      <c r="AH132" s="47"/>
      <c r="AI132" s="48"/>
    </row>
    <row r="133" spans="1:37" ht="16.5" x14ac:dyDescent="0.25">
      <c r="A133" s="189" t="s">
        <v>239</v>
      </c>
      <c r="B133" s="150">
        <v>520.05999999999995</v>
      </c>
      <c r="C133" s="150">
        <v>520.5</v>
      </c>
      <c r="D133" s="150">
        <v>520.9</v>
      </c>
      <c r="E133" s="150">
        <v>521.28</v>
      </c>
      <c r="F133" s="150">
        <v>521.66</v>
      </c>
      <c r="G133" s="206">
        <v>522</v>
      </c>
      <c r="H133" s="206"/>
      <c r="I133" s="206">
        <v>522.14</v>
      </c>
      <c r="J133" s="206"/>
      <c r="K133" s="206">
        <v>521.84</v>
      </c>
      <c r="L133" s="206"/>
      <c r="M133" s="206">
        <v>521.26</v>
      </c>
      <c r="N133" s="206">
        <v>520.67999999999995</v>
      </c>
      <c r="O133" s="206">
        <v>520.25</v>
      </c>
      <c r="P133" s="206">
        <v>520.17999999999995</v>
      </c>
      <c r="Q133" s="206">
        <v>520.14</v>
      </c>
      <c r="R133" s="206">
        <v>520.09</v>
      </c>
      <c r="S133" s="206">
        <v>520.1</v>
      </c>
      <c r="T133" s="206">
        <v>520.14</v>
      </c>
      <c r="U133" s="206">
        <v>520.29</v>
      </c>
      <c r="V133" s="206">
        <v>520.48</v>
      </c>
      <c r="W133" s="206"/>
      <c r="X133" s="206">
        <v>520.48</v>
      </c>
      <c r="Y133" s="206"/>
      <c r="Z133" s="206">
        <v>519.94000000000005</v>
      </c>
      <c r="AA133" s="206"/>
      <c r="AB133" s="150">
        <v>519.36</v>
      </c>
      <c r="AC133" s="150"/>
      <c r="AD133" s="150">
        <v>519.11</v>
      </c>
      <c r="AE133" s="150">
        <v>519.08000000000004</v>
      </c>
      <c r="AF133" s="151">
        <v>519.22</v>
      </c>
      <c r="AG133" s="149"/>
      <c r="AH133" s="47"/>
      <c r="AI133" s="48"/>
    </row>
    <row r="134" spans="1:37" ht="16.5" x14ac:dyDescent="0.25">
      <c r="A134" s="189" t="s">
        <v>240</v>
      </c>
      <c r="B134" s="150">
        <v>622.97</v>
      </c>
      <c r="C134" s="150">
        <v>623.38</v>
      </c>
      <c r="D134" s="150">
        <v>623.91999999999996</v>
      </c>
      <c r="E134" s="150">
        <v>624.4</v>
      </c>
      <c r="F134" s="150">
        <v>624.76</v>
      </c>
      <c r="G134" s="206">
        <v>625.20000000000005</v>
      </c>
      <c r="H134" s="206"/>
      <c r="I134" s="206">
        <v>625.28</v>
      </c>
      <c r="J134" s="206"/>
      <c r="K134" s="206">
        <v>624.79</v>
      </c>
      <c r="L134" s="206"/>
      <c r="M134" s="206">
        <v>624.39</v>
      </c>
      <c r="N134" s="206">
        <v>624</v>
      </c>
      <c r="O134" s="206"/>
      <c r="P134" s="206">
        <v>623.22</v>
      </c>
      <c r="Q134" s="206">
        <v>623.71</v>
      </c>
      <c r="R134" s="206">
        <v>623.47</v>
      </c>
      <c r="S134" s="206">
        <v>623.36</v>
      </c>
      <c r="T134" s="206">
        <v>623.38</v>
      </c>
      <c r="U134" s="206">
        <v>623.54</v>
      </c>
      <c r="V134" s="206">
        <v>623.95000000000005</v>
      </c>
      <c r="W134" s="206"/>
      <c r="X134" s="206">
        <v>624.04999999999995</v>
      </c>
      <c r="Y134" s="206"/>
      <c r="Z134" s="206">
        <v>623.51</v>
      </c>
      <c r="AA134" s="206"/>
      <c r="AB134" s="150">
        <v>622.95000000000005</v>
      </c>
      <c r="AC134" s="150">
        <v>622.6</v>
      </c>
      <c r="AD134" s="150">
        <v>622.19000000000005</v>
      </c>
      <c r="AE134" s="150">
        <v>621.79999999999995</v>
      </c>
      <c r="AF134" s="151">
        <v>622</v>
      </c>
      <c r="AG134" s="149"/>
      <c r="AH134" s="47"/>
      <c r="AI134" s="48"/>
    </row>
    <row r="135" spans="1:37" ht="16.5" x14ac:dyDescent="0.25">
      <c r="A135" s="189" t="s">
        <v>241</v>
      </c>
      <c r="B135" s="150">
        <v>335.05</v>
      </c>
      <c r="C135" s="150">
        <v>335.69</v>
      </c>
      <c r="D135" s="150">
        <v>336.13</v>
      </c>
      <c r="E135" s="150">
        <v>336.47</v>
      </c>
      <c r="F135" s="150">
        <v>336.71</v>
      </c>
      <c r="G135" s="206"/>
      <c r="H135" s="206"/>
      <c r="I135" s="206">
        <v>636.73</v>
      </c>
      <c r="J135" s="206"/>
      <c r="K135" s="206">
        <v>336.34</v>
      </c>
      <c r="L135" s="206"/>
      <c r="M135" s="206">
        <v>335.75</v>
      </c>
      <c r="N135" s="206">
        <v>335.28</v>
      </c>
      <c r="O135" s="206"/>
      <c r="P135" s="206">
        <v>334.9</v>
      </c>
      <c r="Q135" s="206">
        <v>334.92</v>
      </c>
      <c r="R135" s="206">
        <v>335.5</v>
      </c>
      <c r="S135" s="206">
        <v>335.94</v>
      </c>
      <c r="T135" s="206">
        <v>336.19</v>
      </c>
      <c r="U135" s="206">
        <v>336.38</v>
      </c>
      <c r="V135" s="206">
        <v>336.46</v>
      </c>
      <c r="W135" s="206"/>
      <c r="X135" s="206">
        <v>336.44</v>
      </c>
      <c r="Y135" s="206"/>
      <c r="Z135" s="206">
        <v>336.24</v>
      </c>
      <c r="AA135" s="206"/>
      <c r="AB135" s="150">
        <v>335.95</v>
      </c>
      <c r="AC135" s="150"/>
      <c r="AD135" s="150">
        <v>335.55</v>
      </c>
      <c r="AE135" s="150">
        <v>335.274</v>
      </c>
      <c r="AF135" s="151">
        <v>334.81</v>
      </c>
      <c r="AG135" s="149"/>
      <c r="AH135" s="47"/>
      <c r="AI135" s="48"/>
    </row>
    <row r="136" spans="1:37" ht="16.5" x14ac:dyDescent="0.25">
      <c r="A136" s="189" t="s">
        <v>407</v>
      </c>
      <c r="B136" s="150">
        <v>884.3</v>
      </c>
      <c r="C136" s="150">
        <v>885</v>
      </c>
      <c r="D136" s="150">
        <v>885.7</v>
      </c>
      <c r="E136" s="150">
        <v>886.3</v>
      </c>
      <c r="F136" s="150">
        <v>886.7</v>
      </c>
      <c r="G136" s="206">
        <v>887.2</v>
      </c>
      <c r="H136" s="206"/>
      <c r="I136" s="206">
        <v>885.7</v>
      </c>
      <c r="J136" s="206"/>
      <c r="K136" s="206"/>
      <c r="L136" s="206"/>
      <c r="M136" s="206">
        <v>887</v>
      </c>
      <c r="N136" s="206">
        <v>886.3</v>
      </c>
      <c r="O136" s="206"/>
      <c r="P136" s="206">
        <v>885.4</v>
      </c>
      <c r="Q136" s="206">
        <v>884.4</v>
      </c>
      <c r="R136" s="206">
        <v>884.7</v>
      </c>
      <c r="S136" s="206">
        <v>885.3</v>
      </c>
      <c r="T136" s="206">
        <v>885.9</v>
      </c>
      <c r="U136" s="206">
        <v>886.5</v>
      </c>
      <c r="V136" s="206">
        <v>886.8</v>
      </c>
      <c r="W136" s="206"/>
      <c r="X136" s="206">
        <v>886.6</v>
      </c>
      <c r="Y136" s="206"/>
      <c r="Z136" s="206">
        <v>885.3</v>
      </c>
      <c r="AA136" s="206"/>
      <c r="AB136" s="150">
        <v>884.1</v>
      </c>
      <c r="AC136" s="150"/>
      <c r="AD136" s="150"/>
      <c r="AE136" s="150"/>
      <c r="AF136" s="151"/>
      <c r="AG136" s="149"/>
      <c r="AH136" s="47"/>
      <c r="AI136" s="48"/>
    </row>
    <row r="137" spans="1:37" ht="17.25" thickBot="1" x14ac:dyDescent="0.3">
      <c r="A137" s="189" t="s">
        <v>242</v>
      </c>
      <c r="B137" s="152">
        <v>1518.95</v>
      </c>
      <c r="C137" s="152"/>
      <c r="D137" s="152"/>
      <c r="E137" s="152"/>
      <c r="F137" s="152"/>
      <c r="G137" s="207"/>
      <c r="H137" s="207"/>
      <c r="I137" s="207"/>
      <c r="J137" s="207"/>
      <c r="K137" s="207"/>
      <c r="L137" s="207"/>
      <c r="M137" s="207">
        <v>1518.96</v>
      </c>
      <c r="N137" s="207"/>
      <c r="O137" s="207"/>
      <c r="P137" s="207"/>
      <c r="Q137" s="207"/>
      <c r="R137" s="207"/>
      <c r="S137" s="207"/>
      <c r="T137" s="207"/>
      <c r="U137" s="207"/>
      <c r="V137" s="207"/>
      <c r="W137" s="207"/>
      <c r="X137" s="207"/>
      <c r="Y137" s="207"/>
      <c r="Z137" s="207"/>
      <c r="AA137" s="207"/>
      <c r="AB137" s="152">
        <v>1518.93</v>
      </c>
      <c r="AC137" s="152"/>
      <c r="AD137" s="152"/>
      <c r="AE137" s="152"/>
      <c r="AF137" s="153"/>
      <c r="AG137" s="149"/>
      <c r="AH137" s="47"/>
      <c r="AI137" s="48"/>
    </row>
    <row r="138" spans="1:37" ht="15.75" thickBot="1" x14ac:dyDescent="0.3">
      <c r="A138" s="120" t="s">
        <v>125</v>
      </c>
      <c r="B138" s="121"/>
      <c r="C138" s="121"/>
      <c r="D138" s="121"/>
      <c r="E138" s="121"/>
      <c r="F138" s="170" t="s">
        <v>254</v>
      </c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74"/>
      <c r="AH138" s="47"/>
      <c r="AI138" s="48"/>
      <c r="AK138" s="50"/>
    </row>
    <row r="139" spans="1:37" x14ac:dyDescent="0.25">
      <c r="A139" s="122" t="s">
        <v>126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5">
        <v>9.94</v>
      </c>
      <c r="AH139" s="47"/>
      <c r="AI139" s="48"/>
      <c r="AK139" s="50"/>
    </row>
    <row r="140" spans="1:37" x14ac:dyDescent="0.25">
      <c r="A140" s="103" t="s">
        <v>127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5"/>
      <c r="AH140" s="47"/>
      <c r="AI140" s="48"/>
      <c r="AK140" s="50"/>
    </row>
    <row r="141" spans="1:37" x14ac:dyDescent="0.25">
      <c r="A141" s="103" t="s">
        <v>128</v>
      </c>
      <c r="B141" s="123"/>
      <c r="C141" s="124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5"/>
      <c r="AH141" s="47"/>
      <c r="AI141" s="48"/>
      <c r="AK141" s="50"/>
    </row>
    <row r="142" spans="1:37" x14ac:dyDescent="0.25">
      <c r="A142" s="103" t="s">
        <v>129</v>
      </c>
      <c r="B142" s="123"/>
      <c r="C142" s="124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5"/>
      <c r="AH142" s="47"/>
      <c r="AI142" s="48"/>
      <c r="AK142" s="50"/>
    </row>
    <row r="143" spans="1:37" x14ac:dyDescent="0.25">
      <c r="A143" s="103" t="s">
        <v>130</v>
      </c>
      <c r="B143" s="123"/>
      <c r="C143" s="124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5"/>
      <c r="AH143" s="47"/>
      <c r="AI143" s="48"/>
      <c r="AK143" s="50"/>
    </row>
    <row r="144" spans="1:37" x14ac:dyDescent="0.25">
      <c r="A144" s="103" t="s">
        <v>131</v>
      </c>
      <c r="B144" s="123"/>
      <c r="C144" s="124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5"/>
      <c r="AH144" s="47"/>
      <c r="AI144" s="48"/>
      <c r="AK144" s="50"/>
    </row>
    <row r="145" spans="1:37" x14ac:dyDescent="0.25">
      <c r="A145" s="103" t="s">
        <v>132</v>
      </c>
      <c r="B145" s="123"/>
      <c r="C145" s="124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5"/>
      <c r="AH145" s="47"/>
      <c r="AI145" s="48"/>
      <c r="AK145" s="50"/>
    </row>
    <row r="146" spans="1:37" x14ac:dyDescent="0.25">
      <c r="A146" s="103" t="s">
        <v>133</v>
      </c>
      <c r="B146" s="123"/>
      <c r="C146" s="124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5"/>
      <c r="AH146" s="47"/>
      <c r="AI146" s="48"/>
      <c r="AK146" s="50"/>
    </row>
    <row r="147" spans="1:37" x14ac:dyDescent="0.25">
      <c r="A147" s="103" t="s">
        <v>134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5"/>
      <c r="AH147" s="47"/>
      <c r="AI147" s="48"/>
      <c r="AK147" s="50"/>
    </row>
    <row r="148" spans="1:37" x14ac:dyDescent="0.25">
      <c r="A148" s="103" t="s">
        <v>135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5"/>
      <c r="AH148" s="47"/>
      <c r="AI148" s="48"/>
      <c r="AK148" s="50"/>
    </row>
    <row r="149" spans="1:37" x14ac:dyDescent="0.25">
      <c r="A149" s="103" t="s">
        <v>136</v>
      </c>
      <c r="B149" s="123"/>
      <c r="C149" s="124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5"/>
      <c r="AH149" s="47"/>
      <c r="AI149" s="48"/>
      <c r="AK149" s="50"/>
    </row>
    <row r="150" spans="1:37" x14ac:dyDescent="0.25">
      <c r="A150" s="103" t="s">
        <v>137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5"/>
      <c r="AH150" s="47"/>
      <c r="AI150" s="48"/>
      <c r="AK150" s="50"/>
    </row>
    <row r="151" spans="1:37" x14ac:dyDescent="0.25">
      <c r="A151" s="103" t="s">
        <v>138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5"/>
      <c r="AH151" s="47"/>
      <c r="AI151" s="48"/>
      <c r="AK151" s="50"/>
    </row>
    <row r="152" spans="1:37" x14ac:dyDescent="0.25">
      <c r="A152" s="103" t="s">
        <v>139</v>
      </c>
      <c r="B152" s="123"/>
      <c r="C152" s="124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5"/>
      <c r="AH152" s="47"/>
      <c r="AI152" s="48"/>
      <c r="AK152" s="50"/>
    </row>
    <row r="153" spans="1:37" x14ac:dyDescent="0.25">
      <c r="A153" s="103" t="s">
        <v>140</v>
      </c>
      <c r="B153" s="123"/>
      <c r="C153" s="124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5"/>
      <c r="AH153" s="47"/>
      <c r="AI153" s="48"/>
      <c r="AK153" s="50"/>
    </row>
    <row r="154" spans="1:37" x14ac:dyDescent="0.25">
      <c r="A154" s="103" t="s">
        <v>141</v>
      </c>
      <c r="B154" s="123"/>
      <c r="C154" s="124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5"/>
      <c r="AH154" s="47"/>
      <c r="AI154" s="48"/>
      <c r="AK154" s="50"/>
    </row>
    <row r="155" spans="1:37" x14ac:dyDescent="0.25">
      <c r="A155" s="103" t="s">
        <v>142</v>
      </c>
      <c r="B155" s="126"/>
      <c r="C155" s="127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8">
        <v>9.9</v>
      </c>
      <c r="AH155" s="47"/>
      <c r="AI155" s="48"/>
      <c r="AK155" s="50"/>
    </row>
    <row r="156" spans="1:37" x14ac:dyDescent="0.25">
      <c r="A156" s="116" t="s">
        <v>143</v>
      </c>
      <c r="B156" s="126"/>
      <c r="C156" s="127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9">
        <v>9.6579999999999995</v>
      </c>
      <c r="AH156" s="47"/>
      <c r="AI156" s="48"/>
      <c r="AK156" s="50"/>
    </row>
    <row r="157" spans="1:37" x14ac:dyDescent="0.25">
      <c r="A157" s="116" t="s">
        <v>144</v>
      </c>
      <c r="B157" s="126"/>
      <c r="C157" s="127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9">
        <v>9.6</v>
      </c>
      <c r="AH157" s="47"/>
      <c r="AI157" s="48"/>
      <c r="AK157" s="50"/>
    </row>
    <row r="158" spans="1:37" x14ac:dyDescent="0.25">
      <c r="A158" s="116" t="s">
        <v>145</v>
      </c>
      <c r="B158" s="126"/>
      <c r="C158" s="127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9">
        <v>9.51</v>
      </c>
      <c r="AH158" s="47"/>
      <c r="AI158" s="48"/>
      <c r="AK158" s="50"/>
    </row>
    <row r="159" spans="1:37" x14ac:dyDescent="0.25">
      <c r="A159" s="116" t="s">
        <v>146</v>
      </c>
      <c r="B159" s="126"/>
      <c r="C159" s="127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9">
        <v>9.4</v>
      </c>
      <c r="AH159" s="47"/>
      <c r="AI159" s="48"/>
      <c r="AK159" s="50"/>
    </row>
    <row r="160" spans="1:37" x14ac:dyDescent="0.25">
      <c r="A160" s="116" t="s">
        <v>147</v>
      </c>
      <c r="B160" s="126"/>
      <c r="C160" s="127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9">
        <v>8.8000000000000007</v>
      </c>
      <c r="AH160" s="47"/>
      <c r="AI160" s="48"/>
      <c r="AK160" s="50"/>
    </row>
    <row r="161" spans="1:37" x14ac:dyDescent="0.25">
      <c r="A161" s="116" t="s">
        <v>148</v>
      </c>
      <c r="B161" s="126"/>
      <c r="C161" s="127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9">
        <v>8.5</v>
      </c>
      <c r="AH161" s="47"/>
      <c r="AI161" s="48"/>
      <c r="AK161" s="50"/>
    </row>
    <row r="162" spans="1:37" x14ac:dyDescent="0.25">
      <c r="A162" s="116" t="s">
        <v>149</v>
      </c>
      <c r="B162" s="126"/>
      <c r="C162" s="127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9">
        <v>8.5</v>
      </c>
      <c r="AH162" s="47"/>
      <c r="AI162" s="48"/>
      <c r="AK162" s="50"/>
    </row>
    <row r="163" spans="1:37" x14ac:dyDescent="0.25">
      <c r="A163" s="116" t="s">
        <v>150</v>
      </c>
      <c r="B163" s="126"/>
      <c r="C163" s="127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9">
        <v>8.4</v>
      </c>
      <c r="AH163" s="47"/>
      <c r="AI163" s="48"/>
      <c r="AK163" s="50"/>
    </row>
    <row r="164" spans="1:37" ht="13.5" customHeight="1" x14ac:dyDescent="0.25">
      <c r="A164" s="116" t="s">
        <v>151</v>
      </c>
      <c r="B164" s="126"/>
      <c r="C164" s="127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9">
        <v>8</v>
      </c>
      <c r="AH164" s="47"/>
      <c r="AI164" s="48"/>
      <c r="AK164" s="50"/>
    </row>
    <row r="165" spans="1:37" x14ac:dyDescent="0.25">
      <c r="A165" s="116" t="s">
        <v>152</v>
      </c>
      <c r="B165" s="126"/>
      <c r="C165" s="127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9">
        <v>8</v>
      </c>
      <c r="AH165" s="47"/>
      <c r="AI165" s="48"/>
      <c r="AK165" s="50"/>
    </row>
    <row r="166" spans="1:37" x14ac:dyDescent="0.25">
      <c r="A166" s="116" t="s">
        <v>153</v>
      </c>
      <c r="B166" s="126"/>
      <c r="C166" s="127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9">
        <v>8</v>
      </c>
      <c r="AH166" s="47"/>
      <c r="AI166" s="48"/>
      <c r="AK166" s="50"/>
    </row>
    <row r="167" spans="1:37" x14ac:dyDescent="0.25">
      <c r="A167" s="116" t="s">
        <v>154</v>
      </c>
      <c r="B167" s="126"/>
      <c r="C167" s="127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9">
        <v>7.8</v>
      </c>
      <c r="AH167" s="47"/>
      <c r="AI167" s="48"/>
      <c r="AK167" s="50"/>
    </row>
    <row r="168" spans="1:37" x14ac:dyDescent="0.25">
      <c r="A168" s="116" t="s">
        <v>155</v>
      </c>
      <c r="B168" s="126"/>
      <c r="C168" s="127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9">
        <v>7.6</v>
      </c>
      <c r="AH168" s="47"/>
      <c r="AI168" s="48"/>
      <c r="AK168" s="50"/>
    </row>
    <row r="169" spans="1:37" x14ac:dyDescent="0.25">
      <c r="A169" s="116" t="s">
        <v>156</v>
      </c>
      <c r="B169" s="126"/>
      <c r="C169" s="127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9">
        <v>7.5</v>
      </c>
      <c r="AH169" s="47"/>
      <c r="AI169" s="48"/>
      <c r="AK169" s="50"/>
    </row>
    <row r="170" spans="1:37" x14ac:dyDescent="0.25">
      <c r="A170" s="116" t="s">
        <v>157</v>
      </c>
      <c r="B170" s="126"/>
      <c r="C170" s="127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9">
        <v>7.5</v>
      </c>
      <c r="AH170" s="47"/>
      <c r="AI170" s="48"/>
      <c r="AK170" s="50"/>
    </row>
    <row r="171" spans="1:37" x14ac:dyDescent="0.25">
      <c r="A171" s="116" t="s">
        <v>158</v>
      </c>
      <c r="B171" s="126"/>
      <c r="C171" s="127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9">
        <v>7</v>
      </c>
      <c r="AH171" s="47"/>
      <c r="AI171" s="48"/>
      <c r="AK171" s="50"/>
    </row>
    <row r="172" spans="1:37" x14ac:dyDescent="0.25">
      <c r="A172" s="116" t="s">
        <v>159</v>
      </c>
      <c r="B172" s="126"/>
      <c r="C172" s="127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9">
        <v>7</v>
      </c>
      <c r="AH172" s="47"/>
      <c r="AI172" s="48"/>
      <c r="AK172" s="50"/>
    </row>
    <row r="173" spans="1:37" x14ac:dyDescent="0.25">
      <c r="A173" s="116" t="s">
        <v>160</v>
      </c>
      <c r="B173" s="126"/>
      <c r="C173" s="127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9">
        <v>7</v>
      </c>
      <c r="AH173" s="47"/>
      <c r="AI173" s="48"/>
      <c r="AK173" s="50"/>
    </row>
    <row r="174" spans="1:37" x14ac:dyDescent="0.25">
      <c r="A174" s="116" t="s">
        <v>161</v>
      </c>
      <c r="B174" s="126"/>
      <c r="C174" s="127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9">
        <v>7</v>
      </c>
      <c r="AH174" s="47"/>
      <c r="AI174" s="48"/>
      <c r="AK174" s="50"/>
    </row>
    <row r="175" spans="1:37" x14ac:dyDescent="0.25">
      <c r="A175" s="116" t="s">
        <v>162</v>
      </c>
      <c r="B175" s="126"/>
      <c r="C175" s="127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9">
        <v>6.6</v>
      </c>
      <c r="AH175" s="47"/>
      <c r="AI175" s="48"/>
      <c r="AK175" s="50"/>
    </row>
    <row r="176" spans="1:37" x14ac:dyDescent="0.25">
      <c r="A176" s="116" t="s">
        <v>163</v>
      </c>
      <c r="B176" s="126"/>
      <c r="C176" s="127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9">
        <v>6.6</v>
      </c>
      <c r="AH176" s="47"/>
      <c r="AI176" s="48"/>
      <c r="AK176" s="50"/>
    </row>
    <row r="177" spans="1:37" x14ac:dyDescent="0.25">
      <c r="A177" s="116" t="s">
        <v>164</v>
      </c>
      <c r="B177" s="126"/>
      <c r="C177" s="127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9">
        <v>6.4</v>
      </c>
      <c r="AH177" s="47"/>
      <c r="AI177" s="48"/>
      <c r="AK177" s="50"/>
    </row>
    <row r="178" spans="1:37" x14ac:dyDescent="0.25">
      <c r="A178" s="116" t="s">
        <v>165</v>
      </c>
      <c r="B178" s="126"/>
      <c r="C178" s="127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9">
        <v>6</v>
      </c>
      <c r="AH178" s="47"/>
      <c r="AI178" s="48"/>
      <c r="AK178" s="50"/>
    </row>
    <row r="179" spans="1:37" x14ac:dyDescent="0.25">
      <c r="A179" s="116" t="s">
        <v>166</v>
      </c>
      <c r="B179" s="126"/>
      <c r="C179" s="127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9">
        <v>5.0999999999999996</v>
      </c>
      <c r="AH179" s="47"/>
      <c r="AI179" s="48"/>
      <c r="AK179" s="50"/>
    </row>
    <row r="180" spans="1:37" x14ac:dyDescent="0.25">
      <c r="A180" s="116" t="s">
        <v>167</v>
      </c>
      <c r="B180" s="126"/>
      <c r="C180" s="127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9">
        <v>5</v>
      </c>
      <c r="AH180" s="47"/>
      <c r="AI180" s="48"/>
      <c r="AK180" s="50"/>
    </row>
    <row r="181" spans="1:37" x14ac:dyDescent="0.25">
      <c r="A181" s="103" t="s">
        <v>168</v>
      </c>
      <c r="B181" s="126"/>
      <c r="C181" s="127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8">
        <v>5</v>
      </c>
      <c r="AH181" s="47"/>
      <c r="AI181" s="48"/>
      <c r="AK181" s="50"/>
    </row>
    <row r="182" spans="1:37" x14ac:dyDescent="0.25">
      <c r="A182" s="116" t="s">
        <v>169</v>
      </c>
      <c r="B182" s="126"/>
      <c r="C182" s="127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9">
        <v>5</v>
      </c>
      <c r="AH182" s="47"/>
      <c r="AI182" s="48"/>
      <c r="AK182" s="50"/>
    </row>
    <row r="183" spans="1:37" x14ac:dyDescent="0.25">
      <c r="A183" s="116" t="s">
        <v>170</v>
      </c>
      <c r="B183" s="126"/>
      <c r="C183" s="127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9">
        <v>5</v>
      </c>
      <c r="AH183" s="47"/>
      <c r="AI183" s="48"/>
      <c r="AK183" s="50"/>
    </row>
    <row r="184" spans="1:37" x14ac:dyDescent="0.25">
      <c r="A184" s="116" t="s">
        <v>171</v>
      </c>
      <c r="B184" s="126"/>
      <c r="C184" s="127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9">
        <v>5</v>
      </c>
      <c r="AH184" s="47"/>
      <c r="AI184" s="48"/>
      <c r="AK184" s="50"/>
    </row>
    <row r="185" spans="1:37" x14ac:dyDescent="0.25">
      <c r="A185" s="116" t="s">
        <v>172</v>
      </c>
      <c r="B185" s="126"/>
      <c r="C185" s="127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9">
        <v>5</v>
      </c>
      <c r="AH185" s="47"/>
      <c r="AI185" s="48"/>
      <c r="AK185" s="50"/>
    </row>
    <row r="186" spans="1:37" x14ac:dyDescent="0.25">
      <c r="A186" s="116" t="s">
        <v>173</v>
      </c>
      <c r="B186" s="126"/>
      <c r="C186" s="127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9">
        <v>5</v>
      </c>
      <c r="AH186" s="47"/>
      <c r="AI186" s="48"/>
      <c r="AK186" s="50"/>
    </row>
    <row r="187" spans="1:37" x14ac:dyDescent="0.25">
      <c r="A187" s="116" t="s">
        <v>174</v>
      </c>
      <c r="B187" s="126"/>
      <c r="C187" s="127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9">
        <v>4.9930000000000003</v>
      </c>
      <c r="AH187" s="47"/>
      <c r="AI187" s="48"/>
      <c r="AK187" s="50"/>
    </row>
    <row r="188" spans="1:37" x14ac:dyDescent="0.25">
      <c r="A188" s="116" t="s">
        <v>175</v>
      </c>
      <c r="B188" s="126"/>
      <c r="C188" s="127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9">
        <v>4.9800000000000004</v>
      </c>
      <c r="AH188" s="47"/>
      <c r="AI188" s="48"/>
      <c r="AK188" s="50"/>
    </row>
    <row r="189" spans="1:37" x14ac:dyDescent="0.25">
      <c r="A189" s="116" t="s">
        <v>176</v>
      </c>
      <c r="B189" s="126"/>
      <c r="C189" s="127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9">
        <v>4.95</v>
      </c>
      <c r="AH189" s="47"/>
      <c r="AI189" s="48"/>
      <c r="AK189" s="50"/>
    </row>
    <row r="190" spans="1:37" x14ac:dyDescent="0.25">
      <c r="A190" s="116" t="s">
        <v>177</v>
      </c>
      <c r="B190" s="126"/>
      <c r="C190" s="127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9">
        <v>4.95</v>
      </c>
      <c r="AH190" s="47"/>
      <c r="AI190" s="48"/>
      <c r="AK190" s="50"/>
    </row>
    <row r="191" spans="1:37" x14ac:dyDescent="0.25">
      <c r="A191" s="116" t="s">
        <v>178</v>
      </c>
      <c r="B191" s="126"/>
      <c r="C191" s="127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9">
        <v>4.8</v>
      </c>
      <c r="AH191" s="47"/>
      <c r="AI191" s="48"/>
      <c r="AK191" s="50"/>
    </row>
    <row r="192" spans="1:37" x14ac:dyDescent="0.25">
      <c r="A192" s="116" t="s">
        <v>179</v>
      </c>
      <c r="B192" s="126"/>
      <c r="C192" s="127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9">
        <v>4.8</v>
      </c>
      <c r="AH192" s="47"/>
      <c r="AI192" s="48"/>
      <c r="AK192" s="50"/>
    </row>
    <row r="193" spans="1:37" x14ac:dyDescent="0.25">
      <c r="A193" s="116" t="s">
        <v>180</v>
      </c>
      <c r="B193" s="126"/>
      <c r="C193" s="127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9">
        <v>4.8</v>
      </c>
      <c r="AH193" s="47"/>
      <c r="AI193" s="48"/>
      <c r="AK193" s="50"/>
    </row>
    <row r="194" spans="1:37" x14ac:dyDescent="0.25">
      <c r="A194" s="116" t="s">
        <v>181</v>
      </c>
      <c r="B194" s="126"/>
      <c r="C194" s="127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9">
        <v>4.5</v>
      </c>
      <c r="AH194" s="47"/>
      <c r="AI194" s="48"/>
      <c r="AK194" s="50"/>
    </row>
    <row r="195" spans="1:37" x14ac:dyDescent="0.25">
      <c r="A195" s="116" t="s">
        <v>182</v>
      </c>
      <c r="B195" s="126"/>
      <c r="C195" s="127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9">
        <v>4.5</v>
      </c>
      <c r="AH195" s="47"/>
      <c r="AI195" s="48"/>
      <c r="AK195" s="50"/>
    </row>
    <row r="196" spans="1:37" x14ac:dyDescent="0.25">
      <c r="A196" s="116" t="s">
        <v>183</v>
      </c>
      <c r="B196" s="126"/>
      <c r="C196" s="127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9">
        <v>4.4550000000000001</v>
      </c>
      <c r="AH196" s="47"/>
      <c r="AI196" s="48"/>
      <c r="AK196" s="50"/>
    </row>
    <row r="197" spans="1:37" x14ac:dyDescent="0.25">
      <c r="A197" s="116" t="s">
        <v>184</v>
      </c>
      <c r="B197" s="126"/>
      <c r="C197" s="127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9">
        <v>4.41</v>
      </c>
      <c r="AH197" s="47"/>
      <c r="AI197" s="48"/>
      <c r="AK197" s="50"/>
    </row>
    <row r="198" spans="1:37" x14ac:dyDescent="0.25">
      <c r="A198" s="116" t="s">
        <v>185</v>
      </c>
      <c r="B198" s="126"/>
      <c r="C198" s="127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9">
        <v>4.4000000000000004</v>
      </c>
      <c r="AH198" s="47"/>
      <c r="AI198" s="48"/>
      <c r="AK198" s="50"/>
    </row>
    <row r="199" spans="1:37" x14ac:dyDescent="0.25">
      <c r="A199" s="116" t="s">
        <v>186</v>
      </c>
      <c r="B199" s="126"/>
      <c r="C199" s="127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9">
        <v>4.3600000000000003</v>
      </c>
      <c r="AH199" s="47"/>
      <c r="AI199" s="48"/>
      <c r="AK199" s="50"/>
    </row>
    <row r="200" spans="1:37" x14ac:dyDescent="0.25">
      <c r="A200" s="116" t="s">
        <v>187</v>
      </c>
      <c r="B200" s="126"/>
      <c r="C200" s="127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9">
        <v>4.2</v>
      </c>
      <c r="AH200" s="47"/>
      <c r="AI200" s="48"/>
      <c r="AK200" s="50"/>
    </row>
    <row r="201" spans="1:37" x14ac:dyDescent="0.25">
      <c r="A201" s="116" t="s">
        <v>188</v>
      </c>
      <c r="B201" s="126"/>
      <c r="C201" s="127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9">
        <v>4</v>
      </c>
      <c r="AH201" s="47"/>
      <c r="AI201" s="48"/>
      <c r="AK201" s="50"/>
    </row>
    <row r="202" spans="1:37" x14ac:dyDescent="0.25">
      <c r="A202" s="116" t="s">
        <v>189</v>
      </c>
      <c r="B202" s="126"/>
      <c r="C202" s="127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9">
        <v>4</v>
      </c>
      <c r="AH202" s="47"/>
      <c r="AI202" s="48"/>
      <c r="AK202" s="50"/>
    </row>
    <row r="203" spans="1:37" x14ac:dyDescent="0.25">
      <c r="A203" s="116" t="s">
        <v>190</v>
      </c>
      <c r="B203" s="126"/>
      <c r="C203" s="127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9">
        <v>4</v>
      </c>
      <c r="AH203" s="47"/>
      <c r="AI203" s="48"/>
      <c r="AK203" s="50"/>
    </row>
    <row r="204" spans="1:37" x14ac:dyDescent="0.25">
      <c r="A204" s="116" t="s">
        <v>191</v>
      </c>
      <c r="B204" s="126"/>
      <c r="C204" s="127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9">
        <v>4</v>
      </c>
      <c r="AH204" s="47"/>
      <c r="AI204" s="48"/>
      <c r="AK204" s="50"/>
    </row>
    <row r="205" spans="1:37" x14ac:dyDescent="0.25">
      <c r="A205" s="116" t="s">
        <v>192</v>
      </c>
      <c r="B205" s="126"/>
      <c r="C205" s="127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9">
        <v>4</v>
      </c>
      <c r="AH205" s="47"/>
      <c r="AI205" s="48"/>
      <c r="AK205" s="50"/>
    </row>
    <row r="206" spans="1:37" x14ac:dyDescent="0.25">
      <c r="A206" s="116" t="s">
        <v>193</v>
      </c>
      <c r="B206" s="126"/>
      <c r="C206" s="127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9">
        <v>4</v>
      </c>
      <c r="AH206" s="47"/>
      <c r="AI206" s="48"/>
      <c r="AK206" s="50"/>
    </row>
    <row r="207" spans="1:37" x14ac:dyDescent="0.25">
      <c r="A207" s="116" t="s">
        <v>194</v>
      </c>
      <c r="B207" s="126"/>
      <c r="C207" s="127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9">
        <v>4</v>
      </c>
      <c r="AH207" s="47"/>
      <c r="AI207" s="48"/>
      <c r="AK207" s="50"/>
    </row>
    <row r="208" spans="1:37" x14ac:dyDescent="0.25">
      <c r="A208" s="116" t="s">
        <v>195</v>
      </c>
      <c r="B208" s="126"/>
      <c r="C208" s="127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9">
        <v>4</v>
      </c>
      <c r="AH208" s="47"/>
      <c r="AI208" s="48"/>
      <c r="AK208" s="50"/>
    </row>
    <row r="209" spans="1:37" x14ac:dyDescent="0.25">
      <c r="A209" s="116" t="s">
        <v>196</v>
      </c>
      <c r="B209" s="126"/>
      <c r="C209" s="127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9">
        <v>3.75</v>
      </c>
      <c r="AH209" s="47"/>
      <c r="AI209" s="48"/>
      <c r="AK209" s="50"/>
    </row>
    <row r="210" spans="1:37" x14ac:dyDescent="0.25">
      <c r="A210" s="116" t="s">
        <v>197</v>
      </c>
      <c r="B210" s="126"/>
      <c r="C210" s="127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9">
        <v>3.52</v>
      </c>
      <c r="AH210" s="47"/>
      <c r="AI210" s="48"/>
      <c r="AK210" s="50"/>
    </row>
    <row r="211" spans="1:37" x14ac:dyDescent="0.25">
      <c r="A211" s="116" t="s">
        <v>198</v>
      </c>
      <c r="B211" s="126"/>
      <c r="C211" s="127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9">
        <v>3.33</v>
      </c>
      <c r="AH211" s="47"/>
      <c r="AI211" s="48"/>
      <c r="AK211" s="50"/>
    </row>
    <row r="212" spans="1:37" x14ac:dyDescent="0.25">
      <c r="A212" s="116" t="s">
        <v>199</v>
      </c>
      <c r="B212" s="126"/>
      <c r="C212" s="127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9">
        <v>3.2</v>
      </c>
      <c r="AH212" s="47"/>
      <c r="AI212" s="48"/>
      <c r="AK212" s="50"/>
    </row>
    <row r="213" spans="1:37" x14ac:dyDescent="0.25">
      <c r="A213" s="116" t="s">
        <v>200</v>
      </c>
      <c r="B213" s="126"/>
      <c r="C213" s="127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9">
        <v>3</v>
      </c>
      <c r="AH213" s="47"/>
      <c r="AI213" s="48"/>
      <c r="AK213" s="50"/>
    </row>
    <row r="214" spans="1:37" x14ac:dyDescent="0.25">
      <c r="A214" s="116" t="s">
        <v>201</v>
      </c>
      <c r="B214" s="126"/>
      <c r="C214" s="127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9">
        <v>3</v>
      </c>
      <c r="AH214" s="47"/>
      <c r="AI214" s="48"/>
      <c r="AK214" s="50"/>
    </row>
    <row r="215" spans="1:37" x14ac:dyDescent="0.25">
      <c r="A215" s="116" t="s">
        <v>202</v>
      </c>
      <c r="B215" s="126"/>
      <c r="C215" s="127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9">
        <v>3</v>
      </c>
      <c r="AH215" s="47"/>
      <c r="AI215" s="48"/>
      <c r="AK215" s="50"/>
    </row>
    <row r="216" spans="1:37" x14ac:dyDescent="0.25">
      <c r="A216" s="116" t="s">
        <v>203</v>
      </c>
      <c r="B216" s="126"/>
      <c r="C216" s="127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9">
        <v>3</v>
      </c>
      <c r="AH216" s="47"/>
      <c r="AI216" s="48"/>
      <c r="AK216" s="50"/>
    </row>
    <row r="217" spans="1:37" x14ac:dyDescent="0.25">
      <c r="A217" s="116" t="s">
        <v>204</v>
      </c>
      <c r="B217" s="126"/>
      <c r="C217" s="127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9">
        <v>3</v>
      </c>
      <c r="AH217" s="47"/>
      <c r="AI217" s="48"/>
      <c r="AK217" s="50"/>
    </row>
    <row r="218" spans="1:37" x14ac:dyDescent="0.25">
      <c r="A218" s="116" t="s">
        <v>205</v>
      </c>
      <c r="B218" s="126"/>
      <c r="C218" s="127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9">
        <v>3</v>
      </c>
      <c r="AH218" s="47"/>
      <c r="AI218" s="48"/>
      <c r="AK218" s="50"/>
    </row>
    <row r="219" spans="1:37" x14ac:dyDescent="0.25">
      <c r="A219" s="116" t="s">
        <v>206</v>
      </c>
      <c r="B219" s="126"/>
      <c r="C219" s="127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9">
        <v>3</v>
      </c>
      <c r="AH219" s="47"/>
      <c r="AI219" s="48"/>
      <c r="AK219" s="50"/>
    </row>
    <row r="220" spans="1:37" x14ac:dyDescent="0.25">
      <c r="A220" s="116" t="s">
        <v>207</v>
      </c>
      <c r="B220" s="126"/>
      <c r="C220" s="127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9">
        <v>3</v>
      </c>
      <c r="AH220" s="47"/>
      <c r="AI220" s="48"/>
      <c r="AK220" s="50"/>
    </row>
    <row r="221" spans="1:37" x14ac:dyDescent="0.25">
      <c r="A221" s="116" t="s">
        <v>208</v>
      </c>
      <c r="B221" s="126"/>
      <c r="C221" s="127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9">
        <v>2.83</v>
      </c>
      <c r="AH221" s="47"/>
      <c r="AI221" s="48"/>
      <c r="AK221" s="50"/>
    </row>
    <row r="222" spans="1:37" x14ac:dyDescent="0.25">
      <c r="A222" s="116" t="s">
        <v>209</v>
      </c>
      <c r="B222" s="126"/>
      <c r="C222" s="127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9">
        <v>2.5</v>
      </c>
      <c r="AH222" s="47"/>
      <c r="AI222" s="48"/>
      <c r="AK222" s="50"/>
    </row>
    <row r="223" spans="1:37" x14ac:dyDescent="0.25">
      <c r="A223" s="116" t="s">
        <v>210</v>
      </c>
      <c r="B223" s="126"/>
      <c r="C223" s="127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9">
        <v>2.5</v>
      </c>
      <c r="AH223" s="47"/>
      <c r="AI223" s="48"/>
      <c r="AK223" s="50"/>
    </row>
    <row r="224" spans="1:37" x14ac:dyDescent="0.25">
      <c r="A224" s="116" t="s">
        <v>211</v>
      </c>
      <c r="B224" s="126"/>
      <c r="C224" s="127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9">
        <v>2.4</v>
      </c>
      <c r="AH224" s="47"/>
      <c r="AI224" s="48"/>
      <c r="AK224" s="50"/>
    </row>
    <row r="225" spans="1:37" x14ac:dyDescent="0.25">
      <c r="A225" s="116" t="s">
        <v>212</v>
      </c>
      <c r="B225" s="126"/>
      <c r="C225" s="127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9">
        <v>2.4</v>
      </c>
      <c r="AH225" s="47"/>
      <c r="AI225" s="48"/>
      <c r="AK225" s="50"/>
    </row>
    <row r="226" spans="1:37" x14ac:dyDescent="0.25">
      <c r="A226" s="116" t="s">
        <v>213</v>
      </c>
      <c r="B226" s="126"/>
      <c r="C226" s="127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9">
        <v>2.2000000000000002</v>
      </c>
      <c r="AH226" s="47"/>
      <c r="AI226" s="48"/>
      <c r="AK226" s="50"/>
    </row>
    <row r="227" spans="1:37" x14ac:dyDescent="0.25">
      <c r="A227" s="116" t="s">
        <v>214</v>
      </c>
      <c r="B227" s="126"/>
      <c r="C227" s="127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9">
        <v>2</v>
      </c>
      <c r="AH227" s="47"/>
      <c r="AI227" s="48"/>
      <c r="AK227" s="50"/>
    </row>
    <row r="228" spans="1:37" x14ac:dyDescent="0.25">
      <c r="A228" s="116" t="s">
        <v>215</v>
      </c>
      <c r="B228" s="126"/>
      <c r="C228" s="127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9">
        <v>2</v>
      </c>
      <c r="AH228" s="47"/>
      <c r="AI228" s="48"/>
      <c r="AK228" s="50"/>
    </row>
    <row r="229" spans="1:37" x14ac:dyDescent="0.25">
      <c r="A229" s="116" t="s">
        <v>216</v>
      </c>
      <c r="B229" s="126"/>
      <c r="C229" s="127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9">
        <v>2</v>
      </c>
      <c r="AH229" s="47"/>
      <c r="AI229" s="48"/>
      <c r="AK229" s="50"/>
    </row>
    <row r="230" spans="1:37" x14ac:dyDescent="0.25">
      <c r="A230" s="116" t="s">
        <v>217</v>
      </c>
      <c r="B230" s="126"/>
      <c r="C230" s="127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9">
        <v>1.8</v>
      </c>
      <c r="AH230" s="47"/>
      <c r="AI230" s="48"/>
      <c r="AK230" s="50"/>
    </row>
    <row r="231" spans="1:37" x14ac:dyDescent="0.25">
      <c r="A231" s="116" t="s">
        <v>218</v>
      </c>
      <c r="B231" s="126"/>
      <c r="C231" s="127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9">
        <v>1.8</v>
      </c>
      <c r="AH231" s="47"/>
      <c r="AI231" s="48"/>
      <c r="AK231" s="50"/>
    </row>
    <row r="232" spans="1:37" x14ac:dyDescent="0.25">
      <c r="A232" s="116" t="s">
        <v>219</v>
      </c>
      <c r="B232" s="126"/>
      <c r="C232" s="127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9">
        <v>1.65</v>
      </c>
      <c r="AH232" s="47"/>
      <c r="AI232" s="48"/>
      <c r="AK232" s="50"/>
    </row>
    <row r="233" spans="1:37" x14ac:dyDescent="0.25">
      <c r="A233" s="116" t="s">
        <v>220</v>
      </c>
      <c r="B233" s="126"/>
      <c r="C233" s="127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9">
        <v>1.5</v>
      </c>
      <c r="AH233" s="47"/>
      <c r="AI233" s="48"/>
      <c r="AK233" s="50"/>
    </row>
    <row r="234" spans="1:37" x14ac:dyDescent="0.25">
      <c r="A234" s="116" t="s">
        <v>221</v>
      </c>
      <c r="B234" s="126"/>
      <c r="C234" s="127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9">
        <v>0.998</v>
      </c>
      <c r="AH234" s="47"/>
      <c r="AI234" s="48"/>
      <c r="AK234" s="50"/>
    </row>
    <row r="235" spans="1:37" x14ac:dyDescent="0.25">
      <c r="A235" s="116" t="s">
        <v>222</v>
      </c>
      <c r="B235" s="126"/>
      <c r="C235" s="127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9">
        <v>0.997</v>
      </c>
      <c r="AH235" s="47"/>
      <c r="AI235" s="48"/>
      <c r="AK235" s="50"/>
    </row>
    <row r="236" spans="1:37" x14ac:dyDescent="0.25">
      <c r="A236" s="116" t="s">
        <v>223</v>
      </c>
      <c r="B236" s="126"/>
      <c r="C236" s="127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9">
        <v>0.997</v>
      </c>
      <c r="AH236" s="47"/>
      <c r="AI236" s="48"/>
      <c r="AK236" s="50"/>
    </row>
    <row r="237" spans="1:37" x14ac:dyDescent="0.25">
      <c r="A237" s="116" t="s">
        <v>224</v>
      </c>
      <c r="B237" s="126"/>
      <c r="C237" s="127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9">
        <v>0.996</v>
      </c>
      <c r="AH237" s="47"/>
      <c r="AI237" s="48"/>
      <c r="AK237" s="50"/>
    </row>
    <row r="238" spans="1:37" x14ac:dyDescent="0.25">
      <c r="A238" s="116" t="s">
        <v>225</v>
      </c>
      <c r="B238" s="126"/>
      <c r="C238" s="127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9">
        <v>0.996</v>
      </c>
      <c r="AH238" s="47"/>
      <c r="AI238" s="48"/>
      <c r="AK238" s="50"/>
    </row>
    <row r="239" spans="1:37" x14ac:dyDescent="0.25">
      <c r="A239" s="116" t="s">
        <v>226</v>
      </c>
      <c r="B239" s="126"/>
      <c r="C239" s="127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9">
        <v>0.996</v>
      </c>
      <c r="AH239" s="47"/>
      <c r="AI239" s="48"/>
      <c r="AK239" s="50"/>
    </row>
    <row r="240" spans="1:37" x14ac:dyDescent="0.25">
      <c r="A240" s="116" t="s">
        <v>227</v>
      </c>
      <c r="B240" s="126"/>
      <c r="C240" s="127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9">
        <v>0.995</v>
      </c>
      <c r="AH240" s="47"/>
      <c r="AI240" s="48"/>
      <c r="AK240" s="50"/>
    </row>
    <row r="241" spans="1:37" x14ac:dyDescent="0.25">
      <c r="A241" s="116" t="s">
        <v>228</v>
      </c>
      <c r="B241" s="126"/>
      <c r="C241" s="127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9">
        <v>0.99299999999999999</v>
      </c>
      <c r="AH241" s="47"/>
      <c r="AI241" s="48"/>
      <c r="AK241" s="50"/>
    </row>
    <row r="242" spans="1:37" x14ac:dyDescent="0.25">
      <c r="A242" s="116" t="s">
        <v>229</v>
      </c>
      <c r="B242" s="126"/>
      <c r="C242" s="124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9">
        <v>0.99</v>
      </c>
      <c r="AH242" s="47"/>
      <c r="AI242" s="48"/>
      <c r="AK242" s="50"/>
    </row>
    <row r="243" spans="1:37" ht="15.75" thickBot="1" x14ac:dyDescent="0.3">
      <c r="A243" s="116" t="s">
        <v>230</v>
      </c>
      <c r="B243" s="130"/>
      <c r="C243" s="131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29">
        <v>0.97899999999999998</v>
      </c>
      <c r="AH243" s="47"/>
      <c r="AI243" s="48"/>
      <c r="AK243" s="50"/>
    </row>
    <row r="244" spans="1:37" ht="15.75" thickBot="1" x14ac:dyDescent="0.3">
      <c r="A244" s="132" t="s">
        <v>231</v>
      </c>
      <c r="B244" s="133">
        <f t="shared" ref="B244:AG244" si="76">SUM(B139:B243)</f>
        <v>0</v>
      </c>
      <c r="C244" s="134">
        <f t="shared" si="76"/>
        <v>0</v>
      </c>
      <c r="D244" s="134">
        <f t="shared" si="76"/>
        <v>0</v>
      </c>
      <c r="E244" s="134">
        <f t="shared" si="76"/>
        <v>0</v>
      </c>
      <c r="F244" s="134">
        <f t="shared" si="76"/>
        <v>0</v>
      </c>
      <c r="G244" s="134">
        <f t="shared" si="76"/>
        <v>0</v>
      </c>
      <c r="H244" s="134">
        <f t="shared" si="76"/>
        <v>0</v>
      </c>
      <c r="I244" s="134">
        <f t="shared" si="76"/>
        <v>0</v>
      </c>
      <c r="J244" s="134">
        <f t="shared" si="76"/>
        <v>0</v>
      </c>
      <c r="K244" s="134">
        <f t="shared" si="76"/>
        <v>0</v>
      </c>
      <c r="L244" s="134">
        <f t="shared" si="76"/>
        <v>0</v>
      </c>
      <c r="M244" s="134">
        <f t="shared" si="76"/>
        <v>0</v>
      </c>
      <c r="N244" s="134">
        <f t="shared" si="76"/>
        <v>0</v>
      </c>
      <c r="O244" s="134">
        <f t="shared" si="76"/>
        <v>0</v>
      </c>
      <c r="P244" s="134">
        <f t="shared" si="76"/>
        <v>0</v>
      </c>
      <c r="Q244" s="134">
        <f t="shared" si="76"/>
        <v>0</v>
      </c>
      <c r="R244" s="134">
        <f t="shared" si="76"/>
        <v>0</v>
      </c>
      <c r="S244" s="134">
        <f t="shared" si="76"/>
        <v>0</v>
      </c>
      <c r="T244" s="134">
        <f t="shared" si="76"/>
        <v>0</v>
      </c>
      <c r="U244" s="134">
        <f t="shared" si="76"/>
        <v>0</v>
      </c>
      <c r="V244" s="134">
        <f t="shared" si="76"/>
        <v>0</v>
      </c>
      <c r="W244" s="134">
        <f t="shared" si="76"/>
        <v>0</v>
      </c>
      <c r="X244" s="134">
        <f t="shared" si="76"/>
        <v>0</v>
      </c>
      <c r="Y244" s="134">
        <f t="shared" si="76"/>
        <v>0</v>
      </c>
      <c r="Z244" s="134">
        <f t="shared" si="76"/>
        <v>0</v>
      </c>
      <c r="AA244" s="134">
        <f t="shared" si="76"/>
        <v>0</v>
      </c>
      <c r="AB244" s="134">
        <f t="shared" si="76"/>
        <v>0</v>
      </c>
      <c r="AC244" s="134">
        <f t="shared" si="76"/>
        <v>0</v>
      </c>
      <c r="AD244" s="134">
        <f t="shared" si="76"/>
        <v>0</v>
      </c>
      <c r="AE244" s="134">
        <f t="shared" si="76"/>
        <v>0</v>
      </c>
      <c r="AF244" s="135">
        <f t="shared" si="76"/>
        <v>0</v>
      </c>
      <c r="AG244" s="136">
        <f t="shared" si="76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19"/>
      <c r="AH245" s="47"/>
      <c r="AI245" s="48"/>
      <c r="AK245" s="50"/>
    </row>
    <row r="246" spans="1:37" x14ac:dyDescent="0.25">
      <c r="A246" s="100" t="s">
        <v>232</v>
      </c>
      <c r="B246" s="138">
        <f t="shared" ref="B246:B251" si="77">AF246</f>
        <v>0.3</v>
      </c>
      <c r="C246" s="138">
        <v>0.3</v>
      </c>
      <c r="D246" s="138">
        <f t="shared" ref="D246:S251" si="78">C246</f>
        <v>0.3</v>
      </c>
      <c r="E246" s="138">
        <f t="shared" si="78"/>
        <v>0.3</v>
      </c>
      <c r="F246" s="138">
        <f t="shared" si="78"/>
        <v>0.3</v>
      </c>
      <c r="G246" s="138">
        <f t="shared" si="78"/>
        <v>0.3</v>
      </c>
      <c r="H246" s="138">
        <f t="shared" si="78"/>
        <v>0.3</v>
      </c>
      <c r="I246" s="138">
        <f t="shared" si="78"/>
        <v>0.3</v>
      </c>
      <c r="J246" s="138">
        <f t="shared" si="78"/>
        <v>0.3</v>
      </c>
      <c r="K246" s="138">
        <f t="shared" si="78"/>
        <v>0.3</v>
      </c>
      <c r="L246" s="138">
        <f t="shared" si="78"/>
        <v>0.3</v>
      </c>
      <c r="M246" s="138">
        <f t="shared" si="78"/>
        <v>0.3</v>
      </c>
      <c r="N246" s="138">
        <f t="shared" si="78"/>
        <v>0.3</v>
      </c>
      <c r="O246" s="138">
        <f t="shared" si="78"/>
        <v>0.3</v>
      </c>
      <c r="P246" s="138">
        <f t="shared" si="78"/>
        <v>0.3</v>
      </c>
      <c r="Q246" s="138">
        <f t="shared" si="78"/>
        <v>0.3</v>
      </c>
      <c r="R246" s="138">
        <f t="shared" si="78"/>
        <v>0.3</v>
      </c>
      <c r="S246" s="138">
        <f t="shared" si="78"/>
        <v>0.3</v>
      </c>
      <c r="T246" s="138">
        <f t="shared" ref="T246:AF251" si="79">S246</f>
        <v>0.3</v>
      </c>
      <c r="U246" s="138">
        <f t="shared" si="79"/>
        <v>0.3</v>
      </c>
      <c r="V246" s="138">
        <f t="shared" si="79"/>
        <v>0.3</v>
      </c>
      <c r="W246" s="138">
        <f t="shared" si="79"/>
        <v>0.3</v>
      </c>
      <c r="X246" s="138">
        <f t="shared" si="79"/>
        <v>0.3</v>
      </c>
      <c r="Y246" s="138">
        <f t="shared" si="79"/>
        <v>0.3</v>
      </c>
      <c r="Z246" s="138">
        <f t="shared" si="79"/>
        <v>0.3</v>
      </c>
      <c r="AA246" s="138">
        <f t="shared" si="79"/>
        <v>0.3</v>
      </c>
      <c r="AB246" s="138">
        <f t="shared" si="79"/>
        <v>0.3</v>
      </c>
      <c r="AC246" s="138">
        <f t="shared" si="79"/>
        <v>0.3</v>
      </c>
      <c r="AD246" s="138">
        <f t="shared" si="79"/>
        <v>0.3</v>
      </c>
      <c r="AE246" s="138">
        <f t="shared" si="79"/>
        <v>0.3</v>
      </c>
      <c r="AF246" s="138">
        <f t="shared" si="79"/>
        <v>0.3</v>
      </c>
      <c r="AG246" s="139">
        <v>2.4</v>
      </c>
      <c r="AH246" s="47"/>
      <c r="AI246" s="48"/>
      <c r="AK246" s="50"/>
    </row>
    <row r="247" spans="1:37" x14ac:dyDescent="0.25">
      <c r="A247" s="103" t="s">
        <v>233</v>
      </c>
      <c r="B247" s="126">
        <f t="shared" si="77"/>
        <v>0.4</v>
      </c>
      <c r="C247" s="126">
        <v>0.4</v>
      </c>
      <c r="D247" s="126">
        <f t="shared" si="78"/>
        <v>0.4</v>
      </c>
      <c r="E247" s="126">
        <f t="shared" si="78"/>
        <v>0.4</v>
      </c>
      <c r="F247" s="126">
        <f t="shared" si="78"/>
        <v>0.4</v>
      </c>
      <c r="G247" s="126">
        <f t="shared" si="78"/>
        <v>0.4</v>
      </c>
      <c r="H247" s="126">
        <f t="shared" si="78"/>
        <v>0.4</v>
      </c>
      <c r="I247" s="126">
        <f t="shared" si="78"/>
        <v>0.4</v>
      </c>
      <c r="J247" s="126">
        <f t="shared" si="78"/>
        <v>0.4</v>
      </c>
      <c r="K247" s="126">
        <f t="shared" si="78"/>
        <v>0.4</v>
      </c>
      <c r="L247" s="126">
        <f t="shared" si="78"/>
        <v>0.4</v>
      </c>
      <c r="M247" s="126">
        <f t="shared" si="78"/>
        <v>0.4</v>
      </c>
      <c r="N247" s="126">
        <f t="shared" si="78"/>
        <v>0.4</v>
      </c>
      <c r="O247" s="126">
        <f t="shared" si="78"/>
        <v>0.4</v>
      </c>
      <c r="P247" s="126">
        <f t="shared" si="78"/>
        <v>0.4</v>
      </c>
      <c r="Q247" s="126">
        <f t="shared" si="78"/>
        <v>0.4</v>
      </c>
      <c r="R247" s="126">
        <f t="shared" si="78"/>
        <v>0.4</v>
      </c>
      <c r="S247" s="126">
        <f t="shared" si="78"/>
        <v>0.4</v>
      </c>
      <c r="T247" s="126">
        <f t="shared" si="79"/>
        <v>0.4</v>
      </c>
      <c r="U247" s="126">
        <f t="shared" si="79"/>
        <v>0.4</v>
      </c>
      <c r="V247" s="126">
        <f t="shared" si="79"/>
        <v>0.4</v>
      </c>
      <c r="W247" s="126">
        <f t="shared" si="79"/>
        <v>0.4</v>
      </c>
      <c r="X247" s="126">
        <f t="shared" si="79"/>
        <v>0.4</v>
      </c>
      <c r="Y247" s="126">
        <f t="shared" si="79"/>
        <v>0.4</v>
      </c>
      <c r="Z247" s="126">
        <f t="shared" si="79"/>
        <v>0.4</v>
      </c>
      <c r="AA247" s="126">
        <f t="shared" si="79"/>
        <v>0.4</v>
      </c>
      <c r="AB247" s="126">
        <f t="shared" si="79"/>
        <v>0.4</v>
      </c>
      <c r="AC247" s="126">
        <f t="shared" si="79"/>
        <v>0.4</v>
      </c>
      <c r="AD247" s="126">
        <f t="shared" si="79"/>
        <v>0.4</v>
      </c>
      <c r="AE247" s="126">
        <f t="shared" si="79"/>
        <v>0.4</v>
      </c>
      <c r="AF247" s="126">
        <f t="shared" si="79"/>
        <v>0.4</v>
      </c>
      <c r="AG247" s="140">
        <v>2</v>
      </c>
      <c r="AH247" s="47"/>
      <c r="AI247" s="48"/>
      <c r="AK247" s="50"/>
    </row>
    <row r="248" spans="1:37" x14ac:dyDescent="0.25">
      <c r="A248" s="103" t="s">
        <v>234</v>
      </c>
      <c r="B248" s="126">
        <f t="shared" si="77"/>
        <v>1.5</v>
      </c>
      <c r="C248" s="126">
        <v>1.5</v>
      </c>
      <c r="D248" s="126">
        <f t="shared" si="78"/>
        <v>1.5</v>
      </c>
      <c r="E248" s="126">
        <f t="shared" si="78"/>
        <v>1.5</v>
      </c>
      <c r="F248" s="126">
        <f t="shared" si="78"/>
        <v>1.5</v>
      </c>
      <c r="G248" s="126">
        <f t="shared" si="78"/>
        <v>1.5</v>
      </c>
      <c r="H248" s="126">
        <f t="shared" si="78"/>
        <v>1.5</v>
      </c>
      <c r="I248" s="126">
        <f t="shared" si="78"/>
        <v>1.5</v>
      </c>
      <c r="J248" s="126">
        <f t="shared" si="78"/>
        <v>1.5</v>
      </c>
      <c r="K248" s="126">
        <f t="shared" si="78"/>
        <v>1.5</v>
      </c>
      <c r="L248" s="126">
        <f t="shared" si="78"/>
        <v>1.5</v>
      </c>
      <c r="M248" s="126">
        <f t="shared" si="78"/>
        <v>1.5</v>
      </c>
      <c r="N248" s="126">
        <f t="shared" si="78"/>
        <v>1.5</v>
      </c>
      <c r="O248" s="126">
        <f t="shared" si="78"/>
        <v>1.5</v>
      </c>
      <c r="P248" s="126">
        <f t="shared" si="78"/>
        <v>1.5</v>
      </c>
      <c r="Q248" s="126">
        <f t="shared" si="78"/>
        <v>1.5</v>
      </c>
      <c r="R248" s="126">
        <f t="shared" si="78"/>
        <v>1.5</v>
      </c>
      <c r="S248" s="126">
        <f t="shared" si="78"/>
        <v>1.5</v>
      </c>
      <c r="T248" s="126">
        <f t="shared" si="79"/>
        <v>1.5</v>
      </c>
      <c r="U248" s="126">
        <f t="shared" si="79"/>
        <v>1.5</v>
      </c>
      <c r="V248" s="126">
        <f t="shared" si="79"/>
        <v>1.5</v>
      </c>
      <c r="W248" s="126">
        <f t="shared" si="79"/>
        <v>1.5</v>
      </c>
      <c r="X248" s="126">
        <f t="shared" si="79"/>
        <v>1.5</v>
      </c>
      <c r="Y248" s="126">
        <f t="shared" si="79"/>
        <v>1.5</v>
      </c>
      <c r="Z248" s="126">
        <f t="shared" si="79"/>
        <v>1.5</v>
      </c>
      <c r="AA248" s="126">
        <f t="shared" si="79"/>
        <v>1.5</v>
      </c>
      <c r="AB248" s="126">
        <f t="shared" si="79"/>
        <v>1.5</v>
      </c>
      <c r="AC248" s="126">
        <f t="shared" si="79"/>
        <v>1.5</v>
      </c>
      <c r="AD248" s="126">
        <f t="shared" si="79"/>
        <v>1.5</v>
      </c>
      <c r="AE248" s="126">
        <f t="shared" si="79"/>
        <v>1.5</v>
      </c>
      <c r="AF248" s="126">
        <f t="shared" si="79"/>
        <v>1.5</v>
      </c>
      <c r="AG248" s="140">
        <v>1.5</v>
      </c>
      <c r="AH248" s="47"/>
      <c r="AI248" s="48"/>
      <c r="AK248" s="50"/>
    </row>
    <row r="249" spans="1:37" x14ac:dyDescent="0.25">
      <c r="A249" s="103" t="s">
        <v>235</v>
      </c>
      <c r="B249" s="126">
        <f t="shared" si="77"/>
        <v>0.3</v>
      </c>
      <c r="C249" s="126">
        <v>0.3</v>
      </c>
      <c r="D249" s="126">
        <f t="shared" si="78"/>
        <v>0.3</v>
      </c>
      <c r="E249" s="126">
        <f t="shared" si="78"/>
        <v>0.3</v>
      </c>
      <c r="F249" s="126">
        <f t="shared" si="78"/>
        <v>0.3</v>
      </c>
      <c r="G249" s="126">
        <f t="shared" si="78"/>
        <v>0.3</v>
      </c>
      <c r="H249" s="126">
        <f t="shared" si="78"/>
        <v>0.3</v>
      </c>
      <c r="I249" s="126">
        <f t="shared" si="78"/>
        <v>0.3</v>
      </c>
      <c r="J249" s="126">
        <f t="shared" si="78"/>
        <v>0.3</v>
      </c>
      <c r="K249" s="126">
        <f t="shared" si="78"/>
        <v>0.3</v>
      </c>
      <c r="L249" s="126">
        <f t="shared" si="78"/>
        <v>0.3</v>
      </c>
      <c r="M249" s="126">
        <f t="shared" si="78"/>
        <v>0.3</v>
      </c>
      <c r="N249" s="126">
        <f t="shared" si="78"/>
        <v>0.3</v>
      </c>
      <c r="O249" s="126">
        <f t="shared" si="78"/>
        <v>0.3</v>
      </c>
      <c r="P249" s="126">
        <f t="shared" si="78"/>
        <v>0.3</v>
      </c>
      <c r="Q249" s="126">
        <f t="shared" si="78"/>
        <v>0.3</v>
      </c>
      <c r="R249" s="126">
        <f t="shared" si="78"/>
        <v>0.3</v>
      </c>
      <c r="S249" s="126">
        <f t="shared" si="78"/>
        <v>0.3</v>
      </c>
      <c r="T249" s="126">
        <f t="shared" si="79"/>
        <v>0.3</v>
      </c>
      <c r="U249" s="126">
        <f t="shared" si="79"/>
        <v>0.3</v>
      </c>
      <c r="V249" s="126">
        <f t="shared" si="79"/>
        <v>0.3</v>
      </c>
      <c r="W249" s="126">
        <f t="shared" si="79"/>
        <v>0.3</v>
      </c>
      <c r="X249" s="126">
        <f t="shared" si="79"/>
        <v>0.3</v>
      </c>
      <c r="Y249" s="126">
        <f t="shared" si="79"/>
        <v>0.3</v>
      </c>
      <c r="Z249" s="126">
        <f t="shared" si="79"/>
        <v>0.3</v>
      </c>
      <c r="AA249" s="126">
        <f t="shared" si="79"/>
        <v>0.3</v>
      </c>
      <c r="AB249" s="126">
        <f t="shared" si="79"/>
        <v>0.3</v>
      </c>
      <c r="AC249" s="126">
        <f t="shared" si="79"/>
        <v>0.3</v>
      </c>
      <c r="AD249" s="126">
        <f t="shared" si="79"/>
        <v>0.3</v>
      </c>
      <c r="AE249" s="126">
        <f t="shared" si="79"/>
        <v>0.3</v>
      </c>
      <c r="AF249" s="126">
        <f t="shared" si="79"/>
        <v>0.3</v>
      </c>
      <c r="AG249" s="140">
        <v>1</v>
      </c>
      <c r="AH249" s="47"/>
      <c r="AI249" s="48"/>
      <c r="AK249" s="50"/>
    </row>
    <row r="250" spans="1:37" x14ac:dyDescent="0.25">
      <c r="A250" s="103" t="s">
        <v>236</v>
      </c>
      <c r="B250" s="126">
        <f t="shared" si="77"/>
        <v>0.4</v>
      </c>
      <c r="C250" s="126">
        <v>0.4</v>
      </c>
      <c r="D250" s="126">
        <f t="shared" si="78"/>
        <v>0.4</v>
      </c>
      <c r="E250" s="126">
        <f t="shared" si="78"/>
        <v>0.4</v>
      </c>
      <c r="F250" s="126">
        <f t="shared" si="78"/>
        <v>0.4</v>
      </c>
      <c r="G250" s="126">
        <f t="shared" si="78"/>
        <v>0.4</v>
      </c>
      <c r="H250" s="126">
        <f t="shared" si="78"/>
        <v>0.4</v>
      </c>
      <c r="I250" s="126">
        <f t="shared" si="78"/>
        <v>0.4</v>
      </c>
      <c r="J250" s="126">
        <f t="shared" si="78"/>
        <v>0.4</v>
      </c>
      <c r="K250" s="126">
        <f t="shared" si="78"/>
        <v>0.4</v>
      </c>
      <c r="L250" s="126">
        <f t="shared" si="78"/>
        <v>0.4</v>
      </c>
      <c r="M250" s="126">
        <f t="shared" si="78"/>
        <v>0.4</v>
      </c>
      <c r="N250" s="126">
        <f t="shared" si="78"/>
        <v>0.4</v>
      </c>
      <c r="O250" s="126">
        <f t="shared" si="78"/>
        <v>0.4</v>
      </c>
      <c r="P250" s="126">
        <f t="shared" si="78"/>
        <v>0.4</v>
      </c>
      <c r="Q250" s="126">
        <f t="shared" si="78"/>
        <v>0.4</v>
      </c>
      <c r="R250" s="126">
        <f t="shared" si="78"/>
        <v>0.4</v>
      </c>
      <c r="S250" s="126">
        <f t="shared" si="78"/>
        <v>0.4</v>
      </c>
      <c r="T250" s="126">
        <f t="shared" si="79"/>
        <v>0.4</v>
      </c>
      <c r="U250" s="126">
        <f t="shared" si="79"/>
        <v>0.4</v>
      </c>
      <c r="V250" s="126">
        <f t="shared" si="79"/>
        <v>0.4</v>
      </c>
      <c r="W250" s="126">
        <f t="shared" si="79"/>
        <v>0.4</v>
      </c>
      <c r="X250" s="126">
        <f t="shared" si="79"/>
        <v>0.4</v>
      </c>
      <c r="Y250" s="126">
        <f t="shared" si="79"/>
        <v>0.4</v>
      </c>
      <c r="Z250" s="126">
        <f t="shared" si="79"/>
        <v>0.4</v>
      </c>
      <c r="AA250" s="126">
        <f t="shared" si="79"/>
        <v>0.4</v>
      </c>
      <c r="AB250" s="126">
        <f t="shared" si="79"/>
        <v>0.4</v>
      </c>
      <c r="AC250" s="126">
        <f t="shared" si="79"/>
        <v>0.4</v>
      </c>
      <c r="AD250" s="126">
        <f t="shared" si="79"/>
        <v>0.4</v>
      </c>
      <c r="AE250" s="126">
        <f t="shared" si="79"/>
        <v>0.4</v>
      </c>
      <c r="AF250" s="126">
        <f t="shared" si="79"/>
        <v>0.4</v>
      </c>
      <c r="AG250" s="140">
        <v>1</v>
      </c>
      <c r="AH250" s="47"/>
      <c r="AI250" s="48"/>
      <c r="AK250" s="50"/>
    </row>
    <row r="251" spans="1:37" ht="15.75" thickBot="1" x14ac:dyDescent="0.3">
      <c r="A251" s="116" t="s">
        <v>237</v>
      </c>
      <c r="B251" s="130">
        <f t="shared" si="77"/>
        <v>0.64</v>
      </c>
      <c r="C251" s="130">
        <v>0.64</v>
      </c>
      <c r="D251" s="130">
        <f t="shared" si="78"/>
        <v>0.64</v>
      </c>
      <c r="E251" s="130">
        <f t="shared" si="78"/>
        <v>0.64</v>
      </c>
      <c r="F251" s="130">
        <f t="shared" si="78"/>
        <v>0.64</v>
      </c>
      <c r="G251" s="130">
        <f t="shared" si="78"/>
        <v>0.64</v>
      </c>
      <c r="H251" s="130">
        <f t="shared" si="78"/>
        <v>0.64</v>
      </c>
      <c r="I251" s="130">
        <f t="shared" si="78"/>
        <v>0.64</v>
      </c>
      <c r="J251" s="130">
        <f t="shared" si="78"/>
        <v>0.64</v>
      </c>
      <c r="K251" s="130">
        <f t="shared" si="78"/>
        <v>0.64</v>
      </c>
      <c r="L251" s="130">
        <f t="shared" si="78"/>
        <v>0.64</v>
      </c>
      <c r="M251" s="130">
        <f t="shared" si="78"/>
        <v>0.64</v>
      </c>
      <c r="N251" s="130">
        <f t="shared" si="78"/>
        <v>0.64</v>
      </c>
      <c r="O251" s="130">
        <f t="shared" si="78"/>
        <v>0.64</v>
      </c>
      <c r="P251" s="130">
        <f t="shared" si="78"/>
        <v>0.64</v>
      </c>
      <c r="Q251" s="130">
        <f t="shared" si="78"/>
        <v>0.64</v>
      </c>
      <c r="R251" s="130">
        <f t="shared" si="78"/>
        <v>0.64</v>
      </c>
      <c r="S251" s="130">
        <f t="shared" si="78"/>
        <v>0.64</v>
      </c>
      <c r="T251" s="130">
        <f t="shared" si="79"/>
        <v>0.64</v>
      </c>
      <c r="U251" s="130">
        <f t="shared" si="79"/>
        <v>0.64</v>
      </c>
      <c r="V251" s="130">
        <f t="shared" si="79"/>
        <v>0.64</v>
      </c>
      <c r="W251" s="130">
        <f t="shared" si="79"/>
        <v>0.64</v>
      </c>
      <c r="X251" s="130">
        <f t="shared" si="79"/>
        <v>0.64</v>
      </c>
      <c r="Y251" s="130">
        <f t="shared" si="79"/>
        <v>0.64</v>
      </c>
      <c r="Z251" s="130">
        <f t="shared" si="79"/>
        <v>0.64</v>
      </c>
      <c r="AA251" s="130">
        <f t="shared" si="79"/>
        <v>0.64</v>
      </c>
      <c r="AB251" s="130">
        <f t="shared" si="79"/>
        <v>0.64</v>
      </c>
      <c r="AC251" s="130">
        <f t="shared" si="79"/>
        <v>0.64</v>
      </c>
      <c r="AD251" s="130">
        <f t="shared" si="79"/>
        <v>0.64</v>
      </c>
      <c r="AE251" s="130">
        <f t="shared" si="79"/>
        <v>0.64</v>
      </c>
      <c r="AF251" s="130">
        <f t="shared" si="79"/>
        <v>0.64</v>
      </c>
      <c r="AG251" s="141">
        <v>0.66</v>
      </c>
      <c r="AH251" s="47"/>
      <c r="AI251" s="48"/>
    </row>
    <row r="252" spans="1:37" ht="15.75" thickBot="1" x14ac:dyDescent="0.3">
      <c r="A252" s="142" t="s">
        <v>75</v>
      </c>
      <c r="B252" s="134">
        <f t="shared" ref="B252:AG252" si="80">SUM(B246:B251)</f>
        <v>3.54</v>
      </c>
      <c r="C252" s="134">
        <f t="shared" si="80"/>
        <v>3.54</v>
      </c>
      <c r="D252" s="134">
        <f t="shared" si="80"/>
        <v>3.54</v>
      </c>
      <c r="E252" s="134">
        <f t="shared" si="80"/>
        <v>3.54</v>
      </c>
      <c r="F252" s="134">
        <f t="shared" si="80"/>
        <v>3.54</v>
      </c>
      <c r="G252" s="134">
        <f t="shared" si="80"/>
        <v>3.54</v>
      </c>
      <c r="H252" s="134">
        <f t="shared" si="80"/>
        <v>3.54</v>
      </c>
      <c r="I252" s="134">
        <f t="shared" si="80"/>
        <v>3.54</v>
      </c>
      <c r="J252" s="134">
        <f t="shared" si="80"/>
        <v>3.54</v>
      </c>
      <c r="K252" s="134">
        <f t="shared" si="80"/>
        <v>3.54</v>
      </c>
      <c r="L252" s="134">
        <f t="shared" si="80"/>
        <v>3.54</v>
      </c>
      <c r="M252" s="134">
        <f t="shared" si="80"/>
        <v>3.54</v>
      </c>
      <c r="N252" s="134">
        <f t="shared" si="80"/>
        <v>3.54</v>
      </c>
      <c r="O252" s="134">
        <f t="shared" si="80"/>
        <v>3.54</v>
      </c>
      <c r="P252" s="134">
        <f t="shared" si="80"/>
        <v>3.54</v>
      </c>
      <c r="Q252" s="134">
        <f t="shared" si="80"/>
        <v>3.54</v>
      </c>
      <c r="R252" s="134">
        <f t="shared" si="80"/>
        <v>3.54</v>
      </c>
      <c r="S252" s="134">
        <f t="shared" si="80"/>
        <v>3.54</v>
      </c>
      <c r="T252" s="134">
        <f t="shared" si="80"/>
        <v>3.54</v>
      </c>
      <c r="U252" s="134">
        <f t="shared" si="80"/>
        <v>3.54</v>
      </c>
      <c r="V252" s="134">
        <f t="shared" si="80"/>
        <v>3.54</v>
      </c>
      <c r="W252" s="134">
        <f t="shared" si="80"/>
        <v>3.54</v>
      </c>
      <c r="X252" s="134">
        <f t="shared" si="80"/>
        <v>3.54</v>
      </c>
      <c r="Y252" s="134">
        <f t="shared" si="80"/>
        <v>3.54</v>
      </c>
      <c r="Z252" s="134">
        <f t="shared" si="80"/>
        <v>3.54</v>
      </c>
      <c r="AA252" s="134">
        <f t="shared" si="80"/>
        <v>3.54</v>
      </c>
      <c r="AB252" s="134">
        <f t="shared" si="80"/>
        <v>3.54</v>
      </c>
      <c r="AC252" s="134">
        <f t="shared" si="80"/>
        <v>3.54</v>
      </c>
      <c r="AD252" s="134">
        <f t="shared" si="80"/>
        <v>3.54</v>
      </c>
      <c r="AE252" s="134">
        <f t="shared" si="80"/>
        <v>3.54</v>
      </c>
      <c r="AF252" s="134">
        <f t="shared" si="80"/>
        <v>3.54</v>
      </c>
      <c r="AG252" s="143">
        <f t="shared" si="80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37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54" t="s">
        <v>243</v>
      </c>
      <c r="B256" s="155">
        <f>MAX(G99:N99)</f>
        <v>1753.0400000000002</v>
      </c>
      <c r="C256" s="156">
        <f>INDEX(G9:N9,1,MATCH(MAX(G99:N99),G99:N99,0))</f>
        <v>0.33333333333333331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50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157" t="str">
        <f ca="1">MID(CELL("filename",C7),FIND("]",CELL("filename",C7))+1,600)</f>
        <v>17</v>
      </c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50" x14ac:dyDescent="0.25">
      <c r="A258" s="257" t="s">
        <v>244</v>
      </c>
      <c r="B258" s="257"/>
      <c r="C258" s="43"/>
      <c r="D258" s="157" t="str">
        <f ca="1">"Pie Chart of Daily Peak Demand(Inclusive of Export) of Nepal ("&amp;A4&amp;" "&amp;B4&amp;")"</f>
        <v>Pie Chart of Daily Peak Demand(Inclusive of Export) of Nepal (Nepali Date: 2080/10/17)</v>
      </c>
      <c r="E258" s="43"/>
      <c r="F258" s="43"/>
      <c r="G258" s="157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157" t="str">
        <f ca="1">"Daily Load Curve(Excluding of Export) of Nepal ("&amp;A4&amp;" "&amp;B4&amp;")"</f>
        <v>Daily Load Curve(Excluding of Export) of Nepal (Nepali Date: 2080/10/17)</v>
      </c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50" ht="12.75" customHeight="1" thickBot="1" x14ac:dyDescent="0.3">
      <c r="A259" s="158" t="s">
        <v>7</v>
      </c>
      <c r="B259" s="159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50" ht="15.75" thickTop="1" x14ac:dyDescent="0.25">
      <c r="A260" s="158" t="s">
        <v>245</v>
      </c>
      <c r="B260" s="15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160" t="s">
        <v>246</v>
      </c>
      <c r="T260" s="161">
        <v>0</v>
      </c>
      <c r="U260" s="162">
        <v>4.1666666666666664E-2</v>
      </c>
      <c r="V260" s="163">
        <v>8.3333333333333301E-2</v>
      </c>
      <c r="W260" s="163">
        <v>0.125</v>
      </c>
      <c r="X260" s="163">
        <v>0.16666666666666699</v>
      </c>
      <c r="Y260" s="163">
        <v>0.20833333333333301</v>
      </c>
      <c r="Z260" s="163">
        <v>0.22916666666666666</v>
      </c>
      <c r="AA260" s="163">
        <v>0.25</v>
      </c>
      <c r="AB260" s="163">
        <v>0.27083333333333331</v>
      </c>
      <c r="AC260" s="163">
        <v>0.29166666666666669</v>
      </c>
      <c r="AD260" s="163">
        <v>0.3125</v>
      </c>
      <c r="AE260" s="164">
        <v>0.33333333333333331</v>
      </c>
      <c r="AF260" s="164">
        <v>0.375</v>
      </c>
      <c r="AG260" s="164">
        <v>0.41666666666666702</v>
      </c>
      <c r="AH260" s="164">
        <v>0.45833333333333298</v>
      </c>
      <c r="AI260" s="164">
        <v>0.5</v>
      </c>
      <c r="AJ260" s="164">
        <v>0.54166666666666696</v>
      </c>
      <c r="AK260" s="164">
        <v>0.58333333333333304</v>
      </c>
      <c r="AL260" s="164">
        <v>0.625</v>
      </c>
      <c r="AM260" s="164">
        <v>0.66666666666666696</v>
      </c>
      <c r="AN260" s="164">
        <v>0.70833333333333304</v>
      </c>
      <c r="AO260" s="164">
        <v>0.72916666666666663</v>
      </c>
      <c r="AP260" s="164">
        <v>0.75</v>
      </c>
      <c r="AQ260" s="164">
        <v>0.77083333333333337</v>
      </c>
      <c r="AR260" s="164">
        <v>0.79166666666666663</v>
      </c>
      <c r="AS260" s="164">
        <v>0.8125</v>
      </c>
      <c r="AT260" s="163">
        <v>0.83333333333333337</v>
      </c>
      <c r="AU260" s="163">
        <v>0.85416666666666663</v>
      </c>
      <c r="AV260" s="163">
        <v>0.875</v>
      </c>
      <c r="AW260" s="163">
        <v>0.91666666666666696</v>
      </c>
      <c r="AX260" s="163">
        <v>0.95833333333333304</v>
      </c>
    </row>
    <row r="261" spans="1:50" x14ac:dyDescent="0.25">
      <c r="A261" s="158" t="s">
        <v>247</v>
      </c>
      <c r="B261" s="15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 t="s">
        <v>248</v>
      </c>
      <c r="T261" s="165">
        <f t="shared" ref="T261:AX261" si="81">B99</f>
        <v>1256.8400000000001</v>
      </c>
      <c r="U261" s="165">
        <f t="shared" si="81"/>
        <v>1248.6399999999999</v>
      </c>
      <c r="V261" s="165">
        <f t="shared" si="81"/>
        <v>1209.7400000000002</v>
      </c>
      <c r="W261" s="165">
        <f t="shared" si="81"/>
        <v>1140.8400000000001</v>
      </c>
      <c r="X261" s="165">
        <f t="shared" si="81"/>
        <v>1171.8400000000001</v>
      </c>
      <c r="Y261" s="165">
        <f t="shared" si="81"/>
        <v>1233.8400000000001</v>
      </c>
      <c r="Z261" s="165">
        <f t="shared" si="81"/>
        <v>1292.7400000000002</v>
      </c>
      <c r="AA261" s="165">
        <f t="shared" si="81"/>
        <v>1442.8400000000001</v>
      </c>
      <c r="AB261" s="165">
        <f t="shared" si="81"/>
        <v>1568.2400000000002</v>
      </c>
      <c r="AC261" s="165">
        <f t="shared" si="81"/>
        <v>1747.3400000000001</v>
      </c>
      <c r="AD261" s="165">
        <f t="shared" si="81"/>
        <v>1702.7400000000002</v>
      </c>
      <c r="AE261" s="165">
        <f t="shared" si="81"/>
        <v>1753.0400000000002</v>
      </c>
      <c r="AF261" s="165">
        <f t="shared" si="81"/>
        <v>1658.1400000000003</v>
      </c>
      <c r="AG261" s="165">
        <f t="shared" si="81"/>
        <v>1662.7400000000002</v>
      </c>
      <c r="AH261" s="165">
        <f t="shared" si="81"/>
        <v>1512.7400000000002</v>
      </c>
      <c r="AI261" s="165">
        <f t="shared" si="81"/>
        <v>1507.8400000000001</v>
      </c>
      <c r="AJ261" s="165">
        <f t="shared" si="81"/>
        <v>1492.3400000000001</v>
      </c>
      <c r="AK261" s="165">
        <f t="shared" si="81"/>
        <v>1485.7400000000002</v>
      </c>
      <c r="AL261" s="165">
        <f t="shared" si="81"/>
        <v>1537.24</v>
      </c>
      <c r="AM261" s="165">
        <f t="shared" si="81"/>
        <v>1569.14</v>
      </c>
      <c r="AN261" s="165">
        <f t="shared" si="81"/>
        <v>1497.64</v>
      </c>
      <c r="AO261" s="165">
        <f t="shared" si="81"/>
        <v>1713.64</v>
      </c>
      <c r="AP261" s="165">
        <f t="shared" si="81"/>
        <v>1793.44</v>
      </c>
      <c r="AQ261" s="165">
        <f t="shared" si="81"/>
        <v>1878.7</v>
      </c>
      <c r="AR261" s="165">
        <f t="shared" si="81"/>
        <v>1855.9</v>
      </c>
      <c r="AS261" s="165">
        <f t="shared" si="81"/>
        <v>1808.0400000000002</v>
      </c>
      <c r="AT261" s="165">
        <f t="shared" si="81"/>
        <v>1715.64</v>
      </c>
      <c r="AU261" s="165">
        <f t="shared" si="81"/>
        <v>1699.7400000000002</v>
      </c>
      <c r="AV261" s="165">
        <f t="shared" si="81"/>
        <v>1439.8400000000001</v>
      </c>
      <c r="AW261" s="165">
        <f t="shared" si="81"/>
        <v>1397.8400000000001</v>
      </c>
      <c r="AX261" s="165">
        <f t="shared" si="81"/>
        <v>1241.8400000000001</v>
      </c>
    </row>
    <row r="262" spans="1:50" x14ac:dyDescent="0.25">
      <c r="A262" s="158" t="s">
        <v>249</v>
      </c>
      <c r="B262" s="15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50" x14ac:dyDescent="0.25">
      <c r="A263" s="158" t="s">
        <v>250</v>
      </c>
      <c r="B263" s="15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50" x14ac:dyDescent="0.25">
      <c r="A264" s="158" t="s">
        <v>251</v>
      </c>
      <c r="B264" s="15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50" x14ac:dyDescent="0.25">
      <c r="A265" s="158" t="s">
        <v>252</v>
      </c>
      <c r="B265" s="166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50" x14ac:dyDescent="0.25">
      <c r="A266" s="158" t="s">
        <v>253</v>
      </c>
      <c r="B266" s="15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50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50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50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50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50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50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1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1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1:34" x14ac:dyDescent="0.25">
      <c r="A282" s="167" t="s">
        <v>238</v>
      </c>
      <c r="B282" s="168">
        <f t="shared" ref="B282:AE282" si="82">C251</f>
        <v>0.64</v>
      </c>
      <c r="C282" s="168">
        <f t="shared" si="82"/>
        <v>0.64</v>
      </c>
      <c r="D282" s="168">
        <f t="shared" si="82"/>
        <v>0.64</v>
      </c>
      <c r="E282" s="168">
        <f t="shared" si="82"/>
        <v>0.64</v>
      </c>
      <c r="F282" s="168">
        <f t="shared" si="82"/>
        <v>0.64</v>
      </c>
      <c r="G282" s="168">
        <f t="shared" si="82"/>
        <v>0.64</v>
      </c>
      <c r="H282" s="168">
        <f t="shared" si="82"/>
        <v>0.64</v>
      </c>
      <c r="I282" s="168">
        <f t="shared" si="82"/>
        <v>0.64</v>
      </c>
      <c r="J282" s="168">
        <f t="shared" si="82"/>
        <v>0.64</v>
      </c>
      <c r="K282" s="168">
        <f t="shared" si="82"/>
        <v>0.64</v>
      </c>
      <c r="L282" s="168">
        <f t="shared" si="82"/>
        <v>0.64</v>
      </c>
      <c r="M282" s="168">
        <f t="shared" si="82"/>
        <v>0.64</v>
      </c>
      <c r="N282" s="168">
        <f t="shared" si="82"/>
        <v>0.64</v>
      </c>
      <c r="O282" s="168">
        <f t="shared" si="82"/>
        <v>0.64</v>
      </c>
      <c r="P282" s="168">
        <f t="shared" si="82"/>
        <v>0.64</v>
      </c>
      <c r="Q282" s="168">
        <f t="shared" si="82"/>
        <v>0.64</v>
      </c>
      <c r="R282" s="168">
        <f t="shared" si="82"/>
        <v>0.64</v>
      </c>
      <c r="S282" s="168">
        <f t="shared" si="82"/>
        <v>0.64</v>
      </c>
      <c r="T282" s="168">
        <f t="shared" si="82"/>
        <v>0.64</v>
      </c>
      <c r="U282" s="168">
        <f t="shared" si="82"/>
        <v>0.64</v>
      </c>
      <c r="V282" s="168">
        <f t="shared" si="82"/>
        <v>0.64</v>
      </c>
      <c r="W282" s="168">
        <f t="shared" si="82"/>
        <v>0.64</v>
      </c>
      <c r="X282" s="168">
        <f t="shared" si="82"/>
        <v>0.64</v>
      </c>
      <c r="Y282" s="168">
        <f t="shared" si="82"/>
        <v>0.64</v>
      </c>
      <c r="Z282" s="168">
        <f t="shared" si="82"/>
        <v>0.64</v>
      </c>
      <c r="AA282" s="168">
        <f t="shared" si="82"/>
        <v>0.64</v>
      </c>
      <c r="AB282" s="168">
        <f t="shared" si="82"/>
        <v>0.64</v>
      </c>
      <c r="AC282" s="168">
        <f t="shared" si="82"/>
        <v>0.64</v>
      </c>
      <c r="AD282" s="168">
        <f t="shared" si="82"/>
        <v>0.64</v>
      </c>
      <c r="AE282" s="168">
        <f t="shared" si="82"/>
        <v>0.64</v>
      </c>
      <c r="AF282" s="168">
        <f>B251</f>
        <v>0.64</v>
      </c>
      <c r="AG282" s="43"/>
      <c r="AH282" s="43"/>
    </row>
    <row r="283" spans="1:34" x14ac:dyDescent="0.25">
      <c r="A283" s="169" t="e">
        <f>#REF!</f>
        <v>#REF!</v>
      </c>
      <c r="B283" s="169" t="e">
        <f>IF(#REF!&lt;100,"",#REF!-520)</f>
        <v>#REF!</v>
      </c>
      <c r="C283" s="169" t="e">
        <f>IF(#REF!&lt;100,"",#REF!-520)</f>
        <v>#REF!</v>
      </c>
      <c r="D283" s="169" t="e">
        <f>IF(#REF!&lt;100,"",#REF!-520)</f>
        <v>#REF!</v>
      </c>
      <c r="E283" s="169" t="e">
        <f>IF(#REF!&lt;100,"",#REF!-520)</f>
        <v>#REF!</v>
      </c>
      <c r="F283" s="169" t="e">
        <f>IF(#REF!&lt;100,"",#REF!-520)</f>
        <v>#REF!</v>
      </c>
      <c r="G283" s="169" t="e">
        <f>IF(#REF!&lt;100,"",#REF!-520)</f>
        <v>#REF!</v>
      </c>
      <c r="H283" s="169" t="e">
        <f>IF(#REF!&lt;100,"",#REF!-520)</f>
        <v>#REF!</v>
      </c>
      <c r="I283" s="169" t="e">
        <f>IF(#REF!&lt;100,"",#REF!-520)</f>
        <v>#REF!</v>
      </c>
      <c r="J283" s="169" t="e">
        <f>IF(#REF!&lt;100,"",#REF!-520)</f>
        <v>#REF!</v>
      </c>
      <c r="K283" s="169" t="e">
        <f>IF(#REF!&lt;100,"",#REF!-520)</f>
        <v>#REF!</v>
      </c>
      <c r="L283" s="169" t="e">
        <f>IF(#REF!&lt;100,"",#REF!-520)</f>
        <v>#REF!</v>
      </c>
      <c r="M283" s="169" t="e">
        <f>IF(#REF!&lt;100,"",#REF!-520)</f>
        <v>#REF!</v>
      </c>
      <c r="N283" s="169" t="e">
        <f>IF(#REF!&lt;100,"",#REF!-520)</f>
        <v>#REF!</v>
      </c>
      <c r="O283" s="169" t="e">
        <f>IF(#REF!&lt;100,"",#REF!-520)</f>
        <v>#REF!</v>
      </c>
      <c r="P283" s="169" t="e">
        <f>IF(#REF!&lt;100,"",#REF!-520)</f>
        <v>#REF!</v>
      </c>
      <c r="Q283" s="169" t="e">
        <f>IF(#REF!&lt;100,"",#REF!-520)</f>
        <v>#REF!</v>
      </c>
      <c r="R283" s="169" t="e">
        <f>IF(#REF!&lt;100,"",#REF!-520)</f>
        <v>#REF!</v>
      </c>
      <c r="S283" s="169" t="e">
        <f>IF(#REF!&lt;100,"",#REF!-520)</f>
        <v>#REF!</v>
      </c>
      <c r="T283" s="169" t="e">
        <f>IF(#REF!&lt;100,"",#REF!-520)</f>
        <v>#REF!</v>
      </c>
      <c r="U283" s="169" t="e">
        <f>IF(#REF!&lt;100,"",#REF!-520)</f>
        <v>#REF!</v>
      </c>
      <c r="V283" s="169" t="e">
        <f>IF(#REF!&lt;100,"",#REF!-520)</f>
        <v>#REF!</v>
      </c>
      <c r="W283" s="169" t="e">
        <f>IF(#REF!&lt;100,"",#REF!-520)</f>
        <v>#REF!</v>
      </c>
      <c r="X283" s="169" t="e">
        <f>IF(#REF!&lt;100,"",#REF!-520)</f>
        <v>#REF!</v>
      </c>
      <c r="Y283" s="169" t="e">
        <f>IF(#REF!&lt;100,"",#REF!-520)</f>
        <v>#REF!</v>
      </c>
      <c r="Z283" s="169" t="e">
        <f>IF(#REF!&lt;100,"",#REF!-520)</f>
        <v>#REF!</v>
      </c>
      <c r="AA283" s="169" t="e">
        <f>IF(#REF!&lt;100,"",#REF!-520)</f>
        <v>#REF!</v>
      </c>
      <c r="AB283" s="169" t="e">
        <f>IF(#REF!&lt;100,"",#REF!-520)</f>
        <v>#REF!</v>
      </c>
      <c r="AC283" s="169" t="e">
        <f>IF(#REF!&lt;100,"",#REF!-520)</f>
        <v>#REF!</v>
      </c>
      <c r="AD283" s="169" t="e">
        <f>IF(#REF!&lt;100,"",#REF!-520)</f>
        <v>#REF!</v>
      </c>
      <c r="AE283" s="169" t="e">
        <f>IF(#REF!&lt;100,"",#REF!-520)</f>
        <v>#REF!</v>
      </c>
      <c r="AF283" s="169" t="e">
        <f>IF(#REF!&lt;100,"",#REF!-520)</f>
        <v>#REF!</v>
      </c>
      <c r="AG283" s="43"/>
      <c r="AH283" s="43"/>
    </row>
    <row r="284" spans="1:34" x14ac:dyDescent="0.25">
      <c r="A284" s="169" t="e">
        <f>#REF!</f>
        <v>#REF!</v>
      </c>
      <c r="B284" s="169" t="e">
        <f>IF(#REF!&lt;100,"",#REF!-620)</f>
        <v>#REF!</v>
      </c>
      <c r="C284" s="169" t="e">
        <f>IF(#REF!&lt;100,"",#REF!-620)</f>
        <v>#REF!</v>
      </c>
      <c r="D284" s="169" t="e">
        <f>IF(#REF!&lt;100,"",#REF!-620)</f>
        <v>#REF!</v>
      </c>
      <c r="E284" s="169" t="e">
        <f>IF(#REF!&lt;100,"",#REF!-620)</f>
        <v>#REF!</v>
      </c>
      <c r="F284" s="169" t="e">
        <f>IF(#REF!&lt;100,"",#REF!-620)</f>
        <v>#REF!</v>
      </c>
      <c r="G284" s="169" t="e">
        <f>IF(#REF!&lt;100,"",#REF!-620)</f>
        <v>#REF!</v>
      </c>
      <c r="H284" s="169" t="e">
        <f>IF(#REF!&lt;100,"",#REF!-620)</f>
        <v>#REF!</v>
      </c>
      <c r="I284" s="169" t="e">
        <f>IF(#REF!&lt;100,"",#REF!-620)</f>
        <v>#REF!</v>
      </c>
      <c r="J284" s="169" t="e">
        <f>IF(#REF!&lt;100,"",#REF!-620)</f>
        <v>#REF!</v>
      </c>
      <c r="K284" s="169" t="e">
        <f>IF(#REF!&lt;100,"",#REF!-620)</f>
        <v>#REF!</v>
      </c>
      <c r="L284" s="169" t="e">
        <f>IF(#REF!&lt;100,"",#REF!-620)</f>
        <v>#REF!</v>
      </c>
      <c r="M284" s="169" t="e">
        <f>IF(#REF!&lt;100,"",#REF!-620)</f>
        <v>#REF!</v>
      </c>
      <c r="N284" s="169" t="e">
        <f>IF(#REF!&lt;100,"",#REF!-620)</f>
        <v>#REF!</v>
      </c>
      <c r="O284" s="169" t="e">
        <f>IF(#REF!&lt;100,"",#REF!-620)</f>
        <v>#REF!</v>
      </c>
      <c r="P284" s="169" t="e">
        <f>IF(#REF!&lt;100,"",#REF!-620)</f>
        <v>#REF!</v>
      </c>
      <c r="Q284" s="169" t="e">
        <f>IF(#REF!&lt;100,"",#REF!-620)</f>
        <v>#REF!</v>
      </c>
      <c r="R284" s="169" t="e">
        <f>IF(#REF!&lt;100,"",#REF!-620)</f>
        <v>#REF!</v>
      </c>
      <c r="S284" s="169" t="e">
        <f>IF(#REF!&lt;100,"",#REF!-620)</f>
        <v>#REF!</v>
      </c>
      <c r="T284" s="169" t="e">
        <f>IF(#REF!&lt;100,"",#REF!-620)</f>
        <v>#REF!</v>
      </c>
      <c r="U284" s="169" t="e">
        <f>IF(#REF!&lt;100,"",#REF!-620)</f>
        <v>#REF!</v>
      </c>
      <c r="V284" s="169" t="e">
        <f>IF(#REF!&lt;100,"",#REF!-620)</f>
        <v>#REF!</v>
      </c>
      <c r="W284" s="169" t="e">
        <f>IF(#REF!&lt;100,"",#REF!-620)</f>
        <v>#REF!</v>
      </c>
      <c r="X284" s="169" t="e">
        <f>IF(#REF!&lt;100,"",#REF!-620)</f>
        <v>#REF!</v>
      </c>
      <c r="Y284" s="169" t="e">
        <f>IF(#REF!&lt;100,"",#REF!-620)</f>
        <v>#REF!</v>
      </c>
      <c r="Z284" s="169" t="e">
        <f>IF(#REF!&lt;100,"",#REF!-620)</f>
        <v>#REF!</v>
      </c>
      <c r="AA284" s="169" t="e">
        <f>IF(#REF!&lt;100,"",#REF!-620)</f>
        <v>#REF!</v>
      </c>
      <c r="AB284" s="169" t="e">
        <f>IF(#REF!&lt;100,"",#REF!-620)</f>
        <v>#REF!</v>
      </c>
      <c r="AC284" s="169" t="e">
        <f>IF(#REF!&lt;100,"",#REF!-620)</f>
        <v>#REF!</v>
      </c>
      <c r="AD284" s="169" t="e">
        <f>IF(#REF!&lt;100,"",#REF!-620)</f>
        <v>#REF!</v>
      </c>
      <c r="AE284" s="169" t="e">
        <f>IF(#REF!&lt;100,"",#REF!-620)</f>
        <v>#REF!</v>
      </c>
      <c r="AF284" s="169" t="e">
        <f>IF(#REF!&lt;100,"",#REF!-620)</f>
        <v>#REF!</v>
      </c>
      <c r="AG284" s="43"/>
      <c r="AH284" s="43"/>
    </row>
    <row r="285" spans="1:34" x14ac:dyDescent="0.25">
      <c r="A285" s="169" t="e">
        <f>#REF!</f>
        <v>#REF!</v>
      </c>
      <c r="B285" s="169" t="e">
        <f>IF(#REF!&lt;100,"",#REF!-330)</f>
        <v>#REF!</v>
      </c>
      <c r="C285" s="169" t="e">
        <f>IF(#REF!&lt;100,"",#REF!-330)</f>
        <v>#REF!</v>
      </c>
      <c r="D285" s="169" t="e">
        <f>IF(#REF!&lt;100,"",#REF!-330)</f>
        <v>#REF!</v>
      </c>
      <c r="E285" s="169" t="e">
        <f>IF(#REF!&lt;100,"",#REF!-330)</f>
        <v>#REF!</v>
      </c>
      <c r="F285" s="169" t="e">
        <f>IF(#REF!&lt;100,"",#REF!-330)</f>
        <v>#REF!</v>
      </c>
      <c r="G285" s="169" t="e">
        <f>IF(#REF!&lt;100,"",#REF!-330)</f>
        <v>#REF!</v>
      </c>
      <c r="H285" s="169" t="e">
        <f>IF(#REF!&lt;100,"",#REF!-330)</f>
        <v>#REF!</v>
      </c>
      <c r="I285" s="169" t="e">
        <f>IF(#REF!&lt;100,"",#REF!-330)</f>
        <v>#REF!</v>
      </c>
      <c r="J285" s="169" t="e">
        <f>IF(#REF!&lt;100,"",#REF!-330)</f>
        <v>#REF!</v>
      </c>
      <c r="K285" s="169" t="e">
        <f>IF(#REF!&lt;100,"",#REF!-330)</f>
        <v>#REF!</v>
      </c>
      <c r="L285" s="169" t="e">
        <f>IF(#REF!&lt;100,"",#REF!-330)</f>
        <v>#REF!</v>
      </c>
      <c r="M285" s="169" t="e">
        <f>IF(#REF!&lt;100,"",#REF!-330)</f>
        <v>#REF!</v>
      </c>
      <c r="N285" s="169" t="e">
        <f>IF(#REF!&lt;100,"",#REF!-330)</f>
        <v>#REF!</v>
      </c>
      <c r="O285" s="169" t="e">
        <f>IF(#REF!&lt;100,"",#REF!-330)</f>
        <v>#REF!</v>
      </c>
      <c r="P285" s="169" t="e">
        <f>IF(#REF!&lt;100,"",#REF!-330)</f>
        <v>#REF!</v>
      </c>
      <c r="Q285" s="169" t="e">
        <f>IF(#REF!&lt;100,"",#REF!-330)</f>
        <v>#REF!</v>
      </c>
      <c r="R285" s="169" t="e">
        <f>IF(#REF!&lt;100,"",#REF!-330)</f>
        <v>#REF!</v>
      </c>
      <c r="S285" s="169" t="e">
        <f>IF(#REF!&lt;100,"",#REF!-330)</f>
        <v>#REF!</v>
      </c>
      <c r="T285" s="169" t="e">
        <f>IF(#REF!&lt;100,"",#REF!-330)</f>
        <v>#REF!</v>
      </c>
      <c r="U285" s="169" t="e">
        <f>IF(#REF!&lt;100,"",#REF!-330)</f>
        <v>#REF!</v>
      </c>
      <c r="V285" s="169" t="e">
        <f>IF(#REF!&lt;100,"",#REF!-330)</f>
        <v>#REF!</v>
      </c>
      <c r="W285" s="169" t="e">
        <f>IF(#REF!&lt;100,"",#REF!-330)</f>
        <v>#REF!</v>
      </c>
      <c r="X285" s="169" t="e">
        <f>IF(#REF!&lt;100,"",#REF!-330)</f>
        <v>#REF!</v>
      </c>
      <c r="Y285" s="169" t="e">
        <f>IF(#REF!&lt;100,"",#REF!-330)</f>
        <v>#REF!</v>
      </c>
      <c r="Z285" s="169" t="e">
        <f>IF(#REF!&lt;100,"",#REF!-330)</f>
        <v>#REF!</v>
      </c>
      <c r="AA285" s="169" t="e">
        <f>IF(#REF!&lt;100,"",#REF!-330)</f>
        <v>#REF!</v>
      </c>
      <c r="AB285" s="169" t="e">
        <f>IF(#REF!&lt;100,"",#REF!-330)</f>
        <v>#REF!</v>
      </c>
      <c r="AC285" s="169" t="e">
        <f>IF(#REF!&lt;100,"",#REF!-330)</f>
        <v>#REF!</v>
      </c>
      <c r="AD285" s="169" t="e">
        <f>IF(#REF!&lt;100,"",#REF!-330)</f>
        <v>#REF!</v>
      </c>
      <c r="AE285" s="169" t="e">
        <f>IF(#REF!&lt;100,"",#REF!-330)</f>
        <v>#REF!</v>
      </c>
      <c r="AF285" s="169" t="e">
        <f>IF(#REF!&lt;100,"",#REF!-330)</f>
        <v>#REF!</v>
      </c>
      <c r="AG285" s="43"/>
      <c r="AH285" s="43"/>
    </row>
    <row r="286" spans="1:34" x14ac:dyDescent="0.25">
      <c r="A286" s="169" t="e">
        <f>#REF!</f>
        <v>#REF!</v>
      </c>
      <c r="B286" s="169" t="e">
        <f>IF(#REF!&lt;100,"",#REF!-1500)</f>
        <v>#REF!</v>
      </c>
      <c r="C286" s="169" t="e">
        <f>IF(#REF!&lt;100,"",#REF!-1500)</f>
        <v>#REF!</v>
      </c>
      <c r="D286" s="169" t="e">
        <f>IF(#REF!&lt;100,"",#REF!-1500)</f>
        <v>#REF!</v>
      </c>
      <c r="E286" s="169" t="e">
        <f>IF(#REF!&lt;100,"",#REF!-1500)</f>
        <v>#REF!</v>
      </c>
      <c r="F286" s="169" t="e">
        <f>IF(#REF!&lt;100,"",#REF!-1500)</f>
        <v>#REF!</v>
      </c>
      <c r="G286" s="169" t="e">
        <f>IF(#REF!&lt;100,"",#REF!-1500)</f>
        <v>#REF!</v>
      </c>
      <c r="H286" s="169" t="e">
        <f>IF(#REF!&lt;100,"",#REF!-1500)</f>
        <v>#REF!</v>
      </c>
      <c r="I286" s="169" t="e">
        <f>IF(#REF!&lt;100,"",#REF!-1500)</f>
        <v>#REF!</v>
      </c>
      <c r="J286" s="169" t="e">
        <f>IF(#REF!&lt;100,"",#REF!-1500)</f>
        <v>#REF!</v>
      </c>
      <c r="K286" s="169" t="e">
        <f>IF(#REF!&lt;100,"",#REF!-1500)</f>
        <v>#REF!</v>
      </c>
      <c r="L286" s="169" t="e">
        <f>IF(#REF!&lt;100,"",#REF!-1500)</f>
        <v>#REF!</v>
      </c>
      <c r="M286" s="169" t="e">
        <f>IF(#REF!&lt;100,"",#REF!-1500)</f>
        <v>#REF!</v>
      </c>
      <c r="N286" s="169" t="e">
        <f>IF(#REF!&lt;100,"",#REF!-1500)</f>
        <v>#REF!</v>
      </c>
      <c r="O286" s="169" t="e">
        <f>IF(#REF!&lt;100,"",#REF!-1500)</f>
        <v>#REF!</v>
      </c>
      <c r="P286" s="169" t="e">
        <f>IF(#REF!&lt;100,"",#REF!-1500)</f>
        <v>#REF!</v>
      </c>
      <c r="Q286" s="169" t="e">
        <f>IF(#REF!&lt;100,"",#REF!-1500)</f>
        <v>#REF!</v>
      </c>
      <c r="R286" s="169" t="e">
        <f>IF(#REF!&lt;100,"",#REF!-1500)</f>
        <v>#REF!</v>
      </c>
      <c r="S286" s="169" t="e">
        <f>IF(#REF!&lt;100,"",#REF!-1500)</f>
        <v>#REF!</v>
      </c>
      <c r="T286" s="169" t="e">
        <f>IF(#REF!&lt;100,"",#REF!-1500)</f>
        <v>#REF!</v>
      </c>
      <c r="U286" s="169" t="e">
        <f>IF(#REF!&lt;100,"",#REF!-1500)</f>
        <v>#REF!</v>
      </c>
      <c r="V286" s="169" t="e">
        <f>IF(#REF!&lt;100,"",#REF!-1500)</f>
        <v>#REF!</v>
      </c>
      <c r="W286" s="169" t="e">
        <f>IF(#REF!&lt;100,"",#REF!-1500)</f>
        <v>#REF!</v>
      </c>
      <c r="X286" s="169" t="e">
        <f>IF(#REF!&lt;100,"",#REF!-1500)</f>
        <v>#REF!</v>
      </c>
      <c r="Y286" s="169" t="e">
        <f>IF(#REF!&lt;100,"",#REF!-1500)</f>
        <v>#REF!</v>
      </c>
      <c r="Z286" s="169" t="e">
        <f>IF(#REF!&lt;100,"",#REF!-1500)</f>
        <v>#REF!</v>
      </c>
      <c r="AA286" s="169" t="e">
        <f>IF(#REF!&lt;100,"",#REF!-1500)</f>
        <v>#REF!</v>
      </c>
      <c r="AB286" s="169" t="e">
        <f>IF(#REF!&lt;100,"",#REF!-1500)</f>
        <v>#REF!</v>
      </c>
      <c r="AC286" s="169" t="e">
        <f>IF(#REF!&lt;100,"",#REF!-1500)</f>
        <v>#REF!</v>
      </c>
      <c r="AD286" s="169" t="e">
        <f>IF(#REF!&lt;100,"",#REF!-1500)</f>
        <v>#REF!</v>
      </c>
      <c r="AE286" s="169" t="e">
        <f>IF(#REF!&lt;100,"",#REF!-1500)</f>
        <v>#REF!</v>
      </c>
      <c r="AF286" s="169" t="e">
        <f>IF(#REF!&lt;100,"",#REF!-1500)</f>
        <v>#REF!</v>
      </c>
      <c r="AG286" s="43"/>
      <c r="AH286" s="43"/>
    </row>
    <row r="287" spans="1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1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2:34" x14ac:dyDescent="0.25"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2:34" x14ac:dyDescent="0.25"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2:34" x14ac:dyDescent="0.25"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2:34" x14ac:dyDescent="0.25"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2:34" x14ac:dyDescent="0.25"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1094" priority="54">
      <formula>$AH11=0</formula>
    </cfRule>
  </conditionalFormatting>
  <conditionalFormatting sqref="A132:A253">
    <cfRule type="expression" dxfId="1093" priority="59">
      <formula>$AH132=0</formula>
    </cfRule>
  </conditionalFormatting>
  <conditionalFormatting sqref="B8 M8 S8 AB8">
    <cfRule type="expression" dxfId="1092" priority="167">
      <formula>AND(C$9&gt;=14/24,C$9&lt;20/24)</formula>
    </cfRule>
    <cfRule type="expression" dxfId="1091" priority="168">
      <formula>AND(C$9&gt;=8/24,C$9&lt;14/24)</formula>
    </cfRule>
    <cfRule type="expression" dxfId="1090" priority="169">
      <formula>C$9&lt;8/24</formula>
    </cfRule>
  </conditionalFormatting>
  <conditionalFormatting sqref="B11:D52 E12:K52 L13:AF52">
    <cfRule type="expression" dxfId="1089" priority="43">
      <formula>AND(B$9&gt;=8/24,B$9&lt;14/24)</formula>
    </cfRule>
    <cfRule type="expression" dxfId="1088" priority="40">
      <formula>B11&gt;$AG11</formula>
    </cfRule>
    <cfRule type="expression" dxfId="1087" priority="41">
      <formula>B$9&gt;=20/24</formula>
    </cfRule>
    <cfRule type="expression" dxfId="1086" priority="42">
      <formula>AND(B$9&gt;=14/24,B$9&lt;20/24)</formula>
    </cfRule>
  </conditionalFormatting>
  <conditionalFormatting sqref="B11:D57 E12:K55 L13:W55 X13:AF56 T18:AA18 E56:W56 E57:AF57">
    <cfRule type="expression" dxfId="1085" priority="44">
      <formula>B$9&lt;8/24</formula>
    </cfRule>
  </conditionalFormatting>
  <conditionalFormatting sqref="B62:D74">
    <cfRule type="expression" dxfId="1084" priority="46">
      <formula>AND(B$9&gt;=14/24,B$9&lt;20/24)</formula>
    </cfRule>
    <cfRule type="expression" dxfId="1083" priority="45">
      <formula>B$9&gt;=20/24</formula>
    </cfRule>
    <cfRule type="expression" dxfId="1082" priority="47">
      <formula>AND(B$9&gt;=8/24,B$9&lt;14/24)</formula>
    </cfRule>
    <cfRule type="expression" dxfId="1081" priority="48">
      <formula>B$9&lt;8/24</formula>
    </cfRule>
  </conditionalFormatting>
  <conditionalFormatting sqref="B63:D74 E70:W74 X71:AF74">
    <cfRule type="expression" dxfId="1080" priority="20">
      <formula>B63&gt;$AG63</formula>
    </cfRule>
  </conditionalFormatting>
  <conditionalFormatting sqref="B119:D137">
    <cfRule type="expression" dxfId="1079" priority="5">
      <formula>B$9&gt;=20/24</formula>
    </cfRule>
    <cfRule type="expression" dxfId="1078" priority="6">
      <formula>AND(B$9&gt;=14/24,B$9&lt;20/24)</formula>
    </cfRule>
    <cfRule type="expression" dxfId="1077" priority="7">
      <formula>AND(B$9&gt;=8/24,B$9&lt;14/24)</formula>
    </cfRule>
    <cfRule type="expression" dxfId="1076" priority="8">
      <formula>B$9&lt;8/24</formula>
    </cfRule>
  </conditionalFormatting>
  <conditionalFormatting sqref="B9:AF10 E11:L11 M11:AF12 L12">
    <cfRule type="expression" dxfId="1075" priority="81">
      <formula>AND(B$9&gt;=8/24,B$9&lt;14/24)</formula>
    </cfRule>
    <cfRule type="expression" dxfId="1074" priority="82">
      <formula>B$9&lt;8/24</formula>
    </cfRule>
    <cfRule type="expression" dxfId="1073" priority="80">
      <formula>AND(B$9&gt;=14/24,B$9&lt;20/24)</formula>
    </cfRule>
  </conditionalFormatting>
  <conditionalFormatting sqref="B53:AF54">
    <cfRule type="expression" dxfId="1072" priority="15">
      <formula>AND(B$9&gt;=8/24,B$9&lt;14/24)</formula>
    </cfRule>
    <cfRule type="expression" dxfId="1071" priority="13">
      <formula>B$9&gt;=20/24</formula>
    </cfRule>
    <cfRule type="expression" dxfId="1070" priority="14">
      <formula>AND(B$9&gt;=14/24,B$9&lt;20/24)</formula>
    </cfRule>
  </conditionalFormatting>
  <conditionalFormatting sqref="B53:AF55">
    <cfRule type="expression" dxfId="1069" priority="53">
      <formula>B53&gt;$AG53</formula>
    </cfRule>
  </conditionalFormatting>
  <conditionalFormatting sqref="B55:AF57">
    <cfRule type="expression" dxfId="1068" priority="23">
      <formula>AND(B$9&gt;=14/24,B$9&lt;20/24)</formula>
    </cfRule>
    <cfRule type="expression" dxfId="1067" priority="24">
      <formula>AND(B$9&gt;=8/24,B$9&lt;14/24)</formula>
    </cfRule>
    <cfRule type="expression" dxfId="1066" priority="22">
      <formula>B$9&gt;=20/24</formula>
    </cfRule>
  </conditionalFormatting>
  <conditionalFormatting sqref="B56:AF61">
    <cfRule type="expression" dxfId="1065" priority="21">
      <formula>B56&gt;$AG56</formula>
    </cfRule>
  </conditionalFormatting>
  <conditionalFormatting sqref="B59:AF61">
    <cfRule type="expression" dxfId="1064" priority="30">
      <formula>B$9&gt;=20/24</formula>
    </cfRule>
    <cfRule type="expression" dxfId="1063" priority="31">
      <formula>AND(B$9&gt;=14/24,B$9&lt;20/24)</formula>
    </cfRule>
    <cfRule type="expression" dxfId="1062" priority="32">
      <formula>AND(B$9&gt;=8/24,B$9&lt;14/24)</formula>
    </cfRule>
    <cfRule type="expression" dxfId="1061" priority="33">
      <formula>B$9&lt;8/24</formula>
    </cfRule>
  </conditionalFormatting>
  <conditionalFormatting sqref="B77:AF79">
    <cfRule type="expression" dxfId="1060" priority="34">
      <formula>B77&gt;$AG77</formula>
    </cfRule>
    <cfRule type="expression" dxfId="1059" priority="35">
      <formula>B$9&gt;=20/24</formula>
    </cfRule>
    <cfRule type="expression" dxfId="1058" priority="36">
      <formula>AND(B$9&gt;=14/24,B$9&lt;20/24)</formula>
    </cfRule>
    <cfRule type="expression" dxfId="1057" priority="38">
      <formula>B$9&lt;8/24</formula>
    </cfRule>
    <cfRule type="expression" dxfId="1056" priority="37">
      <formula>AND(B$9&gt;=8/24,B$9&lt;14/24)</formula>
    </cfRule>
  </conditionalFormatting>
  <conditionalFormatting sqref="B81:AF99">
    <cfRule type="expression" dxfId="1055" priority="17">
      <formula>AND(B$9&gt;=14/24,B$9&lt;20/24)</formula>
    </cfRule>
    <cfRule type="expression" dxfId="1054" priority="16">
      <formula>B$9&gt;=20/24</formula>
    </cfRule>
    <cfRule type="expression" dxfId="1053" priority="18">
      <formula>AND(B$9&gt;=8/24,B$9&lt;14/24)</formula>
    </cfRule>
    <cfRule type="expression" dxfId="1052" priority="19">
      <formula>B$9&lt;8/24</formula>
    </cfRule>
  </conditionalFormatting>
  <conditionalFormatting sqref="B101:AF117">
    <cfRule type="expression" dxfId="1051" priority="9">
      <formula>B$9&gt;=20/24</formula>
    </cfRule>
    <cfRule type="expression" dxfId="1050" priority="10">
      <formula>AND(B$9&gt;=14/24,B$9&lt;20/24)</formula>
    </cfRule>
    <cfRule type="expression" dxfId="1049" priority="11">
      <formula>AND(B$9&gt;=8/24,B$9&lt;14/24)</formula>
    </cfRule>
    <cfRule type="expression" dxfId="1048" priority="12">
      <formula>B$9&lt;8/24</formula>
    </cfRule>
  </conditionalFormatting>
  <conditionalFormatting sqref="B244:AF244 B246:B252 D246:AF252 U260:AF260">
    <cfRule type="expression" dxfId="1047" priority="161">
      <formula>AND(B$9&gt;=14/24,B$9&lt;20/24)</formula>
    </cfRule>
    <cfRule type="expression" dxfId="1046" priority="160">
      <formula>B$9&gt;=20/24</formula>
    </cfRule>
    <cfRule type="expression" dxfId="1045" priority="163">
      <formula>B$9&lt;8/24</formula>
    </cfRule>
    <cfRule type="expression" dxfId="1044" priority="162">
      <formula>AND(B$9&gt;=8/24,B$9&lt;14/24)</formula>
    </cfRule>
  </conditionalFormatting>
  <conditionalFormatting sqref="B62:AG62">
    <cfRule type="expression" dxfId="1043" priority="39">
      <formula>B62&gt;$AG62</formula>
    </cfRule>
  </conditionalFormatting>
  <conditionalFormatting sqref="B75:AG76 B80:AG80">
    <cfRule type="expression" dxfId="1042" priority="25">
      <formula>B75&gt;$AG75</formula>
    </cfRule>
  </conditionalFormatting>
  <conditionalFormatting sqref="B80:AG80">
    <cfRule type="expression" dxfId="1041" priority="29">
      <formula>B$9&lt;8/24</formula>
    </cfRule>
    <cfRule type="expression" dxfId="1040" priority="26">
      <formula>B$9&gt;=20/24</formula>
    </cfRule>
    <cfRule type="expression" dxfId="1039" priority="27">
      <formula>AND(B$9&gt;=14/24,B$9&lt;20/24)</formula>
    </cfRule>
    <cfRule type="expression" dxfId="1038" priority="28">
      <formula>AND(B$9&gt;=8/24,B$9&lt;14/24)</formula>
    </cfRule>
  </conditionalFormatting>
  <conditionalFormatting sqref="E63:I69 J64:J69 K68:K69 L69:W69 E119:AF131 Q132:AF136 E137:AF137">
    <cfRule type="expression" dxfId="1037" priority="74">
      <formula>E$9&gt;=20/24</formula>
    </cfRule>
    <cfRule type="expression" dxfId="1036" priority="75">
      <formula>AND(E$9&gt;=14/24,E$9&lt;20/24)</formula>
    </cfRule>
    <cfRule type="expression" dxfId="1035" priority="76">
      <formula>AND(E$9&gt;=8/24,E$9&lt;14/24)</formula>
    </cfRule>
    <cfRule type="expression" dxfId="1034" priority="77">
      <formula>E$9&lt;8/24</formula>
    </cfRule>
  </conditionalFormatting>
  <conditionalFormatting sqref="E11:L11 M11:AF12 L12 B9:AF10">
    <cfRule type="expression" dxfId="1033" priority="79">
      <formula>B$9&gt;=20/24</formula>
    </cfRule>
  </conditionalFormatting>
  <conditionalFormatting sqref="E11:L11 M11:AF12 L12">
    <cfRule type="expression" dxfId="1032" priority="78">
      <formula>E11&gt;$AG11</formula>
    </cfRule>
  </conditionalFormatting>
  <conditionalFormatting sqref="E132:O136">
    <cfRule type="expression" dxfId="1031" priority="3">
      <formula>AND(E$9&gt;=8/24,E$9&lt;14/24)</formula>
    </cfRule>
    <cfRule type="expression" dxfId="1030" priority="4">
      <formula>E$9&lt;8/24</formula>
    </cfRule>
    <cfRule type="expression" dxfId="1029" priority="1">
      <formula>E$9&gt;=20/24</formula>
    </cfRule>
    <cfRule type="expression" dxfId="1028" priority="2">
      <formula>AND(E$9&gt;=14/24,E$9&lt;20/24)</formula>
    </cfRule>
  </conditionalFormatting>
  <conditionalFormatting sqref="E70:W74 X71:AF74">
    <cfRule type="expression" dxfId="1027" priority="52">
      <formula>E$9&lt;8/24</formula>
    </cfRule>
    <cfRule type="expression" dxfId="1026" priority="51">
      <formula>AND(E$9&gt;=8/24,E$9&lt;14/24)</formula>
    </cfRule>
    <cfRule type="expression" dxfId="1025" priority="50">
      <formula>AND(E$9&gt;=14/24,E$9&lt;20/24)</formula>
    </cfRule>
    <cfRule type="expression" dxfId="1024" priority="49">
      <formula>E$9&gt;=20/24</formula>
    </cfRule>
  </conditionalFormatting>
  <conditionalFormatting sqref="E62:AG62">
    <cfRule type="expression" dxfId="1023" priority="104">
      <formula>E$9&gt;=20/24</formula>
    </cfRule>
    <cfRule type="expression" dxfId="1022" priority="105">
      <formula>AND(E$9&gt;=14/24,E$9&lt;20/24)</formula>
    </cfRule>
    <cfRule type="expression" dxfId="1021" priority="106">
      <formula>AND(E$9&gt;=8/24,E$9&lt;14/24)</formula>
    </cfRule>
    <cfRule type="expression" dxfId="1020" priority="107">
      <formula>E$9&lt;8/24</formula>
    </cfRule>
  </conditionalFormatting>
  <conditionalFormatting sqref="G63:L65">
    <cfRule type="expression" dxfId="1019" priority="144">
      <formula>G$9&lt;8/24</formula>
    </cfRule>
    <cfRule type="expression" dxfId="1018" priority="141">
      <formula>G$9&gt;=20/24</formula>
    </cfRule>
    <cfRule type="expression" dxfId="1017" priority="142">
      <formula>AND(G$9&gt;=14/24,G$9&lt;20/24)</formula>
    </cfRule>
    <cfRule type="expression" dxfId="1016" priority="143">
      <formula>AND(G$9&gt;=8/24,G$9&lt;14/24)</formula>
    </cfRule>
  </conditionalFormatting>
  <conditionalFormatting sqref="L68:R68">
    <cfRule type="expression" dxfId="1015" priority="120">
      <formula>AND(L$9&gt;=8/24,L$9&lt;14/24)</formula>
    </cfRule>
    <cfRule type="expression" dxfId="1014" priority="121">
      <formula>L$9&lt;8/24</formula>
    </cfRule>
    <cfRule type="expression" dxfId="1013" priority="118">
      <formula>L$9&gt;=20/24</formula>
    </cfRule>
    <cfRule type="expression" dxfId="1012" priority="119">
      <formula>AND(L$9&gt;=14/24,L$9&lt;20/24)</formula>
    </cfRule>
  </conditionalFormatting>
  <conditionalFormatting sqref="M63:R67">
    <cfRule type="expression" dxfId="1011" priority="146">
      <formula>AND(M$9&gt;=14/24,M$9&lt;20/24)</formula>
    </cfRule>
    <cfRule type="expression" dxfId="1010" priority="147">
      <formula>AND(M$9&gt;=8/24,M$9&lt;14/24)</formula>
    </cfRule>
    <cfRule type="expression" dxfId="1009" priority="148">
      <formula>M$9&lt;8/24</formula>
    </cfRule>
    <cfRule type="expression" dxfId="1008" priority="145">
      <formula>M$9&gt;=20/24</formula>
    </cfRule>
  </conditionalFormatting>
  <conditionalFormatting sqref="O3:P3">
    <cfRule type="iconSet" priority="164">
      <iconSet iconSet="3TrafficLights2" reverse="1">
        <cfvo type="percent" val="0"/>
        <cfvo type="num" val="1"/>
        <cfvo type="num" val="1"/>
      </iconSet>
    </cfRule>
  </conditionalFormatting>
  <conditionalFormatting sqref="P132:P136 AH260:AX260">
    <cfRule type="expression" dxfId="1007" priority="174">
      <formula>O$9&gt;=20/24</formula>
    </cfRule>
    <cfRule type="expression" dxfId="1006" priority="175">
      <formula>AND(O$9&gt;=14/24,O$9&lt;20/24)</formula>
    </cfRule>
    <cfRule type="expression" dxfId="1005" priority="176">
      <formula>AND(O$9&gt;=8/24,O$9&lt;14/24)</formula>
    </cfRule>
    <cfRule type="expression" dxfId="1004" priority="177">
      <formula>O$9&lt;8/24</formula>
    </cfRule>
  </conditionalFormatting>
  <conditionalFormatting sqref="S8 AB8 B8 M8">
    <cfRule type="expression" dxfId="1003" priority="166">
      <formula>C$9&gt;=20/24</formula>
    </cfRule>
  </conditionalFormatting>
  <conditionalFormatting sqref="S8">
    <cfRule type="expression" dxfId="1002" priority="153">
      <formula>U$9&gt;=20/24</formula>
    </cfRule>
    <cfRule type="expression" dxfId="1001" priority="154">
      <formula>AND(U$9&gt;=14/24,U$9&lt;20/24)</formula>
    </cfRule>
    <cfRule type="expression" dxfId="1000" priority="155">
      <formula>AND(U$9&gt;=8/24,U$9&lt;14/24)</formula>
    </cfRule>
    <cfRule type="expression" dxfId="999" priority="156">
      <formula>U$9&lt;8/24</formula>
    </cfRule>
  </conditionalFormatting>
  <conditionalFormatting sqref="S63:AF68">
    <cfRule type="expression" dxfId="998" priority="112">
      <formula>S$9&gt;=20/24</formula>
    </cfRule>
    <cfRule type="expression" dxfId="997" priority="115">
      <formula>S$9&lt;8/24</formula>
    </cfRule>
    <cfRule type="expression" dxfId="996" priority="113">
      <formula>AND(S$9&gt;=14/24,S$9&lt;20/24)</formula>
    </cfRule>
    <cfRule type="expression" dxfId="995" priority="114">
      <formula>AND(S$9&gt;=8/24,S$9&lt;14/24)</formula>
    </cfRule>
  </conditionalFormatting>
  <conditionalFormatting sqref="T260">
    <cfRule type="expression" dxfId="994" priority="178">
      <formula>AX$9&gt;=20/24</formula>
    </cfRule>
    <cfRule type="expression" dxfId="993" priority="179">
      <formula>AND(AX$9&gt;=14/24,AX$9&lt;20/24)</formula>
    </cfRule>
    <cfRule type="expression" dxfId="992" priority="180">
      <formula>AND(AX$9&gt;=8/24,AX$9&lt;14/24)</formula>
    </cfRule>
    <cfRule type="expression" dxfId="991" priority="181">
      <formula>AX$9&lt;8/24</formula>
    </cfRule>
  </conditionalFormatting>
  <conditionalFormatting sqref="V3 AB3">
    <cfRule type="iconSet" priority="165">
      <iconSet iconSet="3TrafficLights2" reverse="1">
        <cfvo type="percent" val="0"/>
        <cfvo type="num" val="1"/>
        <cfvo type="num" val="1"/>
      </iconSet>
    </cfRule>
  </conditionalFormatting>
  <conditionalFormatting sqref="W63:Y68 E63:V69 Z63:AF70 W69 X69:Y70">
    <cfRule type="expression" dxfId="990" priority="73">
      <formula>E63&gt;$AG63</formula>
    </cfRule>
  </conditionalFormatting>
  <conditionalFormatting sqref="X69:AF70">
    <cfRule type="expression" dxfId="989" priority="108">
      <formula>X$9&gt;=20/24</formula>
    </cfRule>
    <cfRule type="expression" dxfId="988" priority="111">
      <formula>X$9&lt;8/24</formula>
    </cfRule>
    <cfRule type="expression" dxfId="987" priority="110">
      <formula>AND(X$9&gt;=8/24,X$9&lt;14/24)</formula>
    </cfRule>
    <cfRule type="expression" dxfId="986" priority="109">
      <formula>AND(X$9&gt;=14/24,X$9&lt;20/24)</formula>
    </cfRule>
  </conditionalFormatting>
  <conditionalFormatting sqref="AB8">
    <cfRule type="expression" dxfId="985" priority="149">
      <formula>AD$9&gt;=20/24</formula>
    </cfRule>
    <cfRule type="expression" dxfId="984" priority="151">
      <formula>AND(AD$9&gt;=8/24,AD$9&lt;14/24)</formula>
    </cfRule>
    <cfRule type="expression" dxfId="983" priority="152">
      <formula>AD$9&lt;8/24</formula>
    </cfRule>
    <cfRule type="expression" dxfId="982" priority="150">
      <formula>AND(AD$9&gt;=14/24,AD$9&lt;20/24)</formula>
    </cfRule>
  </conditionalFormatting>
  <conditionalFormatting sqref="AG58">
    <cfRule type="expression" dxfId="981" priority="136">
      <formula>AG58&gt;$AG58</formula>
    </cfRule>
  </conditionalFormatting>
  <conditionalFormatting sqref="AG97">
    <cfRule type="expression" dxfId="980" priority="138">
      <formula>AND(AG$9&gt;=14/24,AG$9&lt;20/24)</formula>
    </cfRule>
    <cfRule type="expression" dxfId="979" priority="140">
      <formula>AG$9&lt;8/24</formula>
    </cfRule>
    <cfRule type="expression" dxfId="978" priority="139">
      <formula>AND(AG$9&gt;=8/24,AG$9&lt;14/24)</formula>
    </cfRule>
    <cfRule type="expression" dxfId="977" priority="137">
      <formula>AG$9&gt;=20/24</formula>
    </cfRule>
  </conditionalFormatting>
  <conditionalFormatting sqref="AG260">
    <cfRule type="expression" dxfId="976" priority="173">
      <formula>B$9&lt;8/24</formula>
    </cfRule>
    <cfRule type="expression" dxfId="975" priority="172">
      <formula>AND(B$9&gt;=8/24,B$9&lt;14/24)</formula>
    </cfRule>
    <cfRule type="expression" dxfId="974" priority="171">
      <formula>AND(B$9&gt;=14/24,B$9&lt;20/24)</formula>
    </cfRule>
    <cfRule type="expression" dxfId="973" priority="170">
      <formula>B$9&gt;=20/24</formula>
    </cfRule>
  </conditionalFormatting>
  <conditionalFormatting sqref="AL4:AL6">
    <cfRule type="iconSet" priority="159">
      <iconSet iconSet="3TrafficLights2" reverse="1">
        <cfvo type="percent" val="0"/>
        <cfvo type="num" val="1"/>
        <cfvo type="num" val="1"/>
      </iconSet>
    </cfRule>
  </conditionalFormatting>
  <conditionalFormatting sqref="AL19:AL20">
    <cfRule type="iconSet" priority="124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35">
      <iconSet iconSet="3TrafficLights2" reverse="1">
        <cfvo type="percent" val="0"/>
        <cfvo type="num" val="1"/>
        <cfvo type="num" val="1"/>
      </iconSet>
    </cfRule>
  </conditionalFormatting>
  <conditionalFormatting sqref="AL48 AL45:AL46 AL21:AL24 AL7:AL18 AL26:AL37 AL39:AL43 AL54:AL55">
    <cfRule type="iconSet" priority="182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58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57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22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972" priority="186">
      <formula>AJ$9&lt;8/24</formula>
    </cfRule>
    <cfRule type="expression" dxfId="971" priority="183">
      <formula>AJ$9&gt;=20/24</formula>
    </cfRule>
    <cfRule type="expression" dxfId="970" priority="184">
      <formula>AND(AJ$9&gt;=14/24,AJ$9&lt;20/24)</formula>
    </cfRule>
    <cfRule type="expression" dxfId="969" priority="185">
      <formula>AND(AJ$9&gt;=8/24,AJ$9&lt;14/24)</formula>
    </cfRule>
  </conditionalFormatting>
  <conditionalFormatting sqref="AL88:AN88 AL94:AN94">
    <cfRule type="expression" dxfId="968" priority="132">
      <formula>AL$9&lt;8/24</formula>
    </cfRule>
    <cfRule type="expression" dxfId="967" priority="131">
      <formula>AND(AL$9&gt;=8/24,AL$9&lt;14/24)</formula>
    </cfRule>
    <cfRule type="expression" dxfId="966" priority="130">
      <formula>AND(AL$9&gt;=14/24,AL$9&lt;20/24)</formula>
    </cfRule>
    <cfRule type="expression" dxfId="965" priority="129">
      <formula>AL$9&gt;=20/24</formula>
    </cfRule>
  </conditionalFormatting>
  <conditionalFormatting sqref="AN89:AN92">
    <cfRule type="expression" dxfId="964" priority="128">
      <formula>AN$9&lt;8/24</formula>
    </cfRule>
    <cfRule type="expression" dxfId="963" priority="127">
      <formula>AND(AN$9&gt;=8/24,AN$9&lt;14/24)</formula>
    </cfRule>
    <cfRule type="expression" dxfId="962" priority="126">
      <formula>AND(AN$9&gt;=14/24,AN$9&lt;20/24)</formula>
    </cfRule>
    <cfRule type="expression" dxfId="961" priority="125">
      <formula>AN$9&gt;=20/24</formula>
    </cfRule>
  </conditionalFormatting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38871-CF55-4575-B219-5BF28333FA76}">
  <sheetPr codeName="Sheet17"/>
  <dimension ref="A1:CJ293"/>
  <sheetViews>
    <sheetView zoomScale="106" workbookViewId="0">
      <pane xSplit="1" ySplit="10" topLeftCell="B11" activePane="bottomRight" state="frozen"/>
      <selection activeCell="Z63" sqref="Z63"/>
      <selection pane="topRight" activeCell="Z63" sqref="Z63"/>
      <selection pane="bottomLeft" activeCell="Z63" sqref="Z63"/>
      <selection pane="bottomRight" activeCell="V80" sqref="V80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hidden="1" customHeight="1" thickBot="1" x14ac:dyDescent="0.3">
      <c r="A1" s="275" t="s">
        <v>0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  <c r="AD1" s="275"/>
      <c r="AE1" s="275"/>
      <c r="AF1" s="275"/>
      <c r="AG1" s="276" t="s">
        <v>1</v>
      </c>
      <c r="AH1" s="276"/>
      <c r="AI1" s="276"/>
      <c r="AL1" s="2"/>
    </row>
    <row r="2" spans="1:88" ht="20.25" hidden="1" x14ac:dyDescent="0.25">
      <c r="A2" s="3"/>
      <c r="B2" s="277" t="s">
        <v>2</v>
      </c>
      <c r="C2" s="4"/>
      <c r="D2" s="279" t="s">
        <v>3</v>
      </c>
      <c r="E2" s="4"/>
      <c r="F2" s="279" t="s">
        <v>4</v>
      </c>
      <c r="G2" s="4"/>
      <c r="H2" s="279" t="s">
        <v>5</v>
      </c>
      <c r="I2" s="5"/>
      <c r="J2" s="281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78"/>
      <c r="C3" s="16"/>
      <c r="D3" s="280"/>
      <c r="E3" s="16"/>
      <c r="F3" s="280"/>
      <c r="G3" s="16"/>
      <c r="H3" s="280"/>
      <c r="I3" s="17"/>
      <c r="J3" s="281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70" t="str">
        <f ca="1">"2080/"&amp;"10/"&amp;INT(MID(CELL("filename",D6),FIND("]",CELL("filename",D6))+1,200))</f>
        <v>2080/10/18</v>
      </c>
      <c r="C4" s="270"/>
      <c r="D4" s="270"/>
      <c r="E4" s="271" t="str">
        <f ca="1">"2080/"&amp;"10/"&amp;INT(MID(CELL("filename",G6),FIND("]",CELL("filename",G6))+1,200))</f>
        <v>2080/10/18</v>
      </c>
      <c r="F4" s="271"/>
      <c r="G4" s="271"/>
      <c r="H4" s="271" t="str">
        <f ca="1">TEXT(E4,"dddd")</f>
        <v>Friday</v>
      </c>
      <c r="I4" s="271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C92</f>
        <v>488</v>
      </c>
      <c r="C5" s="30">
        <f t="shared" si="0"/>
        <v>489</v>
      </c>
      <c r="D5" s="30">
        <f t="shared" si="0"/>
        <v>474.2</v>
      </c>
      <c r="E5" s="30">
        <f t="shared" si="0"/>
        <v>473.3</v>
      </c>
      <c r="F5" s="30">
        <f t="shared" si="0"/>
        <v>515</v>
      </c>
      <c r="G5" s="30">
        <f t="shared" si="0"/>
        <v>507</v>
      </c>
      <c r="H5" s="30">
        <f t="shared" si="0"/>
        <v>547.79999999999995</v>
      </c>
      <c r="I5" s="30">
        <f t="shared" si="0"/>
        <v>576</v>
      </c>
      <c r="J5" s="30">
        <f t="shared" si="0"/>
        <v>488.1</v>
      </c>
      <c r="K5" s="30">
        <f t="shared" si="0"/>
        <v>393.2</v>
      </c>
      <c r="L5" s="30">
        <f t="shared" si="0"/>
        <v>303.60000000000002</v>
      </c>
      <c r="M5" s="30">
        <f t="shared" si="0"/>
        <v>378.8</v>
      </c>
      <c r="N5" s="30">
        <f t="shared" si="0"/>
        <v>542</v>
      </c>
      <c r="O5" s="30">
        <f t="shared" si="0"/>
        <v>548.20000000000005</v>
      </c>
      <c r="P5" s="30">
        <f t="shared" si="0"/>
        <v>551</v>
      </c>
      <c r="Q5" s="30">
        <f t="shared" si="0"/>
        <v>0</v>
      </c>
      <c r="R5" s="30">
        <f t="shared" si="0"/>
        <v>613</v>
      </c>
      <c r="S5" s="30">
        <f t="shared" si="0"/>
        <v>614.30000000000007</v>
      </c>
      <c r="T5" s="30">
        <f t="shared" si="0"/>
        <v>590.79999999999995</v>
      </c>
      <c r="U5" s="30">
        <f t="shared" si="0"/>
        <v>504.1</v>
      </c>
      <c r="V5" s="30">
        <f t="shared" si="0"/>
        <v>457.9</v>
      </c>
      <c r="W5" s="30">
        <f t="shared" si="0"/>
        <v>438</v>
      </c>
      <c r="X5" s="30">
        <f t="shared" si="0"/>
        <v>472</v>
      </c>
      <c r="Y5" s="30">
        <f t="shared" si="0"/>
        <v>307.7</v>
      </c>
      <c r="Z5" s="30">
        <f t="shared" si="0"/>
        <v>322.10000000000002</v>
      </c>
      <c r="AA5" s="30">
        <f t="shared" si="0"/>
        <v>381.2</v>
      </c>
      <c r="AB5" s="30">
        <f t="shared" si="0"/>
        <v>423.40000000000003</v>
      </c>
      <c r="AC5" s="30">
        <f t="shared" si="0"/>
        <v>428.29999999999995</v>
      </c>
      <c r="AD5" s="30">
        <f t="shared" si="0"/>
        <v>584.5</v>
      </c>
      <c r="AE5" s="30">
        <f t="shared" si="0"/>
        <v>547.70000000000005</v>
      </c>
      <c r="AF5" s="30">
        <f>B92</f>
        <v>472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1711MW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Load=931</v>
      </c>
      <c r="B7" s="35">
        <f>B100</f>
        <v>1139.8400000000001</v>
      </c>
      <c r="C7" s="35">
        <f t="shared" ref="C7:AF7" si="1">C100</f>
        <v>1119.8400000000001</v>
      </c>
      <c r="D7" s="35">
        <f t="shared" si="1"/>
        <v>1119.8400000000001</v>
      </c>
      <c r="E7" s="35">
        <f t="shared" si="1"/>
        <v>1111.0400000000002</v>
      </c>
      <c r="F7" s="35">
        <f t="shared" si="1"/>
        <v>1110.1400000000001</v>
      </c>
      <c r="G7" s="35">
        <f t="shared" si="1"/>
        <v>1204.8400000000001</v>
      </c>
      <c r="H7" s="35">
        <f t="shared" si="1"/>
        <v>1261.94</v>
      </c>
      <c r="I7" s="35">
        <f t="shared" si="1"/>
        <v>1356.94</v>
      </c>
      <c r="J7" s="35">
        <f t="shared" si="1"/>
        <v>1476.8400000000001</v>
      </c>
      <c r="K7" s="35">
        <f t="shared" si="1"/>
        <v>1557.14</v>
      </c>
      <c r="L7" s="35">
        <f t="shared" si="1"/>
        <v>1698.5400000000002</v>
      </c>
      <c r="M7" s="35">
        <f t="shared" si="1"/>
        <v>1710.94</v>
      </c>
      <c r="N7" s="35">
        <f t="shared" si="1"/>
        <v>1574.8400000000001</v>
      </c>
      <c r="O7" s="35">
        <f t="shared" si="1"/>
        <v>1549.24</v>
      </c>
      <c r="P7" s="35">
        <f t="shared" si="1"/>
        <v>1322.04</v>
      </c>
      <c r="Q7" s="35">
        <f t="shared" si="1"/>
        <v>1504.94</v>
      </c>
      <c r="R7" s="35">
        <f t="shared" si="1"/>
        <v>930.84000000000015</v>
      </c>
      <c r="S7" s="35">
        <f t="shared" si="1"/>
        <v>1533.5400000000002</v>
      </c>
      <c r="T7" s="35">
        <f t="shared" si="1"/>
        <v>1541.14</v>
      </c>
      <c r="U7" s="35">
        <f t="shared" si="1"/>
        <v>1536.54</v>
      </c>
      <c r="V7" s="35">
        <f t="shared" si="1"/>
        <v>1449.8400000000001</v>
      </c>
      <c r="W7" s="35">
        <f t="shared" si="1"/>
        <v>1680.74</v>
      </c>
      <c r="X7" s="35">
        <f t="shared" si="1"/>
        <v>1890.44</v>
      </c>
      <c r="Y7" s="35">
        <f t="shared" si="1"/>
        <v>2026.7400000000002</v>
      </c>
      <c r="Z7" s="35">
        <f t="shared" si="1"/>
        <v>1867.3400000000001</v>
      </c>
      <c r="AA7" s="35">
        <f t="shared" si="1"/>
        <v>1835.7400000000002</v>
      </c>
      <c r="AB7" s="35">
        <f t="shared" si="1"/>
        <v>1744.74</v>
      </c>
      <c r="AC7" s="35">
        <f t="shared" si="1"/>
        <v>1684.14</v>
      </c>
      <c r="AD7" s="35">
        <f t="shared" si="1"/>
        <v>1598.94</v>
      </c>
      <c r="AE7" s="35">
        <f t="shared" si="1"/>
        <v>1364.64</v>
      </c>
      <c r="AF7" s="35">
        <f t="shared" si="1"/>
        <v>1217.2400000000002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72" t="s">
        <v>14</v>
      </c>
      <c r="C8" s="273"/>
      <c r="D8" s="273"/>
      <c r="E8" s="273"/>
      <c r="F8" s="273"/>
      <c r="G8" s="273"/>
      <c r="H8" s="273"/>
      <c r="I8" s="273"/>
      <c r="J8" s="273"/>
      <c r="K8" s="273"/>
      <c r="L8" s="274"/>
      <c r="M8" s="265" t="s">
        <v>15</v>
      </c>
      <c r="N8" s="266"/>
      <c r="O8" s="266"/>
      <c r="P8" s="266"/>
      <c r="Q8" s="266"/>
      <c r="R8" s="267"/>
      <c r="S8" s="265" t="s">
        <v>16</v>
      </c>
      <c r="T8" s="266"/>
      <c r="U8" s="266"/>
      <c r="V8" s="266"/>
      <c r="W8" s="266"/>
      <c r="X8" s="266"/>
      <c r="Y8" s="266"/>
      <c r="Z8" s="266"/>
      <c r="AA8" s="267"/>
      <c r="AB8" s="265" t="s">
        <v>17</v>
      </c>
      <c r="AC8" s="266"/>
      <c r="AD8" s="266"/>
      <c r="AE8" s="266"/>
      <c r="AF8" s="267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68" t="s">
        <v>18</v>
      </c>
      <c r="B9" s="264">
        <v>0</v>
      </c>
      <c r="C9" s="264">
        <v>4.1666666666666664E-2</v>
      </c>
      <c r="D9" s="264">
        <v>8.3333333333333301E-2</v>
      </c>
      <c r="E9" s="264">
        <v>0.125</v>
      </c>
      <c r="F9" s="264">
        <v>0.16666666666666699</v>
      </c>
      <c r="G9" s="264">
        <v>0.20833333333333301</v>
      </c>
      <c r="H9" s="264">
        <v>0.22916666666666666</v>
      </c>
      <c r="I9" s="264">
        <v>0.25</v>
      </c>
      <c r="J9" s="264">
        <v>0.27083333333333331</v>
      </c>
      <c r="K9" s="264">
        <v>0.29166666666666669</v>
      </c>
      <c r="L9" s="264">
        <v>0.3125</v>
      </c>
      <c r="M9" s="262">
        <v>0.33333333333333331</v>
      </c>
      <c r="N9" s="262">
        <v>0.375</v>
      </c>
      <c r="O9" s="262">
        <v>0.41666666666666702</v>
      </c>
      <c r="P9" s="262">
        <v>0.45833333333333298</v>
      </c>
      <c r="Q9" s="262">
        <v>0.5</v>
      </c>
      <c r="R9" s="262">
        <v>0.54166666666666696</v>
      </c>
      <c r="S9" s="258">
        <v>0.58333333333333304</v>
      </c>
      <c r="T9" s="258">
        <v>0.625</v>
      </c>
      <c r="U9" s="258">
        <v>0.66666666666666696</v>
      </c>
      <c r="V9" s="258">
        <v>0.70833333333333304</v>
      </c>
      <c r="W9" s="258">
        <v>0.72916666666666663</v>
      </c>
      <c r="X9" s="258">
        <v>0.75</v>
      </c>
      <c r="Y9" s="258">
        <v>0.77083333333333337</v>
      </c>
      <c r="Z9" s="258">
        <v>0.79166666666666663</v>
      </c>
      <c r="AA9" s="258">
        <v>0.8125</v>
      </c>
      <c r="AB9" s="258">
        <v>0.83333333333333337</v>
      </c>
      <c r="AC9" s="258">
        <v>0.85416666666666663</v>
      </c>
      <c r="AD9" s="258">
        <v>0.875</v>
      </c>
      <c r="AE9" s="258">
        <v>0.91666666666666696</v>
      </c>
      <c r="AF9" s="258">
        <v>0.95833333333333304</v>
      </c>
      <c r="AG9" s="260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69"/>
      <c r="B10" s="259"/>
      <c r="C10" s="259"/>
      <c r="D10" s="259"/>
      <c r="E10" s="259"/>
      <c r="F10" s="259"/>
      <c r="G10" s="259"/>
      <c r="H10" s="259"/>
      <c r="I10" s="259"/>
      <c r="J10" s="259"/>
      <c r="K10" s="259"/>
      <c r="L10" s="259"/>
      <c r="M10" s="263"/>
      <c r="N10" s="263"/>
      <c r="O10" s="263"/>
      <c r="P10" s="263"/>
      <c r="Q10" s="263"/>
      <c r="R10" s="263"/>
      <c r="S10" s="259"/>
      <c r="T10" s="259"/>
      <c r="U10" s="259"/>
      <c r="V10" s="259"/>
      <c r="W10" s="259"/>
      <c r="X10" s="259"/>
      <c r="Y10" s="259"/>
      <c r="Z10" s="259"/>
      <c r="AA10" s="259"/>
      <c r="AB10" s="259"/>
      <c r="AC10" s="259"/>
      <c r="AD10" s="259"/>
      <c r="AE10" s="259"/>
      <c r="AF10" s="259"/>
      <c r="AG10" s="261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26.9</v>
      </c>
      <c r="C11" s="45">
        <v>26.9</v>
      </c>
      <c r="D11" s="45">
        <v>26.9</v>
      </c>
      <c r="E11" s="45">
        <v>26.9</v>
      </c>
      <c r="F11" s="45">
        <v>26.9</v>
      </c>
      <c r="G11" s="45">
        <v>26.9</v>
      </c>
      <c r="H11" s="45">
        <v>26.9</v>
      </c>
      <c r="I11" s="45">
        <v>26.9</v>
      </c>
      <c r="J11" s="45">
        <v>26.9</v>
      </c>
      <c r="K11" s="45">
        <v>26.9</v>
      </c>
      <c r="L11" s="45">
        <v>26.9</v>
      </c>
      <c r="M11" s="45">
        <v>26.9</v>
      </c>
      <c r="N11" s="45">
        <v>26.9</v>
      </c>
      <c r="O11" s="45">
        <v>26.9</v>
      </c>
      <c r="P11" s="45">
        <v>26.9</v>
      </c>
      <c r="Q11" s="45">
        <v>26.9</v>
      </c>
      <c r="R11" s="45">
        <v>26.9</v>
      </c>
      <c r="S11" s="45">
        <v>26.9</v>
      </c>
      <c r="T11" s="45">
        <v>26.9</v>
      </c>
      <c r="U11" s="45">
        <v>26.9</v>
      </c>
      <c r="V11" s="45">
        <v>26.9</v>
      </c>
      <c r="W11" s="45">
        <v>26.9</v>
      </c>
      <c r="X11" s="45">
        <v>26.9</v>
      </c>
      <c r="Y11" s="45">
        <v>26.9</v>
      </c>
      <c r="Z11" s="45">
        <v>26.9</v>
      </c>
      <c r="AA11" s="45">
        <v>26.9</v>
      </c>
      <c r="AB11" s="45">
        <v>30.6</v>
      </c>
      <c r="AC11" s="45">
        <v>30.6</v>
      </c>
      <c r="AD11" s="45">
        <v>30.6</v>
      </c>
      <c r="AE11" s="45">
        <v>30.6</v>
      </c>
      <c r="AF11" s="45">
        <v>30.6</v>
      </c>
      <c r="AG11" s="46">
        <v>86</v>
      </c>
      <c r="AH11" s="47">
        <f t="shared" ref="AH11:AH84" si="2">MAX(B11:AF11)</f>
        <v>30.6</v>
      </c>
      <c r="AI11" s="48">
        <f t="shared" ref="AI11:AI84" si="3">MIN(B11:AF11)</f>
        <v>26.9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262</v>
      </c>
      <c r="B12" s="45">
        <v>10.5</v>
      </c>
      <c r="C12" s="45">
        <v>10.5</v>
      </c>
      <c r="D12" s="45">
        <v>10.5</v>
      </c>
      <c r="E12" s="45">
        <v>10.5</v>
      </c>
      <c r="F12" s="45">
        <v>10.5</v>
      </c>
      <c r="G12" s="45">
        <v>10.5</v>
      </c>
      <c r="H12" s="45">
        <v>10.5</v>
      </c>
      <c r="I12" s="45">
        <v>10.5</v>
      </c>
      <c r="J12" s="45">
        <v>10.5</v>
      </c>
      <c r="K12" s="45">
        <v>10.5</v>
      </c>
      <c r="L12" s="45">
        <v>10.5</v>
      </c>
      <c r="M12" s="45">
        <v>10.5</v>
      </c>
      <c r="N12" s="45">
        <v>10.5</v>
      </c>
      <c r="O12" s="45">
        <v>10.5</v>
      </c>
      <c r="P12" s="45">
        <v>10.5</v>
      </c>
      <c r="Q12" s="45">
        <v>10.5</v>
      </c>
      <c r="R12" s="45">
        <v>10.5</v>
      </c>
      <c r="S12" s="45">
        <v>10.5</v>
      </c>
      <c r="T12" s="45">
        <v>10.5</v>
      </c>
      <c r="U12" s="45">
        <v>10.5</v>
      </c>
      <c r="V12" s="45">
        <v>10.5</v>
      </c>
      <c r="W12" s="45">
        <v>10.5</v>
      </c>
      <c r="X12" s="45">
        <v>10.5</v>
      </c>
      <c r="Y12" s="45">
        <v>10.5</v>
      </c>
      <c r="Z12" s="45">
        <v>10.5</v>
      </c>
      <c r="AA12" s="45">
        <v>10.5</v>
      </c>
      <c r="AB12" s="45">
        <v>10.5</v>
      </c>
      <c r="AC12" s="45">
        <v>10.5</v>
      </c>
      <c r="AD12" s="45">
        <v>10.5</v>
      </c>
      <c r="AE12" s="45">
        <v>10.5</v>
      </c>
      <c r="AF12" s="45">
        <v>10.5</v>
      </c>
      <c r="AG12" s="49">
        <v>54</v>
      </c>
      <c r="AH12" s="47">
        <f t="shared" si="2"/>
        <v>10.5</v>
      </c>
      <c r="AI12" s="48">
        <f t="shared" si="3"/>
        <v>10.5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12.1</v>
      </c>
      <c r="C13" s="45">
        <v>12.1</v>
      </c>
      <c r="D13" s="45">
        <v>12.1</v>
      </c>
      <c r="E13" s="45">
        <v>12.1</v>
      </c>
      <c r="F13" s="45">
        <v>12.1</v>
      </c>
      <c r="G13" s="45">
        <v>12.1</v>
      </c>
      <c r="H13" s="45">
        <v>12.1</v>
      </c>
      <c r="I13" s="45">
        <v>12.1</v>
      </c>
      <c r="J13" s="45">
        <v>12.1</v>
      </c>
      <c r="K13" s="45">
        <v>12.1</v>
      </c>
      <c r="L13" s="45">
        <v>12.1</v>
      </c>
      <c r="M13" s="45">
        <v>12.1</v>
      </c>
      <c r="N13" s="45">
        <v>12.1</v>
      </c>
      <c r="O13" s="45">
        <v>12.1</v>
      </c>
      <c r="P13" s="45">
        <v>12.1</v>
      </c>
      <c r="Q13" s="45">
        <v>12.1</v>
      </c>
      <c r="R13" s="45">
        <v>12.1</v>
      </c>
      <c r="S13" s="45">
        <v>12.1</v>
      </c>
      <c r="T13" s="45">
        <v>12.1</v>
      </c>
      <c r="U13" s="45">
        <v>12.1</v>
      </c>
      <c r="V13" s="45">
        <v>12.1</v>
      </c>
      <c r="W13" s="45">
        <v>12.1</v>
      </c>
      <c r="X13" s="45">
        <v>12.1</v>
      </c>
      <c r="Y13" s="45">
        <v>12.1</v>
      </c>
      <c r="Z13" s="45">
        <v>12.1</v>
      </c>
      <c r="AA13" s="45">
        <v>12.1</v>
      </c>
      <c r="AB13" s="45">
        <v>12.1</v>
      </c>
      <c r="AC13" s="45">
        <v>12.1</v>
      </c>
      <c r="AD13" s="45">
        <v>12.1</v>
      </c>
      <c r="AE13" s="45">
        <v>12.1</v>
      </c>
      <c r="AF13" s="45">
        <v>12.1</v>
      </c>
      <c r="AG13" s="49">
        <v>54</v>
      </c>
      <c r="AH13" s="47">
        <f t="shared" si="2"/>
        <v>12.1</v>
      </c>
      <c r="AI13" s="48">
        <f t="shared" si="3"/>
        <v>12.1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14.8</v>
      </c>
      <c r="C14" s="45">
        <v>14.8</v>
      </c>
      <c r="D14" s="45">
        <v>14.8</v>
      </c>
      <c r="E14" s="45">
        <v>14.8</v>
      </c>
      <c r="F14" s="45">
        <v>14.8</v>
      </c>
      <c r="G14" s="45">
        <v>14.8</v>
      </c>
      <c r="H14" s="45">
        <v>14.8</v>
      </c>
      <c r="I14" s="45">
        <v>14.8</v>
      </c>
      <c r="J14" s="45">
        <v>14.8</v>
      </c>
      <c r="K14" s="45">
        <v>14.8</v>
      </c>
      <c r="L14" s="45">
        <v>14.8</v>
      </c>
      <c r="M14" s="45">
        <v>14.8</v>
      </c>
      <c r="N14" s="45">
        <v>14.8</v>
      </c>
      <c r="O14" s="45">
        <v>14.8</v>
      </c>
      <c r="P14" s="45">
        <v>14.8</v>
      </c>
      <c r="Q14" s="45">
        <v>14.8</v>
      </c>
      <c r="R14" s="45">
        <v>14.8</v>
      </c>
      <c r="S14" s="45">
        <v>14.8</v>
      </c>
      <c r="T14" s="45">
        <v>14.8</v>
      </c>
      <c r="U14" s="45">
        <v>14.8</v>
      </c>
      <c r="V14" s="45">
        <v>14.8</v>
      </c>
      <c r="W14" s="45">
        <v>14.8</v>
      </c>
      <c r="X14" s="45">
        <v>14.8</v>
      </c>
      <c r="Y14" s="45">
        <v>14.8</v>
      </c>
      <c r="Z14" s="45">
        <v>14.8</v>
      </c>
      <c r="AA14" s="45">
        <v>14.8</v>
      </c>
      <c r="AB14" s="45">
        <v>14.8</v>
      </c>
      <c r="AC14" s="45">
        <v>14.8</v>
      </c>
      <c r="AD14" s="45">
        <v>14.8</v>
      </c>
      <c r="AE14" s="45">
        <v>14.8</v>
      </c>
      <c r="AF14" s="45">
        <v>14.8</v>
      </c>
      <c r="AG14" s="46">
        <v>52.4</v>
      </c>
      <c r="AH14" s="47">
        <f t="shared" si="2"/>
        <v>14.8</v>
      </c>
      <c r="AI14" s="48">
        <f t="shared" si="3"/>
        <v>14.8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33</v>
      </c>
      <c r="C15" s="45">
        <v>33</v>
      </c>
      <c r="D15" s="45">
        <v>33</v>
      </c>
      <c r="E15" s="45">
        <v>33</v>
      </c>
      <c r="F15" s="45">
        <v>33</v>
      </c>
      <c r="G15" s="45">
        <v>33</v>
      </c>
      <c r="H15" s="45">
        <v>33</v>
      </c>
      <c r="I15" s="45">
        <v>33</v>
      </c>
      <c r="J15" s="45">
        <v>33</v>
      </c>
      <c r="K15" s="45">
        <v>33</v>
      </c>
      <c r="L15" s="45">
        <v>33</v>
      </c>
      <c r="M15" s="45">
        <v>33</v>
      </c>
      <c r="N15" s="45">
        <v>33</v>
      </c>
      <c r="O15" s="45">
        <v>33</v>
      </c>
      <c r="P15" s="45">
        <v>33</v>
      </c>
      <c r="Q15" s="45">
        <v>33</v>
      </c>
      <c r="R15" s="45">
        <v>33</v>
      </c>
      <c r="S15" s="45">
        <v>33</v>
      </c>
      <c r="T15" s="45">
        <v>33</v>
      </c>
      <c r="U15" s="45">
        <v>33</v>
      </c>
      <c r="V15" s="45">
        <v>33</v>
      </c>
      <c r="W15" s="45">
        <v>33</v>
      </c>
      <c r="X15" s="45">
        <v>33</v>
      </c>
      <c r="Y15" s="51">
        <v>33</v>
      </c>
      <c r="Z15" s="51">
        <v>33</v>
      </c>
      <c r="AA15" s="51">
        <v>33</v>
      </c>
      <c r="AB15" s="51">
        <v>33</v>
      </c>
      <c r="AC15" s="51">
        <v>33</v>
      </c>
      <c r="AD15" s="51">
        <v>33</v>
      </c>
      <c r="AE15" s="51">
        <v>33</v>
      </c>
      <c r="AF15" s="51">
        <v>33</v>
      </c>
      <c r="AG15" s="49">
        <v>50</v>
      </c>
      <c r="AH15" s="47">
        <f t="shared" si="2"/>
        <v>33</v>
      </c>
      <c r="AI15" s="48">
        <f t="shared" si="3"/>
        <v>33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18.3</v>
      </c>
      <c r="C16" s="45">
        <v>18.3</v>
      </c>
      <c r="D16" s="45">
        <v>18.3</v>
      </c>
      <c r="E16" s="45">
        <v>18.3</v>
      </c>
      <c r="F16" s="45">
        <v>18.3</v>
      </c>
      <c r="G16" s="45">
        <v>18.3</v>
      </c>
      <c r="H16" s="45">
        <v>18.3</v>
      </c>
      <c r="I16" s="45">
        <v>18.3</v>
      </c>
      <c r="J16" s="45">
        <v>18.3</v>
      </c>
      <c r="K16" s="45">
        <v>18.3</v>
      </c>
      <c r="L16" s="45">
        <v>18.3</v>
      </c>
      <c r="M16" s="45">
        <v>18.3</v>
      </c>
      <c r="N16" s="45">
        <v>18.3</v>
      </c>
      <c r="O16" s="45">
        <v>18.3</v>
      </c>
      <c r="P16" s="45">
        <v>18.3</v>
      </c>
      <c r="Q16" s="45">
        <v>18.3</v>
      </c>
      <c r="R16" s="45">
        <v>18.3</v>
      </c>
      <c r="S16" s="45">
        <v>18.3</v>
      </c>
      <c r="T16" s="45">
        <v>18.3</v>
      </c>
      <c r="U16" s="45">
        <v>18.3</v>
      </c>
      <c r="V16" s="45">
        <v>18.3</v>
      </c>
      <c r="W16" s="45">
        <v>18.3</v>
      </c>
      <c r="X16" s="45">
        <v>18.3</v>
      </c>
      <c r="Y16" s="45">
        <v>18.3</v>
      </c>
      <c r="Z16" s="45">
        <v>18.3</v>
      </c>
      <c r="AA16" s="45">
        <v>18.3</v>
      </c>
      <c r="AB16" s="45">
        <v>18.3</v>
      </c>
      <c r="AC16" s="45">
        <v>18.3</v>
      </c>
      <c r="AD16" s="45">
        <v>18.3</v>
      </c>
      <c r="AE16" s="45">
        <v>18.3</v>
      </c>
      <c r="AF16" s="45">
        <v>18.3</v>
      </c>
      <c r="AG16" s="49">
        <v>45</v>
      </c>
      <c r="AH16" s="47">
        <f t="shared" si="2"/>
        <v>18.3</v>
      </c>
      <c r="AI16" s="48">
        <f t="shared" si="3"/>
        <v>18.3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16.5</v>
      </c>
      <c r="C17" s="45">
        <v>16.5</v>
      </c>
      <c r="D17" s="45">
        <v>16.5</v>
      </c>
      <c r="E17" s="45">
        <v>16.5</v>
      </c>
      <c r="F17" s="45">
        <v>16.5</v>
      </c>
      <c r="G17" s="45">
        <v>16.5</v>
      </c>
      <c r="H17" s="45">
        <v>16.5</v>
      </c>
      <c r="I17" s="45">
        <v>16.5</v>
      </c>
      <c r="J17" s="45">
        <v>16.5</v>
      </c>
      <c r="K17" s="45">
        <v>16.5</v>
      </c>
      <c r="L17" s="45">
        <v>16.5</v>
      </c>
      <c r="M17" s="45">
        <v>16.5</v>
      </c>
      <c r="N17" s="45">
        <v>16.5</v>
      </c>
      <c r="O17" s="45">
        <v>16.5</v>
      </c>
      <c r="P17" s="45">
        <v>16.5</v>
      </c>
      <c r="Q17" s="45">
        <v>16.5</v>
      </c>
      <c r="R17" s="45">
        <v>16.5</v>
      </c>
      <c r="S17" s="45">
        <v>16.5</v>
      </c>
      <c r="T17" s="45">
        <v>16.5</v>
      </c>
      <c r="U17" s="45">
        <v>16.5</v>
      </c>
      <c r="V17" s="45">
        <v>16.5</v>
      </c>
      <c r="W17" s="45">
        <v>16.5</v>
      </c>
      <c r="X17" s="45">
        <v>16.5</v>
      </c>
      <c r="Y17" s="45">
        <v>16.5</v>
      </c>
      <c r="Z17" s="45">
        <v>16.5</v>
      </c>
      <c r="AA17" s="45">
        <v>16.5</v>
      </c>
      <c r="AB17" s="45">
        <v>16.5</v>
      </c>
      <c r="AC17" s="45">
        <v>16.5</v>
      </c>
      <c r="AD17" s="45">
        <v>16.5</v>
      </c>
      <c r="AE17" s="45">
        <v>16.5</v>
      </c>
      <c r="AF17" s="45">
        <v>16.5</v>
      </c>
      <c r="AG17" s="49">
        <v>44</v>
      </c>
      <c r="AH17" s="47">
        <f>MAX(B17:AG17)</f>
        <v>44</v>
      </c>
      <c r="AI17" s="48">
        <f>MIN(B17:AG17)</f>
        <v>16.5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9</v>
      </c>
      <c r="C18" s="45">
        <v>9</v>
      </c>
      <c r="D18" s="45">
        <v>9</v>
      </c>
      <c r="E18" s="45">
        <v>9</v>
      </c>
      <c r="F18" s="45">
        <v>9</v>
      </c>
      <c r="G18" s="45">
        <v>9</v>
      </c>
      <c r="H18" s="45">
        <v>9</v>
      </c>
      <c r="I18" s="45">
        <v>9</v>
      </c>
      <c r="J18" s="45">
        <v>9</v>
      </c>
      <c r="K18" s="45">
        <v>9</v>
      </c>
      <c r="L18" s="45">
        <v>9</v>
      </c>
      <c r="M18" s="45">
        <v>9</v>
      </c>
      <c r="N18" s="45">
        <v>9</v>
      </c>
      <c r="O18" s="45">
        <v>9</v>
      </c>
      <c r="P18" s="45">
        <v>9</v>
      </c>
      <c r="Q18" s="45">
        <v>9</v>
      </c>
      <c r="R18" s="45">
        <v>9</v>
      </c>
      <c r="S18" s="45">
        <v>9</v>
      </c>
      <c r="T18" s="45">
        <v>9</v>
      </c>
      <c r="U18" s="45">
        <v>9</v>
      </c>
      <c r="V18" s="45">
        <v>9</v>
      </c>
      <c r="W18" s="45">
        <v>9</v>
      </c>
      <c r="X18" s="45">
        <v>9</v>
      </c>
      <c r="Y18" s="45">
        <v>9</v>
      </c>
      <c r="Z18" s="45">
        <v>9</v>
      </c>
      <c r="AA18" s="45">
        <v>9</v>
      </c>
      <c r="AB18" s="45">
        <v>9</v>
      </c>
      <c r="AC18" s="45">
        <v>9</v>
      </c>
      <c r="AD18" s="45">
        <v>9</v>
      </c>
      <c r="AE18" s="45">
        <v>9</v>
      </c>
      <c r="AF18" s="45">
        <v>9</v>
      </c>
      <c r="AG18" s="49">
        <v>42</v>
      </c>
      <c r="AH18" s="47">
        <f t="shared" si="2"/>
        <v>9</v>
      </c>
      <c r="AI18" s="48">
        <f t="shared" si="3"/>
        <v>9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263</v>
      </c>
      <c r="B19" s="45">
        <v>15.4</v>
      </c>
      <c r="C19" s="45">
        <v>15.4</v>
      </c>
      <c r="D19" s="45">
        <v>15.4</v>
      </c>
      <c r="E19" s="45">
        <v>15.4</v>
      </c>
      <c r="F19" s="45">
        <v>15.4</v>
      </c>
      <c r="G19" s="45">
        <v>15.4</v>
      </c>
      <c r="H19" s="45">
        <v>15.4</v>
      </c>
      <c r="I19" s="45">
        <v>15.4</v>
      </c>
      <c r="J19" s="45">
        <v>15.4</v>
      </c>
      <c r="K19" s="45">
        <v>15.4</v>
      </c>
      <c r="L19" s="45">
        <v>15.4</v>
      </c>
      <c r="M19" s="45">
        <v>15.4</v>
      </c>
      <c r="N19" s="45">
        <v>15.4</v>
      </c>
      <c r="O19" s="45">
        <v>15.4</v>
      </c>
      <c r="P19" s="45">
        <v>15.4</v>
      </c>
      <c r="Q19" s="45">
        <v>15.4</v>
      </c>
      <c r="R19" s="45">
        <v>15.4</v>
      </c>
      <c r="S19" s="45">
        <v>15.4</v>
      </c>
      <c r="T19" s="45">
        <v>15.4</v>
      </c>
      <c r="U19" s="45">
        <v>15.4</v>
      </c>
      <c r="V19" s="45">
        <v>15.4</v>
      </c>
      <c r="W19" s="45">
        <v>15.4</v>
      </c>
      <c r="X19" s="45">
        <v>15.4</v>
      </c>
      <c r="Y19" s="45">
        <v>15.4</v>
      </c>
      <c r="Z19" s="45">
        <v>15.4</v>
      </c>
      <c r="AA19" s="45">
        <v>15.4</v>
      </c>
      <c r="AB19" s="45">
        <v>15.4</v>
      </c>
      <c r="AC19" s="45">
        <v>15.4</v>
      </c>
      <c r="AD19" s="45">
        <v>15.4</v>
      </c>
      <c r="AE19" s="45">
        <v>15.4</v>
      </c>
      <c r="AF19" s="45">
        <v>15.4</v>
      </c>
      <c r="AG19" s="49">
        <v>38.46</v>
      </c>
      <c r="AH19" s="47">
        <f t="shared" si="2"/>
        <v>15.4</v>
      </c>
      <c r="AI19" s="48">
        <f t="shared" si="3"/>
        <v>15.4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10.199999999999999</v>
      </c>
      <c r="C20" s="45">
        <v>10.199999999999999</v>
      </c>
      <c r="D20" s="45">
        <v>10.199999999999999</v>
      </c>
      <c r="E20" s="45">
        <v>10.199999999999999</v>
      </c>
      <c r="F20" s="45">
        <v>10.199999999999999</v>
      </c>
      <c r="G20" s="45">
        <v>10.199999999999999</v>
      </c>
      <c r="H20" s="45">
        <v>10.199999999999999</v>
      </c>
      <c r="I20" s="45">
        <v>10.199999999999999</v>
      </c>
      <c r="J20" s="45">
        <v>10.199999999999999</v>
      </c>
      <c r="K20" s="45">
        <v>10.199999999999999</v>
      </c>
      <c r="L20" s="45">
        <v>10.199999999999999</v>
      </c>
      <c r="M20" s="45">
        <v>10.199999999999999</v>
      </c>
      <c r="N20" s="45">
        <v>10.199999999999999</v>
      </c>
      <c r="O20" s="45">
        <v>10.199999999999999</v>
      </c>
      <c r="P20" s="45">
        <v>10.199999999999999</v>
      </c>
      <c r="Q20" s="45">
        <v>10.199999999999999</v>
      </c>
      <c r="R20" s="45">
        <v>10.199999999999999</v>
      </c>
      <c r="S20" s="45">
        <v>10.199999999999999</v>
      </c>
      <c r="T20" s="45">
        <v>10.199999999999999</v>
      </c>
      <c r="U20" s="45">
        <v>10.199999999999999</v>
      </c>
      <c r="V20" s="45">
        <v>10.199999999999999</v>
      </c>
      <c r="W20" s="45">
        <v>10.199999999999999</v>
      </c>
      <c r="X20" s="45">
        <v>10.199999999999999</v>
      </c>
      <c r="Y20" s="45">
        <v>10.199999999999999</v>
      </c>
      <c r="Z20" s="45">
        <v>10.199999999999999</v>
      </c>
      <c r="AA20" s="45">
        <v>10.199999999999999</v>
      </c>
      <c r="AB20" s="45">
        <v>10.199999999999999</v>
      </c>
      <c r="AC20" s="45">
        <v>10.199999999999999</v>
      </c>
      <c r="AD20" s="45">
        <v>10.199999999999999</v>
      </c>
      <c r="AE20" s="45">
        <v>10.199999999999999</v>
      </c>
      <c r="AF20" s="45">
        <v>10.199999999999999</v>
      </c>
      <c r="AG20" s="49">
        <v>38.46</v>
      </c>
      <c r="AH20" s="47">
        <f t="shared" si="2"/>
        <v>10.199999999999999</v>
      </c>
      <c r="AI20" s="48">
        <f t="shared" si="3"/>
        <v>10.199999999999999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13.6</v>
      </c>
      <c r="C21" s="45">
        <v>13.6</v>
      </c>
      <c r="D21" s="45">
        <v>13.6</v>
      </c>
      <c r="E21" s="45">
        <v>13.6</v>
      </c>
      <c r="F21" s="45">
        <v>13.6</v>
      </c>
      <c r="G21" s="45">
        <v>13.6</v>
      </c>
      <c r="H21" s="45">
        <v>13.6</v>
      </c>
      <c r="I21" s="45">
        <v>13.6</v>
      </c>
      <c r="J21" s="45">
        <v>13.6</v>
      </c>
      <c r="K21" s="45">
        <v>13.6</v>
      </c>
      <c r="L21" s="45">
        <v>13.6</v>
      </c>
      <c r="M21" s="45">
        <v>13.6</v>
      </c>
      <c r="N21" s="45">
        <v>13.6</v>
      </c>
      <c r="O21" s="45">
        <v>13.6</v>
      </c>
      <c r="P21" s="45">
        <v>13.6</v>
      </c>
      <c r="Q21" s="45">
        <v>13.6</v>
      </c>
      <c r="R21" s="45">
        <v>13.6</v>
      </c>
      <c r="S21" s="45">
        <v>13.6</v>
      </c>
      <c r="T21" s="45">
        <v>13.6</v>
      </c>
      <c r="U21" s="45">
        <v>13.6</v>
      </c>
      <c r="V21" s="45">
        <v>13.6</v>
      </c>
      <c r="W21" s="45">
        <v>13.6</v>
      </c>
      <c r="X21" s="45">
        <v>13.6</v>
      </c>
      <c r="Y21" s="45">
        <v>13.6</v>
      </c>
      <c r="Z21" s="45">
        <v>13.6</v>
      </c>
      <c r="AA21" s="45">
        <v>13.6</v>
      </c>
      <c r="AB21" s="45">
        <v>13.6</v>
      </c>
      <c r="AC21" s="45">
        <v>13.6</v>
      </c>
      <c r="AD21" s="45">
        <v>13.6</v>
      </c>
      <c r="AE21" s="45">
        <v>13.6</v>
      </c>
      <c r="AF21" s="45">
        <v>13.6</v>
      </c>
      <c r="AG21" s="49">
        <v>36</v>
      </c>
      <c r="AH21" s="47">
        <f t="shared" si="2"/>
        <v>13.6</v>
      </c>
      <c r="AI21" s="48">
        <f t="shared" si="3"/>
        <v>13.6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8.8000000000000007</v>
      </c>
      <c r="C22" s="45">
        <v>8.8000000000000007</v>
      </c>
      <c r="D22" s="45">
        <v>8.8000000000000007</v>
      </c>
      <c r="E22" s="45">
        <v>8.8000000000000007</v>
      </c>
      <c r="F22" s="45">
        <v>8.8000000000000007</v>
      </c>
      <c r="G22" s="45">
        <v>8.8000000000000007</v>
      </c>
      <c r="H22" s="45">
        <v>8.8000000000000007</v>
      </c>
      <c r="I22" s="45">
        <v>8.8000000000000007</v>
      </c>
      <c r="J22" s="45">
        <v>8.8000000000000007</v>
      </c>
      <c r="K22" s="45">
        <v>8.8000000000000007</v>
      </c>
      <c r="L22" s="45">
        <v>8.8000000000000007</v>
      </c>
      <c r="M22" s="45">
        <v>8.8000000000000007</v>
      </c>
      <c r="N22" s="45">
        <v>8.8000000000000007</v>
      </c>
      <c r="O22" s="45">
        <v>8.8000000000000007</v>
      </c>
      <c r="P22" s="45">
        <v>8.8000000000000007</v>
      </c>
      <c r="Q22" s="45">
        <v>8.8000000000000007</v>
      </c>
      <c r="R22" s="45">
        <v>8.8000000000000007</v>
      </c>
      <c r="S22" s="45">
        <v>8.8000000000000007</v>
      </c>
      <c r="T22" s="45">
        <v>8.8000000000000007</v>
      </c>
      <c r="U22" s="45">
        <v>8.8000000000000007</v>
      </c>
      <c r="V22" s="45">
        <v>8.8000000000000007</v>
      </c>
      <c r="W22" s="45">
        <v>8.8000000000000007</v>
      </c>
      <c r="X22" s="45">
        <v>8.8000000000000007</v>
      </c>
      <c r="Y22" s="45">
        <v>8.8000000000000007</v>
      </c>
      <c r="Z22" s="45">
        <v>8.8000000000000007</v>
      </c>
      <c r="AA22" s="45">
        <v>8.8000000000000007</v>
      </c>
      <c r="AB22" s="45">
        <v>8.8000000000000007</v>
      </c>
      <c r="AC22" s="45">
        <v>8.8000000000000007</v>
      </c>
      <c r="AD22" s="45">
        <v>8.8000000000000007</v>
      </c>
      <c r="AE22" s="45">
        <v>8.8000000000000007</v>
      </c>
      <c r="AF22" s="45">
        <v>8.8000000000000007</v>
      </c>
      <c r="AG22" s="52">
        <v>30</v>
      </c>
      <c r="AH22" s="47">
        <f t="shared" si="2"/>
        <v>8.8000000000000007</v>
      </c>
      <c r="AI22" s="48">
        <f t="shared" si="3"/>
        <v>8.8000000000000007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9</v>
      </c>
      <c r="C23" s="45">
        <v>9</v>
      </c>
      <c r="D23" s="45">
        <v>9</v>
      </c>
      <c r="E23" s="45">
        <v>9</v>
      </c>
      <c r="F23" s="45">
        <v>9</v>
      </c>
      <c r="G23" s="45">
        <v>9</v>
      </c>
      <c r="H23" s="45">
        <v>9</v>
      </c>
      <c r="I23" s="45">
        <v>9</v>
      </c>
      <c r="J23" s="45">
        <v>9</v>
      </c>
      <c r="K23" s="45">
        <v>9</v>
      </c>
      <c r="L23" s="45">
        <v>9</v>
      </c>
      <c r="M23" s="45">
        <v>9</v>
      </c>
      <c r="N23" s="45">
        <v>9</v>
      </c>
      <c r="O23" s="45">
        <v>9</v>
      </c>
      <c r="P23" s="45">
        <v>9</v>
      </c>
      <c r="Q23" s="45">
        <v>9</v>
      </c>
      <c r="R23" s="45">
        <v>9</v>
      </c>
      <c r="S23" s="45">
        <v>9</v>
      </c>
      <c r="T23" s="45">
        <v>9</v>
      </c>
      <c r="U23" s="45">
        <v>9</v>
      </c>
      <c r="V23" s="45">
        <v>9</v>
      </c>
      <c r="W23" s="45">
        <v>9</v>
      </c>
      <c r="X23" s="45">
        <v>9</v>
      </c>
      <c r="Y23" s="45">
        <v>9</v>
      </c>
      <c r="Z23" s="45">
        <v>9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9</v>
      </c>
      <c r="AG23" s="49">
        <v>24.2</v>
      </c>
      <c r="AH23" s="47">
        <f t="shared" si="2"/>
        <v>9</v>
      </c>
      <c r="AI23" s="48">
        <f t="shared" si="3"/>
        <v>9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9.3000000000000007</v>
      </c>
      <c r="C24" s="45">
        <v>9.3000000000000007</v>
      </c>
      <c r="D24" s="45">
        <v>9.3000000000000007</v>
      </c>
      <c r="E24" s="45">
        <v>9.3000000000000007</v>
      </c>
      <c r="F24" s="45">
        <v>9.3000000000000007</v>
      </c>
      <c r="G24" s="45">
        <v>9.3000000000000007</v>
      </c>
      <c r="H24" s="45">
        <v>9.3000000000000007</v>
      </c>
      <c r="I24" s="45">
        <v>9.3000000000000007</v>
      </c>
      <c r="J24" s="45">
        <v>9.3000000000000007</v>
      </c>
      <c r="K24" s="45">
        <v>9.3000000000000007</v>
      </c>
      <c r="L24" s="45">
        <v>9.3000000000000007</v>
      </c>
      <c r="M24" s="45">
        <v>9.3000000000000007</v>
      </c>
      <c r="N24" s="45">
        <v>9.3000000000000007</v>
      </c>
      <c r="O24" s="45">
        <v>9.3000000000000007</v>
      </c>
      <c r="P24" s="45">
        <v>9.3000000000000007</v>
      </c>
      <c r="Q24" s="45">
        <v>9.3000000000000007</v>
      </c>
      <c r="R24" s="45">
        <v>9.3000000000000007</v>
      </c>
      <c r="S24" s="45">
        <v>9.3000000000000007</v>
      </c>
      <c r="T24" s="45">
        <v>9.3000000000000007</v>
      </c>
      <c r="U24" s="45">
        <v>9.3000000000000007</v>
      </c>
      <c r="V24" s="45">
        <v>9.3000000000000007</v>
      </c>
      <c r="W24" s="45">
        <v>9.3000000000000007</v>
      </c>
      <c r="X24" s="45">
        <v>9.3000000000000007</v>
      </c>
      <c r="Y24" s="45">
        <v>9.3000000000000007</v>
      </c>
      <c r="Z24" s="45">
        <v>9.3000000000000007</v>
      </c>
      <c r="AA24" s="45">
        <v>9.3000000000000007</v>
      </c>
      <c r="AB24" s="45">
        <v>9.3000000000000007</v>
      </c>
      <c r="AC24" s="45">
        <v>9.3000000000000007</v>
      </c>
      <c r="AD24" s="45">
        <v>9.3000000000000007</v>
      </c>
      <c r="AE24" s="45">
        <v>9.3000000000000007</v>
      </c>
      <c r="AF24" s="45">
        <v>9.3000000000000007</v>
      </c>
      <c r="AG24" s="49">
        <v>28</v>
      </c>
      <c r="AH24" s="47">
        <f t="shared" si="2"/>
        <v>9.3000000000000007</v>
      </c>
      <c r="AI24" s="48">
        <f t="shared" si="3"/>
        <v>9.3000000000000007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7.7</v>
      </c>
      <c r="C25" s="45">
        <v>7.7</v>
      </c>
      <c r="D25" s="45">
        <v>7.7</v>
      </c>
      <c r="E25" s="45">
        <v>7.7</v>
      </c>
      <c r="F25" s="45">
        <v>7.7</v>
      </c>
      <c r="G25" s="45">
        <v>7.7</v>
      </c>
      <c r="H25" s="45">
        <v>7.7</v>
      </c>
      <c r="I25" s="45">
        <v>7.7</v>
      </c>
      <c r="J25" s="45">
        <v>7.7</v>
      </c>
      <c r="K25" s="45">
        <v>7.7</v>
      </c>
      <c r="L25" s="45">
        <v>7.7</v>
      </c>
      <c r="M25" s="45">
        <v>7.7</v>
      </c>
      <c r="N25" s="45">
        <v>7.7</v>
      </c>
      <c r="O25" s="45">
        <v>7.7</v>
      </c>
      <c r="P25" s="45">
        <v>7.7</v>
      </c>
      <c r="Q25" s="45">
        <v>7.7</v>
      </c>
      <c r="R25" s="45">
        <v>7.7</v>
      </c>
      <c r="S25" s="45">
        <v>7.7</v>
      </c>
      <c r="T25" s="45">
        <v>7.7</v>
      </c>
      <c r="U25" s="45">
        <v>7.7</v>
      </c>
      <c r="V25" s="45">
        <v>7.7</v>
      </c>
      <c r="W25" s="45">
        <v>7.7</v>
      </c>
      <c r="X25" s="45">
        <v>7.7</v>
      </c>
      <c r="Y25" s="45">
        <v>7.7</v>
      </c>
      <c r="Z25" s="45">
        <v>7.7</v>
      </c>
      <c r="AA25" s="45">
        <v>7.7</v>
      </c>
      <c r="AB25" s="45">
        <v>7.7</v>
      </c>
      <c r="AC25" s="45">
        <v>7.7</v>
      </c>
      <c r="AD25" s="45">
        <v>7.7</v>
      </c>
      <c r="AE25" s="45">
        <v>7.7</v>
      </c>
      <c r="AF25" s="45">
        <v>7.7</v>
      </c>
      <c r="AG25" s="52">
        <v>30</v>
      </c>
      <c r="AH25" s="47">
        <f t="shared" si="2"/>
        <v>7.7</v>
      </c>
      <c r="AI25" s="48">
        <f t="shared" si="3"/>
        <v>7.7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8.6</v>
      </c>
      <c r="C26" s="45">
        <v>8.6</v>
      </c>
      <c r="D26" s="45">
        <v>8.6</v>
      </c>
      <c r="E26" s="45">
        <v>8.6</v>
      </c>
      <c r="F26" s="45">
        <v>8.6</v>
      </c>
      <c r="G26" s="45">
        <v>8.6</v>
      </c>
      <c r="H26" s="45">
        <v>8.6</v>
      </c>
      <c r="I26" s="45">
        <v>8.6</v>
      </c>
      <c r="J26" s="45">
        <v>8.6</v>
      </c>
      <c r="K26" s="45">
        <v>8.6</v>
      </c>
      <c r="L26" s="45">
        <v>8.6</v>
      </c>
      <c r="M26" s="45">
        <v>8.6</v>
      </c>
      <c r="N26" s="45">
        <v>8.6</v>
      </c>
      <c r="O26" s="45">
        <v>8.6</v>
      </c>
      <c r="P26" s="45">
        <v>8.6</v>
      </c>
      <c r="Q26" s="45">
        <v>8.6</v>
      </c>
      <c r="R26" s="45">
        <v>8.6</v>
      </c>
      <c r="S26" s="45">
        <v>8.6</v>
      </c>
      <c r="T26" s="45">
        <v>8.6</v>
      </c>
      <c r="U26" s="45">
        <v>8.6</v>
      </c>
      <c r="V26" s="45">
        <v>8.6</v>
      </c>
      <c r="W26" s="45">
        <v>8.6</v>
      </c>
      <c r="X26" s="45">
        <v>8.6</v>
      </c>
      <c r="Y26" s="45">
        <v>8.6</v>
      </c>
      <c r="Z26" s="45">
        <v>8.6</v>
      </c>
      <c r="AA26" s="45">
        <v>8.6</v>
      </c>
      <c r="AB26" s="45">
        <v>8.6</v>
      </c>
      <c r="AC26" s="45">
        <v>8.6</v>
      </c>
      <c r="AD26" s="45">
        <v>8.6</v>
      </c>
      <c r="AE26" s="45">
        <v>8.6</v>
      </c>
      <c r="AF26" s="45">
        <v>8.6</v>
      </c>
      <c r="AG26" s="49">
        <v>25</v>
      </c>
      <c r="AH26" s="47">
        <f t="shared" si="2"/>
        <v>8.6</v>
      </c>
      <c r="AI26" s="48">
        <f t="shared" si="3"/>
        <v>8.6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5</v>
      </c>
      <c r="C27" s="45">
        <v>5</v>
      </c>
      <c r="D27" s="45">
        <v>5</v>
      </c>
      <c r="E27" s="45">
        <v>5</v>
      </c>
      <c r="F27" s="45">
        <v>5</v>
      </c>
      <c r="G27" s="45">
        <v>5</v>
      </c>
      <c r="H27" s="45">
        <v>5</v>
      </c>
      <c r="I27" s="45">
        <v>5</v>
      </c>
      <c r="J27" s="45">
        <v>5</v>
      </c>
      <c r="K27" s="45">
        <v>5</v>
      </c>
      <c r="L27" s="45">
        <v>5</v>
      </c>
      <c r="M27" s="45">
        <v>5</v>
      </c>
      <c r="N27" s="45">
        <v>5</v>
      </c>
      <c r="O27" s="45">
        <v>5</v>
      </c>
      <c r="P27" s="45">
        <v>5</v>
      </c>
      <c r="Q27" s="45">
        <v>5</v>
      </c>
      <c r="R27" s="45">
        <v>5</v>
      </c>
      <c r="S27" s="45">
        <v>5</v>
      </c>
      <c r="T27" s="45">
        <v>5</v>
      </c>
      <c r="U27" s="45">
        <v>5</v>
      </c>
      <c r="V27" s="45">
        <v>5</v>
      </c>
      <c r="W27" s="45">
        <v>5</v>
      </c>
      <c r="X27" s="45">
        <v>5</v>
      </c>
      <c r="Y27" s="45">
        <v>5</v>
      </c>
      <c r="Z27" s="45">
        <v>5</v>
      </c>
      <c r="AA27" s="45">
        <v>5</v>
      </c>
      <c r="AB27" s="45">
        <v>5</v>
      </c>
      <c r="AC27" s="45">
        <v>5</v>
      </c>
      <c r="AD27" s="45">
        <v>5</v>
      </c>
      <c r="AE27" s="45">
        <v>5</v>
      </c>
      <c r="AF27" s="45">
        <v>5</v>
      </c>
      <c r="AG27" s="49">
        <v>25</v>
      </c>
      <c r="AH27" s="47">
        <f t="shared" si="2"/>
        <v>5</v>
      </c>
      <c r="AI27" s="48">
        <f t="shared" si="3"/>
        <v>5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6.2</v>
      </c>
      <c r="C28" s="45">
        <v>6.2</v>
      </c>
      <c r="D28" s="45">
        <v>6.2</v>
      </c>
      <c r="E28" s="45">
        <v>6.2</v>
      </c>
      <c r="F28" s="45">
        <v>6.2</v>
      </c>
      <c r="G28" s="45">
        <v>6.2</v>
      </c>
      <c r="H28" s="45">
        <v>6.2</v>
      </c>
      <c r="I28" s="45">
        <v>6.2</v>
      </c>
      <c r="J28" s="45">
        <v>6.2</v>
      </c>
      <c r="K28" s="45">
        <v>6.2</v>
      </c>
      <c r="L28" s="45">
        <v>6.2</v>
      </c>
      <c r="M28" s="45">
        <v>6.2</v>
      </c>
      <c r="N28" s="45">
        <v>6.2</v>
      </c>
      <c r="O28" s="45">
        <v>6.2</v>
      </c>
      <c r="P28" s="45">
        <v>6.2</v>
      </c>
      <c r="Q28" s="45">
        <v>6.2</v>
      </c>
      <c r="R28" s="45">
        <v>6.2</v>
      </c>
      <c r="S28" s="45">
        <v>6.2</v>
      </c>
      <c r="T28" s="45">
        <v>6.2</v>
      </c>
      <c r="U28" s="45">
        <v>6.2</v>
      </c>
      <c r="V28" s="45">
        <v>6.2</v>
      </c>
      <c r="W28" s="45">
        <v>6.2</v>
      </c>
      <c r="X28" s="45">
        <v>6.2</v>
      </c>
      <c r="Y28" s="45">
        <v>6.2</v>
      </c>
      <c r="Z28" s="45">
        <v>6.2</v>
      </c>
      <c r="AA28" s="45">
        <v>6.2</v>
      </c>
      <c r="AB28" s="45">
        <v>6.2</v>
      </c>
      <c r="AC28" s="45">
        <v>6.2</v>
      </c>
      <c r="AD28" s="45">
        <v>6.2</v>
      </c>
      <c r="AE28" s="45">
        <v>6.2</v>
      </c>
      <c r="AF28" s="45">
        <v>6.2</v>
      </c>
      <c r="AG28" s="49">
        <v>25</v>
      </c>
      <c r="AH28" s="47">
        <f t="shared" si="2"/>
        <v>6.2</v>
      </c>
      <c r="AI28" s="48">
        <f t="shared" si="3"/>
        <v>6.2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8.4</v>
      </c>
      <c r="C29" s="45">
        <v>8.4</v>
      </c>
      <c r="D29" s="45">
        <v>8.4</v>
      </c>
      <c r="E29" s="45">
        <v>8.4</v>
      </c>
      <c r="F29" s="45">
        <v>8.4</v>
      </c>
      <c r="G29" s="45">
        <v>8.4</v>
      </c>
      <c r="H29" s="45">
        <v>8.4</v>
      </c>
      <c r="I29" s="45">
        <v>8.4</v>
      </c>
      <c r="J29" s="45">
        <v>8.4</v>
      </c>
      <c r="K29" s="45">
        <v>8.4</v>
      </c>
      <c r="L29" s="45">
        <v>8.4</v>
      </c>
      <c r="M29" s="45">
        <v>8.4</v>
      </c>
      <c r="N29" s="45">
        <v>8.4</v>
      </c>
      <c r="O29" s="45">
        <v>8.4</v>
      </c>
      <c r="P29" s="45">
        <v>8.4</v>
      </c>
      <c r="Q29" s="45">
        <v>8.4</v>
      </c>
      <c r="R29" s="45">
        <v>8.4</v>
      </c>
      <c r="S29" s="45">
        <v>8.4</v>
      </c>
      <c r="T29" s="45">
        <v>8.4</v>
      </c>
      <c r="U29" s="45">
        <v>8.4</v>
      </c>
      <c r="V29" s="45">
        <v>8.4</v>
      </c>
      <c r="W29" s="45">
        <v>8.4</v>
      </c>
      <c r="X29" s="45">
        <v>8.4</v>
      </c>
      <c r="Y29" s="45">
        <v>8.4</v>
      </c>
      <c r="Z29" s="45">
        <v>8.4</v>
      </c>
      <c r="AA29" s="45">
        <v>8.4</v>
      </c>
      <c r="AB29" s="45">
        <v>8.4</v>
      </c>
      <c r="AC29" s="45">
        <v>8.4</v>
      </c>
      <c r="AD29" s="45">
        <v>8.4</v>
      </c>
      <c r="AE29" s="45">
        <v>8.4</v>
      </c>
      <c r="AF29" s="45">
        <v>8.4</v>
      </c>
      <c r="AG29" s="49">
        <v>25</v>
      </c>
      <c r="AH29" s="47">
        <f t="shared" si="2"/>
        <v>8.4</v>
      </c>
      <c r="AI29" s="48">
        <f t="shared" si="3"/>
        <v>8.4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9.3000000000000007</v>
      </c>
      <c r="C30" s="45">
        <v>9.3000000000000007</v>
      </c>
      <c r="D30" s="45">
        <v>9.3000000000000007</v>
      </c>
      <c r="E30" s="45">
        <v>9.3000000000000007</v>
      </c>
      <c r="F30" s="45">
        <v>9.3000000000000007</v>
      </c>
      <c r="G30" s="45">
        <v>9.3000000000000007</v>
      </c>
      <c r="H30" s="45">
        <v>9.3000000000000007</v>
      </c>
      <c r="I30" s="45">
        <v>9.3000000000000007</v>
      </c>
      <c r="J30" s="45">
        <v>9.3000000000000007</v>
      </c>
      <c r="K30" s="45">
        <v>9.3000000000000007</v>
      </c>
      <c r="L30" s="45">
        <v>9.3000000000000007</v>
      </c>
      <c r="M30" s="45">
        <v>9.3000000000000007</v>
      </c>
      <c r="N30" s="45">
        <v>9.3000000000000007</v>
      </c>
      <c r="O30" s="45">
        <v>9.3000000000000007</v>
      </c>
      <c r="P30" s="45">
        <v>9.3000000000000007</v>
      </c>
      <c r="Q30" s="45">
        <v>9.3000000000000007</v>
      </c>
      <c r="R30" s="45">
        <v>9.3000000000000007</v>
      </c>
      <c r="S30" s="45">
        <v>9.3000000000000007</v>
      </c>
      <c r="T30" s="45">
        <v>9.3000000000000007</v>
      </c>
      <c r="U30" s="45">
        <v>9.3000000000000007</v>
      </c>
      <c r="V30" s="45">
        <v>9.3000000000000007</v>
      </c>
      <c r="W30" s="45">
        <v>9.3000000000000007</v>
      </c>
      <c r="X30" s="45">
        <v>9.3000000000000007</v>
      </c>
      <c r="Y30" s="45">
        <v>9.3000000000000007</v>
      </c>
      <c r="Z30" s="45">
        <v>9.3000000000000007</v>
      </c>
      <c r="AA30" s="45">
        <v>9.3000000000000007</v>
      </c>
      <c r="AB30" s="45">
        <v>9.3000000000000007</v>
      </c>
      <c r="AC30" s="45">
        <v>9.3000000000000007</v>
      </c>
      <c r="AD30" s="45">
        <v>9.3000000000000007</v>
      </c>
      <c r="AE30" s="45">
        <v>9.3000000000000007</v>
      </c>
      <c r="AF30" s="45">
        <v>9.3000000000000007</v>
      </c>
      <c r="AG30" s="49">
        <v>23.5</v>
      </c>
      <c r="AH30" s="47">
        <f t="shared" si="2"/>
        <v>9.3000000000000007</v>
      </c>
      <c r="AI30" s="48">
        <f t="shared" si="3"/>
        <v>9.3000000000000007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4.5</v>
      </c>
      <c r="C31" s="45">
        <v>4.5</v>
      </c>
      <c r="D31" s="45">
        <v>4.5</v>
      </c>
      <c r="E31" s="45">
        <v>4.5</v>
      </c>
      <c r="F31" s="45">
        <v>4.5</v>
      </c>
      <c r="G31" s="45">
        <v>4.5</v>
      </c>
      <c r="H31" s="45">
        <v>4.5</v>
      </c>
      <c r="I31" s="45">
        <v>4.5</v>
      </c>
      <c r="J31" s="45">
        <v>4.5</v>
      </c>
      <c r="K31" s="45">
        <v>4.5</v>
      </c>
      <c r="L31" s="45">
        <v>4.5</v>
      </c>
      <c r="M31" s="45">
        <v>4.5</v>
      </c>
      <c r="N31" s="45">
        <v>4.5</v>
      </c>
      <c r="O31" s="45">
        <v>4.5</v>
      </c>
      <c r="P31" s="45">
        <v>4.5</v>
      </c>
      <c r="Q31" s="45">
        <v>4.5</v>
      </c>
      <c r="R31" s="45">
        <v>4.5</v>
      </c>
      <c r="S31" s="45">
        <v>4.5</v>
      </c>
      <c r="T31" s="45">
        <v>4.5</v>
      </c>
      <c r="U31" s="45">
        <v>4.5</v>
      </c>
      <c r="V31" s="45">
        <v>4.5</v>
      </c>
      <c r="W31" s="45">
        <v>4.5</v>
      </c>
      <c r="X31" s="45">
        <v>4.5</v>
      </c>
      <c r="Y31" s="45">
        <v>4.5</v>
      </c>
      <c r="Z31" s="45">
        <v>4.5</v>
      </c>
      <c r="AA31" s="45">
        <v>4.5</v>
      </c>
      <c r="AB31" s="45">
        <v>4.5</v>
      </c>
      <c r="AC31" s="45">
        <v>4.5</v>
      </c>
      <c r="AD31" s="45">
        <v>4.5</v>
      </c>
      <c r="AE31" s="45">
        <v>4.5</v>
      </c>
      <c r="AF31" s="45">
        <v>4.5</v>
      </c>
      <c r="AG31" s="49">
        <v>22.2</v>
      </c>
      <c r="AH31" s="47">
        <f t="shared" si="2"/>
        <v>4.5</v>
      </c>
      <c r="AI31" s="48">
        <f t="shared" si="3"/>
        <v>4.5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>
        <v>5.5</v>
      </c>
      <c r="N32" s="45">
        <v>5.5</v>
      </c>
      <c r="O32" s="45">
        <v>5.5</v>
      </c>
      <c r="P32" s="45">
        <v>5.5</v>
      </c>
      <c r="Q32" s="45">
        <v>5.5</v>
      </c>
      <c r="R32" s="45">
        <v>5.5</v>
      </c>
      <c r="S32" s="45">
        <v>5.5</v>
      </c>
      <c r="T32" s="45">
        <v>5.5</v>
      </c>
      <c r="U32" s="45">
        <v>5.5</v>
      </c>
      <c r="V32" s="45">
        <v>5.5</v>
      </c>
      <c r="W32" s="45">
        <v>5.5</v>
      </c>
      <c r="X32" s="45">
        <v>5.5</v>
      </c>
      <c r="Y32" s="45">
        <v>5.5</v>
      </c>
      <c r="Z32" s="45">
        <v>5.5</v>
      </c>
      <c r="AA32" s="45">
        <v>5.5</v>
      </c>
      <c r="AB32" s="45">
        <v>5.5</v>
      </c>
      <c r="AC32" s="45">
        <v>5.5</v>
      </c>
      <c r="AD32" s="45">
        <v>5.5</v>
      </c>
      <c r="AE32" s="45">
        <v>5.5</v>
      </c>
      <c r="AF32" s="45">
        <v>5.5</v>
      </c>
      <c r="AG32" s="49">
        <v>22.1</v>
      </c>
      <c r="AH32" s="47">
        <f t="shared" si="2"/>
        <v>5.5</v>
      </c>
      <c r="AI32" s="48">
        <f t="shared" si="3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22</v>
      </c>
      <c r="AH33" s="47">
        <f t="shared" si="2"/>
        <v>6</v>
      </c>
      <c r="AI33" s="48">
        <f t="shared" si="3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8</v>
      </c>
      <c r="C34" s="45">
        <v>8</v>
      </c>
      <c r="D34" s="45">
        <v>8</v>
      </c>
      <c r="E34" s="45">
        <v>8</v>
      </c>
      <c r="F34" s="45">
        <v>8</v>
      </c>
      <c r="G34" s="45">
        <v>8</v>
      </c>
      <c r="H34" s="45">
        <v>8</v>
      </c>
      <c r="I34" s="45">
        <v>8</v>
      </c>
      <c r="J34" s="45">
        <v>8</v>
      </c>
      <c r="K34" s="45">
        <v>8</v>
      </c>
      <c r="L34" s="45">
        <v>8</v>
      </c>
      <c r="M34" s="45">
        <v>8</v>
      </c>
      <c r="N34" s="45">
        <v>8</v>
      </c>
      <c r="O34" s="45">
        <v>8</v>
      </c>
      <c r="P34" s="45">
        <v>8</v>
      </c>
      <c r="Q34" s="45">
        <v>8</v>
      </c>
      <c r="R34" s="45">
        <v>8</v>
      </c>
      <c r="S34" s="45">
        <v>8</v>
      </c>
      <c r="T34" s="45">
        <v>8</v>
      </c>
      <c r="U34" s="45">
        <v>8</v>
      </c>
      <c r="V34" s="45">
        <v>8</v>
      </c>
      <c r="W34" s="45">
        <v>8</v>
      </c>
      <c r="X34" s="45">
        <v>8</v>
      </c>
      <c r="Y34" s="45">
        <v>8</v>
      </c>
      <c r="Z34" s="45">
        <v>8</v>
      </c>
      <c r="AA34" s="45">
        <v>8</v>
      </c>
      <c r="AB34" s="45">
        <v>8</v>
      </c>
      <c r="AC34" s="45">
        <v>8</v>
      </c>
      <c r="AD34" s="45">
        <v>8</v>
      </c>
      <c r="AE34" s="45">
        <v>8</v>
      </c>
      <c r="AF34" s="45">
        <v>8</v>
      </c>
      <c r="AG34" s="49">
        <v>22</v>
      </c>
      <c r="AH34" s="47">
        <f t="shared" si="2"/>
        <v>8</v>
      </c>
      <c r="AI34" s="48">
        <f t="shared" si="3"/>
        <v>8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6.5</v>
      </c>
      <c r="C35" s="45">
        <v>6.5</v>
      </c>
      <c r="D35" s="45">
        <v>6.5</v>
      </c>
      <c r="E35" s="45">
        <v>6.5</v>
      </c>
      <c r="F35" s="45">
        <v>6.5</v>
      </c>
      <c r="G35" s="45">
        <v>6.5</v>
      </c>
      <c r="H35" s="45">
        <v>6.5</v>
      </c>
      <c r="I35" s="45">
        <v>6.5</v>
      </c>
      <c r="J35" s="45">
        <v>6.5</v>
      </c>
      <c r="K35" s="45">
        <v>6.5</v>
      </c>
      <c r="L35" s="45">
        <v>6.5</v>
      </c>
      <c r="M35" s="45">
        <v>6.5</v>
      </c>
      <c r="N35" s="45">
        <v>6.5</v>
      </c>
      <c r="O35" s="45">
        <v>6.5</v>
      </c>
      <c r="P35" s="45">
        <v>6.5</v>
      </c>
      <c r="Q35" s="45">
        <v>6.5</v>
      </c>
      <c r="R35" s="45">
        <v>6.5</v>
      </c>
      <c r="S35" s="45">
        <v>6.5</v>
      </c>
      <c r="T35" s="45">
        <v>6.5</v>
      </c>
      <c r="U35" s="45">
        <v>6.5</v>
      </c>
      <c r="V35" s="45">
        <v>6.5</v>
      </c>
      <c r="W35" s="45">
        <v>6.5</v>
      </c>
      <c r="X35" s="45">
        <v>6.5</v>
      </c>
      <c r="Y35" s="45">
        <v>6.5</v>
      </c>
      <c r="Z35" s="45">
        <v>6.5</v>
      </c>
      <c r="AA35" s="45">
        <v>6.5</v>
      </c>
      <c r="AB35" s="45">
        <v>6.5</v>
      </c>
      <c r="AC35" s="45">
        <v>6.5</v>
      </c>
      <c r="AD35" s="45">
        <v>6.5</v>
      </c>
      <c r="AE35" s="45">
        <v>6.5</v>
      </c>
      <c r="AF35" s="45">
        <v>6.5</v>
      </c>
      <c r="AG35" s="49">
        <v>20</v>
      </c>
      <c r="AH35" s="47">
        <f t="shared" si="2"/>
        <v>6.5</v>
      </c>
      <c r="AI35" s="48">
        <f t="shared" si="3"/>
        <v>6.5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264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2"/>
        <v>4</v>
      </c>
      <c r="AI36" s="48">
        <f t="shared" si="3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5.5</v>
      </c>
      <c r="C37" s="45">
        <v>5.5</v>
      </c>
      <c r="D37" s="45">
        <v>5.5</v>
      </c>
      <c r="E37" s="45">
        <v>5.5</v>
      </c>
      <c r="F37" s="45">
        <v>5.5</v>
      </c>
      <c r="G37" s="45">
        <v>5.5</v>
      </c>
      <c r="H37" s="45">
        <v>5.5</v>
      </c>
      <c r="I37" s="45">
        <v>5.5</v>
      </c>
      <c r="J37" s="45">
        <v>5.5</v>
      </c>
      <c r="K37" s="45">
        <v>5.5</v>
      </c>
      <c r="L37" s="45">
        <v>5.5</v>
      </c>
      <c r="M37" s="45">
        <v>5.5</v>
      </c>
      <c r="N37" s="45">
        <v>5.5</v>
      </c>
      <c r="O37" s="45">
        <v>5.5</v>
      </c>
      <c r="P37" s="45">
        <v>5.5</v>
      </c>
      <c r="Q37" s="45">
        <v>5.5</v>
      </c>
      <c r="R37" s="45">
        <v>5.5</v>
      </c>
      <c r="S37" s="45">
        <v>5.5</v>
      </c>
      <c r="T37" s="45">
        <v>5.5</v>
      </c>
      <c r="U37" s="45">
        <v>5.5</v>
      </c>
      <c r="V37" s="45">
        <v>5.5</v>
      </c>
      <c r="W37" s="45">
        <v>5.5</v>
      </c>
      <c r="X37" s="45">
        <v>5.5</v>
      </c>
      <c r="Y37" s="45">
        <v>5.5</v>
      </c>
      <c r="Z37" s="45">
        <v>5.5</v>
      </c>
      <c r="AA37" s="45">
        <v>5.5</v>
      </c>
      <c r="AB37" s="45">
        <v>5.5</v>
      </c>
      <c r="AC37" s="45">
        <v>5.5</v>
      </c>
      <c r="AD37" s="45">
        <v>5.5</v>
      </c>
      <c r="AE37" s="45">
        <v>5.5</v>
      </c>
      <c r="AF37" s="45">
        <v>5.5</v>
      </c>
      <c r="AG37" s="49">
        <v>18</v>
      </c>
      <c r="AH37" s="47">
        <f t="shared" si="2"/>
        <v>5.5</v>
      </c>
      <c r="AI37" s="48">
        <f t="shared" si="3"/>
        <v>5.5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>
        <v>7.2</v>
      </c>
      <c r="N38" s="45">
        <v>7.2</v>
      </c>
      <c r="O38" s="45">
        <v>7.2</v>
      </c>
      <c r="P38" s="45">
        <v>7.2</v>
      </c>
      <c r="Q38" s="45">
        <v>7.2</v>
      </c>
      <c r="R38" s="45">
        <v>7.2</v>
      </c>
      <c r="S38" s="45">
        <v>7.2</v>
      </c>
      <c r="T38" s="45">
        <v>7.2</v>
      </c>
      <c r="U38" s="45">
        <v>7.2</v>
      </c>
      <c r="V38" s="45">
        <v>7.2</v>
      </c>
      <c r="W38" s="45">
        <v>7.2</v>
      </c>
      <c r="X38" s="45">
        <v>7.2</v>
      </c>
      <c r="Y38" s="45">
        <v>7.2</v>
      </c>
      <c r="Z38" s="45">
        <v>7.2</v>
      </c>
      <c r="AA38" s="45">
        <v>7.2</v>
      </c>
      <c r="AB38" s="45">
        <v>7.2</v>
      </c>
      <c r="AC38" s="45">
        <v>7.2</v>
      </c>
      <c r="AD38" s="45">
        <v>7.2</v>
      </c>
      <c r="AE38" s="45">
        <v>7.2</v>
      </c>
      <c r="AF38" s="45">
        <v>7.2</v>
      </c>
      <c r="AG38" s="49">
        <v>14.9</v>
      </c>
      <c r="AH38" s="47">
        <f t="shared" si="2"/>
        <v>7.2</v>
      </c>
      <c r="AI38" s="48">
        <f t="shared" si="3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265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2"/>
        <v>5</v>
      </c>
      <c r="AI40" s="48">
        <f t="shared" si="3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266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>
        <v>4</v>
      </c>
      <c r="N41" s="45">
        <v>4</v>
      </c>
      <c r="O41" s="45">
        <v>4</v>
      </c>
      <c r="P41" s="45">
        <v>4</v>
      </c>
      <c r="Q41" s="45">
        <v>4</v>
      </c>
      <c r="R41" s="45">
        <v>4</v>
      </c>
      <c r="S41" s="45">
        <v>4</v>
      </c>
      <c r="T41" s="45">
        <v>4</v>
      </c>
      <c r="U41" s="45">
        <v>4</v>
      </c>
      <c r="V41" s="45">
        <v>4</v>
      </c>
      <c r="W41" s="45">
        <v>4</v>
      </c>
      <c r="X41" s="45">
        <v>4</v>
      </c>
      <c r="Y41" s="45">
        <v>4</v>
      </c>
      <c r="Z41" s="45">
        <v>4</v>
      </c>
      <c r="AA41" s="45">
        <v>4</v>
      </c>
      <c r="AB41" s="45">
        <v>4</v>
      </c>
      <c r="AC41" s="45">
        <v>4</v>
      </c>
      <c r="AD41" s="45">
        <v>4</v>
      </c>
      <c r="AE41" s="45">
        <v>4</v>
      </c>
      <c r="AF41" s="45">
        <v>4</v>
      </c>
      <c r="AG41" s="49">
        <v>14.9</v>
      </c>
      <c r="AH41" s="47">
        <f t="shared" si="2"/>
        <v>4</v>
      </c>
      <c r="AI41" s="48">
        <f t="shared" si="3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2"/>
        <v>1.8</v>
      </c>
      <c r="AI42" s="48">
        <f t="shared" si="3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2"/>
        <v>3.8</v>
      </c>
      <c r="AI43" s="48">
        <f t="shared" si="3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4</v>
      </c>
      <c r="C44" s="45">
        <v>4</v>
      </c>
      <c r="D44" s="45">
        <v>4</v>
      </c>
      <c r="E44" s="45">
        <v>4</v>
      </c>
      <c r="F44" s="45">
        <v>4</v>
      </c>
      <c r="G44" s="45">
        <v>4</v>
      </c>
      <c r="H44" s="45">
        <v>4</v>
      </c>
      <c r="I44" s="45">
        <v>4</v>
      </c>
      <c r="J44" s="45">
        <v>4</v>
      </c>
      <c r="K44" s="45">
        <v>4</v>
      </c>
      <c r="L44" s="45">
        <v>4</v>
      </c>
      <c r="M44" s="45">
        <v>4</v>
      </c>
      <c r="N44" s="45">
        <v>4</v>
      </c>
      <c r="O44" s="45">
        <v>4</v>
      </c>
      <c r="P44" s="45">
        <v>4</v>
      </c>
      <c r="Q44" s="45">
        <v>4</v>
      </c>
      <c r="R44" s="45">
        <v>4</v>
      </c>
      <c r="S44" s="45">
        <v>4</v>
      </c>
      <c r="T44" s="45">
        <v>4</v>
      </c>
      <c r="U44" s="45">
        <v>4</v>
      </c>
      <c r="V44" s="45">
        <v>4</v>
      </c>
      <c r="W44" s="45">
        <v>4</v>
      </c>
      <c r="X44" s="45">
        <v>4</v>
      </c>
      <c r="Y44" s="45">
        <v>4</v>
      </c>
      <c r="Z44" s="45">
        <v>4</v>
      </c>
      <c r="AA44" s="45">
        <v>4</v>
      </c>
      <c r="AB44" s="45">
        <v>4</v>
      </c>
      <c r="AC44" s="45">
        <v>4</v>
      </c>
      <c r="AD44" s="45">
        <v>4</v>
      </c>
      <c r="AE44" s="45">
        <v>4</v>
      </c>
      <c r="AF44" s="45">
        <v>4</v>
      </c>
      <c r="AG44" s="49">
        <v>12</v>
      </c>
      <c r="AH44" s="47">
        <f t="shared" si="2"/>
        <v>4</v>
      </c>
      <c r="AI44" s="48">
        <f t="shared" si="3"/>
        <v>4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49">
        <v>12</v>
      </c>
      <c r="AH45" s="47">
        <f t="shared" si="2"/>
        <v>9</v>
      </c>
      <c r="AI45" s="48">
        <f t="shared" si="3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2"/>
        <v>3</v>
      </c>
      <c r="AI46" s="48">
        <f t="shared" si="3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2"/>
        <v>3.5</v>
      </c>
      <c r="AI47" s="48">
        <f t="shared" si="3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>
        <v>5</v>
      </c>
      <c r="N48" s="45">
        <v>5</v>
      </c>
      <c r="O48" s="45">
        <v>5</v>
      </c>
      <c r="P48" s="45">
        <v>5</v>
      </c>
      <c r="Q48" s="45">
        <v>5</v>
      </c>
      <c r="R48" s="45">
        <v>5</v>
      </c>
      <c r="S48" s="45">
        <v>5</v>
      </c>
      <c r="T48" s="45">
        <v>5</v>
      </c>
      <c r="U48" s="45">
        <v>5</v>
      </c>
      <c r="V48" s="45">
        <v>5</v>
      </c>
      <c r="W48" s="45">
        <v>5</v>
      </c>
      <c r="X48" s="45">
        <v>5</v>
      </c>
      <c r="Y48" s="45">
        <v>5</v>
      </c>
      <c r="Z48" s="45">
        <v>5</v>
      </c>
      <c r="AA48" s="45">
        <v>5</v>
      </c>
      <c r="AB48" s="45">
        <v>5</v>
      </c>
      <c r="AC48" s="45">
        <v>5</v>
      </c>
      <c r="AD48" s="45">
        <v>5</v>
      </c>
      <c r="AE48" s="45">
        <v>5</v>
      </c>
      <c r="AF48" s="45">
        <v>5</v>
      </c>
      <c r="AG48" s="52">
        <v>11.88</v>
      </c>
      <c r="AH48" s="47">
        <f t="shared" si="2"/>
        <v>5</v>
      </c>
      <c r="AI48" s="48">
        <f t="shared" si="3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>
        <v>3</v>
      </c>
      <c r="N49" s="45">
        <v>3</v>
      </c>
      <c r="O49" s="45">
        <v>3</v>
      </c>
      <c r="P49" s="45">
        <v>3</v>
      </c>
      <c r="Q49" s="45">
        <v>3</v>
      </c>
      <c r="R49" s="45">
        <v>3</v>
      </c>
      <c r="S49" s="45">
        <v>3</v>
      </c>
      <c r="T49" s="45">
        <v>3</v>
      </c>
      <c r="U49" s="45">
        <v>3</v>
      </c>
      <c r="V49" s="45">
        <v>3</v>
      </c>
      <c r="W49" s="45">
        <v>3</v>
      </c>
      <c r="X49" s="45">
        <v>3</v>
      </c>
      <c r="Y49" s="45">
        <v>3</v>
      </c>
      <c r="Z49" s="45">
        <v>3</v>
      </c>
      <c r="AA49" s="45">
        <v>3</v>
      </c>
      <c r="AB49" s="45">
        <v>3</v>
      </c>
      <c r="AC49" s="45">
        <v>3</v>
      </c>
      <c r="AD49" s="45">
        <v>3</v>
      </c>
      <c r="AE49" s="45">
        <v>3</v>
      </c>
      <c r="AF49" s="45">
        <v>3</v>
      </c>
      <c r="AG49" s="55">
        <v>11</v>
      </c>
      <c r="AH49" s="47">
        <f t="shared" si="2"/>
        <v>3</v>
      </c>
      <c r="AI49" s="48">
        <f t="shared" si="3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267</v>
      </c>
      <c r="B50" s="45">
        <v>3.3</v>
      </c>
      <c r="C50" s="45">
        <v>3.3</v>
      </c>
      <c r="D50" s="45">
        <v>3.3</v>
      </c>
      <c r="E50" s="45">
        <v>3.3</v>
      </c>
      <c r="F50" s="45">
        <v>3.3</v>
      </c>
      <c r="G50" s="45">
        <v>3.3</v>
      </c>
      <c r="H50" s="45">
        <v>3.3</v>
      </c>
      <c r="I50" s="45">
        <v>3.3</v>
      </c>
      <c r="J50" s="45">
        <v>3.3</v>
      </c>
      <c r="K50" s="45">
        <v>3.3</v>
      </c>
      <c r="L50" s="45">
        <v>3.3</v>
      </c>
      <c r="M50" s="45">
        <v>3.3</v>
      </c>
      <c r="N50" s="45">
        <v>3.3</v>
      </c>
      <c r="O50" s="45">
        <v>3.3</v>
      </c>
      <c r="P50" s="45">
        <v>3.3</v>
      </c>
      <c r="Q50" s="45">
        <v>3.3</v>
      </c>
      <c r="R50" s="45">
        <v>3.3</v>
      </c>
      <c r="S50" s="45">
        <v>3.3</v>
      </c>
      <c r="T50" s="45">
        <v>3.3</v>
      </c>
      <c r="U50" s="45">
        <v>3.3</v>
      </c>
      <c r="V50" s="45">
        <v>3.3</v>
      </c>
      <c r="W50" s="45">
        <v>3.3</v>
      </c>
      <c r="X50" s="45">
        <v>3.3</v>
      </c>
      <c r="Y50" s="45">
        <v>3.3</v>
      </c>
      <c r="Z50" s="45">
        <v>3.3</v>
      </c>
      <c r="AA50" s="45">
        <v>3.3</v>
      </c>
      <c r="AB50" s="45">
        <v>3.3</v>
      </c>
      <c r="AC50" s="45">
        <v>3.3</v>
      </c>
      <c r="AD50" s="45">
        <v>3.3</v>
      </c>
      <c r="AE50" s="45">
        <v>3.3</v>
      </c>
      <c r="AF50" s="45">
        <v>3.3</v>
      </c>
      <c r="AG50" s="55">
        <v>11</v>
      </c>
      <c r="AH50" s="47">
        <f t="shared" si="2"/>
        <v>3.3</v>
      </c>
      <c r="AI50" s="48">
        <f t="shared" si="3"/>
        <v>3.3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268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"/>
        <v>3</v>
      </c>
      <c r="AI51" s="48">
        <f t="shared" si="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2"/>
        <v>4</v>
      </c>
      <c r="AI52" s="48">
        <f t="shared" si="3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"/>
        <v>4.5</v>
      </c>
      <c r="AI53" s="48">
        <f t="shared" si="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269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"/>
        <v>0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150</v>
      </c>
      <c r="C56" s="57">
        <v>150</v>
      </c>
      <c r="D56" s="57">
        <v>150</v>
      </c>
      <c r="E56" s="57">
        <v>150</v>
      </c>
      <c r="F56" s="57">
        <v>150</v>
      </c>
      <c r="G56" s="57">
        <v>150</v>
      </c>
      <c r="H56" s="57">
        <v>150</v>
      </c>
      <c r="I56" s="57">
        <v>150</v>
      </c>
      <c r="J56" s="57">
        <v>150</v>
      </c>
      <c r="K56" s="57">
        <v>150</v>
      </c>
      <c r="L56" s="57">
        <v>150</v>
      </c>
      <c r="M56" s="57">
        <v>150</v>
      </c>
      <c r="N56" s="57">
        <v>150</v>
      </c>
      <c r="O56" s="57">
        <v>150</v>
      </c>
      <c r="P56" s="57">
        <v>150</v>
      </c>
      <c r="Q56" s="57">
        <v>150</v>
      </c>
      <c r="R56" s="57">
        <v>150</v>
      </c>
      <c r="S56" s="57">
        <v>150</v>
      </c>
      <c r="T56" s="57">
        <v>150</v>
      </c>
      <c r="U56" s="57">
        <v>150</v>
      </c>
      <c r="V56" s="57">
        <v>150</v>
      </c>
      <c r="W56" s="57">
        <v>150</v>
      </c>
      <c r="X56" s="57">
        <v>150</v>
      </c>
      <c r="Y56" s="57">
        <v>150</v>
      </c>
      <c r="Z56" s="57">
        <v>150</v>
      </c>
      <c r="AA56" s="57">
        <v>150</v>
      </c>
      <c r="AB56" s="57">
        <v>150</v>
      </c>
      <c r="AC56" s="57">
        <v>150</v>
      </c>
      <c r="AD56" s="57">
        <v>150</v>
      </c>
      <c r="AE56" s="57">
        <v>150</v>
      </c>
      <c r="AF56" s="57">
        <v>150</v>
      </c>
      <c r="AG56" s="55">
        <v>85</v>
      </c>
      <c r="AH56" s="47">
        <f t="shared" si="2"/>
        <v>150</v>
      </c>
      <c r="AI56" s="48">
        <f t="shared" si="3"/>
        <v>150</v>
      </c>
      <c r="AK56" s="50"/>
    </row>
    <row r="57" spans="1:88" ht="15.75" thickBot="1" x14ac:dyDescent="0.3">
      <c r="A57" s="58" t="s">
        <v>57</v>
      </c>
      <c r="B57" s="57">
        <f t="shared" ref="B57:F57" si="4">7.8+18.2</f>
        <v>26</v>
      </c>
      <c r="C57" s="57">
        <f t="shared" si="4"/>
        <v>26</v>
      </c>
      <c r="D57" s="57">
        <f t="shared" si="4"/>
        <v>26</v>
      </c>
      <c r="E57" s="57">
        <f t="shared" si="4"/>
        <v>26</v>
      </c>
      <c r="F57" s="57">
        <f t="shared" si="4"/>
        <v>26</v>
      </c>
      <c r="G57" s="57">
        <v>30.3</v>
      </c>
      <c r="H57" s="57">
        <v>30.3</v>
      </c>
      <c r="I57" s="57">
        <v>30.3</v>
      </c>
      <c r="J57" s="57">
        <v>30.3</v>
      </c>
      <c r="K57" s="57">
        <v>30.3</v>
      </c>
      <c r="L57" s="57">
        <v>30.3</v>
      </c>
      <c r="M57" s="57">
        <v>27.4</v>
      </c>
      <c r="N57" s="57">
        <v>27.4</v>
      </c>
      <c r="O57" s="57">
        <v>27.4</v>
      </c>
      <c r="P57" s="57">
        <v>27.4</v>
      </c>
      <c r="Q57" s="57">
        <v>27.4</v>
      </c>
      <c r="R57" s="57">
        <v>27.4</v>
      </c>
      <c r="S57" s="57">
        <v>29.8</v>
      </c>
      <c r="T57" s="57">
        <v>29.8</v>
      </c>
      <c r="U57" s="57">
        <v>29.8</v>
      </c>
      <c r="V57" s="57">
        <v>29.8</v>
      </c>
      <c r="W57" s="57">
        <v>29.8</v>
      </c>
      <c r="X57" s="57">
        <v>29.8</v>
      </c>
      <c r="Y57" s="57">
        <v>29.8</v>
      </c>
      <c r="Z57" s="57">
        <v>29.8</v>
      </c>
      <c r="AA57" s="57">
        <v>29.8</v>
      </c>
      <c r="AB57" s="57">
        <v>29.8</v>
      </c>
      <c r="AC57" s="57">
        <v>29.8</v>
      </c>
      <c r="AD57" s="57">
        <v>29.8</v>
      </c>
      <c r="AE57" s="57">
        <v>29.8</v>
      </c>
      <c r="AF57" s="57">
        <v>29.8</v>
      </c>
      <c r="AG57" s="55">
        <v>240</v>
      </c>
      <c r="AH57" s="47">
        <f t="shared" si="2"/>
        <v>30.3</v>
      </c>
      <c r="AI57" s="48">
        <f t="shared" si="3"/>
        <v>26</v>
      </c>
      <c r="AK57" s="50"/>
    </row>
    <row r="58" spans="1:88" ht="15.75" thickBot="1" x14ac:dyDescent="0.3">
      <c r="A58" s="59" t="s">
        <v>58</v>
      </c>
      <c r="B58" s="60">
        <f t="shared" ref="B58:C58" si="5">SUM(B11:B56)</f>
        <v>506.70000000000005</v>
      </c>
      <c r="C58" s="60">
        <f t="shared" si="5"/>
        <v>506.70000000000005</v>
      </c>
      <c r="D58" s="60">
        <f t="shared" ref="D58" si="6">SUM(D11:D56)</f>
        <v>506.70000000000005</v>
      </c>
      <c r="E58" s="60">
        <f t="shared" ref="E58:AF58" si="7">SUM(E11:E56)</f>
        <v>506.70000000000005</v>
      </c>
      <c r="F58" s="60">
        <f t="shared" si="7"/>
        <v>506.70000000000005</v>
      </c>
      <c r="G58" s="60">
        <f t="shared" si="7"/>
        <v>506.70000000000005</v>
      </c>
      <c r="H58" s="60">
        <f t="shared" si="7"/>
        <v>506.70000000000005</v>
      </c>
      <c r="I58" s="60">
        <f t="shared" si="7"/>
        <v>506.70000000000005</v>
      </c>
      <c r="J58" s="60">
        <f t="shared" si="7"/>
        <v>506.70000000000005</v>
      </c>
      <c r="K58" s="60">
        <f t="shared" si="7"/>
        <v>506.70000000000005</v>
      </c>
      <c r="L58" s="60">
        <f t="shared" si="7"/>
        <v>506.70000000000005</v>
      </c>
      <c r="M58" s="60">
        <f t="shared" si="7"/>
        <v>506.70000000000005</v>
      </c>
      <c r="N58" s="60">
        <f t="shared" si="7"/>
        <v>506.70000000000005</v>
      </c>
      <c r="O58" s="60">
        <f t="shared" si="7"/>
        <v>506.70000000000005</v>
      </c>
      <c r="P58" s="60">
        <f t="shared" si="7"/>
        <v>506.70000000000005</v>
      </c>
      <c r="Q58" s="60">
        <f t="shared" si="7"/>
        <v>506.70000000000005</v>
      </c>
      <c r="R58" s="60">
        <f t="shared" si="7"/>
        <v>506.70000000000005</v>
      </c>
      <c r="S58" s="60">
        <f t="shared" ref="S58:T58" si="8">SUM(S11:S56)</f>
        <v>506.70000000000005</v>
      </c>
      <c r="T58" s="60">
        <f t="shared" si="8"/>
        <v>506.70000000000005</v>
      </c>
      <c r="U58" s="60">
        <f t="shared" ref="U58:V58" si="9">SUM(U11:U56)</f>
        <v>506.70000000000005</v>
      </c>
      <c r="V58" s="60">
        <f t="shared" si="9"/>
        <v>506.70000000000005</v>
      </c>
      <c r="W58" s="60">
        <f t="shared" ref="W58:Y58" si="10">SUM(W11:W56)</f>
        <v>506.70000000000005</v>
      </c>
      <c r="X58" s="60">
        <f t="shared" si="10"/>
        <v>506.70000000000005</v>
      </c>
      <c r="Y58" s="60">
        <f t="shared" si="10"/>
        <v>506.70000000000005</v>
      </c>
      <c r="Z58" s="60">
        <f t="shared" ref="Z58" si="11">SUM(Z11:Z56)</f>
        <v>506.70000000000005</v>
      </c>
      <c r="AA58" s="60">
        <f t="shared" si="7"/>
        <v>506.70000000000005</v>
      </c>
      <c r="AB58" s="60">
        <f t="shared" si="7"/>
        <v>510.40000000000003</v>
      </c>
      <c r="AC58" s="60">
        <f t="shared" si="7"/>
        <v>510.40000000000003</v>
      </c>
      <c r="AD58" s="60">
        <f t="shared" si="7"/>
        <v>510.40000000000003</v>
      </c>
      <c r="AE58" s="60">
        <f t="shared" si="7"/>
        <v>510.40000000000003</v>
      </c>
      <c r="AF58" s="60">
        <f t="shared" si="7"/>
        <v>510.40000000000003</v>
      </c>
      <c r="AG58" s="61">
        <f>SUM(AG14:AG56)</f>
        <v>1042.4000000000001</v>
      </c>
      <c r="AH58" s="47">
        <f t="shared" si="2"/>
        <v>510.40000000000003</v>
      </c>
      <c r="AI58" s="48">
        <f t="shared" si="3"/>
        <v>506.70000000000005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15</v>
      </c>
      <c r="J59" s="45">
        <v>80</v>
      </c>
      <c r="K59" s="45">
        <v>60</v>
      </c>
      <c r="L59" s="45">
        <v>170</v>
      </c>
      <c r="M59" s="45">
        <v>260</v>
      </c>
      <c r="N59" s="45">
        <v>120</v>
      </c>
      <c r="O59" s="63">
        <v>0</v>
      </c>
      <c r="P59" s="63">
        <v>15</v>
      </c>
      <c r="Q59" s="63">
        <v>40</v>
      </c>
      <c r="R59" s="63">
        <v>20</v>
      </c>
      <c r="S59" s="63">
        <v>50</v>
      </c>
      <c r="T59" s="63">
        <v>50</v>
      </c>
      <c r="U59" s="63">
        <v>90</v>
      </c>
      <c r="V59" s="63">
        <v>90</v>
      </c>
      <c r="W59" s="63">
        <v>80</v>
      </c>
      <c r="X59" s="63">
        <v>245</v>
      </c>
      <c r="Y59" s="45">
        <v>300</v>
      </c>
      <c r="Z59" s="45">
        <v>330</v>
      </c>
      <c r="AA59" s="45">
        <v>330</v>
      </c>
      <c r="AB59" s="45">
        <v>210</v>
      </c>
      <c r="AC59" s="45">
        <v>210</v>
      </c>
      <c r="AD59" s="45">
        <v>180</v>
      </c>
      <c r="AE59" s="45">
        <v>15</v>
      </c>
      <c r="AF59" s="45">
        <v>0</v>
      </c>
      <c r="AG59" s="52">
        <v>456</v>
      </c>
      <c r="AH59" s="47">
        <f t="shared" si="2"/>
        <v>330</v>
      </c>
      <c r="AI59" s="48">
        <f t="shared" si="3"/>
        <v>0</v>
      </c>
      <c r="AK59" s="50"/>
    </row>
    <row r="60" spans="1:88" x14ac:dyDescent="0.25">
      <c r="A60" s="64" t="s">
        <v>60</v>
      </c>
      <c r="B60" s="65">
        <v>30</v>
      </c>
      <c r="C60" s="65">
        <v>30</v>
      </c>
      <c r="D60" s="65">
        <v>30</v>
      </c>
      <c r="E60" s="65">
        <v>30</v>
      </c>
      <c r="F60" s="65">
        <v>30</v>
      </c>
      <c r="G60" s="65">
        <v>30</v>
      </c>
      <c r="H60" s="65">
        <v>30</v>
      </c>
      <c r="I60" s="65">
        <v>30</v>
      </c>
      <c r="J60" s="65">
        <v>30</v>
      </c>
      <c r="K60" s="65">
        <v>30</v>
      </c>
      <c r="L60" s="65">
        <v>30</v>
      </c>
      <c r="M60" s="65">
        <v>30</v>
      </c>
      <c r="N60" s="65">
        <v>30</v>
      </c>
      <c r="O60" s="65">
        <v>30</v>
      </c>
      <c r="P60" s="65">
        <v>30</v>
      </c>
      <c r="Q60" s="65">
        <v>30</v>
      </c>
      <c r="R60" s="65">
        <v>30</v>
      </c>
      <c r="S60" s="65">
        <v>30</v>
      </c>
      <c r="T60" s="65">
        <v>30</v>
      </c>
      <c r="U60" s="65">
        <v>30</v>
      </c>
      <c r="V60" s="65">
        <v>30</v>
      </c>
      <c r="W60" s="65">
        <v>30</v>
      </c>
      <c r="X60" s="65">
        <v>30</v>
      </c>
      <c r="Y60" s="65">
        <v>30</v>
      </c>
      <c r="Z60" s="65">
        <v>30</v>
      </c>
      <c r="AA60" s="65">
        <v>30</v>
      </c>
      <c r="AB60" s="65">
        <v>30</v>
      </c>
      <c r="AC60" s="65">
        <v>30</v>
      </c>
      <c r="AD60" s="65">
        <v>30</v>
      </c>
      <c r="AE60" s="65">
        <v>30</v>
      </c>
      <c r="AF60" s="65">
        <v>30</v>
      </c>
      <c r="AG60" s="55">
        <v>60</v>
      </c>
      <c r="AH60" s="47">
        <f t="shared" si="2"/>
        <v>30</v>
      </c>
      <c r="AI60" s="48">
        <f t="shared" si="3"/>
        <v>30</v>
      </c>
      <c r="AK60" s="50"/>
    </row>
    <row r="61" spans="1:88" ht="15.75" thickBot="1" x14ac:dyDescent="0.3">
      <c r="A61" s="66" t="s">
        <v>61</v>
      </c>
      <c r="B61" s="67">
        <v>15.2</v>
      </c>
      <c r="C61" s="67">
        <v>15.2</v>
      </c>
      <c r="D61" s="67">
        <v>15.2</v>
      </c>
      <c r="E61" s="67">
        <v>15.2</v>
      </c>
      <c r="F61" s="67">
        <v>15.2</v>
      </c>
      <c r="G61" s="67">
        <v>15.2</v>
      </c>
      <c r="H61" s="67">
        <v>15.2</v>
      </c>
      <c r="I61" s="67">
        <v>15.2</v>
      </c>
      <c r="J61" s="67">
        <v>15.2</v>
      </c>
      <c r="K61" s="67">
        <v>15.2</v>
      </c>
      <c r="L61" s="67">
        <v>15.2</v>
      </c>
      <c r="M61" s="67">
        <v>15.2</v>
      </c>
      <c r="N61" s="67">
        <v>15.2</v>
      </c>
      <c r="O61" s="67">
        <v>15</v>
      </c>
      <c r="P61" s="67">
        <v>10.199999999999999</v>
      </c>
      <c r="Q61" s="67">
        <v>10.199999999999999</v>
      </c>
      <c r="R61" s="67">
        <v>10</v>
      </c>
      <c r="S61" s="67">
        <v>10</v>
      </c>
      <c r="T61" s="67">
        <v>10</v>
      </c>
      <c r="U61" s="67">
        <v>10</v>
      </c>
      <c r="V61" s="67">
        <v>10</v>
      </c>
      <c r="W61" s="67">
        <v>10</v>
      </c>
      <c r="X61" s="67">
        <v>15.2</v>
      </c>
      <c r="Y61" s="67">
        <v>15.2</v>
      </c>
      <c r="Z61" s="67">
        <v>15.2</v>
      </c>
      <c r="AA61" s="67">
        <v>15.2</v>
      </c>
      <c r="AB61" s="67">
        <v>15.2</v>
      </c>
      <c r="AC61" s="67">
        <v>15.2</v>
      </c>
      <c r="AD61" s="67">
        <v>15.2</v>
      </c>
      <c r="AE61" s="67">
        <v>10.3</v>
      </c>
      <c r="AF61" s="67">
        <v>10.3</v>
      </c>
      <c r="AG61" s="68">
        <v>22.1</v>
      </c>
      <c r="AH61" s="47">
        <f t="shared" si="2"/>
        <v>15.2</v>
      </c>
      <c r="AI61" s="48">
        <f t="shared" si="3"/>
        <v>10</v>
      </c>
      <c r="AK61" s="50"/>
    </row>
    <row r="62" spans="1:88" ht="15.75" thickBot="1" x14ac:dyDescent="0.3">
      <c r="A62" s="69" t="s">
        <v>62</v>
      </c>
      <c r="B62" s="60">
        <f t="shared" ref="B62:C62" si="12">SUM(B59:B61)</f>
        <v>45.2</v>
      </c>
      <c r="C62" s="60">
        <f t="shared" si="12"/>
        <v>45.2</v>
      </c>
      <c r="D62" s="60">
        <f t="shared" ref="D62" si="13">SUM(D59:D61)</f>
        <v>45.2</v>
      </c>
      <c r="E62" s="60">
        <f t="shared" ref="E62:AG62" si="14">SUM(E59:E61)</f>
        <v>45.2</v>
      </c>
      <c r="F62" s="60">
        <f t="shared" si="14"/>
        <v>45.2</v>
      </c>
      <c r="G62" s="60">
        <f t="shared" si="14"/>
        <v>45.2</v>
      </c>
      <c r="H62" s="60">
        <f t="shared" si="14"/>
        <v>45.2</v>
      </c>
      <c r="I62" s="60">
        <f t="shared" si="14"/>
        <v>60.2</v>
      </c>
      <c r="J62" s="60">
        <f t="shared" si="14"/>
        <v>125.2</v>
      </c>
      <c r="K62" s="60">
        <f t="shared" si="14"/>
        <v>105.2</v>
      </c>
      <c r="L62" s="60">
        <f t="shared" si="14"/>
        <v>215.2</v>
      </c>
      <c r="M62" s="60">
        <f t="shared" si="14"/>
        <v>305.2</v>
      </c>
      <c r="N62" s="60">
        <f t="shared" si="14"/>
        <v>165.2</v>
      </c>
      <c r="O62" s="60">
        <f t="shared" si="14"/>
        <v>45</v>
      </c>
      <c r="P62" s="60">
        <f t="shared" si="14"/>
        <v>55.2</v>
      </c>
      <c r="Q62" s="60">
        <f t="shared" si="14"/>
        <v>80.2</v>
      </c>
      <c r="R62" s="60">
        <f t="shared" si="14"/>
        <v>60</v>
      </c>
      <c r="S62" s="60">
        <f t="shared" ref="S62:T62" si="15">SUM(S59:S61)</f>
        <v>90</v>
      </c>
      <c r="T62" s="60">
        <f t="shared" si="15"/>
        <v>90</v>
      </c>
      <c r="U62" s="60">
        <f t="shared" ref="U62:V62" si="16">SUM(U59:U61)</f>
        <v>130</v>
      </c>
      <c r="V62" s="60">
        <f t="shared" si="16"/>
        <v>130</v>
      </c>
      <c r="W62" s="60">
        <f t="shared" ref="W62:Y62" si="17">SUM(W59:W61)</f>
        <v>120</v>
      </c>
      <c r="X62" s="60">
        <f t="shared" si="17"/>
        <v>290.2</v>
      </c>
      <c r="Y62" s="60">
        <f t="shared" si="17"/>
        <v>345.2</v>
      </c>
      <c r="Z62" s="60">
        <f t="shared" ref="Z62" si="18">SUM(Z59:Z61)</f>
        <v>375.2</v>
      </c>
      <c r="AA62" s="60">
        <f t="shared" si="14"/>
        <v>375.2</v>
      </c>
      <c r="AB62" s="60">
        <f t="shared" si="14"/>
        <v>255.2</v>
      </c>
      <c r="AC62" s="60">
        <f t="shared" si="14"/>
        <v>255.2</v>
      </c>
      <c r="AD62" s="60">
        <f t="shared" si="14"/>
        <v>225.2</v>
      </c>
      <c r="AE62" s="60">
        <f t="shared" si="14"/>
        <v>55.3</v>
      </c>
      <c r="AF62" s="60">
        <f t="shared" si="14"/>
        <v>40.299999999999997</v>
      </c>
      <c r="AG62" s="61">
        <f t="shared" si="14"/>
        <v>538.1</v>
      </c>
      <c r="AH62" s="47">
        <f t="shared" si="2"/>
        <v>375.2</v>
      </c>
      <c r="AI62" s="48">
        <f t="shared" si="3"/>
        <v>40.299999999999997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30.1</v>
      </c>
      <c r="I63" s="45">
        <v>62</v>
      </c>
      <c r="J63" s="45">
        <v>62</v>
      </c>
      <c r="K63" s="45">
        <v>62</v>
      </c>
      <c r="L63" s="45">
        <v>92</v>
      </c>
      <c r="M63" s="45">
        <v>112.2</v>
      </c>
      <c r="N63" s="45">
        <v>63</v>
      </c>
      <c r="O63" s="45">
        <v>57</v>
      </c>
      <c r="P63" s="45">
        <v>60</v>
      </c>
      <c r="Q63" s="45">
        <v>142</v>
      </c>
      <c r="R63" s="45">
        <v>141</v>
      </c>
      <c r="S63" s="45">
        <v>61.4</v>
      </c>
      <c r="T63" s="45">
        <v>48.1</v>
      </c>
      <c r="U63" s="45">
        <v>48.1</v>
      </c>
      <c r="V63" s="45">
        <v>48.1</v>
      </c>
      <c r="W63" s="45">
        <v>48.1</v>
      </c>
      <c r="X63" s="45">
        <v>91.2</v>
      </c>
      <c r="Y63" s="45">
        <v>106.4</v>
      </c>
      <c r="Z63" s="45">
        <v>121.6</v>
      </c>
      <c r="AA63" s="45">
        <v>122.2</v>
      </c>
      <c r="AB63" s="45">
        <v>101.7</v>
      </c>
      <c r="AC63" s="45">
        <v>83.1</v>
      </c>
      <c r="AD63" s="45">
        <v>81.400000000000006</v>
      </c>
      <c r="AE63" s="45">
        <v>80.900000000000006</v>
      </c>
      <c r="AF63" s="45">
        <v>0</v>
      </c>
      <c r="AG63" s="52">
        <v>144</v>
      </c>
      <c r="AH63" s="47">
        <f t="shared" si="2"/>
        <v>142</v>
      </c>
      <c r="AI63" s="48">
        <f t="shared" si="3"/>
        <v>0</v>
      </c>
      <c r="AK63" s="50"/>
    </row>
    <row r="64" spans="1:88" x14ac:dyDescent="0.25">
      <c r="A64" s="54" t="s">
        <v>64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25</v>
      </c>
      <c r="H64" s="65">
        <v>35</v>
      </c>
      <c r="I64" s="65">
        <v>35</v>
      </c>
      <c r="J64" s="65">
        <v>45</v>
      </c>
      <c r="K64" s="65">
        <v>45</v>
      </c>
      <c r="L64" s="65">
        <v>70</v>
      </c>
      <c r="M64" s="65">
        <v>70</v>
      </c>
      <c r="N64" s="65">
        <v>45</v>
      </c>
      <c r="O64" s="65">
        <v>25</v>
      </c>
      <c r="P64" s="65">
        <v>25</v>
      </c>
      <c r="Q64" s="65">
        <v>70</v>
      </c>
      <c r="R64" s="65">
        <v>70</v>
      </c>
      <c r="S64" s="65">
        <v>65</v>
      </c>
      <c r="T64" s="65">
        <v>25</v>
      </c>
      <c r="U64" s="65">
        <v>0</v>
      </c>
      <c r="V64" s="65">
        <v>0</v>
      </c>
      <c r="W64" s="65">
        <v>23</v>
      </c>
      <c r="X64" s="65">
        <v>45</v>
      </c>
      <c r="Y64" s="45">
        <v>70</v>
      </c>
      <c r="Z64" s="45">
        <v>70</v>
      </c>
      <c r="AA64" s="45">
        <v>50</v>
      </c>
      <c r="AB64" s="45">
        <v>50</v>
      </c>
      <c r="AC64" s="45">
        <v>35</v>
      </c>
      <c r="AD64" s="65">
        <v>35</v>
      </c>
      <c r="AE64" s="45">
        <v>0</v>
      </c>
      <c r="AF64" s="45">
        <v>0</v>
      </c>
      <c r="AG64" s="55">
        <v>70</v>
      </c>
      <c r="AH64" s="47">
        <f t="shared" si="2"/>
        <v>70</v>
      </c>
      <c r="AI64" s="48">
        <f t="shared" si="3"/>
        <v>0</v>
      </c>
      <c r="AK64" s="50"/>
    </row>
    <row r="65" spans="1:41" x14ac:dyDescent="0.25">
      <c r="A65" s="54" t="s">
        <v>65</v>
      </c>
      <c r="B65" s="65">
        <v>35</v>
      </c>
      <c r="C65" s="65">
        <v>0</v>
      </c>
      <c r="D65" s="65">
        <v>0</v>
      </c>
      <c r="E65" s="65">
        <v>0</v>
      </c>
      <c r="F65" s="65">
        <v>0</v>
      </c>
      <c r="G65" s="65">
        <v>18</v>
      </c>
      <c r="H65" s="65">
        <v>43</v>
      </c>
      <c r="I65" s="65">
        <v>50.3</v>
      </c>
      <c r="J65" s="65">
        <v>62</v>
      </c>
      <c r="K65" s="65">
        <v>50</v>
      </c>
      <c r="L65" s="65">
        <v>69</v>
      </c>
      <c r="M65" s="65">
        <v>60</v>
      </c>
      <c r="N65" s="65">
        <v>60</v>
      </c>
      <c r="O65" s="65">
        <v>17</v>
      </c>
      <c r="P65" s="65">
        <v>16.899999999999999</v>
      </c>
      <c r="Q65" s="65">
        <v>45</v>
      </c>
      <c r="R65" s="65">
        <v>45</v>
      </c>
      <c r="S65" s="65">
        <v>45</v>
      </c>
      <c r="T65" s="65">
        <v>47.2</v>
      </c>
      <c r="U65" s="65">
        <v>52.5</v>
      </c>
      <c r="V65" s="65">
        <v>52.5</v>
      </c>
      <c r="W65" s="65">
        <v>51.6</v>
      </c>
      <c r="X65" s="65">
        <v>51.6</v>
      </c>
      <c r="Y65" s="45">
        <v>59.1</v>
      </c>
      <c r="Z65" s="45">
        <v>61.5</v>
      </c>
      <c r="AA65" s="45">
        <v>67.7</v>
      </c>
      <c r="AB65" s="45">
        <v>66.400000000000006</v>
      </c>
      <c r="AC65" s="45">
        <v>32.1</v>
      </c>
      <c r="AD65" s="65">
        <v>32.700000000000003</v>
      </c>
      <c r="AE65" s="45">
        <v>46.8</v>
      </c>
      <c r="AF65" s="45">
        <v>34</v>
      </c>
      <c r="AG65" s="55">
        <v>69</v>
      </c>
      <c r="AH65" s="47">
        <f t="shared" si="2"/>
        <v>69</v>
      </c>
      <c r="AI65" s="48">
        <f t="shared" si="3"/>
        <v>0</v>
      </c>
      <c r="AK65" s="50"/>
    </row>
    <row r="66" spans="1:41" x14ac:dyDescent="0.25">
      <c r="A66" s="54" t="s">
        <v>66</v>
      </c>
      <c r="B66" s="65">
        <v>42.3</v>
      </c>
      <c r="C66" s="65">
        <v>42.3</v>
      </c>
      <c r="D66" s="65">
        <v>42.3</v>
      </c>
      <c r="E66" s="65">
        <v>42.3</v>
      </c>
      <c r="F66" s="65">
        <v>42.3</v>
      </c>
      <c r="G66" s="65">
        <v>42.3</v>
      </c>
      <c r="H66" s="65">
        <v>42.3</v>
      </c>
      <c r="I66" s="65">
        <v>42.3</v>
      </c>
      <c r="J66" s="65">
        <v>42.3</v>
      </c>
      <c r="K66" s="65">
        <v>42.3</v>
      </c>
      <c r="L66" s="65">
        <v>42.3</v>
      </c>
      <c r="M66" s="65">
        <v>42.3</v>
      </c>
      <c r="N66" s="65">
        <v>42.3</v>
      </c>
      <c r="O66" s="65">
        <v>42</v>
      </c>
      <c r="P66" s="65">
        <v>43.1</v>
      </c>
      <c r="Q66" s="65">
        <v>43.1</v>
      </c>
      <c r="R66" s="65">
        <v>43.1</v>
      </c>
      <c r="S66" s="65">
        <v>43.1</v>
      </c>
      <c r="T66" s="65">
        <v>43.1</v>
      </c>
      <c r="U66" s="65">
        <v>43.1</v>
      </c>
      <c r="V66" s="65">
        <v>43.1</v>
      </c>
      <c r="W66" s="65">
        <v>41.1</v>
      </c>
      <c r="X66" s="65">
        <v>41.1</v>
      </c>
      <c r="Y66" s="45">
        <v>41.1</v>
      </c>
      <c r="Z66" s="45">
        <v>41.1</v>
      </c>
      <c r="AA66" s="45">
        <v>42</v>
      </c>
      <c r="AB66" s="45">
        <v>42.3</v>
      </c>
      <c r="AC66" s="45">
        <v>42.3</v>
      </c>
      <c r="AD66" s="65">
        <v>43.3</v>
      </c>
      <c r="AE66" s="45">
        <v>41.8</v>
      </c>
      <c r="AF66" s="45">
        <v>39.9</v>
      </c>
      <c r="AG66" s="55">
        <v>60</v>
      </c>
      <c r="AH66" s="47">
        <f t="shared" si="2"/>
        <v>43.3</v>
      </c>
      <c r="AI66" s="48">
        <f t="shared" si="3"/>
        <v>39.9</v>
      </c>
      <c r="AK66" s="50"/>
    </row>
    <row r="67" spans="1:41" x14ac:dyDescent="0.25">
      <c r="A67" s="54" t="s">
        <v>67</v>
      </c>
      <c r="B67" s="65">
        <v>0</v>
      </c>
      <c r="C67" s="65">
        <v>0</v>
      </c>
      <c r="D67" s="65">
        <v>0</v>
      </c>
      <c r="E67" s="65">
        <v>0</v>
      </c>
      <c r="F67" s="65">
        <v>0</v>
      </c>
      <c r="G67" s="65">
        <v>10</v>
      </c>
      <c r="H67" s="65">
        <v>10</v>
      </c>
      <c r="I67" s="65">
        <v>10</v>
      </c>
      <c r="J67" s="65">
        <v>15</v>
      </c>
      <c r="K67" s="65">
        <v>15</v>
      </c>
      <c r="L67" s="65">
        <v>15</v>
      </c>
      <c r="M67" s="65">
        <v>15</v>
      </c>
      <c r="N67" s="65">
        <v>15</v>
      </c>
      <c r="O67" s="65">
        <v>15</v>
      </c>
      <c r="P67" s="65">
        <v>15</v>
      </c>
      <c r="Q67" s="65">
        <v>15</v>
      </c>
      <c r="R67" s="65">
        <v>15</v>
      </c>
      <c r="S67" s="65">
        <v>23</v>
      </c>
      <c r="T67" s="65">
        <v>23</v>
      </c>
      <c r="U67" s="65">
        <v>23</v>
      </c>
      <c r="V67" s="65">
        <v>23</v>
      </c>
      <c r="W67" s="65">
        <v>10</v>
      </c>
      <c r="X67" s="65">
        <v>10</v>
      </c>
      <c r="Y67" s="65">
        <v>10</v>
      </c>
      <c r="Z67" s="65">
        <v>10</v>
      </c>
      <c r="AA67" s="45">
        <v>10</v>
      </c>
      <c r="AB67" s="45">
        <v>10</v>
      </c>
      <c r="AC67" s="45">
        <v>0</v>
      </c>
      <c r="AD67" s="65">
        <v>0</v>
      </c>
      <c r="AE67" s="45">
        <v>0</v>
      </c>
      <c r="AF67" s="45">
        <v>0</v>
      </c>
      <c r="AG67" s="55">
        <v>30</v>
      </c>
      <c r="AH67" s="47">
        <f t="shared" si="2"/>
        <v>23</v>
      </c>
      <c r="AI67" s="48">
        <f t="shared" si="3"/>
        <v>0</v>
      </c>
      <c r="AK67" s="50"/>
    </row>
    <row r="68" spans="1:41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0.2</v>
      </c>
      <c r="L68" s="45">
        <v>0.8</v>
      </c>
      <c r="M68" s="45">
        <v>1.6</v>
      </c>
      <c r="N68" s="45">
        <v>4.5</v>
      </c>
      <c r="O68" s="45">
        <v>5.2</v>
      </c>
      <c r="P68" s="45">
        <v>7.6</v>
      </c>
      <c r="Q68" s="45">
        <v>7.6</v>
      </c>
      <c r="R68" s="65">
        <v>5.7</v>
      </c>
      <c r="S68" s="65">
        <v>2.2999999999999998</v>
      </c>
      <c r="T68" s="65">
        <v>1.4</v>
      </c>
      <c r="U68" s="65">
        <v>0</v>
      </c>
      <c r="V68" s="65">
        <v>0</v>
      </c>
      <c r="W68" s="65">
        <v>0</v>
      </c>
      <c r="X68" s="65">
        <v>0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65">
        <v>0</v>
      </c>
      <c r="AE68" s="45">
        <v>0</v>
      </c>
      <c r="AF68" s="45">
        <v>0</v>
      </c>
      <c r="AG68" s="55">
        <v>25</v>
      </c>
      <c r="AH68" s="47">
        <f t="shared" si="2"/>
        <v>7.6</v>
      </c>
      <c r="AI68" s="48">
        <f t="shared" si="3"/>
        <v>0</v>
      </c>
      <c r="AK68" s="50"/>
    </row>
    <row r="69" spans="1:41" x14ac:dyDescent="0.25">
      <c r="A69" s="54" t="s">
        <v>69</v>
      </c>
      <c r="B69" s="65">
        <v>15</v>
      </c>
      <c r="C69" s="65">
        <v>15</v>
      </c>
      <c r="D69" s="65">
        <v>15</v>
      </c>
      <c r="E69" s="65">
        <v>15</v>
      </c>
      <c r="F69" s="65">
        <v>15</v>
      </c>
      <c r="G69" s="65">
        <v>15</v>
      </c>
      <c r="H69" s="65">
        <v>15</v>
      </c>
      <c r="I69" s="65">
        <v>15</v>
      </c>
      <c r="J69" s="65">
        <v>15</v>
      </c>
      <c r="K69" s="65">
        <v>15</v>
      </c>
      <c r="L69" s="65">
        <v>15</v>
      </c>
      <c r="M69" s="65">
        <v>15</v>
      </c>
      <c r="N69" s="65">
        <v>15</v>
      </c>
      <c r="O69" s="65">
        <v>15</v>
      </c>
      <c r="P69" s="65">
        <v>15</v>
      </c>
      <c r="Q69" s="65">
        <v>15</v>
      </c>
      <c r="R69" s="65">
        <v>15</v>
      </c>
      <c r="S69" s="65">
        <v>15</v>
      </c>
      <c r="T69" s="65">
        <v>15</v>
      </c>
      <c r="U69" s="65">
        <v>15</v>
      </c>
      <c r="V69" s="65">
        <v>15</v>
      </c>
      <c r="W69" s="65">
        <v>15</v>
      </c>
      <c r="X69" s="65">
        <v>15</v>
      </c>
      <c r="Y69" s="65">
        <v>15</v>
      </c>
      <c r="Z69" s="65">
        <v>15</v>
      </c>
      <c r="AA69" s="65">
        <v>15</v>
      </c>
      <c r="AB69" s="65">
        <v>15</v>
      </c>
      <c r="AC69" s="65">
        <v>15</v>
      </c>
      <c r="AD69" s="65">
        <v>15</v>
      </c>
      <c r="AE69" s="65">
        <v>15</v>
      </c>
      <c r="AF69" s="65">
        <v>15</v>
      </c>
      <c r="AG69" s="55">
        <v>24</v>
      </c>
      <c r="AH69" s="47">
        <f t="shared" si="2"/>
        <v>15</v>
      </c>
      <c r="AI69" s="48">
        <f t="shared" si="3"/>
        <v>15</v>
      </c>
      <c r="AK69" s="50"/>
    </row>
    <row r="70" spans="1:41" x14ac:dyDescent="0.25">
      <c r="A70" s="54" t="s">
        <v>70</v>
      </c>
      <c r="B70" s="65">
        <v>3.6</v>
      </c>
      <c r="C70" s="65">
        <v>3.6</v>
      </c>
      <c r="D70" s="65">
        <v>3.6</v>
      </c>
      <c r="E70" s="65">
        <v>3.6</v>
      </c>
      <c r="F70" s="65">
        <v>3.6</v>
      </c>
      <c r="G70" s="65">
        <v>3.6</v>
      </c>
      <c r="H70" s="65">
        <v>3.6</v>
      </c>
      <c r="I70" s="65">
        <v>3.6</v>
      </c>
      <c r="J70" s="65">
        <v>3.6</v>
      </c>
      <c r="K70" s="65">
        <v>3.6</v>
      </c>
      <c r="L70" s="65">
        <v>3.6</v>
      </c>
      <c r="M70" s="65">
        <v>3.6</v>
      </c>
      <c r="N70" s="65">
        <v>3.6</v>
      </c>
      <c r="O70" s="65">
        <v>3.6</v>
      </c>
      <c r="P70" s="65">
        <v>3.6</v>
      </c>
      <c r="Q70" s="65">
        <v>3.6</v>
      </c>
      <c r="R70" s="65">
        <v>3.6</v>
      </c>
      <c r="S70" s="65">
        <v>3.6</v>
      </c>
      <c r="T70" s="65">
        <v>3.6</v>
      </c>
      <c r="U70" s="65">
        <v>3.6</v>
      </c>
      <c r="V70" s="65">
        <v>3.6</v>
      </c>
      <c r="W70" s="65">
        <v>3.6</v>
      </c>
      <c r="X70" s="65">
        <v>3.6</v>
      </c>
      <c r="Y70" s="65">
        <v>3.6</v>
      </c>
      <c r="Z70" s="65">
        <v>3.6</v>
      </c>
      <c r="AA70" s="65">
        <v>3.6</v>
      </c>
      <c r="AB70" s="65">
        <v>3.6</v>
      </c>
      <c r="AC70" s="65">
        <v>3.6</v>
      </c>
      <c r="AD70" s="65">
        <v>3.6</v>
      </c>
      <c r="AE70" s="65">
        <v>3.6</v>
      </c>
      <c r="AF70" s="65">
        <v>3.6</v>
      </c>
      <c r="AG70" s="55">
        <v>15</v>
      </c>
      <c r="AH70" s="47">
        <f t="shared" si="2"/>
        <v>3.6</v>
      </c>
      <c r="AI70" s="48">
        <f t="shared" si="3"/>
        <v>3.6</v>
      </c>
      <c r="AK70" s="50"/>
      <c r="AL70" s="70"/>
      <c r="AO70" s="70"/>
    </row>
    <row r="71" spans="1:41" s="70" customFormat="1" x14ac:dyDescent="0.25">
      <c r="A71" s="54" t="s">
        <v>71</v>
      </c>
      <c r="B71" s="65">
        <v>10.199999999999999</v>
      </c>
      <c r="C71" s="65">
        <v>10.199999999999999</v>
      </c>
      <c r="D71" s="65">
        <v>10.199999999999999</v>
      </c>
      <c r="E71" s="65">
        <v>10.199999999999999</v>
      </c>
      <c r="F71" s="65">
        <v>10.199999999999999</v>
      </c>
      <c r="G71" s="65">
        <v>10.199999999999999</v>
      </c>
      <c r="H71" s="65">
        <v>10.199999999999999</v>
      </c>
      <c r="I71" s="65">
        <v>10.199999999999999</v>
      </c>
      <c r="J71" s="65">
        <v>10.199999999999999</v>
      </c>
      <c r="K71" s="65">
        <v>10.199999999999999</v>
      </c>
      <c r="L71" s="65">
        <v>10.199999999999999</v>
      </c>
      <c r="M71" s="65">
        <v>10.199999999999999</v>
      </c>
      <c r="N71" s="65">
        <v>10.199999999999999</v>
      </c>
      <c r="O71" s="65">
        <v>10.199999999999999</v>
      </c>
      <c r="P71" s="65">
        <v>10.199999999999999</v>
      </c>
      <c r="Q71" s="65">
        <v>10.199999999999999</v>
      </c>
      <c r="R71" s="65">
        <v>10.199999999999999</v>
      </c>
      <c r="S71" s="65">
        <v>10.199999999999999</v>
      </c>
      <c r="T71" s="65">
        <v>10.199999999999999</v>
      </c>
      <c r="U71" s="65">
        <v>10.199999999999999</v>
      </c>
      <c r="V71" s="65">
        <v>10.199999999999999</v>
      </c>
      <c r="W71" s="65">
        <v>10.199999999999999</v>
      </c>
      <c r="X71" s="65">
        <v>10.199999999999999</v>
      </c>
      <c r="Y71" s="65">
        <v>10.199999999999999</v>
      </c>
      <c r="Z71" s="65">
        <v>10.199999999999999</v>
      </c>
      <c r="AA71" s="65">
        <v>10.199999999999999</v>
      </c>
      <c r="AB71" s="65">
        <v>10.199999999999999</v>
      </c>
      <c r="AC71" s="65">
        <v>10.199999999999999</v>
      </c>
      <c r="AD71" s="65">
        <v>10.199999999999999</v>
      </c>
      <c r="AE71" s="65">
        <v>12.5</v>
      </c>
      <c r="AF71" s="65">
        <v>12.5</v>
      </c>
      <c r="AG71" s="55">
        <v>14.1</v>
      </c>
      <c r="AH71" s="47">
        <f t="shared" si="2"/>
        <v>12.5</v>
      </c>
      <c r="AI71" s="48">
        <f t="shared" si="3"/>
        <v>10.199999999999999</v>
      </c>
      <c r="AJ71" s="1"/>
      <c r="AK71" s="50"/>
      <c r="AL71" s="1"/>
      <c r="AM71" s="1"/>
      <c r="AN71" s="1"/>
      <c r="AO71" s="1"/>
    </row>
    <row r="72" spans="1:41" x14ac:dyDescent="0.25">
      <c r="A72" s="71" t="s">
        <v>72</v>
      </c>
      <c r="B72" s="65">
        <v>3.3</v>
      </c>
      <c r="C72" s="65">
        <v>3.3</v>
      </c>
      <c r="D72" s="65">
        <v>3.3</v>
      </c>
      <c r="E72" s="65">
        <v>3.3</v>
      </c>
      <c r="F72" s="65">
        <v>3.3</v>
      </c>
      <c r="G72" s="65">
        <v>3.3</v>
      </c>
      <c r="H72" s="65">
        <v>3.3</v>
      </c>
      <c r="I72" s="65">
        <v>3.3</v>
      </c>
      <c r="J72" s="65">
        <v>3.3</v>
      </c>
      <c r="K72" s="65">
        <v>3.3</v>
      </c>
      <c r="L72" s="65">
        <v>5</v>
      </c>
      <c r="M72" s="65">
        <v>5</v>
      </c>
      <c r="N72" s="65">
        <v>5</v>
      </c>
      <c r="O72" s="65">
        <v>5</v>
      </c>
      <c r="P72" s="65">
        <v>5</v>
      </c>
      <c r="Q72" s="65">
        <v>5</v>
      </c>
      <c r="R72" s="65">
        <v>5</v>
      </c>
      <c r="S72" s="65">
        <v>5</v>
      </c>
      <c r="T72" s="65">
        <v>5</v>
      </c>
      <c r="U72" s="65">
        <v>5</v>
      </c>
      <c r="V72" s="65">
        <v>5</v>
      </c>
      <c r="W72" s="65">
        <v>5</v>
      </c>
      <c r="X72" s="65">
        <v>5</v>
      </c>
      <c r="Y72" s="65">
        <v>5</v>
      </c>
      <c r="Z72" s="65">
        <v>5</v>
      </c>
      <c r="AA72" s="65">
        <v>5</v>
      </c>
      <c r="AB72" s="65">
        <v>3.3</v>
      </c>
      <c r="AC72" s="65">
        <v>3.3</v>
      </c>
      <c r="AD72" s="65">
        <v>3.3</v>
      </c>
      <c r="AE72" s="65">
        <v>3.3</v>
      </c>
      <c r="AF72" s="65">
        <v>3.3</v>
      </c>
      <c r="AG72" s="55">
        <v>14</v>
      </c>
      <c r="AH72" s="47">
        <f t="shared" si="2"/>
        <v>5</v>
      </c>
      <c r="AI72" s="48">
        <f t="shared" si="3"/>
        <v>3.3</v>
      </c>
      <c r="AK72" s="50"/>
    </row>
    <row r="73" spans="1:41" x14ac:dyDescent="0.25">
      <c r="A73" s="54" t="s">
        <v>73</v>
      </c>
      <c r="B73" s="65">
        <v>5</v>
      </c>
      <c r="C73" s="65">
        <v>5</v>
      </c>
      <c r="D73" s="65">
        <v>5</v>
      </c>
      <c r="E73" s="65">
        <v>5</v>
      </c>
      <c r="F73" s="65">
        <v>5</v>
      </c>
      <c r="G73" s="65">
        <v>5</v>
      </c>
      <c r="H73" s="65">
        <v>5</v>
      </c>
      <c r="I73" s="65">
        <v>5</v>
      </c>
      <c r="J73" s="65">
        <v>5</v>
      </c>
      <c r="K73" s="65">
        <v>5</v>
      </c>
      <c r="L73" s="65">
        <v>5</v>
      </c>
      <c r="M73" s="65">
        <v>5</v>
      </c>
      <c r="N73" s="65">
        <v>5</v>
      </c>
      <c r="O73" s="65">
        <v>5</v>
      </c>
      <c r="P73" s="65">
        <v>5</v>
      </c>
      <c r="Q73" s="65">
        <v>5</v>
      </c>
      <c r="R73" s="65">
        <v>5</v>
      </c>
      <c r="S73" s="65">
        <v>5</v>
      </c>
      <c r="T73" s="65">
        <v>5</v>
      </c>
      <c r="U73" s="65">
        <v>5</v>
      </c>
      <c r="V73" s="65">
        <v>5</v>
      </c>
      <c r="W73" s="65">
        <v>5</v>
      </c>
      <c r="X73" s="65">
        <v>5</v>
      </c>
      <c r="Y73" s="65">
        <v>5</v>
      </c>
      <c r="Z73" s="65">
        <v>5</v>
      </c>
      <c r="AA73" s="65">
        <v>5</v>
      </c>
      <c r="AB73" s="65">
        <v>5</v>
      </c>
      <c r="AC73" s="65">
        <v>5</v>
      </c>
      <c r="AD73" s="65">
        <v>5</v>
      </c>
      <c r="AE73" s="65">
        <v>5</v>
      </c>
      <c r="AF73" s="65">
        <v>5</v>
      </c>
      <c r="AG73" s="55">
        <v>10.050000000000001</v>
      </c>
      <c r="AH73" s="47">
        <f t="shared" si="2"/>
        <v>5</v>
      </c>
      <c r="AI73" s="48">
        <f t="shared" si="3"/>
        <v>5</v>
      </c>
      <c r="AK73" s="50"/>
    </row>
    <row r="74" spans="1:41" x14ac:dyDescent="0.25">
      <c r="A74" s="54" t="s">
        <v>74</v>
      </c>
      <c r="B74" s="65">
        <v>2</v>
      </c>
      <c r="C74" s="65">
        <v>2</v>
      </c>
      <c r="D74" s="65">
        <v>2</v>
      </c>
      <c r="E74" s="65">
        <v>2</v>
      </c>
      <c r="F74" s="65">
        <v>2</v>
      </c>
      <c r="G74" s="65">
        <v>2</v>
      </c>
      <c r="H74" s="65">
        <v>2</v>
      </c>
      <c r="I74" s="65">
        <v>2</v>
      </c>
      <c r="J74" s="65">
        <v>2</v>
      </c>
      <c r="K74" s="65">
        <v>2</v>
      </c>
      <c r="L74" s="65">
        <v>2</v>
      </c>
      <c r="M74" s="65">
        <v>2</v>
      </c>
      <c r="N74" s="65">
        <v>2</v>
      </c>
      <c r="O74" s="65">
        <v>2</v>
      </c>
      <c r="P74" s="65">
        <v>2</v>
      </c>
      <c r="Q74" s="65">
        <v>2</v>
      </c>
      <c r="R74" s="65">
        <v>2</v>
      </c>
      <c r="S74" s="65">
        <v>2</v>
      </c>
      <c r="T74" s="65">
        <v>2</v>
      </c>
      <c r="U74" s="65">
        <v>2</v>
      </c>
      <c r="V74" s="65">
        <v>2</v>
      </c>
      <c r="W74" s="65">
        <v>2</v>
      </c>
      <c r="X74" s="65">
        <v>2</v>
      </c>
      <c r="Y74" s="65">
        <v>2</v>
      </c>
      <c r="Z74" s="65">
        <v>2</v>
      </c>
      <c r="AA74" s="65">
        <v>2</v>
      </c>
      <c r="AB74" s="65">
        <v>2</v>
      </c>
      <c r="AC74" s="65">
        <v>2</v>
      </c>
      <c r="AD74" s="65">
        <v>2</v>
      </c>
      <c r="AE74" s="65">
        <v>2</v>
      </c>
      <c r="AF74" s="65">
        <v>2</v>
      </c>
      <c r="AG74" s="55">
        <v>6.2</v>
      </c>
      <c r="AH74" s="47">
        <f t="shared" si="2"/>
        <v>2</v>
      </c>
      <c r="AI74" s="48">
        <f t="shared" si="3"/>
        <v>2</v>
      </c>
      <c r="AK74" s="50"/>
    </row>
    <row r="75" spans="1:41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3.54</v>
      </c>
      <c r="Z75" s="72">
        <v>3.54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2"/>
        <v>3.54</v>
      </c>
      <c r="AI75" s="48">
        <f t="shared" si="3"/>
        <v>3.54</v>
      </c>
      <c r="AK75" s="50"/>
    </row>
    <row r="76" spans="1:41" ht="15.75" thickBot="1" x14ac:dyDescent="0.3">
      <c r="A76" s="74" t="s">
        <v>76</v>
      </c>
      <c r="B76" s="60">
        <f t="shared" ref="B76:C76" si="19">SUM(B63:B75)</f>
        <v>119.94</v>
      </c>
      <c r="C76" s="60">
        <f t="shared" si="19"/>
        <v>84.94</v>
      </c>
      <c r="D76" s="60">
        <f t="shared" ref="D76" si="20">SUM(D63:D75)</f>
        <v>84.94</v>
      </c>
      <c r="E76" s="60">
        <f t="shared" ref="E76:AG76" si="21">SUM(E63:E75)</f>
        <v>84.94</v>
      </c>
      <c r="F76" s="60">
        <f t="shared" si="21"/>
        <v>84.94</v>
      </c>
      <c r="G76" s="60">
        <f t="shared" si="21"/>
        <v>137.93999999999997</v>
      </c>
      <c r="H76" s="60">
        <f t="shared" si="21"/>
        <v>203.03999999999996</v>
      </c>
      <c r="I76" s="60">
        <f t="shared" si="21"/>
        <v>242.24</v>
      </c>
      <c r="J76" s="60">
        <f t="shared" si="21"/>
        <v>268.94</v>
      </c>
      <c r="K76" s="60">
        <f>SUM(K63:K75)</f>
        <v>257.14</v>
      </c>
      <c r="L76" s="60">
        <f t="shared" si="21"/>
        <v>333.44000000000005</v>
      </c>
      <c r="M76" s="60">
        <f t="shared" si="21"/>
        <v>345.44000000000005</v>
      </c>
      <c r="N76" s="60">
        <f t="shared" si="21"/>
        <v>274.14000000000004</v>
      </c>
      <c r="O76" s="60">
        <f t="shared" si="21"/>
        <v>205.53999999999996</v>
      </c>
      <c r="P76" s="60">
        <f t="shared" si="21"/>
        <v>211.93999999999997</v>
      </c>
      <c r="Q76" s="60">
        <f t="shared" si="21"/>
        <v>367.04000000000008</v>
      </c>
      <c r="R76" s="60">
        <f t="shared" si="21"/>
        <v>364.14000000000004</v>
      </c>
      <c r="S76" s="60">
        <f t="shared" ref="S76:T76" si="22">SUM(S63:S75)</f>
        <v>284.14000000000004</v>
      </c>
      <c r="T76" s="60">
        <f t="shared" si="22"/>
        <v>232.14</v>
      </c>
      <c r="U76" s="60">
        <f t="shared" ref="U76:V76" si="23">SUM(U63:U75)</f>
        <v>211.03999999999996</v>
      </c>
      <c r="V76" s="60">
        <f t="shared" si="23"/>
        <v>211.03999999999996</v>
      </c>
      <c r="W76" s="60">
        <f t="shared" ref="W76:Y76" si="24">SUM(W63:W75)</f>
        <v>218.13999999999996</v>
      </c>
      <c r="X76" s="60">
        <f t="shared" si="24"/>
        <v>283.24</v>
      </c>
      <c r="Y76" s="60">
        <f t="shared" si="24"/>
        <v>330.94000000000005</v>
      </c>
      <c r="Z76" s="60">
        <f t="shared" ref="Z76" si="25">SUM(Z63:Z75)</f>
        <v>348.54</v>
      </c>
      <c r="AA76" s="60">
        <f t="shared" si="21"/>
        <v>336.24</v>
      </c>
      <c r="AB76" s="60">
        <f t="shared" si="21"/>
        <v>313.04000000000002</v>
      </c>
      <c r="AC76" s="60">
        <f t="shared" si="21"/>
        <v>235.14</v>
      </c>
      <c r="AD76" s="60">
        <f t="shared" si="21"/>
        <v>235.04000000000002</v>
      </c>
      <c r="AE76" s="60">
        <f t="shared" si="21"/>
        <v>214.44</v>
      </c>
      <c r="AF76" s="60">
        <f t="shared" si="21"/>
        <v>118.84</v>
      </c>
      <c r="AG76" s="61">
        <f t="shared" si="21"/>
        <v>489.91</v>
      </c>
      <c r="AH76" s="47">
        <f t="shared" si="2"/>
        <v>367.04000000000008</v>
      </c>
      <c r="AI76" s="48">
        <f t="shared" si="3"/>
        <v>84.94</v>
      </c>
      <c r="AK76" s="50"/>
    </row>
    <row r="77" spans="1:41" x14ac:dyDescent="0.25">
      <c r="A77" s="44" t="s">
        <v>77</v>
      </c>
      <c r="B77" s="45">
        <v>0</v>
      </c>
      <c r="C77" s="45">
        <v>0</v>
      </c>
      <c r="D77" s="4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v>0</v>
      </c>
      <c r="O77" s="45"/>
      <c r="P77" s="45"/>
      <c r="Q77" s="45"/>
      <c r="R77" s="45"/>
      <c r="S77" s="45">
        <v>27.5</v>
      </c>
      <c r="T77" s="45">
        <v>59.7</v>
      </c>
      <c r="U77" s="45">
        <v>59.7</v>
      </c>
      <c r="V77" s="45">
        <v>59.7</v>
      </c>
      <c r="W77" s="45">
        <v>59.7</v>
      </c>
      <c r="X77" s="45">
        <v>55</v>
      </c>
      <c r="Y77" s="45">
        <v>57.9</v>
      </c>
      <c r="Z77" s="45">
        <v>29.1</v>
      </c>
      <c r="AA77" s="45">
        <v>10.6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52">
        <v>60</v>
      </c>
      <c r="AH77" s="47">
        <f t="shared" si="2"/>
        <v>59.7</v>
      </c>
      <c r="AI77" s="48">
        <f t="shared" si="3"/>
        <v>0</v>
      </c>
      <c r="AK77" s="50"/>
    </row>
    <row r="78" spans="1:41" x14ac:dyDescent="0.25">
      <c r="A78" s="54" t="s">
        <v>78</v>
      </c>
      <c r="B78" s="65">
        <v>0</v>
      </c>
      <c r="C78" s="65">
        <v>0</v>
      </c>
      <c r="D78" s="65">
        <v>0</v>
      </c>
      <c r="E78" s="65">
        <v>0</v>
      </c>
      <c r="F78" s="65">
        <v>0</v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  <c r="O78" s="65"/>
      <c r="P78" s="65"/>
      <c r="Q78" s="65"/>
      <c r="R78" s="65"/>
      <c r="S78" s="65">
        <v>8.9</v>
      </c>
      <c r="T78" s="65">
        <v>28.1</v>
      </c>
      <c r="U78" s="65">
        <v>28.1</v>
      </c>
      <c r="V78" s="65">
        <v>28.1</v>
      </c>
      <c r="W78" s="65">
        <v>28.1</v>
      </c>
      <c r="X78" s="65">
        <v>27.1</v>
      </c>
      <c r="Y78" s="65">
        <v>24.9</v>
      </c>
      <c r="Z78" s="65">
        <v>14.7</v>
      </c>
      <c r="AA78" s="65">
        <v>3.6</v>
      </c>
      <c r="AB78" s="65">
        <v>3.6</v>
      </c>
      <c r="AC78" s="65">
        <v>0</v>
      </c>
      <c r="AD78" s="65">
        <v>0</v>
      </c>
      <c r="AE78" s="65">
        <v>0</v>
      </c>
      <c r="AF78" s="65">
        <v>0</v>
      </c>
      <c r="AG78" s="55">
        <v>32</v>
      </c>
      <c r="AH78" s="47">
        <f t="shared" si="2"/>
        <v>28.1</v>
      </c>
      <c r="AI78" s="48">
        <f t="shared" si="3"/>
        <v>0</v>
      </c>
      <c r="AK78" s="50"/>
    </row>
    <row r="79" spans="1:41" ht="15.75" thickBot="1" x14ac:dyDescent="0.3">
      <c r="A79" s="71" t="s">
        <v>79</v>
      </c>
      <c r="B79" s="67">
        <v>0</v>
      </c>
      <c r="C79" s="67">
        <v>0</v>
      </c>
      <c r="D79" s="67">
        <v>0</v>
      </c>
      <c r="E79" s="67">
        <v>0</v>
      </c>
      <c r="F79" s="67">
        <v>0</v>
      </c>
      <c r="G79" s="67">
        <v>0</v>
      </c>
      <c r="H79" s="67">
        <v>0</v>
      </c>
      <c r="I79" s="67">
        <v>0</v>
      </c>
      <c r="J79" s="67">
        <v>0</v>
      </c>
      <c r="K79" s="67">
        <v>0</v>
      </c>
      <c r="L79" s="67">
        <v>0</v>
      </c>
      <c r="M79" s="67">
        <v>0</v>
      </c>
      <c r="N79" s="67">
        <v>0</v>
      </c>
      <c r="O79" s="67"/>
      <c r="P79" s="67"/>
      <c r="Q79" s="67"/>
      <c r="R79" s="67"/>
      <c r="S79" s="67">
        <v>3.3</v>
      </c>
      <c r="T79" s="67">
        <v>10.199999999999999</v>
      </c>
      <c r="U79" s="67">
        <v>10.199999999999999</v>
      </c>
      <c r="V79" s="67">
        <v>10.199999999999999</v>
      </c>
      <c r="W79" s="67">
        <v>10.199999999999999</v>
      </c>
      <c r="X79" s="67">
        <v>10.199999999999999</v>
      </c>
      <c r="Y79" s="67">
        <v>9.1</v>
      </c>
      <c r="Z79" s="67">
        <v>5.4</v>
      </c>
      <c r="AA79" s="67">
        <v>1.3</v>
      </c>
      <c r="AB79" s="67">
        <v>1.3</v>
      </c>
      <c r="AC79" s="67">
        <v>0</v>
      </c>
      <c r="AD79" s="67">
        <v>0</v>
      </c>
      <c r="AE79" s="67">
        <v>0</v>
      </c>
      <c r="AF79" s="67">
        <v>0</v>
      </c>
      <c r="AG79" s="68">
        <v>14</v>
      </c>
      <c r="AH79" s="47">
        <f t="shared" si="2"/>
        <v>10.199999999999999</v>
      </c>
      <c r="AI79" s="48">
        <f t="shared" si="3"/>
        <v>0</v>
      </c>
      <c r="AK79" s="50"/>
    </row>
    <row r="80" spans="1:41" ht="15.75" thickBot="1" x14ac:dyDescent="0.3">
      <c r="A80" s="74" t="s">
        <v>80</v>
      </c>
      <c r="B80" s="60">
        <f t="shared" ref="B80:C80" si="26">B77+B78+B79</f>
        <v>0</v>
      </c>
      <c r="C80" s="60">
        <f t="shared" si="26"/>
        <v>0</v>
      </c>
      <c r="D80" s="60">
        <f t="shared" ref="D80" si="27">D77+D78+D79</f>
        <v>0</v>
      </c>
      <c r="E80" s="60">
        <f t="shared" ref="E80:AF80" si="28">E77+E78+E79</f>
        <v>0</v>
      </c>
      <c r="F80" s="60">
        <f t="shared" si="28"/>
        <v>0</v>
      </c>
      <c r="G80" s="60">
        <f t="shared" si="28"/>
        <v>0</v>
      </c>
      <c r="H80" s="60">
        <f t="shared" si="28"/>
        <v>0</v>
      </c>
      <c r="I80" s="60">
        <f t="shared" si="28"/>
        <v>0</v>
      </c>
      <c r="J80" s="60">
        <f t="shared" si="28"/>
        <v>0</v>
      </c>
      <c r="K80" s="60">
        <f t="shared" si="28"/>
        <v>0</v>
      </c>
      <c r="L80" s="60">
        <f t="shared" si="28"/>
        <v>0</v>
      </c>
      <c r="M80" s="60">
        <f t="shared" si="28"/>
        <v>0</v>
      </c>
      <c r="N80" s="60">
        <f t="shared" si="28"/>
        <v>0</v>
      </c>
      <c r="O80" s="60">
        <f t="shared" si="28"/>
        <v>0</v>
      </c>
      <c r="P80" s="60">
        <f t="shared" si="28"/>
        <v>0</v>
      </c>
      <c r="Q80" s="60">
        <f t="shared" si="28"/>
        <v>0</v>
      </c>
      <c r="R80" s="60">
        <f t="shared" si="28"/>
        <v>0</v>
      </c>
      <c r="S80" s="60">
        <f t="shared" ref="S80:T80" si="29">S77+S78+S79</f>
        <v>39.699999999999996</v>
      </c>
      <c r="T80" s="60">
        <f t="shared" si="29"/>
        <v>98.000000000000014</v>
      </c>
      <c r="U80" s="60">
        <f t="shared" ref="U80:V80" si="30">U77+U78+U79</f>
        <v>98.000000000000014</v>
      </c>
      <c r="V80" s="60">
        <f t="shared" si="30"/>
        <v>98.000000000000014</v>
      </c>
      <c r="W80" s="60">
        <f t="shared" ref="W80:Y80" si="31">W77+W78+W79</f>
        <v>98.000000000000014</v>
      </c>
      <c r="X80" s="60">
        <f t="shared" si="31"/>
        <v>92.3</v>
      </c>
      <c r="Y80" s="60">
        <f t="shared" si="31"/>
        <v>91.899999999999991</v>
      </c>
      <c r="Z80" s="60">
        <f t="shared" ref="Z80" si="32">Z77+Z78+Z79</f>
        <v>49.199999999999996</v>
      </c>
      <c r="AA80" s="60">
        <f t="shared" si="28"/>
        <v>15.5</v>
      </c>
      <c r="AB80" s="60">
        <f t="shared" si="28"/>
        <v>4.9000000000000004</v>
      </c>
      <c r="AC80" s="60">
        <f t="shared" si="28"/>
        <v>0</v>
      </c>
      <c r="AD80" s="60">
        <f t="shared" si="28"/>
        <v>0</v>
      </c>
      <c r="AE80" s="60">
        <f t="shared" si="28"/>
        <v>0</v>
      </c>
      <c r="AF80" s="60">
        <f t="shared" si="28"/>
        <v>0</v>
      </c>
      <c r="AG80" s="61">
        <f>SUM(AG77:AG79)</f>
        <v>106</v>
      </c>
      <c r="AH80" s="47">
        <f t="shared" si="2"/>
        <v>98.000000000000014</v>
      </c>
      <c r="AI80" s="48">
        <f t="shared" si="3"/>
        <v>0</v>
      </c>
      <c r="AK80" s="50"/>
    </row>
    <row r="81" spans="1:40" x14ac:dyDescent="0.25">
      <c r="A81" s="44" t="s">
        <v>81</v>
      </c>
      <c r="B81" s="45">
        <v>58</v>
      </c>
      <c r="C81" s="45">
        <v>64</v>
      </c>
      <c r="D81" s="45">
        <v>66</v>
      </c>
      <c r="E81" s="45">
        <v>68</v>
      </c>
      <c r="F81" s="45">
        <v>58.3</v>
      </c>
      <c r="G81" s="45">
        <v>58</v>
      </c>
      <c r="H81" s="45">
        <v>62</v>
      </c>
      <c r="I81" s="45">
        <v>69.400000000000006</v>
      </c>
      <c r="J81" s="45">
        <v>70</v>
      </c>
      <c r="K81" s="45">
        <v>46</v>
      </c>
      <c r="L81" s="45">
        <v>51.2</v>
      </c>
      <c r="M81" s="45">
        <v>49.1</v>
      </c>
      <c r="N81" s="45">
        <v>41</v>
      </c>
      <c r="O81" s="45">
        <v>71</v>
      </c>
      <c r="P81" s="45">
        <v>61.2</v>
      </c>
      <c r="Q81" s="45">
        <v>72.5</v>
      </c>
      <c r="R81" s="45"/>
      <c r="S81" s="45">
        <v>65.7</v>
      </c>
      <c r="T81" s="45">
        <v>65.900000000000006</v>
      </c>
      <c r="U81" s="45">
        <v>66.599999999999994</v>
      </c>
      <c r="V81" s="45">
        <v>66.099999999999994</v>
      </c>
      <c r="W81" s="45">
        <v>67.3</v>
      </c>
      <c r="X81" s="45">
        <v>60.9</v>
      </c>
      <c r="Y81" s="45">
        <v>67.400000000000006</v>
      </c>
      <c r="Z81" s="45">
        <v>66.5</v>
      </c>
      <c r="AA81" s="45">
        <v>63.9</v>
      </c>
      <c r="AB81" s="45">
        <v>57.5</v>
      </c>
      <c r="AC81" s="45">
        <v>61.6</v>
      </c>
      <c r="AD81" s="45">
        <v>58.7</v>
      </c>
      <c r="AE81" s="45">
        <v>64.8</v>
      </c>
      <c r="AF81" s="45">
        <v>63.7</v>
      </c>
      <c r="AG81" s="52"/>
      <c r="AH81" s="47">
        <f t="shared" si="2"/>
        <v>72.5</v>
      </c>
      <c r="AI81" s="48">
        <f t="shared" si="3"/>
        <v>41</v>
      </c>
      <c r="AK81" s="50"/>
    </row>
    <row r="82" spans="1:40" x14ac:dyDescent="0.25">
      <c r="A82" s="54" t="s">
        <v>82</v>
      </c>
      <c r="B82" s="65">
        <v>0</v>
      </c>
      <c r="C82" s="65">
        <v>0</v>
      </c>
      <c r="D82" s="65">
        <v>0</v>
      </c>
      <c r="E82" s="65">
        <v>0</v>
      </c>
      <c r="F82" s="65">
        <v>0</v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  <c r="O82" s="65">
        <v>0</v>
      </c>
      <c r="P82" s="65">
        <v>0</v>
      </c>
      <c r="Q82" s="65">
        <v>0</v>
      </c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>
        <v>0</v>
      </c>
      <c r="AC82" s="65">
        <v>0</v>
      </c>
      <c r="AD82" s="65">
        <v>0</v>
      </c>
      <c r="AE82" s="65">
        <v>0</v>
      </c>
      <c r="AF82" s="65">
        <v>0</v>
      </c>
      <c r="AG82" s="55"/>
      <c r="AH82" s="47">
        <f t="shared" si="2"/>
        <v>0</v>
      </c>
      <c r="AI82" s="48">
        <f t="shared" si="3"/>
        <v>0</v>
      </c>
      <c r="AK82" s="50"/>
    </row>
    <row r="83" spans="1:40" x14ac:dyDescent="0.25">
      <c r="A83" s="54" t="s">
        <v>83</v>
      </c>
      <c r="B83" s="65">
        <v>370</v>
      </c>
      <c r="C83" s="65">
        <v>380</v>
      </c>
      <c r="D83" s="65">
        <v>379</v>
      </c>
      <c r="E83" s="65">
        <v>362</v>
      </c>
      <c r="F83" s="65">
        <v>376</v>
      </c>
      <c r="G83" s="65">
        <v>409</v>
      </c>
      <c r="H83" s="65">
        <v>396</v>
      </c>
      <c r="I83" s="65">
        <v>435</v>
      </c>
      <c r="J83" s="65">
        <v>394</v>
      </c>
      <c r="K83" s="65">
        <v>348</v>
      </c>
      <c r="L83" s="65">
        <v>245</v>
      </c>
      <c r="M83" s="65">
        <v>155</v>
      </c>
      <c r="N83" s="65">
        <v>248</v>
      </c>
      <c r="O83" s="65">
        <v>381</v>
      </c>
      <c r="P83" s="65">
        <v>398</v>
      </c>
      <c r="Q83" s="65">
        <v>394</v>
      </c>
      <c r="R83" s="65"/>
      <c r="S83" s="65">
        <v>440.1</v>
      </c>
      <c r="T83" s="65">
        <v>435.8</v>
      </c>
      <c r="U83" s="65">
        <v>422</v>
      </c>
      <c r="V83" s="65">
        <v>347.9</v>
      </c>
      <c r="W83" s="65">
        <v>302.60000000000002</v>
      </c>
      <c r="X83" s="65">
        <v>288.7</v>
      </c>
      <c r="Y83" s="65">
        <v>314.7</v>
      </c>
      <c r="Z83" s="65">
        <v>150.6</v>
      </c>
      <c r="AA83" s="65">
        <v>170</v>
      </c>
      <c r="AB83" s="65">
        <v>227.2</v>
      </c>
      <c r="AC83" s="65">
        <v>257</v>
      </c>
      <c r="AD83" s="65">
        <v>263</v>
      </c>
      <c r="AE83" s="65">
        <v>412</v>
      </c>
      <c r="AF83" s="65">
        <v>366</v>
      </c>
      <c r="AG83" s="75"/>
      <c r="AH83" s="47">
        <f t="shared" si="2"/>
        <v>440.1</v>
      </c>
      <c r="AI83" s="48">
        <f t="shared" si="3"/>
        <v>150.6</v>
      </c>
      <c r="AK83" s="50"/>
    </row>
    <row r="84" spans="1:40" x14ac:dyDescent="0.25">
      <c r="A84" s="54" t="s">
        <v>84</v>
      </c>
      <c r="B84" s="65">
        <v>44</v>
      </c>
      <c r="C84" s="65">
        <v>44</v>
      </c>
      <c r="D84" s="65">
        <v>44</v>
      </c>
      <c r="E84" s="65">
        <v>44.2</v>
      </c>
      <c r="F84" s="76">
        <v>39</v>
      </c>
      <c r="G84" s="76">
        <v>48</v>
      </c>
      <c r="H84" s="76">
        <v>49</v>
      </c>
      <c r="I84" s="76">
        <v>43.4</v>
      </c>
      <c r="J84" s="76">
        <v>41</v>
      </c>
      <c r="K84" s="76">
        <v>23.1</v>
      </c>
      <c r="L84" s="76">
        <v>24</v>
      </c>
      <c r="M84" s="76">
        <v>26</v>
      </c>
      <c r="N84" s="76">
        <v>16.8</v>
      </c>
      <c r="O84" s="76">
        <v>16</v>
      </c>
      <c r="P84" s="76">
        <v>11</v>
      </c>
      <c r="Q84" s="76">
        <v>11</v>
      </c>
      <c r="R84" s="76"/>
      <c r="S84" s="76">
        <v>31.7</v>
      </c>
      <c r="T84" s="76">
        <v>37.4</v>
      </c>
      <c r="U84" s="76">
        <v>28.4</v>
      </c>
      <c r="V84" s="76">
        <v>21.2</v>
      </c>
      <c r="W84" s="76">
        <v>20.9</v>
      </c>
      <c r="X84" s="76">
        <v>17.100000000000001</v>
      </c>
      <c r="Y84" s="76">
        <v>16.899999999999999</v>
      </c>
      <c r="Z84" s="76">
        <v>16.399999999999999</v>
      </c>
      <c r="AA84" s="76">
        <v>16.100000000000001</v>
      </c>
      <c r="AB84" s="76">
        <v>20</v>
      </c>
      <c r="AC84" s="76">
        <v>30</v>
      </c>
      <c r="AD84" s="65">
        <v>32</v>
      </c>
      <c r="AE84" s="76">
        <v>45</v>
      </c>
      <c r="AF84" s="76">
        <v>46</v>
      </c>
      <c r="AG84" s="75"/>
      <c r="AH84" s="47">
        <f t="shared" si="2"/>
        <v>49</v>
      </c>
      <c r="AI84" s="48">
        <f t="shared" si="3"/>
        <v>11</v>
      </c>
      <c r="AK84" s="50"/>
    </row>
    <row r="85" spans="1:40" x14ac:dyDescent="0.25">
      <c r="A85" s="54" t="s">
        <v>85</v>
      </c>
      <c r="B85" s="45">
        <v>0</v>
      </c>
      <c r="C85" s="45">
        <v>0</v>
      </c>
      <c r="D85" s="45">
        <v>0</v>
      </c>
      <c r="E85" s="45">
        <v>0</v>
      </c>
      <c r="F85" s="45">
        <v>0</v>
      </c>
      <c r="G85" s="45">
        <v>0</v>
      </c>
      <c r="H85" s="45">
        <v>0</v>
      </c>
      <c r="I85" s="45">
        <v>0</v>
      </c>
      <c r="J85" s="45">
        <v>0</v>
      </c>
      <c r="K85" s="45">
        <v>0</v>
      </c>
      <c r="L85" s="45">
        <v>0</v>
      </c>
      <c r="M85" s="45">
        <v>0</v>
      </c>
      <c r="N85" s="45">
        <v>0</v>
      </c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>
        <v>0</v>
      </c>
      <c r="AC85" s="45">
        <v>0</v>
      </c>
      <c r="AD85" s="45">
        <v>0</v>
      </c>
      <c r="AE85" s="45">
        <v>0</v>
      </c>
      <c r="AF85" s="45">
        <v>0</v>
      </c>
      <c r="AG85" s="75"/>
      <c r="AH85" s="47">
        <f t="shared" ref="AH85:AH130" si="33">MAX(B85:AF85)</f>
        <v>0</v>
      </c>
      <c r="AI85" s="48">
        <f t="shared" ref="AI85:AI130" si="34">MIN(B85:AF85)</f>
        <v>0</v>
      </c>
      <c r="AK85" s="50"/>
    </row>
    <row r="86" spans="1:40" x14ac:dyDescent="0.25">
      <c r="A86" s="54" t="s">
        <v>86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/>
      <c r="AH86" s="47">
        <f t="shared" si="33"/>
        <v>0</v>
      </c>
      <c r="AI86" s="48">
        <f t="shared" si="34"/>
        <v>0</v>
      </c>
      <c r="AK86" s="50"/>
    </row>
    <row r="87" spans="1:40" ht="15.75" thickBot="1" x14ac:dyDescent="0.3">
      <c r="A87" s="54" t="s">
        <v>87</v>
      </c>
      <c r="B87" s="77">
        <v>0</v>
      </c>
      <c r="C87" s="77">
        <v>0</v>
      </c>
      <c r="D87" s="77">
        <v>0</v>
      </c>
      <c r="E87" s="77">
        <v>0</v>
      </c>
      <c r="F87" s="77">
        <v>0</v>
      </c>
      <c r="G87" s="77">
        <v>0</v>
      </c>
      <c r="H87" s="77">
        <v>0</v>
      </c>
      <c r="I87" s="77">
        <v>0</v>
      </c>
      <c r="J87" s="77">
        <v>0</v>
      </c>
      <c r="K87" s="77">
        <v>0</v>
      </c>
      <c r="L87" s="77">
        <v>0</v>
      </c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>
        <v>0</v>
      </c>
      <c r="AC87" s="77">
        <v>0</v>
      </c>
      <c r="AD87" s="77">
        <v>0</v>
      </c>
      <c r="AE87" s="77">
        <v>0</v>
      </c>
      <c r="AF87" s="77">
        <v>0</v>
      </c>
      <c r="AG87" s="75"/>
      <c r="AH87" s="47">
        <f t="shared" si="33"/>
        <v>0</v>
      </c>
      <c r="AI87" s="48">
        <f t="shared" si="34"/>
        <v>0</v>
      </c>
      <c r="AK87" s="50"/>
      <c r="AL87" s="78" t="s">
        <v>88</v>
      </c>
      <c r="AM87" s="78"/>
    </row>
    <row r="88" spans="1:40" x14ac:dyDescent="0.25">
      <c r="A88" s="54" t="s">
        <v>89</v>
      </c>
      <c r="B88" s="77">
        <v>0</v>
      </c>
      <c r="C88" s="77">
        <v>0</v>
      </c>
      <c r="D88" s="77">
        <v>0</v>
      </c>
      <c r="E88" s="77">
        <v>0</v>
      </c>
      <c r="F88" s="77">
        <v>0</v>
      </c>
      <c r="G88" s="77">
        <v>0</v>
      </c>
      <c r="H88" s="77">
        <v>0</v>
      </c>
      <c r="I88" s="77">
        <v>0</v>
      </c>
      <c r="J88" s="77">
        <v>0</v>
      </c>
      <c r="K88" s="77">
        <v>0</v>
      </c>
      <c r="L88" s="77">
        <v>0</v>
      </c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>
        <v>0</v>
      </c>
      <c r="AC88" s="77">
        <v>0</v>
      </c>
      <c r="AD88" s="77">
        <v>0</v>
      </c>
      <c r="AE88" s="77">
        <v>0</v>
      </c>
      <c r="AF88" s="77">
        <v>0</v>
      </c>
      <c r="AG88" s="75"/>
      <c r="AH88" s="47">
        <f t="shared" si="33"/>
        <v>0</v>
      </c>
      <c r="AI88" s="48">
        <f t="shared" si="34"/>
        <v>0</v>
      </c>
      <c r="AK88" s="79"/>
      <c r="AL88" s="80"/>
      <c r="AM88" s="80"/>
      <c r="AN88" s="81"/>
    </row>
    <row r="89" spans="1:40" x14ac:dyDescent="0.25">
      <c r="A89" s="54" t="s">
        <v>90</v>
      </c>
      <c r="B89" s="77">
        <v>0</v>
      </c>
      <c r="C89" s="77">
        <v>0</v>
      </c>
      <c r="D89" s="77">
        <v>0</v>
      </c>
      <c r="E89" s="77">
        <v>0</v>
      </c>
      <c r="F89" s="77">
        <v>0</v>
      </c>
      <c r="G89" s="77">
        <v>0</v>
      </c>
      <c r="H89" s="77">
        <v>0</v>
      </c>
      <c r="I89" s="77">
        <v>0</v>
      </c>
      <c r="J89" s="77">
        <v>0</v>
      </c>
      <c r="K89" s="77">
        <v>0</v>
      </c>
      <c r="L89" s="77">
        <v>0</v>
      </c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>
        <v>0</v>
      </c>
      <c r="AC89" s="77">
        <v>0</v>
      </c>
      <c r="AD89" s="77">
        <v>0</v>
      </c>
      <c r="AE89" s="77">
        <v>0</v>
      </c>
      <c r="AF89" s="77">
        <v>0</v>
      </c>
      <c r="AG89" s="75"/>
      <c r="AH89" s="47">
        <f t="shared" si="33"/>
        <v>0</v>
      </c>
      <c r="AI89" s="48">
        <f t="shared" si="34"/>
        <v>0</v>
      </c>
      <c r="AK89" s="82" t="s">
        <v>91</v>
      </c>
      <c r="AL89" s="65"/>
      <c r="AM89" s="76"/>
      <c r="AN89" s="83"/>
    </row>
    <row r="90" spans="1:40" x14ac:dyDescent="0.25">
      <c r="A90" s="84" t="s">
        <v>92</v>
      </c>
      <c r="B90" s="77">
        <v>0</v>
      </c>
      <c r="C90" s="77">
        <v>0</v>
      </c>
      <c r="D90" s="77">
        <v>0</v>
      </c>
      <c r="E90" s="77">
        <v>0</v>
      </c>
      <c r="F90" s="77">
        <v>0</v>
      </c>
      <c r="G90" s="77">
        <v>0</v>
      </c>
      <c r="H90" s="77">
        <v>0</v>
      </c>
      <c r="I90" s="77">
        <v>0</v>
      </c>
      <c r="J90" s="77">
        <v>0</v>
      </c>
      <c r="K90" s="77">
        <v>0</v>
      </c>
      <c r="L90" s="77">
        <v>0</v>
      </c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>
        <v>0</v>
      </c>
      <c r="AC90" s="77">
        <v>0</v>
      </c>
      <c r="AD90" s="77">
        <v>0</v>
      </c>
      <c r="AE90" s="77">
        <v>0</v>
      </c>
      <c r="AF90" s="77">
        <v>0</v>
      </c>
      <c r="AG90" s="85"/>
      <c r="AH90" s="47">
        <f t="shared" si="33"/>
        <v>0</v>
      </c>
      <c r="AI90" s="48">
        <f t="shared" si="34"/>
        <v>0</v>
      </c>
      <c r="AK90" s="82" t="s">
        <v>93</v>
      </c>
      <c r="AL90" s="76"/>
      <c r="AM90" s="76"/>
      <c r="AN90" s="83"/>
    </row>
    <row r="91" spans="1:40" ht="15.75" thickBot="1" x14ac:dyDescent="0.3">
      <c r="A91" s="84" t="s">
        <v>421</v>
      </c>
      <c r="B91" s="77">
        <v>0</v>
      </c>
      <c r="C91" s="77">
        <v>0</v>
      </c>
      <c r="D91" s="77">
        <v>0</v>
      </c>
      <c r="E91" s="77">
        <v>0</v>
      </c>
      <c r="F91" s="77">
        <v>0</v>
      </c>
      <c r="G91" s="77">
        <v>0</v>
      </c>
      <c r="H91" s="77">
        <v>0</v>
      </c>
      <c r="I91" s="77">
        <v>0</v>
      </c>
      <c r="J91" s="77">
        <v>71</v>
      </c>
      <c r="K91" s="77">
        <v>71</v>
      </c>
      <c r="L91" s="77">
        <v>73</v>
      </c>
      <c r="M91" s="77">
        <v>73.5</v>
      </c>
      <c r="N91" s="77">
        <v>73</v>
      </c>
      <c r="O91" s="77">
        <v>74</v>
      </c>
      <c r="P91" s="77">
        <v>78</v>
      </c>
      <c r="Q91" s="77">
        <v>73.5</v>
      </c>
      <c r="R91" s="77"/>
      <c r="S91" s="77">
        <v>75.5</v>
      </c>
      <c r="T91" s="77">
        <v>75.2</v>
      </c>
      <c r="U91" s="77">
        <v>73.8</v>
      </c>
      <c r="V91" s="77">
        <v>68.900000000000006</v>
      </c>
      <c r="W91" s="77">
        <v>67.099999999999994</v>
      </c>
      <c r="X91" s="77">
        <v>71.3</v>
      </c>
      <c r="Y91" s="77">
        <v>73</v>
      </c>
      <c r="Z91" s="77">
        <v>74.2</v>
      </c>
      <c r="AA91" s="77">
        <v>72.099999999999994</v>
      </c>
      <c r="AB91" s="77">
        <v>76.5</v>
      </c>
      <c r="AC91" s="77">
        <v>74.8</v>
      </c>
      <c r="AD91" s="77">
        <v>74.599999999999994</v>
      </c>
      <c r="AE91" s="77">
        <v>62.7</v>
      </c>
      <c r="AF91" s="77">
        <v>72</v>
      </c>
      <c r="AG91" s="85"/>
      <c r="AH91" s="47">
        <f t="shared" si="33"/>
        <v>78</v>
      </c>
      <c r="AI91" s="48">
        <f t="shared" si="34"/>
        <v>0</v>
      </c>
      <c r="AK91" s="86"/>
      <c r="AL91" s="45"/>
      <c r="AM91" s="45"/>
      <c r="AN91" s="87"/>
    </row>
    <row r="92" spans="1:40" ht="15.75" thickBot="1" x14ac:dyDescent="0.3">
      <c r="A92" s="74" t="s">
        <v>95</v>
      </c>
      <c r="B92" s="60">
        <f t="shared" ref="B92:C92" si="35">SUMIF(B81:B91,"&gt;0")</f>
        <v>472</v>
      </c>
      <c r="C92" s="60">
        <f t="shared" si="35"/>
        <v>488</v>
      </c>
      <c r="D92" s="60">
        <f t="shared" ref="D92" si="36">SUMIF(D81:D91,"&gt;0")</f>
        <v>489</v>
      </c>
      <c r="E92" s="60">
        <f t="shared" ref="E92:AF92" si="37">SUMIF(E81:E91,"&gt;0")</f>
        <v>474.2</v>
      </c>
      <c r="F92" s="60">
        <f t="shared" si="37"/>
        <v>473.3</v>
      </c>
      <c r="G92" s="60">
        <f t="shared" si="37"/>
        <v>515</v>
      </c>
      <c r="H92" s="60">
        <f t="shared" si="37"/>
        <v>507</v>
      </c>
      <c r="I92" s="60">
        <f t="shared" si="37"/>
        <v>547.79999999999995</v>
      </c>
      <c r="J92" s="60">
        <f t="shared" si="37"/>
        <v>576</v>
      </c>
      <c r="K92" s="60">
        <f t="shared" si="37"/>
        <v>488.1</v>
      </c>
      <c r="L92" s="60">
        <f t="shared" si="37"/>
        <v>393.2</v>
      </c>
      <c r="M92" s="60">
        <f t="shared" si="37"/>
        <v>303.60000000000002</v>
      </c>
      <c r="N92" s="60">
        <f t="shared" si="37"/>
        <v>378.8</v>
      </c>
      <c r="O92" s="60">
        <f t="shared" si="37"/>
        <v>542</v>
      </c>
      <c r="P92" s="60">
        <f t="shared" si="37"/>
        <v>548.20000000000005</v>
      </c>
      <c r="Q92" s="60">
        <f t="shared" si="37"/>
        <v>551</v>
      </c>
      <c r="R92" s="60">
        <f t="shared" si="37"/>
        <v>0</v>
      </c>
      <c r="S92" s="60">
        <f t="shared" ref="S92:T92" si="38">SUMIF(S81:S91,"&gt;0")</f>
        <v>613</v>
      </c>
      <c r="T92" s="60">
        <f t="shared" si="38"/>
        <v>614.30000000000007</v>
      </c>
      <c r="U92" s="60">
        <f t="shared" ref="U92:V92" si="39">SUMIF(U81:U91,"&gt;0")</f>
        <v>590.79999999999995</v>
      </c>
      <c r="V92" s="60">
        <f t="shared" si="39"/>
        <v>504.1</v>
      </c>
      <c r="W92" s="60">
        <f t="shared" ref="W92:Y92" si="40">SUMIF(W81:W91,"&gt;0")</f>
        <v>457.9</v>
      </c>
      <c r="X92" s="60">
        <f t="shared" si="40"/>
        <v>438</v>
      </c>
      <c r="Y92" s="60">
        <f t="shared" si="40"/>
        <v>472</v>
      </c>
      <c r="Z92" s="60">
        <f t="shared" ref="Z92" si="41">SUMIF(Z81:Z91,"&gt;0")</f>
        <v>307.7</v>
      </c>
      <c r="AA92" s="60">
        <f t="shared" si="37"/>
        <v>322.10000000000002</v>
      </c>
      <c r="AB92" s="60">
        <f t="shared" si="37"/>
        <v>381.2</v>
      </c>
      <c r="AC92" s="60">
        <f t="shared" si="37"/>
        <v>423.40000000000003</v>
      </c>
      <c r="AD92" s="60">
        <f t="shared" si="37"/>
        <v>428.29999999999995</v>
      </c>
      <c r="AE92" s="60">
        <f t="shared" si="37"/>
        <v>584.5</v>
      </c>
      <c r="AF92" s="60">
        <f t="shared" si="37"/>
        <v>547.70000000000005</v>
      </c>
      <c r="AG92" s="88">
        <f>SUM(AG81:AG91)</f>
        <v>0</v>
      </c>
      <c r="AH92" s="47">
        <f t="shared" si="33"/>
        <v>614.30000000000007</v>
      </c>
      <c r="AI92" s="48">
        <f t="shared" si="34"/>
        <v>0</v>
      </c>
      <c r="AK92" s="86"/>
      <c r="AL92" s="77"/>
      <c r="AM92" s="89"/>
      <c r="AN92" s="255"/>
    </row>
    <row r="93" spans="1:40" x14ac:dyDescent="0.25">
      <c r="A93" s="44" t="s">
        <v>96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33"/>
        <v>0</v>
      </c>
      <c r="AI93" s="48">
        <f t="shared" si="34"/>
        <v>0</v>
      </c>
      <c r="AK93" s="86"/>
      <c r="AL93" s="77"/>
      <c r="AM93" s="77"/>
      <c r="AN93" s="256"/>
    </row>
    <row r="94" spans="1:40" ht="15.75" thickBot="1" x14ac:dyDescent="0.3">
      <c r="A94" s="54" t="s">
        <v>97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33"/>
        <v>0</v>
      </c>
      <c r="AI94" s="48">
        <f t="shared" si="34"/>
        <v>0</v>
      </c>
      <c r="AK94" s="91"/>
      <c r="AL94" s="92"/>
      <c r="AM94" s="92"/>
      <c r="AN94" s="93"/>
    </row>
    <row r="95" spans="1:40" ht="15.75" thickBot="1" x14ac:dyDescent="0.3">
      <c r="A95" s="84" t="s">
        <v>98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33"/>
        <v>0</v>
      </c>
      <c r="AI95" s="48">
        <f t="shared" si="34"/>
        <v>0</v>
      </c>
    </row>
    <row r="96" spans="1:40" ht="15.75" thickBot="1" x14ac:dyDescent="0.3">
      <c r="A96" s="74" t="s">
        <v>99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33"/>
        <v>0</v>
      </c>
      <c r="AI96" s="48">
        <f t="shared" si="34"/>
        <v>0</v>
      </c>
    </row>
    <row r="97" spans="1:37" ht="15.75" thickBot="1" x14ac:dyDescent="0.3">
      <c r="A97" s="74" t="s">
        <v>100</v>
      </c>
      <c r="B97" s="95">
        <f t="shared" ref="B97:C97" si="42">B58+B62+B80+B76+B92+B96</f>
        <v>1143.8400000000001</v>
      </c>
      <c r="C97" s="95">
        <f t="shared" si="42"/>
        <v>1124.8400000000001</v>
      </c>
      <c r="D97" s="95">
        <f t="shared" ref="D97" si="43">D58+D62+D80+D76+D92+D96</f>
        <v>1125.8400000000001</v>
      </c>
      <c r="E97" s="95">
        <f t="shared" ref="E97:AG97" si="44">E58+E62+E80+E76+E92+E96</f>
        <v>1111.0400000000002</v>
      </c>
      <c r="F97" s="95">
        <f t="shared" si="44"/>
        <v>1110.1400000000001</v>
      </c>
      <c r="G97" s="95">
        <f t="shared" si="44"/>
        <v>1204.8400000000001</v>
      </c>
      <c r="H97" s="95">
        <f t="shared" si="44"/>
        <v>1261.94</v>
      </c>
      <c r="I97" s="95">
        <f t="shared" si="44"/>
        <v>1356.94</v>
      </c>
      <c r="J97" s="95">
        <f t="shared" si="44"/>
        <v>1476.8400000000001</v>
      </c>
      <c r="K97" s="95">
        <f t="shared" si="44"/>
        <v>1357.14</v>
      </c>
      <c r="L97" s="95">
        <f t="shared" si="44"/>
        <v>1448.5400000000002</v>
      </c>
      <c r="M97" s="95">
        <f t="shared" si="44"/>
        <v>1460.94</v>
      </c>
      <c r="N97" s="95">
        <f t="shared" si="44"/>
        <v>1324.8400000000001</v>
      </c>
      <c r="O97" s="95">
        <f t="shared" si="44"/>
        <v>1299.24</v>
      </c>
      <c r="P97" s="95">
        <f t="shared" si="44"/>
        <v>1322.04</v>
      </c>
      <c r="Q97" s="95">
        <f t="shared" si="44"/>
        <v>1504.94</v>
      </c>
      <c r="R97" s="95">
        <f t="shared" si="44"/>
        <v>930.84000000000015</v>
      </c>
      <c r="S97" s="95">
        <f t="shared" ref="S97:T97" si="45">S58+S62+S80+S76+S92+S96</f>
        <v>1533.5400000000002</v>
      </c>
      <c r="T97" s="95">
        <f t="shared" si="45"/>
        <v>1541.14</v>
      </c>
      <c r="U97" s="95">
        <f t="shared" ref="U97:V97" si="46">U58+U62+U80+U76+U92+U96</f>
        <v>1536.54</v>
      </c>
      <c r="V97" s="95">
        <f t="shared" si="46"/>
        <v>1449.8400000000001</v>
      </c>
      <c r="W97" s="95">
        <f t="shared" ref="W97:Y97" si="47">W58+W62+W80+W76+W92+W96</f>
        <v>1400.74</v>
      </c>
      <c r="X97" s="95">
        <f t="shared" si="47"/>
        <v>1610.44</v>
      </c>
      <c r="Y97" s="95">
        <f t="shared" si="47"/>
        <v>1746.7400000000002</v>
      </c>
      <c r="Z97" s="95">
        <f t="shared" ref="Z97" si="48">Z58+Z62+Z80+Z76+Z92+Z96</f>
        <v>1587.3400000000001</v>
      </c>
      <c r="AA97" s="95">
        <f t="shared" si="44"/>
        <v>1555.7400000000002</v>
      </c>
      <c r="AB97" s="95">
        <f t="shared" si="44"/>
        <v>1464.74</v>
      </c>
      <c r="AC97" s="95">
        <f t="shared" si="44"/>
        <v>1424.14</v>
      </c>
      <c r="AD97" s="95">
        <f t="shared" si="44"/>
        <v>1398.94</v>
      </c>
      <c r="AE97" s="95">
        <f t="shared" si="44"/>
        <v>1364.64</v>
      </c>
      <c r="AF97" s="95">
        <f t="shared" si="44"/>
        <v>1217.2400000000002</v>
      </c>
      <c r="AG97" s="61">
        <f t="shared" si="44"/>
        <v>2231.81</v>
      </c>
      <c r="AH97" s="47">
        <f t="shared" si="33"/>
        <v>1746.7400000000002</v>
      </c>
      <c r="AI97" s="48">
        <f t="shared" si="34"/>
        <v>930.84000000000015</v>
      </c>
    </row>
    <row r="98" spans="1:37" ht="15.75" thickBot="1" x14ac:dyDescent="0.3">
      <c r="A98" s="96" t="s">
        <v>101</v>
      </c>
      <c r="B98" s="97"/>
      <c r="C98" s="97"/>
      <c r="D98" s="97"/>
      <c r="E98" s="97"/>
      <c r="F98" s="97"/>
      <c r="G98" s="97"/>
      <c r="H98" s="97"/>
      <c r="I98" s="97"/>
      <c r="J98" s="97"/>
      <c r="K98" s="97">
        <v>200</v>
      </c>
      <c r="L98" s="97">
        <v>250</v>
      </c>
      <c r="M98" s="97">
        <v>250</v>
      </c>
      <c r="N98" s="97">
        <v>250</v>
      </c>
      <c r="O98" s="97">
        <v>250</v>
      </c>
      <c r="P98" s="97"/>
      <c r="Q98" s="97"/>
      <c r="R98" s="97"/>
      <c r="S98" s="97"/>
      <c r="T98" s="97"/>
      <c r="U98" s="97"/>
      <c r="V98" s="97"/>
      <c r="W98" s="97">
        <v>280</v>
      </c>
      <c r="X98" s="97">
        <v>280</v>
      </c>
      <c r="Y98" s="97">
        <v>280</v>
      </c>
      <c r="Z98" s="97">
        <v>280</v>
      </c>
      <c r="AA98" s="97">
        <v>280</v>
      </c>
      <c r="AB98" s="97">
        <v>280</v>
      </c>
      <c r="AC98" s="97">
        <v>260</v>
      </c>
      <c r="AD98" s="97">
        <v>200</v>
      </c>
      <c r="AE98" s="97"/>
      <c r="AF98" s="97"/>
      <c r="AG98" s="88"/>
      <c r="AH98" s="47">
        <f t="shared" si="33"/>
        <v>280</v>
      </c>
      <c r="AI98" s="48">
        <f t="shared" si="34"/>
        <v>200</v>
      </c>
    </row>
    <row r="99" spans="1:37" ht="15.75" thickBot="1" x14ac:dyDescent="0.3">
      <c r="A99" s="74" t="s">
        <v>102</v>
      </c>
      <c r="B99" s="95">
        <f t="shared" ref="B99:C99" si="49">B97+B98</f>
        <v>1143.8400000000001</v>
      </c>
      <c r="C99" s="95">
        <f t="shared" si="49"/>
        <v>1124.8400000000001</v>
      </c>
      <c r="D99" s="95">
        <f t="shared" ref="D99" si="50">D97+D98</f>
        <v>1125.8400000000001</v>
      </c>
      <c r="E99" s="95">
        <f t="shared" ref="E99:AF99" si="51">E97+E98</f>
        <v>1111.0400000000002</v>
      </c>
      <c r="F99" s="95">
        <f t="shared" si="51"/>
        <v>1110.1400000000001</v>
      </c>
      <c r="G99" s="95">
        <f t="shared" si="51"/>
        <v>1204.8400000000001</v>
      </c>
      <c r="H99" s="95">
        <f t="shared" si="51"/>
        <v>1261.94</v>
      </c>
      <c r="I99" s="95">
        <f t="shared" si="51"/>
        <v>1356.94</v>
      </c>
      <c r="J99" s="95">
        <f t="shared" si="51"/>
        <v>1476.8400000000001</v>
      </c>
      <c r="K99" s="95">
        <f t="shared" si="51"/>
        <v>1557.14</v>
      </c>
      <c r="L99" s="95">
        <f t="shared" si="51"/>
        <v>1698.5400000000002</v>
      </c>
      <c r="M99" s="95">
        <f t="shared" si="51"/>
        <v>1710.94</v>
      </c>
      <c r="N99" s="95">
        <f t="shared" si="51"/>
        <v>1574.8400000000001</v>
      </c>
      <c r="O99" s="95">
        <f t="shared" si="51"/>
        <v>1549.24</v>
      </c>
      <c r="P99" s="95">
        <f t="shared" si="51"/>
        <v>1322.04</v>
      </c>
      <c r="Q99" s="95">
        <f t="shared" si="51"/>
        <v>1504.94</v>
      </c>
      <c r="R99" s="95">
        <f t="shared" si="51"/>
        <v>930.84000000000015</v>
      </c>
      <c r="S99" s="95">
        <f t="shared" ref="S99:T99" si="52">S97+S98</f>
        <v>1533.5400000000002</v>
      </c>
      <c r="T99" s="95">
        <f t="shared" si="52"/>
        <v>1541.14</v>
      </c>
      <c r="U99" s="95">
        <f t="shared" ref="U99:V99" si="53">U97+U98</f>
        <v>1536.54</v>
      </c>
      <c r="V99" s="95">
        <f t="shared" si="53"/>
        <v>1449.8400000000001</v>
      </c>
      <c r="W99" s="95">
        <f t="shared" ref="W99:Y99" si="54">W97+W98</f>
        <v>1680.74</v>
      </c>
      <c r="X99" s="95">
        <f t="shared" si="54"/>
        <v>1890.44</v>
      </c>
      <c r="Y99" s="95">
        <f t="shared" si="54"/>
        <v>2026.7400000000002</v>
      </c>
      <c r="Z99" s="95">
        <f t="shared" ref="Z99" si="55">Z97+Z98</f>
        <v>1867.3400000000001</v>
      </c>
      <c r="AA99" s="95">
        <f t="shared" si="51"/>
        <v>1835.7400000000002</v>
      </c>
      <c r="AB99" s="95">
        <f t="shared" si="51"/>
        <v>1744.74</v>
      </c>
      <c r="AC99" s="95">
        <f t="shared" si="51"/>
        <v>1684.14</v>
      </c>
      <c r="AD99" s="95">
        <f t="shared" si="51"/>
        <v>1598.94</v>
      </c>
      <c r="AE99" s="95">
        <f t="shared" si="51"/>
        <v>1364.64</v>
      </c>
      <c r="AF99" s="95">
        <f t="shared" si="51"/>
        <v>1217.2400000000002</v>
      </c>
      <c r="AG99" s="88">
        <f>AG96+AG92+AG80+AG76+AG58+AG98</f>
        <v>1693.71</v>
      </c>
      <c r="AH99" s="47">
        <f t="shared" si="33"/>
        <v>2026.7400000000002</v>
      </c>
      <c r="AI99" s="48">
        <f t="shared" si="34"/>
        <v>930.84000000000015</v>
      </c>
    </row>
    <row r="100" spans="1:37" ht="15.75" thickBot="1" x14ac:dyDescent="0.3">
      <c r="A100" s="74" t="s">
        <v>103</v>
      </c>
      <c r="B100" s="95">
        <f t="shared" ref="B100:C100" si="56">B99-(B107)</f>
        <v>1139.8400000000001</v>
      </c>
      <c r="C100" s="95">
        <f t="shared" si="56"/>
        <v>1119.8400000000001</v>
      </c>
      <c r="D100" s="95">
        <f t="shared" ref="D100" si="57">D99-(D107)</f>
        <v>1119.8400000000001</v>
      </c>
      <c r="E100" s="95">
        <f t="shared" ref="E100:M100" si="58">E99-(E107)</f>
        <v>1111.0400000000002</v>
      </c>
      <c r="F100" s="95">
        <f t="shared" si="58"/>
        <v>1110.1400000000001</v>
      </c>
      <c r="G100" s="95">
        <f t="shared" si="58"/>
        <v>1204.8400000000001</v>
      </c>
      <c r="H100" s="95">
        <f t="shared" si="58"/>
        <v>1261.94</v>
      </c>
      <c r="I100" s="95">
        <f t="shared" si="58"/>
        <v>1356.94</v>
      </c>
      <c r="J100" s="95">
        <f t="shared" si="58"/>
        <v>1476.8400000000001</v>
      </c>
      <c r="K100" s="95">
        <f t="shared" si="58"/>
        <v>1557.14</v>
      </c>
      <c r="L100" s="95">
        <f t="shared" si="58"/>
        <v>1698.5400000000002</v>
      </c>
      <c r="M100" s="95">
        <f t="shared" si="58"/>
        <v>1710.94</v>
      </c>
      <c r="N100" s="95">
        <f>N99-(N107)</f>
        <v>1574.8400000000001</v>
      </c>
      <c r="O100" s="95">
        <f t="shared" ref="O100:AF100" si="59">O99-(O107)</f>
        <v>1549.24</v>
      </c>
      <c r="P100" s="95">
        <f t="shared" si="59"/>
        <v>1322.04</v>
      </c>
      <c r="Q100" s="95">
        <f t="shared" si="59"/>
        <v>1504.94</v>
      </c>
      <c r="R100" s="95">
        <f t="shared" si="59"/>
        <v>930.84000000000015</v>
      </c>
      <c r="S100" s="95">
        <f t="shared" ref="S100:T100" si="60">S99-(S107)</f>
        <v>1533.5400000000002</v>
      </c>
      <c r="T100" s="95">
        <f t="shared" si="60"/>
        <v>1541.14</v>
      </c>
      <c r="U100" s="95">
        <f t="shared" ref="U100:V100" si="61">U99-(U107)</f>
        <v>1536.54</v>
      </c>
      <c r="V100" s="95">
        <f t="shared" si="61"/>
        <v>1449.8400000000001</v>
      </c>
      <c r="W100" s="95">
        <f t="shared" ref="W100:Y100" si="62">W99-(W107)</f>
        <v>1680.74</v>
      </c>
      <c r="X100" s="95">
        <f t="shared" si="62"/>
        <v>1890.44</v>
      </c>
      <c r="Y100" s="95">
        <f t="shared" si="62"/>
        <v>2026.7400000000002</v>
      </c>
      <c r="Z100" s="95">
        <f t="shared" ref="Z100" si="63">Z99-(Z107)</f>
        <v>1867.3400000000001</v>
      </c>
      <c r="AA100" s="95">
        <f t="shared" si="59"/>
        <v>1835.7400000000002</v>
      </c>
      <c r="AB100" s="95">
        <f t="shared" si="59"/>
        <v>1744.74</v>
      </c>
      <c r="AC100" s="95">
        <f t="shared" si="59"/>
        <v>1684.14</v>
      </c>
      <c r="AD100" s="95">
        <f t="shared" si="59"/>
        <v>1598.94</v>
      </c>
      <c r="AE100" s="95">
        <f t="shared" si="59"/>
        <v>1364.64</v>
      </c>
      <c r="AF100" s="95">
        <f t="shared" si="59"/>
        <v>1217.2400000000002</v>
      </c>
      <c r="AG100" s="88"/>
      <c r="AH100" s="47">
        <f t="shared" si="33"/>
        <v>2026.7400000000002</v>
      </c>
      <c r="AI100" s="48">
        <f t="shared" si="34"/>
        <v>930.84000000000015</v>
      </c>
    </row>
    <row r="101" spans="1:37" x14ac:dyDescent="0.25">
      <c r="A101" s="44" t="s">
        <v>84</v>
      </c>
      <c r="B101" s="76">
        <f t="shared" ref="B101:C101" si="64">IF(B84&lt;0,B84*-1,0)</f>
        <v>0</v>
      </c>
      <c r="C101" s="76">
        <f t="shared" si="64"/>
        <v>0</v>
      </c>
      <c r="D101" s="76">
        <f t="shared" ref="D101" si="65">IF(D84&lt;0,D84*-1,0)</f>
        <v>0</v>
      </c>
      <c r="E101" s="76">
        <f t="shared" ref="E101:AF101" si="66">IF(E84&lt;0,E84*-1,0)</f>
        <v>0</v>
      </c>
      <c r="F101" s="76">
        <f t="shared" si="66"/>
        <v>0</v>
      </c>
      <c r="G101" s="76">
        <f t="shared" si="66"/>
        <v>0</v>
      </c>
      <c r="H101" s="76">
        <f t="shared" si="66"/>
        <v>0</v>
      </c>
      <c r="I101" s="76">
        <f t="shared" si="66"/>
        <v>0</v>
      </c>
      <c r="J101" s="76">
        <f t="shared" si="66"/>
        <v>0</v>
      </c>
      <c r="K101" s="76">
        <f t="shared" si="66"/>
        <v>0</v>
      </c>
      <c r="L101" s="76">
        <f t="shared" si="66"/>
        <v>0</v>
      </c>
      <c r="M101" s="76">
        <f t="shared" si="66"/>
        <v>0</v>
      </c>
      <c r="N101" s="76">
        <f t="shared" si="66"/>
        <v>0</v>
      </c>
      <c r="O101" s="76">
        <f t="shared" si="66"/>
        <v>0</v>
      </c>
      <c r="P101" s="76">
        <f t="shared" si="66"/>
        <v>0</v>
      </c>
      <c r="Q101" s="76">
        <f t="shared" si="66"/>
        <v>0</v>
      </c>
      <c r="R101" s="76">
        <f t="shared" si="66"/>
        <v>0</v>
      </c>
      <c r="S101" s="76">
        <f t="shared" ref="S101:T101" si="67">IF(S84&lt;0,S84*-1,0)</f>
        <v>0</v>
      </c>
      <c r="T101" s="76">
        <f t="shared" si="67"/>
        <v>0</v>
      </c>
      <c r="U101" s="76">
        <f t="shared" ref="U101:V101" si="68">IF(U84&lt;0,U84*-1,0)</f>
        <v>0</v>
      </c>
      <c r="V101" s="76">
        <f t="shared" si="68"/>
        <v>0</v>
      </c>
      <c r="W101" s="76">
        <f t="shared" ref="W101:Y101" si="69">IF(W84&lt;0,W84*-1,0)</f>
        <v>0</v>
      </c>
      <c r="X101" s="76">
        <f t="shared" si="69"/>
        <v>0</v>
      </c>
      <c r="Y101" s="76">
        <f t="shared" si="69"/>
        <v>0</v>
      </c>
      <c r="Z101" s="76">
        <f t="shared" ref="Z101" si="70">IF(Z84&lt;0,Z84*-1,0)</f>
        <v>0</v>
      </c>
      <c r="AA101" s="76">
        <f t="shared" si="66"/>
        <v>0</v>
      </c>
      <c r="AB101" s="76">
        <f t="shared" si="66"/>
        <v>0</v>
      </c>
      <c r="AC101" s="76">
        <f t="shared" si="66"/>
        <v>0</v>
      </c>
      <c r="AD101" s="76">
        <f t="shared" si="66"/>
        <v>0</v>
      </c>
      <c r="AE101" s="76">
        <f t="shared" si="66"/>
        <v>0</v>
      </c>
      <c r="AF101" s="76">
        <f t="shared" si="66"/>
        <v>0</v>
      </c>
      <c r="AG101" s="52"/>
      <c r="AH101" s="47">
        <f t="shared" si="33"/>
        <v>0</v>
      </c>
      <c r="AI101" s="48">
        <f t="shared" si="34"/>
        <v>0</v>
      </c>
    </row>
    <row r="102" spans="1:37" x14ac:dyDescent="0.25">
      <c r="A102" s="54" t="s">
        <v>82</v>
      </c>
      <c r="B102" s="76">
        <f t="shared" ref="B102:C102" si="71">IF(B82&lt;0,B82*-1,0)</f>
        <v>0</v>
      </c>
      <c r="C102" s="76">
        <f t="shared" si="71"/>
        <v>0</v>
      </c>
      <c r="D102" s="76">
        <f t="shared" ref="D102" si="72">IF(D82&lt;0,D82*-1,0)</f>
        <v>0</v>
      </c>
      <c r="E102" s="76">
        <f t="shared" ref="E102:AF102" si="73">IF(E82&lt;0,E82*-1,0)</f>
        <v>0</v>
      </c>
      <c r="F102" s="76">
        <f t="shared" si="73"/>
        <v>0</v>
      </c>
      <c r="G102" s="76">
        <f t="shared" si="73"/>
        <v>0</v>
      </c>
      <c r="H102" s="76">
        <f t="shared" si="73"/>
        <v>0</v>
      </c>
      <c r="I102" s="76">
        <f t="shared" si="73"/>
        <v>0</v>
      </c>
      <c r="J102" s="76">
        <f t="shared" si="73"/>
        <v>0</v>
      </c>
      <c r="K102" s="76">
        <f t="shared" si="73"/>
        <v>0</v>
      </c>
      <c r="L102" s="76">
        <f t="shared" si="73"/>
        <v>0</v>
      </c>
      <c r="M102" s="76">
        <f t="shared" si="73"/>
        <v>0</v>
      </c>
      <c r="N102" s="76">
        <f t="shared" si="73"/>
        <v>0</v>
      </c>
      <c r="O102" s="76">
        <f t="shared" si="73"/>
        <v>0</v>
      </c>
      <c r="P102" s="76">
        <f t="shared" si="73"/>
        <v>0</v>
      </c>
      <c r="Q102" s="76">
        <f t="shared" si="73"/>
        <v>0</v>
      </c>
      <c r="R102" s="76">
        <f t="shared" si="73"/>
        <v>0</v>
      </c>
      <c r="S102" s="76">
        <f t="shared" ref="S102:T102" si="74">IF(S82&lt;0,S82*-1,0)</f>
        <v>0</v>
      </c>
      <c r="T102" s="76">
        <f t="shared" si="74"/>
        <v>0</v>
      </c>
      <c r="U102" s="76">
        <f t="shared" ref="U102:V102" si="75">IF(U82&lt;0,U82*-1,0)</f>
        <v>0</v>
      </c>
      <c r="V102" s="76">
        <f t="shared" si="75"/>
        <v>0</v>
      </c>
      <c r="W102" s="76">
        <f t="shared" ref="W102:Y102" si="76">IF(W82&lt;0,W82*-1,0)</f>
        <v>0</v>
      </c>
      <c r="X102" s="76">
        <f t="shared" si="76"/>
        <v>0</v>
      </c>
      <c r="Y102" s="76">
        <f t="shared" si="76"/>
        <v>0</v>
      </c>
      <c r="Z102" s="76">
        <f t="shared" ref="Z102" si="77">IF(Z82&lt;0,Z82*-1,0)</f>
        <v>0</v>
      </c>
      <c r="AA102" s="76">
        <f t="shared" si="73"/>
        <v>0</v>
      </c>
      <c r="AB102" s="76">
        <f t="shared" si="73"/>
        <v>0</v>
      </c>
      <c r="AC102" s="76">
        <f t="shared" si="73"/>
        <v>0</v>
      </c>
      <c r="AD102" s="76">
        <f t="shared" si="73"/>
        <v>0</v>
      </c>
      <c r="AE102" s="76">
        <f t="shared" si="73"/>
        <v>0</v>
      </c>
      <c r="AF102" s="76">
        <f t="shared" si="73"/>
        <v>0</v>
      </c>
      <c r="AG102" s="55"/>
      <c r="AH102" s="47">
        <f t="shared" si="33"/>
        <v>0</v>
      </c>
      <c r="AI102" s="48">
        <f t="shared" si="34"/>
        <v>0</v>
      </c>
    </row>
    <row r="103" spans="1:37" x14ac:dyDescent="0.25">
      <c r="A103" s="84" t="s">
        <v>104</v>
      </c>
      <c r="B103" s="76">
        <f t="shared" ref="B103:C103" si="78">IF(B85&lt;0,B85*-1,0)</f>
        <v>0</v>
      </c>
      <c r="C103" s="76">
        <f t="shared" si="78"/>
        <v>0</v>
      </c>
      <c r="D103" s="76">
        <f t="shared" ref="D103" si="79">IF(D85&lt;0,D85*-1,0)</f>
        <v>0</v>
      </c>
      <c r="E103" s="76">
        <f t="shared" ref="E103:AF103" si="80">IF(E85&lt;0,E85*-1,0)</f>
        <v>0</v>
      </c>
      <c r="F103" s="76">
        <f t="shared" si="80"/>
        <v>0</v>
      </c>
      <c r="G103" s="76">
        <f t="shared" si="80"/>
        <v>0</v>
      </c>
      <c r="H103" s="76">
        <f t="shared" si="80"/>
        <v>0</v>
      </c>
      <c r="I103" s="76">
        <f t="shared" si="80"/>
        <v>0</v>
      </c>
      <c r="J103" s="76">
        <f t="shared" si="80"/>
        <v>0</v>
      </c>
      <c r="K103" s="76">
        <f t="shared" si="80"/>
        <v>0</v>
      </c>
      <c r="L103" s="76">
        <f t="shared" si="80"/>
        <v>0</v>
      </c>
      <c r="M103" s="76">
        <f t="shared" si="80"/>
        <v>0</v>
      </c>
      <c r="N103" s="76">
        <f t="shared" si="80"/>
        <v>0</v>
      </c>
      <c r="O103" s="76">
        <f t="shared" si="80"/>
        <v>0</v>
      </c>
      <c r="P103" s="76">
        <f t="shared" si="80"/>
        <v>0</v>
      </c>
      <c r="Q103" s="76">
        <f t="shared" si="80"/>
        <v>0</v>
      </c>
      <c r="R103" s="76">
        <f t="shared" si="80"/>
        <v>0</v>
      </c>
      <c r="S103" s="76">
        <f t="shared" ref="S103:T103" si="81">IF(S85&lt;0,S85*-1,0)</f>
        <v>0</v>
      </c>
      <c r="T103" s="76">
        <f t="shared" si="81"/>
        <v>0</v>
      </c>
      <c r="U103" s="76">
        <f t="shared" ref="U103:V103" si="82">IF(U85&lt;0,U85*-1,0)</f>
        <v>0</v>
      </c>
      <c r="V103" s="76">
        <f t="shared" si="82"/>
        <v>0</v>
      </c>
      <c r="W103" s="76">
        <f t="shared" ref="W103:Y103" si="83">IF(W85&lt;0,W85*-1,0)</f>
        <v>0</v>
      </c>
      <c r="X103" s="76">
        <f t="shared" si="83"/>
        <v>0</v>
      </c>
      <c r="Y103" s="76">
        <f t="shared" si="83"/>
        <v>0</v>
      </c>
      <c r="Z103" s="76">
        <f t="shared" ref="Z103" si="84">IF(Z85&lt;0,Z85*-1,0)</f>
        <v>0</v>
      </c>
      <c r="AA103" s="76">
        <f t="shared" si="80"/>
        <v>0</v>
      </c>
      <c r="AB103" s="76">
        <f t="shared" si="80"/>
        <v>0</v>
      </c>
      <c r="AC103" s="76">
        <f t="shared" si="80"/>
        <v>0</v>
      </c>
      <c r="AD103" s="76">
        <f t="shared" si="80"/>
        <v>0</v>
      </c>
      <c r="AE103" s="76">
        <f t="shared" si="80"/>
        <v>0</v>
      </c>
      <c r="AF103" s="76">
        <f t="shared" si="80"/>
        <v>0</v>
      </c>
      <c r="AG103" s="98"/>
      <c r="AH103" s="47">
        <f t="shared" si="33"/>
        <v>0</v>
      </c>
      <c r="AI103" s="48">
        <f t="shared" si="34"/>
        <v>0</v>
      </c>
    </row>
    <row r="104" spans="1:37" x14ac:dyDescent="0.25">
      <c r="A104" s="84" t="s">
        <v>105</v>
      </c>
      <c r="B104" s="76">
        <f t="shared" ref="B104:C104" si="85">IF(B83&lt;0,B83*-1,0)</f>
        <v>0</v>
      </c>
      <c r="C104" s="76">
        <f t="shared" si="85"/>
        <v>0</v>
      </c>
      <c r="D104" s="76">
        <f t="shared" ref="D104" si="86">IF(D83&lt;0,D83*-1,0)</f>
        <v>0</v>
      </c>
      <c r="E104" s="76">
        <f t="shared" ref="E104:AF104" si="87">IF(E83&lt;0,E83*-1,0)</f>
        <v>0</v>
      </c>
      <c r="F104" s="76">
        <f t="shared" si="87"/>
        <v>0</v>
      </c>
      <c r="G104" s="76">
        <f t="shared" si="87"/>
        <v>0</v>
      </c>
      <c r="H104" s="76">
        <f t="shared" si="87"/>
        <v>0</v>
      </c>
      <c r="I104" s="76">
        <f t="shared" si="87"/>
        <v>0</v>
      </c>
      <c r="J104" s="76">
        <f t="shared" si="87"/>
        <v>0</v>
      </c>
      <c r="K104" s="76">
        <f t="shared" si="87"/>
        <v>0</v>
      </c>
      <c r="L104" s="76">
        <f t="shared" si="87"/>
        <v>0</v>
      </c>
      <c r="M104" s="76">
        <f t="shared" si="87"/>
        <v>0</v>
      </c>
      <c r="N104" s="76">
        <f t="shared" si="87"/>
        <v>0</v>
      </c>
      <c r="O104" s="76">
        <f t="shared" si="87"/>
        <v>0</v>
      </c>
      <c r="P104" s="76">
        <f t="shared" si="87"/>
        <v>0</v>
      </c>
      <c r="Q104" s="76">
        <f t="shared" si="87"/>
        <v>0</v>
      </c>
      <c r="R104" s="76">
        <f t="shared" si="87"/>
        <v>0</v>
      </c>
      <c r="S104" s="76">
        <f t="shared" ref="S104:T104" si="88">IF(S83&lt;0,S83*-1,0)</f>
        <v>0</v>
      </c>
      <c r="T104" s="76">
        <f t="shared" si="88"/>
        <v>0</v>
      </c>
      <c r="U104" s="76">
        <f t="shared" ref="U104:V104" si="89">IF(U83&lt;0,U83*-1,0)</f>
        <v>0</v>
      </c>
      <c r="V104" s="76">
        <f t="shared" si="89"/>
        <v>0</v>
      </c>
      <c r="W104" s="76">
        <f t="shared" ref="W104:Y104" si="90">IF(W83&lt;0,W83*-1,0)</f>
        <v>0</v>
      </c>
      <c r="X104" s="76">
        <f t="shared" si="90"/>
        <v>0</v>
      </c>
      <c r="Y104" s="76">
        <f t="shared" si="90"/>
        <v>0</v>
      </c>
      <c r="Z104" s="76">
        <f t="shared" ref="Z104" si="91">IF(Z83&lt;0,Z83*-1,0)</f>
        <v>0</v>
      </c>
      <c r="AA104" s="76">
        <f t="shared" si="87"/>
        <v>0</v>
      </c>
      <c r="AB104" s="76">
        <f t="shared" si="87"/>
        <v>0</v>
      </c>
      <c r="AC104" s="76">
        <f t="shared" si="87"/>
        <v>0</v>
      </c>
      <c r="AD104" s="76">
        <f t="shared" si="87"/>
        <v>0</v>
      </c>
      <c r="AE104" s="76">
        <f t="shared" si="87"/>
        <v>0</v>
      </c>
      <c r="AF104" s="76">
        <f t="shared" si="87"/>
        <v>0</v>
      </c>
      <c r="AG104" s="98"/>
      <c r="AH104" s="47">
        <f t="shared" si="33"/>
        <v>0</v>
      </c>
      <c r="AI104" s="48">
        <f t="shared" si="34"/>
        <v>0</v>
      </c>
    </row>
    <row r="105" spans="1:37" x14ac:dyDescent="0.25">
      <c r="A105" s="84" t="s">
        <v>81</v>
      </c>
      <c r="B105" s="76">
        <f t="shared" ref="B105:C105" si="92">IF(B81&lt;0,B81*-1,0)</f>
        <v>0</v>
      </c>
      <c r="C105" s="76">
        <f t="shared" si="92"/>
        <v>0</v>
      </c>
      <c r="D105" s="76">
        <f t="shared" ref="D105" si="93">IF(D81&lt;0,D81*-1,0)</f>
        <v>0</v>
      </c>
      <c r="E105" s="76">
        <f t="shared" ref="E105:AF105" si="94">IF(E81&lt;0,E81*-1,0)</f>
        <v>0</v>
      </c>
      <c r="F105" s="76">
        <f t="shared" si="94"/>
        <v>0</v>
      </c>
      <c r="G105" s="76">
        <f t="shared" si="94"/>
        <v>0</v>
      </c>
      <c r="H105" s="76">
        <f t="shared" si="94"/>
        <v>0</v>
      </c>
      <c r="I105" s="76">
        <f t="shared" si="94"/>
        <v>0</v>
      </c>
      <c r="J105" s="76">
        <f t="shared" si="94"/>
        <v>0</v>
      </c>
      <c r="K105" s="76">
        <f t="shared" si="94"/>
        <v>0</v>
      </c>
      <c r="L105" s="76">
        <f t="shared" si="94"/>
        <v>0</v>
      </c>
      <c r="M105" s="76">
        <f t="shared" si="94"/>
        <v>0</v>
      </c>
      <c r="N105" s="76">
        <f t="shared" si="94"/>
        <v>0</v>
      </c>
      <c r="O105" s="76">
        <f t="shared" si="94"/>
        <v>0</v>
      </c>
      <c r="P105" s="76">
        <f t="shared" si="94"/>
        <v>0</v>
      </c>
      <c r="Q105" s="76">
        <f t="shared" si="94"/>
        <v>0</v>
      </c>
      <c r="R105" s="76">
        <f t="shared" si="94"/>
        <v>0</v>
      </c>
      <c r="S105" s="76">
        <f t="shared" ref="S105:T105" si="95">IF(S81&lt;0,S81*-1,0)</f>
        <v>0</v>
      </c>
      <c r="T105" s="76">
        <f t="shared" si="95"/>
        <v>0</v>
      </c>
      <c r="U105" s="76">
        <f t="shared" ref="U105:V105" si="96">IF(U81&lt;0,U81*-1,0)</f>
        <v>0</v>
      </c>
      <c r="V105" s="76">
        <f t="shared" si="96"/>
        <v>0</v>
      </c>
      <c r="W105" s="76">
        <f t="shared" ref="W105:Y105" si="97">IF(W81&lt;0,W81*-1,0)</f>
        <v>0</v>
      </c>
      <c r="X105" s="76">
        <f t="shared" si="97"/>
        <v>0</v>
      </c>
      <c r="Y105" s="76">
        <f t="shared" si="97"/>
        <v>0</v>
      </c>
      <c r="Z105" s="76">
        <f t="shared" ref="Z105" si="98">IF(Z81&lt;0,Z81*-1,0)</f>
        <v>0</v>
      </c>
      <c r="AA105" s="76">
        <f t="shared" si="94"/>
        <v>0</v>
      </c>
      <c r="AB105" s="76">
        <f t="shared" si="94"/>
        <v>0</v>
      </c>
      <c r="AC105" s="76">
        <f t="shared" si="94"/>
        <v>0</v>
      </c>
      <c r="AD105" s="76">
        <f t="shared" si="94"/>
        <v>0</v>
      </c>
      <c r="AE105" s="76">
        <f t="shared" si="94"/>
        <v>0</v>
      </c>
      <c r="AF105" s="76">
        <f t="shared" si="94"/>
        <v>0</v>
      </c>
      <c r="AG105" s="98"/>
      <c r="AH105" s="47">
        <f t="shared" si="33"/>
        <v>0</v>
      </c>
      <c r="AI105" s="48">
        <f t="shared" si="34"/>
        <v>0</v>
      </c>
    </row>
    <row r="106" spans="1:37" ht="15.75" thickBot="1" x14ac:dyDescent="0.3">
      <c r="A106" s="84" t="s">
        <v>106</v>
      </c>
      <c r="B106" s="94">
        <v>4</v>
      </c>
      <c r="C106" s="94">
        <v>5</v>
      </c>
      <c r="D106" s="94">
        <v>6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0</v>
      </c>
      <c r="AB106" s="94">
        <v>0</v>
      </c>
      <c r="AC106" s="94">
        <v>0</v>
      </c>
      <c r="AD106" s="94">
        <v>0</v>
      </c>
      <c r="AE106" s="94">
        <v>0</v>
      </c>
      <c r="AF106" s="94">
        <v>0</v>
      </c>
      <c r="AG106" s="85"/>
      <c r="AH106" s="47">
        <f t="shared" si="33"/>
        <v>6</v>
      </c>
      <c r="AI106" s="48">
        <f t="shared" si="34"/>
        <v>0</v>
      </c>
    </row>
    <row r="107" spans="1:37" ht="15.75" thickBot="1" x14ac:dyDescent="0.3">
      <c r="A107" s="99" t="s">
        <v>107</v>
      </c>
      <c r="B107" s="60">
        <f t="shared" ref="B107:C107" si="99">SUM(B101:B106)</f>
        <v>4</v>
      </c>
      <c r="C107" s="60">
        <f t="shared" si="99"/>
        <v>5</v>
      </c>
      <c r="D107" s="60">
        <f t="shared" ref="D107" si="100">SUM(D101:D106)</f>
        <v>6</v>
      </c>
      <c r="E107" s="60">
        <f t="shared" ref="E107:AF107" si="101">SUM(E101:E106)</f>
        <v>0</v>
      </c>
      <c r="F107" s="60">
        <f t="shared" si="101"/>
        <v>0</v>
      </c>
      <c r="G107" s="60">
        <f t="shared" si="101"/>
        <v>0</v>
      </c>
      <c r="H107" s="60">
        <f t="shared" si="101"/>
        <v>0</v>
      </c>
      <c r="I107" s="60">
        <f t="shared" si="101"/>
        <v>0</v>
      </c>
      <c r="J107" s="60">
        <f t="shared" si="101"/>
        <v>0</v>
      </c>
      <c r="K107" s="60">
        <f t="shared" si="101"/>
        <v>0</v>
      </c>
      <c r="L107" s="60">
        <f t="shared" si="101"/>
        <v>0</v>
      </c>
      <c r="M107" s="60">
        <f t="shared" si="101"/>
        <v>0</v>
      </c>
      <c r="N107" s="60">
        <f t="shared" si="101"/>
        <v>0</v>
      </c>
      <c r="O107" s="60">
        <f t="shared" si="101"/>
        <v>0</v>
      </c>
      <c r="P107" s="60">
        <f t="shared" si="101"/>
        <v>0</v>
      </c>
      <c r="Q107" s="60">
        <f t="shared" si="101"/>
        <v>0</v>
      </c>
      <c r="R107" s="60">
        <f t="shared" si="101"/>
        <v>0</v>
      </c>
      <c r="S107" s="60">
        <v>0</v>
      </c>
      <c r="T107" s="60">
        <v>0</v>
      </c>
      <c r="U107" s="60">
        <v>0</v>
      </c>
      <c r="V107" s="60">
        <v>0</v>
      </c>
      <c r="W107" s="60">
        <v>0</v>
      </c>
      <c r="X107" s="60">
        <v>0</v>
      </c>
      <c r="Y107" s="60">
        <v>0</v>
      </c>
      <c r="Z107" s="60">
        <v>0</v>
      </c>
      <c r="AA107" s="60">
        <f t="shared" si="101"/>
        <v>0</v>
      </c>
      <c r="AB107" s="60">
        <f t="shared" si="101"/>
        <v>0</v>
      </c>
      <c r="AC107" s="60">
        <f t="shared" si="101"/>
        <v>0</v>
      </c>
      <c r="AD107" s="60">
        <f t="shared" si="101"/>
        <v>0</v>
      </c>
      <c r="AE107" s="60">
        <f t="shared" si="101"/>
        <v>0</v>
      </c>
      <c r="AF107" s="60">
        <f t="shared" si="101"/>
        <v>0</v>
      </c>
      <c r="AG107" s="88"/>
      <c r="AH107" s="47">
        <f t="shared" si="33"/>
        <v>6</v>
      </c>
      <c r="AI107" s="48">
        <f t="shared" si="34"/>
        <v>0</v>
      </c>
      <c r="AK107" s="50"/>
    </row>
    <row r="108" spans="1:37" ht="15.75" thickBot="1" x14ac:dyDescent="0.3">
      <c r="A108" s="74" t="s">
        <v>108</v>
      </c>
      <c r="B108" s="60">
        <f t="shared" ref="B108:C108" si="102">B92-B107</f>
        <v>468</v>
      </c>
      <c r="C108" s="60">
        <f t="shared" si="102"/>
        <v>483</v>
      </c>
      <c r="D108" s="60">
        <f t="shared" ref="D108" si="103">D92-D107</f>
        <v>483</v>
      </c>
      <c r="E108" s="60">
        <f t="shared" ref="E108:AF108" si="104">E92-E107</f>
        <v>474.2</v>
      </c>
      <c r="F108" s="60">
        <f t="shared" si="104"/>
        <v>473.3</v>
      </c>
      <c r="G108" s="60">
        <f t="shared" si="104"/>
        <v>515</v>
      </c>
      <c r="H108" s="60">
        <f t="shared" si="104"/>
        <v>507</v>
      </c>
      <c r="I108" s="60">
        <f t="shared" si="104"/>
        <v>547.79999999999995</v>
      </c>
      <c r="J108" s="60">
        <f t="shared" si="104"/>
        <v>576</v>
      </c>
      <c r="K108" s="60">
        <f t="shared" si="104"/>
        <v>488.1</v>
      </c>
      <c r="L108" s="60">
        <f t="shared" si="104"/>
        <v>393.2</v>
      </c>
      <c r="M108" s="60">
        <f t="shared" si="104"/>
        <v>303.60000000000002</v>
      </c>
      <c r="N108" s="60">
        <f t="shared" si="104"/>
        <v>378.8</v>
      </c>
      <c r="O108" s="60">
        <f t="shared" si="104"/>
        <v>542</v>
      </c>
      <c r="P108" s="60">
        <f t="shared" si="104"/>
        <v>548.20000000000005</v>
      </c>
      <c r="Q108" s="60">
        <f t="shared" si="104"/>
        <v>551</v>
      </c>
      <c r="R108" s="60">
        <f t="shared" si="104"/>
        <v>0</v>
      </c>
      <c r="S108" s="60">
        <f t="shared" ref="S108:T108" si="105">S92-S107</f>
        <v>613</v>
      </c>
      <c r="T108" s="60">
        <f t="shared" si="105"/>
        <v>614.30000000000007</v>
      </c>
      <c r="U108" s="60">
        <f t="shared" ref="U108:V108" si="106">U92-U107</f>
        <v>590.79999999999995</v>
      </c>
      <c r="V108" s="60">
        <f t="shared" si="106"/>
        <v>504.1</v>
      </c>
      <c r="W108" s="60">
        <f t="shared" ref="W108:Y108" si="107">W92-W107</f>
        <v>457.9</v>
      </c>
      <c r="X108" s="60">
        <f t="shared" si="107"/>
        <v>438</v>
      </c>
      <c r="Y108" s="60">
        <f t="shared" si="107"/>
        <v>472</v>
      </c>
      <c r="Z108" s="60">
        <f t="shared" ref="Z108" si="108">Z92-Z107</f>
        <v>307.7</v>
      </c>
      <c r="AA108" s="60">
        <f t="shared" si="104"/>
        <v>322.10000000000002</v>
      </c>
      <c r="AB108" s="60">
        <f t="shared" si="104"/>
        <v>381.2</v>
      </c>
      <c r="AC108" s="60">
        <f t="shared" si="104"/>
        <v>423.40000000000003</v>
      </c>
      <c r="AD108" s="60">
        <f t="shared" si="104"/>
        <v>428.29999999999995</v>
      </c>
      <c r="AE108" s="60">
        <f t="shared" si="104"/>
        <v>584.5</v>
      </c>
      <c r="AF108" s="60">
        <f t="shared" si="104"/>
        <v>547.70000000000005</v>
      </c>
      <c r="AG108" s="88"/>
      <c r="AH108" s="47">
        <f t="shared" si="33"/>
        <v>614.30000000000007</v>
      </c>
      <c r="AI108" s="48">
        <f t="shared" si="34"/>
        <v>0</v>
      </c>
    </row>
    <row r="109" spans="1:37" x14ac:dyDescent="0.25">
      <c r="A109" s="100" t="s">
        <v>109</v>
      </c>
      <c r="B109" s="101">
        <v>49.98</v>
      </c>
      <c r="C109" s="101">
        <v>50.04</v>
      </c>
      <c r="D109" s="101">
        <v>49.98</v>
      </c>
      <c r="E109" s="101">
        <v>50.052</v>
      </c>
      <c r="F109" s="101">
        <v>50.113999999999997</v>
      </c>
      <c r="G109" s="101">
        <v>50.113999999999997</v>
      </c>
      <c r="H109" s="101">
        <v>49.951000000000001</v>
      </c>
      <c r="I109" s="101">
        <v>50.054000000000002</v>
      </c>
      <c r="J109" s="101">
        <v>50.11</v>
      </c>
      <c r="K109" s="101">
        <v>49.952500000000001</v>
      </c>
      <c r="L109" s="101">
        <v>49.959000000000003</v>
      </c>
      <c r="M109" s="101">
        <v>50.036000000000001</v>
      </c>
      <c r="N109" s="101">
        <v>50.024000000000001</v>
      </c>
      <c r="O109" s="101">
        <v>50.023000000000003</v>
      </c>
      <c r="P109" s="101">
        <v>50.097000000000001</v>
      </c>
      <c r="Q109" s="101">
        <v>49.927999999999997</v>
      </c>
      <c r="R109" s="101">
        <v>50.042000000000002</v>
      </c>
      <c r="S109" s="101">
        <v>49.94</v>
      </c>
      <c r="T109" s="101">
        <v>50.06</v>
      </c>
      <c r="U109" s="101">
        <v>49.98</v>
      </c>
      <c r="V109" s="101">
        <v>50.05</v>
      </c>
      <c r="W109" s="101">
        <v>50.07</v>
      </c>
      <c r="X109" s="101">
        <v>50.03</v>
      </c>
      <c r="Y109" s="101">
        <v>50.01</v>
      </c>
      <c r="Z109" s="101">
        <v>49.83</v>
      </c>
      <c r="AA109" s="101">
        <v>49.945999999999998</v>
      </c>
      <c r="AB109" s="101">
        <v>50.024000000000001</v>
      </c>
      <c r="AC109" s="101">
        <v>50.003</v>
      </c>
      <c r="AD109" s="101">
        <v>49.95</v>
      </c>
      <c r="AE109" s="101">
        <v>49.902000000000001</v>
      </c>
      <c r="AF109" s="101">
        <v>49.98</v>
      </c>
      <c r="AG109" s="102"/>
      <c r="AH109" s="47">
        <f t="shared" si="33"/>
        <v>50.113999999999997</v>
      </c>
      <c r="AI109" s="48">
        <f t="shared" si="34"/>
        <v>49.83</v>
      </c>
    </row>
    <row r="110" spans="1:37" x14ac:dyDescent="0.25">
      <c r="A110" s="103" t="s">
        <v>110</v>
      </c>
      <c r="B110" s="65">
        <v>127</v>
      </c>
      <c r="C110" s="65">
        <v>127</v>
      </c>
      <c r="D110" s="65">
        <v>127</v>
      </c>
      <c r="E110" s="65">
        <v>128.19999999999999</v>
      </c>
      <c r="F110" s="65">
        <v>128.1</v>
      </c>
      <c r="G110" s="65">
        <v>128.1</v>
      </c>
      <c r="H110" s="65">
        <v>127.2</v>
      </c>
      <c r="I110" s="65">
        <v>126</v>
      </c>
      <c r="J110" s="65">
        <v>125.4</v>
      </c>
      <c r="K110" s="65">
        <v>127.2</v>
      </c>
      <c r="L110" s="65">
        <v>125.3</v>
      </c>
      <c r="M110" s="65">
        <v>124.23</v>
      </c>
      <c r="N110" s="65">
        <v>124.7</v>
      </c>
      <c r="O110" s="65">
        <v>123.7</v>
      </c>
      <c r="P110" s="65">
        <v>122.8</v>
      </c>
      <c r="Q110" s="65">
        <v>123.6</v>
      </c>
      <c r="R110" s="65">
        <v>126.1</v>
      </c>
      <c r="S110" s="65">
        <v>125.3</v>
      </c>
      <c r="T110" s="65">
        <v>126.2</v>
      </c>
      <c r="U110" s="65">
        <v>127.1</v>
      </c>
      <c r="V110" s="65">
        <v>130.30000000000001</v>
      </c>
      <c r="W110" s="65">
        <v>130.69999999999999</v>
      </c>
      <c r="X110" s="65">
        <v>128.19999999999999</v>
      </c>
      <c r="Y110" s="65">
        <v>127.3</v>
      </c>
      <c r="Z110" s="65">
        <v>128</v>
      </c>
      <c r="AA110" s="65">
        <v>126.8</v>
      </c>
      <c r="AB110" s="65">
        <v>127.8</v>
      </c>
      <c r="AC110" s="65">
        <v>125.6</v>
      </c>
      <c r="AD110" s="65">
        <v>125.3</v>
      </c>
      <c r="AE110" s="65">
        <v>125.8</v>
      </c>
      <c r="AF110" s="65">
        <v>130.4</v>
      </c>
      <c r="AG110" s="104"/>
      <c r="AH110" s="47">
        <f t="shared" si="33"/>
        <v>130.69999999999999</v>
      </c>
      <c r="AI110" s="48">
        <f t="shared" si="34"/>
        <v>122.8</v>
      </c>
    </row>
    <row r="111" spans="1:37" x14ac:dyDescent="0.25">
      <c r="A111" s="103" t="s">
        <v>111</v>
      </c>
      <c r="B111" s="65">
        <v>132</v>
      </c>
      <c r="C111" s="65">
        <v>132</v>
      </c>
      <c r="D111" s="65">
        <v>132</v>
      </c>
      <c r="E111" s="65">
        <v>132.30000000000001</v>
      </c>
      <c r="F111" s="65">
        <v>132.1</v>
      </c>
      <c r="G111" s="65">
        <v>132.1</v>
      </c>
      <c r="H111" s="65">
        <v>130.6</v>
      </c>
      <c r="I111" s="65">
        <v>130</v>
      </c>
      <c r="J111" s="65">
        <v>128</v>
      </c>
      <c r="K111" s="65">
        <v>128.6</v>
      </c>
      <c r="L111" s="65">
        <v>126.1</v>
      </c>
      <c r="M111" s="65">
        <v>125.3</v>
      </c>
      <c r="N111" s="65">
        <v>126.2</v>
      </c>
      <c r="O111" s="65">
        <v>125.2</v>
      </c>
      <c r="P111" s="65">
        <v>124.3</v>
      </c>
      <c r="Q111" s="65">
        <v>127.1</v>
      </c>
      <c r="R111" s="65">
        <v>128</v>
      </c>
      <c r="S111" s="65">
        <v>127.2</v>
      </c>
      <c r="T111" s="65">
        <v>128</v>
      </c>
      <c r="U111" s="65">
        <v>128.6</v>
      </c>
      <c r="V111" s="65">
        <v>131.5</v>
      </c>
      <c r="W111" s="65">
        <v>131.6</v>
      </c>
      <c r="X111" s="65">
        <v>129.5</v>
      </c>
      <c r="Y111" s="65">
        <v>128.4</v>
      </c>
      <c r="Z111" s="65">
        <v>129.4</v>
      </c>
      <c r="AA111" s="65">
        <v>128.19999999999999</v>
      </c>
      <c r="AB111" s="65">
        <v>129.30000000000001</v>
      </c>
      <c r="AC111" s="65">
        <v>126.9</v>
      </c>
      <c r="AD111" s="65">
        <v>127.2</v>
      </c>
      <c r="AE111" s="65">
        <v>129.4</v>
      </c>
      <c r="AF111" s="65">
        <v>133.69999999999999</v>
      </c>
      <c r="AG111" s="104"/>
      <c r="AH111" s="47">
        <f t="shared" si="33"/>
        <v>133.69999999999999</v>
      </c>
      <c r="AI111" s="48">
        <f t="shared" si="34"/>
        <v>124.3</v>
      </c>
    </row>
    <row r="112" spans="1:37" x14ac:dyDescent="0.25">
      <c r="A112" s="103" t="s">
        <v>112</v>
      </c>
      <c r="B112" s="65">
        <v>130</v>
      </c>
      <c r="C112" s="65">
        <v>130</v>
      </c>
      <c r="D112" s="65">
        <v>130</v>
      </c>
      <c r="E112" s="65">
        <v>128.9</v>
      </c>
      <c r="F112" s="65">
        <v>129.5</v>
      </c>
      <c r="G112" s="65">
        <v>129.5</v>
      </c>
      <c r="H112" s="65">
        <v>127.8</v>
      </c>
      <c r="I112" s="65">
        <v>130</v>
      </c>
      <c r="J112" s="65">
        <v>125</v>
      </c>
      <c r="K112" s="65">
        <v>130.80000000000001</v>
      </c>
      <c r="L112" s="65">
        <v>128.69999999999999</v>
      </c>
      <c r="M112" s="65">
        <v>128.30000000000001</v>
      </c>
      <c r="N112" s="65">
        <v>131.4</v>
      </c>
      <c r="O112" s="65">
        <v>132.1</v>
      </c>
      <c r="P112" s="65">
        <v>127.7</v>
      </c>
      <c r="Q112" s="65">
        <v>128.69999999999999</v>
      </c>
      <c r="R112" s="65">
        <v>129.30000000000001</v>
      </c>
      <c r="S112" s="65">
        <v>124.4</v>
      </c>
      <c r="T112" s="65">
        <v>124.2</v>
      </c>
      <c r="U112" s="65">
        <v>127.5</v>
      </c>
      <c r="V112" s="65">
        <v>132.1</v>
      </c>
      <c r="W112" s="65">
        <v>127.9</v>
      </c>
      <c r="X112" s="65">
        <v>126.9</v>
      </c>
      <c r="Y112" s="65">
        <v>126.7</v>
      </c>
      <c r="Z112" s="65">
        <v>130.30000000000001</v>
      </c>
      <c r="AA112" s="65">
        <v>132.1</v>
      </c>
      <c r="AB112" s="65">
        <v>131.9</v>
      </c>
      <c r="AC112" s="65">
        <v>131.69999999999999</v>
      </c>
      <c r="AD112" s="65">
        <v>129.4</v>
      </c>
      <c r="AE112" s="65">
        <v>129.1</v>
      </c>
      <c r="AF112" s="65">
        <v>129.4</v>
      </c>
      <c r="AG112" s="104"/>
      <c r="AH112" s="47">
        <f t="shared" si="33"/>
        <v>132.1</v>
      </c>
      <c r="AI112" s="48">
        <f t="shared" si="34"/>
        <v>124.2</v>
      </c>
    </row>
    <row r="113" spans="1:35" x14ac:dyDescent="0.25">
      <c r="A113" s="105" t="s">
        <v>113</v>
      </c>
      <c r="B113" s="65">
        <v>132</v>
      </c>
      <c r="C113" s="65">
        <v>132</v>
      </c>
      <c r="D113" s="65">
        <v>132</v>
      </c>
      <c r="E113" s="65">
        <v>131.69999999999999</v>
      </c>
      <c r="F113" s="65">
        <v>131.9</v>
      </c>
      <c r="G113" s="65">
        <v>131.9</v>
      </c>
      <c r="H113" s="65">
        <v>129.4</v>
      </c>
      <c r="I113" s="65">
        <v>131</v>
      </c>
      <c r="J113" s="65">
        <v>128</v>
      </c>
      <c r="K113" s="65">
        <v>132.19999999999999</v>
      </c>
      <c r="L113" s="65">
        <v>129.69999999999999</v>
      </c>
      <c r="M113" s="65">
        <v>129.69999999999999</v>
      </c>
      <c r="N113" s="65">
        <v>133.4</v>
      </c>
      <c r="O113" s="65">
        <v>133.5</v>
      </c>
      <c r="P113" s="65">
        <v>129.5</v>
      </c>
      <c r="Q113" s="65">
        <v>128.69999999999999</v>
      </c>
      <c r="R113" s="65">
        <v>131.80000000000001</v>
      </c>
      <c r="S113" s="65">
        <v>127.5</v>
      </c>
      <c r="T113" s="65">
        <v>127.3</v>
      </c>
      <c r="U113" s="65">
        <v>129.19999999999999</v>
      </c>
      <c r="V113" s="65">
        <v>132.1</v>
      </c>
      <c r="W113" s="65">
        <v>130.6</v>
      </c>
      <c r="X113" s="65">
        <v>127.3</v>
      </c>
      <c r="Y113" s="65">
        <v>127.3</v>
      </c>
      <c r="Z113" s="65">
        <v>131.80000000000001</v>
      </c>
      <c r="AA113" s="65">
        <v>134.6</v>
      </c>
      <c r="AB113" s="65">
        <v>133.9</v>
      </c>
      <c r="AC113" s="65">
        <v>134</v>
      </c>
      <c r="AD113" s="65">
        <v>132.1</v>
      </c>
      <c r="AE113" s="65">
        <v>132.9</v>
      </c>
      <c r="AF113" s="65">
        <v>131.30000000000001</v>
      </c>
      <c r="AG113" s="104"/>
      <c r="AH113" s="47">
        <f t="shared" si="33"/>
        <v>134.6</v>
      </c>
      <c r="AI113" s="48">
        <f t="shared" si="34"/>
        <v>127.3</v>
      </c>
    </row>
    <row r="114" spans="1:35" x14ac:dyDescent="0.25">
      <c r="A114" s="105" t="s">
        <v>114</v>
      </c>
      <c r="B114" s="106">
        <v>136</v>
      </c>
      <c r="C114" s="106">
        <v>136</v>
      </c>
      <c r="D114" s="106">
        <v>136</v>
      </c>
      <c r="E114" s="106">
        <v>131.4</v>
      </c>
      <c r="F114" s="106">
        <v>131.9</v>
      </c>
      <c r="G114" s="106">
        <v>131.9</v>
      </c>
      <c r="H114" s="106">
        <v>132</v>
      </c>
      <c r="I114" s="106">
        <v>132.30000000000001</v>
      </c>
      <c r="J114" s="106">
        <v>135</v>
      </c>
      <c r="K114" s="106">
        <v>135.1</v>
      </c>
      <c r="L114" s="106">
        <v>132.9</v>
      </c>
      <c r="M114" s="106">
        <v>132.30000000000001</v>
      </c>
      <c r="N114" s="106">
        <v>133.4</v>
      </c>
      <c r="O114" s="106">
        <v>134.5</v>
      </c>
      <c r="P114" s="106">
        <v>132.80000000000001</v>
      </c>
      <c r="Q114" s="106">
        <v>132.6</v>
      </c>
      <c r="R114" s="106">
        <v>134.5</v>
      </c>
      <c r="S114" s="106">
        <v>132.9</v>
      </c>
      <c r="T114" s="106">
        <v>131.69999999999999</v>
      </c>
      <c r="U114" s="106">
        <v>134.1</v>
      </c>
      <c r="V114" s="106">
        <v>137.30000000000001</v>
      </c>
      <c r="W114" s="106">
        <v>134.5</v>
      </c>
      <c r="X114" s="106">
        <v>133.4</v>
      </c>
      <c r="Y114" s="106">
        <v>106.4</v>
      </c>
      <c r="Z114" s="106">
        <v>133.80000000000001</v>
      </c>
      <c r="AA114" s="106">
        <v>133.5</v>
      </c>
      <c r="AB114" s="106">
        <v>134.19999999999999</v>
      </c>
      <c r="AC114" s="106">
        <v>132.30000000000001</v>
      </c>
      <c r="AD114" s="106">
        <v>132.9</v>
      </c>
      <c r="AE114" s="106">
        <v>132.4</v>
      </c>
      <c r="AF114" s="106">
        <v>134.80000000000001</v>
      </c>
      <c r="AG114" s="107"/>
      <c r="AH114" s="47">
        <f t="shared" si="33"/>
        <v>137.30000000000001</v>
      </c>
      <c r="AI114" s="48">
        <f t="shared" si="34"/>
        <v>106.4</v>
      </c>
    </row>
    <row r="115" spans="1:35" x14ac:dyDescent="0.25">
      <c r="A115" s="103" t="s">
        <v>115</v>
      </c>
      <c r="B115" s="65">
        <v>132</v>
      </c>
      <c r="C115" s="65">
        <v>132</v>
      </c>
      <c r="D115" s="65">
        <v>132</v>
      </c>
      <c r="E115" s="65">
        <v>138.19999999999999</v>
      </c>
      <c r="F115" s="65">
        <v>133.6</v>
      </c>
      <c r="G115" s="65">
        <v>133.6</v>
      </c>
      <c r="H115" s="65">
        <v>128.5</v>
      </c>
      <c r="I115" s="65">
        <v>127.1</v>
      </c>
      <c r="J115" s="65">
        <v>133</v>
      </c>
      <c r="K115" s="65">
        <v>135.6</v>
      </c>
      <c r="L115" s="65">
        <v>132.30000000000001</v>
      </c>
      <c r="M115" s="65">
        <v>131.30000000000001</v>
      </c>
      <c r="N115" s="65">
        <v>133.19999999999999</v>
      </c>
      <c r="O115" s="65">
        <v>132.19999999999999</v>
      </c>
      <c r="P115" s="65">
        <v>132.19999999999999</v>
      </c>
      <c r="Q115" s="65">
        <v>127.3</v>
      </c>
      <c r="R115" s="65">
        <v>133.9</v>
      </c>
      <c r="S115" s="65">
        <v>132.9</v>
      </c>
      <c r="T115" s="65">
        <v>133.6</v>
      </c>
      <c r="U115" s="65">
        <v>129.9</v>
      </c>
      <c r="V115" s="65">
        <v>127.7</v>
      </c>
      <c r="W115" s="65">
        <v>129.80000000000001</v>
      </c>
      <c r="X115" s="65">
        <v>132.5</v>
      </c>
      <c r="Y115" s="65">
        <v>132</v>
      </c>
      <c r="Z115" s="65">
        <v>133.1</v>
      </c>
      <c r="AA115" s="65">
        <v>132.4</v>
      </c>
      <c r="AB115" s="65">
        <v>131</v>
      </c>
      <c r="AC115" s="65">
        <v>133.19999999999999</v>
      </c>
      <c r="AD115" s="65">
        <v>131.1</v>
      </c>
      <c r="AE115" s="65">
        <v>133.9</v>
      </c>
      <c r="AF115" s="65">
        <v>128.6</v>
      </c>
      <c r="AG115" s="104"/>
      <c r="AH115" s="47">
        <f t="shared" si="33"/>
        <v>138.19999999999999</v>
      </c>
      <c r="AI115" s="48">
        <f t="shared" si="34"/>
        <v>127.1</v>
      </c>
    </row>
    <row r="116" spans="1:35" ht="15.75" thickBot="1" x14ac:dyDescent="0.3">
      <c r="A116" s="103" t="s">
        <v>116</v>
      </c>
      <c r="B116" s="92">
        <v>66.400000000000006</v>
      </c>
      <c r="C116" s="92">
        <v>66.400000000000006</v>
      </c>
      <c r="D116" s="92">
        <v>66.400000000000006</v>
      </c>
      <c r="E116" s="92">
        <v>66.599999999999994</v>
      </c>
      <c r="F116" s="92">
        <v>66</v>
      </c>
      <c r="G116" s="92">
        <v>66</v>
      </c>
      <c r="H116" s="92">
        <v>65.099999999999994</v>
      </c>
      <c r="I116" s="92">
        <v>65.099999999999994</v>
      </c>
      <c r="J116" s="92">
        <v>64</v>
      </c>
      <c r="K116" s="92">
        <v>64.099999999999994</v>
      </c>
      <c r="L116" s="92">
        <v>63.1</v>
      </c>
      <c r="M116" s="92">
        <v>62.4</v>
      </c>
      <c r="N116" s="92">
        <v>63.1</v>
      </c>
      <c r="O116" s="92">
        <v>62.5</v>
      </c>
      <c r="P116" s="92">
        <v>62.4</v>
      </c>
      <c r="Q116" s="92">
        <v>62.7</v>
      </c>
      <c r="R116" s="92">
        <v>64.099999999999994</v>
      </c>
      <c r="S116" s="92">
        <v>63.7</v>
      </c>
      <c r="T116" s="92">
        <v>64.5</v>
      </c>
      <c r="U116" s="92">
        <v>64.7</v>
      </c>
      <c r="V116" s="92">
        <v>64.7</v>
      </c>
      <c r="W116" s="92">
        <v>65.599999999999994</v>
      </c>
      <c r="X116" s="92">
        <v>64.599999999999994</v>
      </c>
      <c r="Y116" s="92">
        <v>64.2</v>
      </c>
      <c r="Z116" s="92">
        <v>64.900000000000006</v>
      </c>
      <c r="AA116" s="92">
        <v>64.3</v>
      </c>
      <c r="AB116" s="92">
        <v>65</v>
      </c>
      <c r="AC116" s="92">
        <v>63.8</v>
      </c>
      <c r="AD116" s="92">
        <v>63.9</v>
      </c>
      <c r="AE116" s="92">
        <v>65.3</v>
      </c>
      <c r="AF116" s="92">
        <v>67.400000000000006</v>
      </c>
      <c r="AG116" s="108"/>
      <c r="AH116" s="47">
        <f t="shared" si="33"/>
        <v>67.400000000000006</v>
      </c>
      <c r="AI116" s="48">
        <f t="shared" si="34"/>
        <v>62.4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33"/>
        <v>0</v>
      </c>
      <c r="AI117" s="48">
        <f t="shared" si="34"/>
        <v>0</v>
      </c>
    </row>
    <row r="118" spans="1:35" ht="15.75" thickBot="1" x14ac:dyDescent="0.3">
      <c r="A118" s="110" t="s">
        <v>118</v>
      </c>
      <c r="B118" s="111">
        <f t="shared" ref="B118:C118" si="109">SUM(B22,B28,B31:B32,B66,B68:B69,B71,B73,B119:B123,B155,B161,B167,B176,B178,B190,B197,B200:B201,B208,B210,B212,B216:B218,B220:B222,B227,B233:B234,B236:B238,B246,B251)</f>
        <v>152.44</v>
      </c>
      <c r="C118" s="111">
        <f t="shared" si="109"/>
        <v>123.44</v>
      </c>
      <c r="D118" s="111">
        <f t="shared" ref="D118" si="110">SUM(D22,D28,D31:D32,D66,D68:D69,D71,D73,D119:D123,D155,D161,D167,D176,D178,D190,D197,D200:D201,D208,D210,D212,D216:D218,D220:D222,D227,D233:D234,D236:D238,D246,D251)</f>
        <v>111.44</v>
      </c>
      <c r="E118" s="111">
        <f t="shared" ref="E118:O118" si="111">SUM(E22,E28,E31:E32,E66,E68:E69,E71,E73,E119:E123,E155,E161,E167,E176,E178,E190,E197,E200:E201,E208,E210,E212,E216:E218,E220:E222,E227,E233:E234,E236:E238,E246,E251)</f>
        <v>136.18</v>
      </c>
      <c r="F118" s="111">
        <f t="shared" si="111"/>
        <v>138.56</v>
      </c>
      <c r="G118" s="111">
        <f t="shared" si="111"/>
        <v>138.56</v>
      </c>
      <c r="H118" s="111">
        <f t="shared" si="111"/>
        <v>206.94</v>
      </c>
      <c r="I118" s="111">
        <f t="shared" si="111"/>
        <v>211.20000000000002</v>
      </c>
      <c r="J118" s="111">
        <f>SUM(J22,J28,J31:J32,J66,J68:J69,J71,J73,J119:J123,J155,J161,J167,J176,J178,J190,J197,J200:J201,J208,J210,J212,J216:J218,J220:J222,J227,J233:J234,J236:J238,J246,J251)</f>
        <v>327.04000000000002</v>
      </c>
      <c r="K118" s="111">
        <f>SUM(K22,K28,K31:K32,K66,K68:K69,K71,K73,K119:K123,K155,K161,K167,K176,K178,K190,K197,K200:K201,K208,K210,K212,K216:K218,K220:K222,K227,K233:K234,K236:K238,K246,K251)</f>
        <v>364.44</v>
      </c>
      <c r="L118" s="111">
        <f t="shared" si="111"/>
        <v>427.74</v>
      </c>
      <c r="M118" s="111">
        <f t="shared" si="111"/>
        <v>435.72</v>
      </c>
      <c r="N118" s="111">
        <f t="shared" si="111"/>
        <v>386.84</v>
      </c>
      <c r="O118" s="111">
        <f t="shared" si="111"/>
        <v>330.74</v>
      </c>
      <c r="P118" s="111">
        <v>42</v>
      </c>
      <c r="Q118" s="111">
        <f t="shared" ref="Q118:AD118" si="112">SUM(Q22,Q28,Q31:Q32,Q66,Q68:Q69,Q71,Q73,Q119:Q123,Q155,Q161,Q167,Q176,Q178,Q190,Q197,Q200:Q201,Q208,Q210,Q212,Q216:Q218,Q220:Q222,Q227,Q233:Q234,Q236:Q238,Q246,Q251)</f>
        <v>383.64</v>
      </c>
      <c r="R118" s="111">
        <f t="shared" si="112"/>
        <v>406.94</v>
      </c>
      <c r="S118" s="111">
        <f t="shared" ref="S118:T118" si="113">SUM(S22,S28,S31:S32,S66,S68:S69,S71,S73,S119:S123,S155,S161,S167,S176,S178,S190,S197,S200:S201,S208,S210,S212,S216:S218,S220:S222,S227,S233:S234,S236:S238,S246,S251)</f>
        <v>372.84</v>
      </c>
      <c r="T118" s="111">
        <f t="shared" si="113"/>
        <v>356.76</v>
      </c>
      <c r="U118" s="111">
        <f t="shared" ref="U118:V118" si="114">SUM(U22,U28,U31:U32,U66,U68:U69,U71,U73,U119:U123,U155,U161,U167,U176,U178,U190,U197,U200:U201,U208,U210,U212,U216:U218,U220:U222,U227,U233:U234,U236:U238,U246,U251)</f>
        <v>373.84</v>
      </c>
      <c r="V118" s="111">
        <f t="shared" si="114"/>
        <v>416.92</v>
      </c>
      <c r="W118" s="111">
        <f t="shared" ref="W118:X118" si="115">SUM(W22,W28,W31:W32,W66,W68:W69,W71,W73,W119:W123,W155,W161,W167,W176,W178,W190,W197,W200:W201,W208,W210,W212,W216:W218,W220:W222,W227,W233:W234,W236:W238,W246,W251)</f>
        <v>411.7</v>
      </c>
      <c r="X118" s="111">
        <f t="shared" si="115"/>
        <v>436.44</v>
      </c>
      <c r="Y118" s="111">
        <f t="shared" ref="Y118" si="116">SUM(Y20,Y26,Y37:Y38,Y66,Y68:Y69,Y71,Y73,Y119:Y123,Y148,Y154,Y160,Y169,Y171,Y183,Y190,Y193:Y194,Y201,Y203,Y205,Y209:Y211,Y213:Y215,Y220,Y226:Y227,Y229:Y231,Y239,Y244)</f>
        <v>442</v>
      </c>
      <c r="Z118" s="111">
        <f t="shared" ref="Z118" si="117">SUM(Z20,Z26,Z37:Z38,Z66,Z68:Z69,Z71,Z73,Z119:Z123,Z148,Z154,Z160,Z169,Z171,Z183,Z190,Z193:Z194,Z201,Z203,Z205,Z209:Z211,Z213:Z215,Z220,Z226:Z227,Z229:Z231,Z239,Z244)</f>
        <v>483.86</v>
      </c>
      <c r="AA118" s="111">
        <f t="shared" si="112"/>
        <v>481.65899999999993</v>
      </c>
      <c r="AB118" s="111">
        <f t="shared" si="112"/>
        <v>436.51199999999994</v>
      </c>
      <c r="AC118" s="111">
        <f t="shared" si="112"/>
        <v>417.89699999999999</v>
      </c>
      <c r="AD118" s="111">
        <f t="shared" si="112"/>
        <v>395.57599999999996</v>
      </c>
      <c r="AE118" s="111">
        <f>SUM(AE22,AE28,AE31:AE32,AE66,AE68:AE69,AE71,AE73,AE119:AE123,AE155,AE161,AE167,AE176,AE178,AE190,AE197,AE200:AE201,AE208,AE210,AE212,AE216:AE218,AE220:AE222,AE227,AE233:AE234,AE236:AE238,AE246,AE251)</f>
        <v>288.33999999999997</v>
      </c>
      <c r="AF118" s="111">
        <f>SUM(AF22,AF28,AF31:AF32,AF66,AF68:AF69,AF71,AF73,AF119:AF123,AF155,AF161,AF167,AF176,AF178,AF190,AF197,AF200:AF201,AF208,AF210,AF212,AF216:AF218,AF220:AF222,AF227,AF233:AF234,AF236:AF238,AF246,AF251)</f>
        <v>186.07600000000002</v>
      </c>
      <c r="AG118" s="112"/>
      <c r="AH118" s="47">
        <f t="shared" si="33"/>
        <v>483.86</v>
      </c>
      <c r="AI118" s="48">
        <f t="shared" si="34"/>
        <v>42</v>
      </c>
    </row>
    <row r="119" spans="1:35" x14ac:dyDescent="0.25">
      <c r="A119" s="172" t="s">
        <v>119</v>
      </c>
      <c r="B119" s="113">
        <v>16</v>
      </c>
      <c r="C119" s="113">
        <v>5</v>
      </c>
      <c r="D119" s="113">
        <v>5</v>
      </c>
      <c r="E119" s="113">
        <v>-0.4</v>
      </c>
      <c r="F119" s="113">
        <v>0.5</v>
      </c>
      <c r="G119" s="113">
        <v>0.5</v>
      </c>
      <c r="H119" s="113">
        <v>24.3</v>
      </c>
      <c r="I119" s="113">
        <v>28</v>
      </c>
      <c r="J119" s="113">
        <v>42</v>
      </c>
      <c r="K119" s="113">
        <v>36</v>
      </c>
      <c r="L119" s="113">
        <v>49.7</v>
      </c>
      <c r="M119" s="113">
        <v>50.9</v>
      </c>
      <c r="N119" s="113">
        <v>32.9</v>
      </c>
      <c r="O119" s="113">
        <v>25.3</v>
      </c>
      <c r="P119" s="113">
        <v>30.7</v>
      </c>
      <c r="Q119" s="113">
        <v>48.8</v>
      </c>
      <c r="R119" s="113">
        <v>54</v>
      </c>
      <c r="S119" s="113">
        <v>42</v>
      </c>
      <c r="T119" s="113">
        <v>26.9</v>
      </c>
      <c r="U119" s="113">
        <v>25.6</v>
      </c>
      <c r="V119" s="113">
        <v>34.1</v>
      </c>
      <c r="W119" s="113">
        <v>33.200000000000003</v>
      </c>
      <c r="X119" s="113">
        <v>38.6</v>
      </c>
      <c r="Y119" s="113">
        <v>38.6</v>
      </c>
      <c r="Z119" s="113">
        <v>50.5</v>
      </c>
      <c r="AA119" s="113">
        <v>52.7</v>
      </c>
      <c r="AB119" s="113">
        <v>51.3</v>
      </c>
      <c r="AC119" s="113">
        <v>37.200000000000003</v>
      </c>
      <c r="AD119" s="113">
        <v>38</v>
      </c>
      <c r="AE119" s="113">
        <v>34.5</v>
      </c>
      <c r="AF119" s="113">
        <v>21.2</v>
      </c>
      <c r="AG119" s="114">
        <v>75</v>
      </c>
      <c r="AH119" s="47">
        <f t="shared" si="33"/>
        <v>54</v>
      </c>
      <c r="AI119" s="48">
        <f t="shared" si="34"/>
        <v>-0.4</v>
      </c>
    </row>
    <row r="120" spans="1:35" x14ac:dyDescent="0.25">
      <c r="A120" s="173" t="s">
        <v>120</v>
      </c>
      <c r="B120" s="115">
        <v>14</v>
      </c>
      <c r="C120" s="115">
        <v>3</v>
      </c>
      <c r="D120" s="115">
        <v>3</v>
      </c>
      <c r="E120" s="115">
        <v>-0.3</v>
      </c>
      <c r="F120" s="115">
        <v>0.7</v>
      </c>
      <c r="G120" s="115">
        <v>0.7</v>
      </c>
      <c r="H120" s="115">
        <v>32</v>
      </c>
      <c r="I120" s="115">
        <v>37.4</v>
      </c>
      <c r="J120" s="115">
        <v>54</v>
      </c>
      <c r="K120" s="115">
        <v>50</v>
      </c>
      <c r="L120" s="115">
        <v>68</v>
      </c>
      <c r="M120" s="115">
        <v>69.599999999999994</v>
      </c>
      <c r="N120" s="115">
        <v>46</v>
      </c>
      <c r="O120" s="115">
        <v>36.1</v>
      </c>
      <c r="P120" s="115">
        <v>39.1</v>
      </c>
      <c r="Q120" s="115">
        <v>66.599999999999994</v>
      </c>
      <c r="R120" s="115">
        <v>71</v>
      </c>
      <c r="S120" s="115">
        <v>54.6</v>
      </c>
      <c r="T120" s="115">
        <v>32</v>
      </c>
      <c r="U120" s="115">
        <v>33.6</v>
      </c>
      <c r="V120" s="115">
        <v>42.3</v>
      </c>
      <c r="W120" s="115">
        <v>43.8</v>
      </c>
      <c r="X120" s="115">
        <v>51.2</v>
      </c>
      <c r="Y120" s="115">
        <v>51.2</v>
      </c>
      <c r="Z120" s="115">
        <v>69.3</v>
      </c>
      <c r="AA120" s="115">
        <v>70.099999999999994</v>
      </c>
      <c r="AB120" s="115">
        <v>68.599999999999994</v>
      </c>
      <c r="AC120" s="115">
        <v>50.8</v>
      </c>
      <c r="AD120" s="115">
        <v>52.8</v>
      </c>
      <c r="AE120" s="115">
        <v>48.7</v>
      </c>
      <c r="AF120" s="115">
        <v>24.7</v>
      </c>
      <c r="AG120" s="114">
        <v>240</v>
      </c>
      <c r="AH120" s="47">
        <f t="shared" si="33"/>
        <v>71</v>
      </c>
      <c r="AI120" s="48">
        <f t="shared" si="34"/>
        <v>-0.3</v>
      </c>
    </row>
    <row r="121" spans="1:35" x14ac:dyDescent="0.25">
      <c r="A121" s="173" t="s">
        <v>121</v>
      </c>
      <c r="B121" s="115">
        <v>-48</v>
      </c>
      <c r="C121" s="115">
        <v>-48</v>
      </c>
      <c r="D121" s="115">
        <v>-55</v>
      </c>
      <c r="E121" s="115">
        <v>-45</v>
      </c>
      <c r="F121" s="115">
        <v>-48</v>
      </c>
      <c r="G121" s="115">
        <v>-48</v>
      </c>
      <c r="H121" s="115">
        <v>-43</v>
      </c>
      <c r="I121" s="115">
        <v>-43</v>
      </c>
      <c r="J121" s="115">
        <v>-5</v>
      </c>
      <c r="K121" s="115">
        <v>24</v>
      </c>
      <c r="L121" s="115">
        <v>41</v>
      </c>
      <c r="M121" s="115">
        <v>39.5</v>
      </c>
      <c r="N121" s="115">
        <v>38</v>
      </c>
      <c r="O121" s="115">
        <v>45</v>
      </c>
      <c r="P121" s="115">
        <v>25.4</v>
      </c>
      <c r="Q121" s="115">
        <v>12</v>
      </c>
      <c r="R121" s="115">
        <v>14</v>
      </c>
      <c r="S121" s="115">
        <v>0</v>
      </c>
      <c r="T121" s="115">
        <v>-8</v>
      </c>
      <c r="U121" s="115">
        <v>7</v>
      </c>
      <c r="V121" s="115">
        <v>55.9</v>
      </c>
      <c r="W121" s="115">
        <v>42</v>
      </c>
      <c r="X121" s="115">
        <v>43</v>
      </c>
      <c r="Y121" s="115">
        <v>43</v>
      </c>
      <c r="Z121" s="115">
        <v>60.5</v>
      </c>
      <c r="AA121" s="115">
        <v>72</v>
      </c>
      <c r="AB121" s="115">
        <v>52</v>
      </c>
      <c r="AC121" s="115">
        <v>42.7</v>
      </c>
      <c r="AD121" s="115">
        <v>32</v>
      </c>
      <c r="AE121" s="115">
        <v>-14</v>
      </c>
      <c r="AF121" s="115">
        <v>-40</v>
      </c>
      <c r="AG121" s="114">
        <v>240</v>
      </c>
      <c r="AH121" s="47">
        <f t="shared" si="33"/>
        <v>72</v>
      </c>
      <c r="AI121" s="48">
        <f t="shared" si="34"/>
        <v>-55</v>
      </c>
    </row>
    <row r="122" spans="1:35" ht="15.75" thickBot="1" x14ac:dyDescent="0.3">
      <c r="A122" s="173" t="s">
        <v>122</v>
      </c>
      <c r="B122" s="115">
        <v>-8</v>
      </c>
      <c r="C122" s="115">
        <v>-10</v>
      </c>
      <c r="D122" s="115">
        <v>-10</v>
      </c>
      <c r="E122" s="115">
        <v>-10</v>
      </c>
      <c r="F122" s="115">
        <v>-11</v>
      </c>
      <c r="G122" s="115">
        <v>-11</v>
      </c>
      <c r="H122" s="115">
        <v>-4</v>
      </c>
      <c r="I122" s="115">
        <v>-1</v>
      </c>
      <c r="J122" s="115">
        <v>8</v>
      </c>
      <c r="K122" s="115">
        <v>23</v>
      </c>
      <c r="L122" s="115">
        <v>29</v>
      </c>
      <c r="M122" s="115">
        <v>28.5</v>
      </c>
      <c r="N122" s="115">
        <v>27</v>
      </c>
      <c r="O122" s="115">
        <v>28</v>
      </c>
      <c r="P122" s="115">
        <v>25.5</v>
      </c>
      <c r="Q122" s="115">
        <v>9.4</v>
      </c>
      <c r="R122" s="115">
        <v>23</v>
      </c>
      <c r="S122" s="115">
        <v>29.9</v>
      </c>
      <c r="T122" s="115">
        <v>52.1</v>
      </c>
      <c r="U122" s="115">
        <v>59.6</v>
      </c>
      <c r="V122" s="115">
        <v>62.5</v>
      </c>
      <c r="W122" s="115">
        <v>58.5</v>
      </c>
      <c r="X122" s="115">
        <v>58.4</v>
      </c>
      <c r="Y122" s="115">
        <v>58.4</v>
      </c>
      <c r="Z122" s="115">
        <v>46.2</v>
      </c>
      <c r="AA122" s="115">
        <v>39.9</v>
      </c>
      <c r="AB122" s="115">
        <v>29.9</v>
      </c>
      <c r="AC122" s="115">
        <v>26.6</v>
      </c>
      <c r="AD122" s="115">
        <v>21.7</v>
      </c>
      <c r="AE122" s="115">
        <v>2</v>
      </c>
      <c r="AF122" s="115">
        <v>-3</v>
      </c>
      <c r="AG122" s="114">
        <v>60</v>
      </c>
      <c r="AH122" s="47">
        <f t="shared" si="33"/>
        <v>62.5</v>
      </c>
      <c r="AI122" s="48">
        <f t="shared" si="34"/>
        <v>-11</v>
      </c>
    </row>
    <row r="123" spans="1:35" x14ac:dyDescent="0.25">
      <c r="A123" s="172" t="s">
        <v>260</v>
      </c>
      <c r="B123" s="117">
        <v>80</v>
      </c>
      <c r="C123" s="117">
        <v>75</v>
      </c>
      <c r="D123" s="117">
        <v>70</v>
      </c>
      <c r="E123" s="117">
        <f>58.4*1.6</f>
        <v>93.44</v>
      </c>
      <c r="F123" s="117">
        <f>61.2*1.6</f>
        <v>97.920000000000016</v>
      </c>
      <c r="G123" s="117">
        <f>61.2*1.6</f>
        <v>97.920000000000016</v>
      </c>
      <c r="H123" s="117">
        <f>62*1.6</f>
        <v>99.2</v>
      </c>
      <c r="I123" s="117">
        <f>57.1*1.6</f>
        <v>91.360000000000014</v>
      </c>
      <c r="J123" s="117">
        <f>81*1.6</f>
        <v>129.6</v>
      </c>
      <c r="K123" s="117">
        <f>83*1.6</f>
        <v>132.80000000000001</v>
      </c>
      <c r="L123" s="117">
        <f>88*1.6</f>
        <v>140.80000000000001</v>
      </c>
      <c r="M123" s="117">
        <f>1.65*89.2</f>
        <v>147.18</v>
      </c>
      <c r="N123" s="117">
        <v>140</v>
      </c>
      <c r="O123" s="117">
        <v>93</v>
      </c>
      <c r="P123" s="117">
        <f>1.65*92.9</f>
        <v>153.285</v>
      </c>
      <c r="Q123" s="117">
        <v>140</v>
      </c>
      <c r="R123" s="117">
        <v>140</v>
      </c>
      <c r="S123" s="117">
        <f>90.5*1.6</f>
        <v>144.80000000000001</v>
      </c>
      <c r="T123" s="117">
        <f>95.7*1.6</f>
        <v>153.12</v>
      </c>
      <c r="U123" s="117">
        <f>93*1.6</f>
        <v>148.80000000000001</v>
      </c>
      <c r="V123" s="117">
        <f>76.8*1.6</f>
        <v>122.88</v>
      </c>
      <c r="W123" s="117">
        <f>85.6*1.6</f>
        <v>136.96</v>
      </c>
      <c r="X123" s="117">
        <f>92.5*1.6</f>
        <v>148</v>
      </c>
      <c r="Y123" s="117">
        <f t="shared" ref="Y123" si="118">92.5*1.6</f>
        <v>148</v>
      </c>
      <c r="Z123" s="117">
        <f>96.6*1.6</f>
        <v>154.56</v>
      </c>
      <c r="AA123" s="117">
        <f>91.3*1.63</f>
        <v>148.81899999999999</v>
      </c>
      <c r="AB123" s="117">
        <f>81.6*1.67</f>
        <v>136.27199999999999</v>
      </c>
      <c r="AC123" s="117">
        <f>97.1*1.67</f>
        <v>162.15699999999998</v>
      </c>
      <c r="AD123" s="117">
        <f>90.8*1.67</f>
        <v>151.636</v>
      </c>
      <c r="AE123" s="117">
        <f>70*1.67</f>
        <v>116.89999999999999</v>
      </c>
      <c r="AF123" s="117">
        <f>50.8*1.67</f>
        <v>84.835999999999999</v>
      </c>
      <c r="AG123" s="118">
        <v>120</v>
      </c>
      <c r="AH123" s="47">
        <f t="shared" si="33"/>
        <v>162.15699999999998</v>
      </c>
      <c r="AI123" s="48">
        <f t="shared" si="34"/>
        <v>70</v>
      </c>
    </row>
    <row r="124" spans="1:35" x14ac:dyDescent="0.25">
      <c r="A124" s="173" t="s">
        <v>259</v>
      </c>
      <c r="B124" s="117">
        <v>75</v>
      </c>
      <c r="C124" s="117">
        <v>79</v>
      </c>
      <c r="D124" s="117">
        <v>76</v>
      </c>
      <c r="E124" s="117">
        <v>75.3</v>
      </c>
      <c r="F124" s="117">
        <v>78</v>
      </c>
      <c r="G124" s="117">
        <v>78</v>
      </c>
      <c r="H124" s="117">
        <v>78</v>
      </c>
      <c r="I124" s="117">
        <v>75</v>
      </c>
      <c r="J124" s="117">
        <v>92</v>
      </c>
      <c r="K124" s="117">
        <v>94</v>
      </c>
      <c r="L124" s="117">
        <v>97</v>
      </c>
      <c r="M124" s="117">
        <v>97.3</v>
      </c>
      <c r="N124" s="117">
        <v>99</v>
      </c>
      <c r="O124" s="117">
        <v>100</v>
      </c>
      <c r="P124" s="117">
        <v>101.1</v>
      </c>
      <c r="Q124" s="117">
        <v>93</v>
      </c>
      <c r="R124" s="117">
        <v>83</v>
      </c>
      <c r="S124" s="117">
        <v>97.7</v>
      </c>
      <c r="T124" s="117">
        <v>102.5</v>
      </c>
      <c r="U124" s="117">
        <v>100.6</v>
      </c>
      <c r="V124" s="117">
        <v>86.6</v>
      </c>
      <c r="W124" s="117">
        <v>94</v>
      </c>
      <c r="X124" s="117">
        <v>99.5</v>
      </c>
      <c r="Y124" s="117">
        <v>99.5</v>
      </c>
      <c r="Z124" s="117">
        <v>104</v>
      </c>
      <c r="AA124" s="117">
        <v>100.3</v>
      </c>
      <c r="AB124" s="117">
        <v>92.5</v>
      </c>
      <c r="AC124" s="117">
        <v>105.7</v>
      </c>
      <c r="AD124" s="117">
        <v>101.2</v>
      </c>
      <c r="AE124" s="117">
        <v>84.1</v>
      </c>
      <c r="AF124" s="117">
        <v>68.5</v>
      </c>
      <c r="AG124" s="118"/>
      <c r="AH124" s="47"/>
      <c r="AI124" s="48"/>
    </row>
    <row r="125" spans="1:35" x14ac:dyDescent="0.25">
      <c r="A125" s="173" t="s">
        <v>256</v>
      </c>
      <c r="B125" s="117">
        <v>59</v>
      </c>
      <c r="C125" s="117">
        <v>76</v>
      </c>
      <c r="D125" s="117">
        <v>77</v>
      </c>
      <c r="E125" s="117">
        <v>77</v>
      </c>
      <c r="F125" s="117">
        <v>79</v>
      </c>
      <c r="G125" s="117">
        <v>79</v>
      </c>
      <c r="H125" s="117">
        <v>43</v>
      </c>
      <c r="I125" s="117">
        <v>28</v>
      </c>
      <c r="J125" s="117">
        <v>3</v>
      </c>
      <c r="K125" s="117">
        <v>-13</v>
      </c>
      <c r="L125" s="117">
        <v>-44</v>
      </c>
      <c r="M125" s="117">
        <v>-42</v>
      </c>
      <c r="N125" s="117">
        <v>-10</v>
      </c>
      <c r="O125" s="117">
        <v>6</v>
      </c>
      <c r="P125" s="117">
        <v>17</v>
      </c>
      <c r="Q125" s="117">
        <v>-15</v>
      </c>
      <c r="R125" s="117">
        <v>-37</v>
      </c>
      <c r="S125" s="117">
        <v>-10.3</v>
      </c>
      <c r="T125" s="117">
        <v>-5.5</v>
      </c>
      <c r="U125" s="117">
        <v>-19.899999999999999</v>
      </c>
      <c r="V125" s="117">
        <v>-53.2</v>
      </c>
      <c r="W125" s="117">
        <v>-51.2</v>
      </c>
      <c r="X125" s="117">
        <v>-56.5</v>
      </c>
      <c r="Y125" s="117">
        <v>-56.5</v>
      </c>
      <c r="Z125" s="117">
        <v>-59.4</v>
      </c>
      <c r="AA125" s="117">
        <v>-62.1</v>
      </c>
      <c r="AB125" s="117">
        <v>-58.3</v>
      </c>
      <c r="AC125" s="117">
        <v>-18.5</v>
      </c>
      <c r="AD125" s="117">
        <v>-14</v>
      </c>
      <c r="AE125" s="117">
        <v>-3.1</v>
      </c>
      <c r="AF125" s="117">
        <v>33</v>
      </c>
      <c r="AG125" s="118"/>
      <c r="AH125" s="47"/>
      <c r="AI125" s="48"/>
    </row>
    <row r="126" spans="1:35" ht="15.75" thickBot="1" x14ac:dyDescent="0.3">
      <c r="A126" s="173" t="s">
        <v>255</v>
      </c>
      <c r="B126" s="117">
        <v>91</v>
      </c>
      <c r="C126" s="117">
        <v>100</v>
      </c>
      <c r="D126" s="117">
        <v>96</v>
      </c>
      <c r="E126" s="117">
        <v>93</v>
      </c>
      <c r="F126" s="117">
        <v>95</v>
      </c>
      <c r="G126" s="117">
        <v>95</v>
      </c>
      <c r="H126" s="117">
        <v>97</v>
      </c>
      <c r="I126" s="117">
        <v>93</v>
      </c>
      <c r="J126" s="117">
        <v>100</v>
      </c>
      <c r="K126" s="117">
        <v>94</v>
      </c>
      <c r="L126" s="117">
        <v>85</v>
      </c>
      <c r="M126" s="117">
        <v>80.400000000000006</v>
      </c>
      <c r="N126" s="117">
        <v>88</v>
      </c>
      <c r="O126" s="117">
        <v>98.5</v>
      </c>
      <c r="P126" s="117">
        <v>104.3</v>
      </c>
      <c r="Q126" s="117">
        <v>102</v>
      </c>
      <c r="R126" s="117">
        <v>87</v>
      </c>
      <c r="S126" s="117">
        <v>105.4</v>
      </c>
      <c r="T126" s="117">
        <v>109.3</v>
      </c>
      <c r="U126" s="117">
        <v>104.7</v>
      </c>
      <c r="V126" s="117">
        <v>104.4</v>
      </c>
      <c r="W126" s="117">
        <v>82.5</v>
      </c>
      <c r="X126" s="117">
        <v>85.5</v>
      </c>
      <c r="Y126" s="117">
        <v>85.5</v>
      </c>
      <c r="Z126" s="117">
        <v>79.3</v>
      </c>
      <c r="AA126" s="117">
        <v>100.5</v>
      </c>
      <c r="AB126" s="117">
        <v>91</v>
      </c>
      <c r="AC126" s="117">
        <v>98.9</v>
      </c>
      <c r="AD126" s="117">
        <v>95</v>
      </c>
      <c r="AE126" s="117">
        <v>95.6</v>
      </c>
      <c r="AF126" s="117">
        <v>83</v>
      </c>
      <c r="AG126" s="114"/>
      <c r="AH126" s="47">
        <f t="shared" si="33"/>
        <v>109.3</v>
      </c>
      <c r="AI126" s="48">
        <f t="shared" si="34"/>
        <v>79.3</v>
      </c>
    </row>
    <row r="127" spans="1:35" x14ac:dyDescent="0.25">
      <c r="A127" s="172" t="s">
        <v>257</v>
      </c>
      <c r="B127" s="117">
        <v>16</v>
      </c>
      <c r="C127" s="117">
        <v>13</v>
      </c>
      <c r="D127" s="117">
        <v>12</v>
      </c>
      <c r="E127" s="117">
        <v>15</v>
      </c>
      <c r="F127" s="117">
        <v>13</v>
      </c>
      <c r="G127" s="117">
        <v>13</v>
      </c>
      <c r="H127" s="117">
        <v>7</v>
      </c>
      <c r="I127" s="117">
        <v>2</v>
      </c>
      <c r="J127" s="117">
        <v>-14</v>
      </c>
      <c r="K127" s="117">
        <v>-9</v>
      </c>
      <c r="L127" s="117">
        <v>-14</v>
      </c>
      <c r="M127" s="117">
        <v>-15</v>
      </c>
      <c r="N127" s="117">
        <v>-2</v>
      </c>
      <c r="O127" s="117">
        <v>-7</v>
      </c>
      <c r="P127" s="117">
        <v>-1.6</v>
      </c>
      <c r="Q127" s="117">
        <v>-10</v>
      </c>
      <c r="R127" s="117">
        <v>-21</v>
      </c>
      <c r="S127" s="117">
        <v>-8.6999999999999993</v>
      </c>
      <c r="T127" s="117">
        <v>-1.4</v>
      </c>
      <c r="U127" s="117">
        <v>1.2</v>
      </c>
      <c r="V127" s="117">
        <v>0</v>
      </c>
      <c r="W127" s="117">
        <v>-3.5</v>
      </c>
      <c r="X127" s="117">
        <v>-5.8</v>
      </c>
      <c r="Y127" s="117">
        <v>-5.8</v>
      </c>
      <c r="Z127" s="117">
        <v>-10.3</v>
      </c>
      <c r="AA127" s="117">
        <v>-12</v>
      </c>
      <c r="AB127" s="117">
        <v>-12</v>
      </c>
      <c r="AC127" s="117">
        <v>-8.6999999999999993</v>
      </c>
      <c r="AD127" s="117">
        <v>-9.6</v>
      </c>
      <c r="AE127" s="117">
        <v>-12.2</v>
      </c>
      <c r="AF127" s="106">
        <v>-2.6</v>
      </c>
      <c r="AG127" s="114"/>
      <c r="AH127" s="47">
        <f t="shared" si="33"/>
        <v>16</v>
      </c>
      <c r="AI127" s="48">
        <f t="shared" si="34"/>
        <v>-21</v>
      </c>
    </row>
    <row r="128" spans="1:35" x14ac:dyDescent="0.25">
      <c r="A128" s="173" t="s">
        <v>124</v>
      </c>
      <c r="B128" s="106">
        <v>-2</v>
      </c>
      <c r="C128" s="106">
        <v>1</v>
      </c>
      <c r="D128" s="106">
        <v>2</v>
      </c>
      <c r="E128" s="106">
        <v>3.2</v>
      </c>
      <c r="F128" s="106">
        <v>2</v>
      </c>
      <c r="G128" s="106">
        <v>2</v>
      </c>
      <c r="H128" s="106">
        <v>-7</v>
      </c>
      <c r="I128" s="106">
        <v>-10</v>
      </c>
      <c r="J128" s="106">
        <v>-25</v>
      </c>
      <c r="K128" s="106">
        <v>-31</v>
      </c>
      <c r="L128" s="106">
        <v>-34</v>
      </c>
      <c r="M128" s="106">
        <v>-35.6</v>
      </c>
      <c r="N128" s="106">
        <v>-15</v>
      </c>
      <c r="O128" s="106">
        <v>-10</v>
      </c>
      <c r="P128" s="106">
        <v>-13.4</v>
      </c>
      <c r="Q128" s="106">
        <v>-5</v>
      </c>
      <c r="R128" s="106">
        <v>-5.7</v>
      </c>
      <c r="S128" s="106">
        <v>-8.4</v>
      </c>
      <c r="T128" s="106">
        <v>-11.9</v>
      </c>
      <c r="U128" s="106">
        <v>-17.399999999999999</v>
      </c>
      <c r="V128" s="106">
        <v>-24.8</v>
      </c>
      <c r="W128" s="106">
        <v>-34.9</v>
      </c>
      <c r="X128" s="106">
        <v>46.5</v>
      </c>
      <c r="Y128" s="106">
        <v>46.5</v>
      </c>
      <c r="Z128" s="106">
        <v>-36.6</v>
      </c>
      <c r="AA128" s="106">
        <v>-31.6</v>
      </c>
      <c r="AB128" s="106">
        <v>-23.5</v>
      </c>
      <c r="AC128" s="106">
        <v>-20.7</v>
      </c>
      <c r="AD128" s="106">
        <v>-16.399999999999999</v>
      </c>
      <c r="AE128" s="106">
        <v>-8.3000000000000007</v>
      </c>
      <c r="AF128" s="106">
        <v>-2.6</v>
      </c>
      <c r="AG128" s="114"/>
      <c r="AH128" s="47">
        <f t="shared" si="33"/>
        <v>46.5</v>
      </c>
      <c r="AI128" s="48">
        <f t="shared" si="34"/>
        <v>-36.6</v>
      </c>
    </row>
    <row r="129" spans="1:37" x14ac:dyDescent="0.25">
      <c r="A129" s="173" t="s">
        <v>261</v>
      </c>
      <c r="B129" s="106">
        <v>28</v>
      </c>
      <c r="C129" s="106">
        <v>25</v>
      </c>
      <c r="D129" s="106">
        <v>27</v>
      </c>
      <c r="E129" s="106">
        <v>26</v>
      </c>
      <c r="F129" s="106">
        <v>28</v>
      </c>
      <c r="G129" s="106">
        <v>28</v>
      </c>
      <c r="H129" s="106">
        <v>29</v>
      </c>
      <c r="I129" s="106">
        <v>30</v>
      </c>
      <c r="J129" s="106">
        <v>27</v>
      </c>
      <c r="K129" s="106">
        <v>12</v>
      </c>
      <c r="L129" s="106">
        <v>13</v>
      </c>
      <c r="M129" s="106">
        <v>13.4</v>
      </c>
      <c r="N129" s="106">
        <v>12</v>
      </c>
      <c r="O129" s="106">
        <v>12.5</v>
      </c>
      <c r="P129" s="106">
        <v>18.600000000000001</v>
      </c>
      <c r="Q129" s="106">
        <v>21</v>
      </c>
      <c r="R129" s="106">
        <v>22</v>
      </c>
      <c r="S129" s="106">
        <v>21.3</v>
      </c>
      <c r="T129" s="106">
        <v>21.9</v>
      </c>
      <c r="U129" s="106">
        <v>15.4</v>
      </c>
      <c r="V129" s="106">
        <v>11.7</v>
      </c>
      <c r="W129" s="106">
        <v>12.1</v>
      </c>
      <c r="X129" s="106">
        <v>11.6</v>
      </c>
      <c r="Y129" s="106">
        <v>11.6</v>
      </c>
      <c r="Z129" s="106">
        <v>11.3</v>
      </c>
      <c r="AA129" s="106">
        <v>11.1</v>
      </c>
      <c r="AB129" s="106">
        <v>9.6</v>
      </c>
      <c r="AC129" s="106">
        <v>10.1</v>
      </c>
      <c r="AD129" s="106">
        <v>8.9</v>
      </c>
      <c r="AE129" s="106">
        <v>26.5</v>
      </c>
      <c r="AF129" s="106">
        <v>26.8</v>
      </c>
      <c r="AG129" s="114"/>
      <c r="AH129" s="47">
        <f t="shared" si="33"/>
        <v>30</v>
      </c>
      <c r="AI129" s="48">
        <f t="shared" si="34"/>
        <v>8.9</v>
      </c>
    </row>
    <row r="130" spans="1:37" ht="15.75" thickBot="1" x14ac:dyDescent="0.3">
      <c r="A130" s="173" t="s">
        <v>258</v>
      </c>
      <c r="B130" s="106">
        <v>80</v>
      </c>
      <c r="C130" s="106">
        <v>80</v>
      </c>
      <c r="D130" s="106">
        <v>77</v>
      </c>
      <c r="E130" s="106">
        <v>78</v>
      </c>
      <c r="F130" s="106">
        <v>80</v>
      </c>
      <c r="G130" s="106">
        <v>80</v>
      </c>
      <c r="H130" s="106">
        <v>90</v>
      </c>
      <c r="I130" s="106">
        <v>87</v>
      </c>
      <c r="J130" s="106">
        <v>100</v>
      </c>
      <c r="K130" s="106">
        <v>96</v>
      </c>
      <c r="L130" s="106">
        <v>81</v>
      </c>
      <c r="M130" s="106">
        <v>83.7</v>
      </c>
      <c r="N130" s="106">
        <v>61</v>
      </c>
      <c r="O130" s="106">
        <v>53</v>
      </c>
      <c r="P130" s="106">
        <v>91.4</v>
      </c>
      <c r="Q130" s="106">
        <v>91</v>
      </c>
      <c r="R130" s="106">
        <v>95</v>
      </c>
      <c r="S130" s="106">
        <v>99.1</v>
      </c>
      <c r="T130" s="106">
        <v>102.4</v>
      </c>
      <c r="U130" s="106">
        <v>97.1</v>
      </c>
      <c r="V130" s="106">
        <v>92.8</v>
      </c>
      <c r="W130" s="106">
        <v>93.9</v>
      </c>
      <c r="X130" s="106">
        <v>116.3</v>
      </c>
      <c r="Y130" s="106">
        <v>116.3</v>
      </c>
      <c r="Z130" s="106">
        <v>105.4</v>
      </c>
      <c r="AA130" s="106">
        <v>101.2</v>
      </c>
      <c r="AB130" s="106">
        <v>91.6</v>
      </c>
      <c r="AC130" s="106">
        <v>88.2</v>
      </c>
      <c r="AD130" s="106">
        <v>90</v>
      </c>
      <c r="AE130" s="106">
        <v>100.2</v>
      </c>
      <c r="AF130" s="106">
        <v>88.9</v>
      </c>
      <c r="AG130" s="114"/>
      <c r="AH130" s="47">
        <f t="shared" si="33"/>
        <v>116.3</v>
      </c>
      <c r="AI130" s="48">
        <f t="shared" si="34"/>
        <v>53</v>
      </c>
    </row>
    <row r="131" spans="1:37" x14ac:dyDescent="0.25">
      <c r="A131" s="144" t="s">
        <v>238</v>
      </c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6"/>
      <c r="AG131" s="43"/>
      <c r="AH131" s="47"/>
      <c r="AI131" s="48"/>
    </row>
    <row r="132" spans="1:37" x14ac:dyDescent="0.25">
      <c r="A132" s="189" t="s">
        <v>368</v>
      </c>
      <c r="B132" s="147">
        <v>1983.65</v>
      </c>
      <c r="C132" s="147">
        <v>1983.95</v>
      </c>
      <c r="D132" s="147">
        <v>1984.25</v>
      </c>
      <c r="E132" s="147">
        <v>1984.49</v>
      </c>
      <c r="F132" s="147">
        <v>1984.75</v>
      </c>
      <c r="G132" s="147">
        <v>1984.97</v>
      </c>
      <c r="H132" s="147">
        <v>1985.1</v>
      </c>
      <c r="I132" s="147">
        <v>1985.2</v>
      </c>
      <c r="J132" s="147">
        <v>1985.29</v>
      </c>
      <c r="K132" s="147">
        <v>1985.29</v>
      </c>
      <c r="L132" s="147">
        <v>1985.31</v>
      </c>
      <c r="M132" s="147">
        <v>1985.15</v>
      </c>
      <c r="N132" s="147">
        <v>1984.7</v>
      </c>
      <c r="O132" s="147">
        <v>1984.58</v>
      </c>
      <c r="P132" s="147">
        <v>1984.8</v>
      </c>
      <c r="Q132" s="147">
        <v>1984.92</v>
      </c>
      <c r="R132" s="147">
        <v>1985</v>
      </c>
      <c r="S132" s="147">
        <v>1985.09</v>
      </c>
      <c r="T132" s="147">
        <v>1985.11</v>
      </c>
      <c r="U132" s="147">
        <v>1985.1</v>
      </c>
      <c r="V132" s="147">
        <v>1985</v>
      </c>
      <c r="W132" s="147"/>
      <c r="X132" s="147">
        <v>1984.8</v>
      </c>
      <c r="Y132" s="147"/>
      <c r="Z132" s="147"/>
      <c r="AA132" s="147"/>
      <c r="AB132" s="147">
        <v>1983.53</v>
      </c>
      <c r="AC132" s="147"/>
      <c r="AD132" s="147">
        <v>1983.1</v>
      </c>
      <c r="AE132" s="147">
        <v>1983.1</v>
      </c>
      <c r="AF132" s="148">
        <v>1983.4</v>
      </c>
      <c r="AG132" s="149"/>
      <c r="AH132" s="47"/>
      <c r="AI132" s="48"/>
    </row>
    <row r="133" spans="1:37" x14ac:dyDescent="0.25">
      <c r="A133" s="189" t="s">
        <v>239</v>
      </c>
      <c r="B133" s="150">
        <v>519.67999999999995</v>
      </c>
      <c r="C133" s="150">
        <v>520.12</v>
      </c>
      <c r="D133" s="150">
        <v>520.54</v>
      </c>
      <c r="E133" s="150">
        <v>520.91999999999996</v>
      </c>
      <c r="F133" s="150">
        <v>521.29999999999995</v>
      </c>
      <c r="G133" s="150">
        <v>521.66</v>
      </c>
      <c r="H133" s="150"/>
      <c r="I133" s="150">
        <v>521.84</v>
      </c>
      <c r="J133" s="150">
        <v>521.83000000000004</v>
      </c>
      <c r="K133" s="150">
        <v>521.82000000000005</v>
      </c>
      <c r="L133" s="150">
        <v>521.78</v>
      </c>
      <c r="M133" s="150">
        <v>521.67999999999995</v>
      </c>
      <c r="N133" s="150">
        <v>521.38</v>
      </c>
      <c r="O133" s="150">
        <v>521.25</v>
      </c>
      <c r="P133" s="150">
        <v>521.24</v>
      </c>
      <c r="Q133" s="150">
        <v>520.9</v>
      </c>
      <c r="R133" s="150">
        <v>520.22</v>
      </c>
      <c r="S133" s="150">
        <v>519.96</v>
      </c>
      <c r="T133" s="150">
        <v>519.99</v>
      </c>
      <c r="U133" s="150">
        <v>520.08000000000004</v>
      </c>
      <c r="V133" s="150">
        <v>520.22</v>
      </c>
      <c r="W133" s="150"/>
      <c r="X133" s="150"/>
      <c r="Y133" s="150"/>
      <c r="Z133" s="150"/>
      <c r="AA133" s="150"/>
      <c r="AB133" s="150">
        <v>519.35</v>
      </c>
      <c r="AC133" s="150"/>
      <c r="AD133" s="150">
        <v>519.03</v>
      </c>
      <c r="AE133" s="150">
        <v>518.67999999999995</v>
      </c>
      <c r="AF133" s="151">
        <v>518.9</v>
      </c>
      <c r="AG133" s="149"/>
      <c r="AH133" s="47"/>
      <c r="AI133" s="48"/>
    </row>
    <row r="134" spans="1:37" x14ac:dyDescent="0.25">
      <c r="A134" s="189" t="s">
        <v>240</v>
      </c>
      <c r="B134" s="150">
        <v>622.47</v>
      </c>
      <c r="C134" s="150">
        <v>622.9</v>
      </c>
      <c r="D134" s="150">
        <v>623.55999999999995</v>
      </c>
      <c r="E134" s="150">
        <v>623.9</v>
      </c>
      <c r="F134" s="150">
        <v>624.25</v>
      </c>
      <c r="G134" s="150">
        <v>624.6</v>
      </c>
      <c r="H134" s="150"/>
      <c r="I134" s="150">
        <v>624.58000000000004</v>
      </c>
      <c r="J134" s="150">
        <v>624.6</v>
      </c>
      <c r="K134" s="150">
        <v>624.64</v>
      </c>
      <c r="L134" s="150">
        <v>624.4</v>
      </c>
      <c r="M134" s="150">
        <v>624.16999999999996</v>
      </c>
      <c r="N134" s="150">
        <v>623.71</v>
      </c>
      <c r="O134" s="150">
        <v>623.57000000000005</v>
      </c>
      <c r="P134" s="150">
        <v>623.66999999999996</v>
      </c>
      <c r="Q134" s="150">
        <v>623.46</v>
      </c>
      <c r="R134" s="150">
        <v>622.86</v>
      </c>
      <c r="S134" s="150">
        <v>622.36</v>
      </c>
      <c r="T134" s="150">
        <v>622.19000000000005</v>
      </c>
      <c r="U134" s="150">
        <v>622.16</v>
      </c>
      <c r="V134" s="150">
        <v>622.80999999999995</v>
      </c>
      <c r="W134" s="150"/>
      <c r="X134" s="150"/>
      <c r="Y134" s="150"/>
      <c r="Z134" s="150"/>
      <c r="AA134" s="150"/>
      <c r="AB134" s="150">
        <v>621.58000000000004</v>
      </c>
      <c r="AC134" s="150"/>
      <c r="AD134" s="150">
        <v>621.22</v>
      </c>
      <c r="AE134" s="150">
        <v>621.48</v>
      </c>
      <c r="AF134" s="151">
        <v>622.26</v>
      </c>
      <c r="AG134" s="149"/>
      <c r="AH134" s="47"/>
      <c r="AI134" s="48"/>
    </row>
    <row r="135" spans="1:37" x14ac:dyDescent="0.25">
      <c r="A135" s="189" t="s">
        <v>241</v>
      </c>
      <c r="B135" s="150">
        <v>334.79</v>
      </c>
      <c r="C135" s="150">
        <v>335.24</v>
      </c>
      <c r="D135" s="150">
        <v>335.88</v>
      </c>
      <c r="E135" s="150">
        <v>336.57</v>
      </c>
      <c r="F135" s="150">
        <v>336.74</v>
      </c>
      <c r="G135" s="150">
        <v>336.94</v>
      </c>
      <c r="H135" s="150"/>
      <c r="I135" s="150">
        <v>336.91</v>
      </c>
      <c r="J135" s="150">
        <v>336.77</v>
      </c>
      <c r="K135" s="150">
        <v>336.65</v>
      </c>
      <c r="L135" s="150">
        <v>336.47</v>
      </c>
      <c r="M135" s="150">
        <v>336.25</v>
      </c>
      <c r="N135" s="150">
        <v>335.75</v>
      </c>
      <c r="O135" s="150">
        <v>335.42</v>
      </c>
      <c r="P135" s="150">
        <v>335.35</v>
      </c>
      <c r="Q135" s="150">
        <v>335.13</v>
      </c>
      <c r="R135" s="150">
        <v>335.02</v>
      </c>
      <c r="S135" s="150">
        <v>335.21</v>
      </c>
      <c r="T135" s="150">
        <v>335.26</v>
      </c>
      <c r="U135" s="150">
        <v>335.11</v>
      </c>
      <c r="V135" s="150">
        <v>334.92</v>
      </c>
      <c r="W135" s="150"/>
      <c r="X135" s="150"/>
      <c r="Y135" s="150"/>
      <c r="Z135" s="150"/>
      <c r="AA135" s="150"/>
      <c r="AB135" s="150">
        <v>334.81</v>
      </c>
      <c r="AC135" s="150"/>
      <c r="AD135" s="150">
        <v>334.57</v>
      </c>
      <c r="AE135" s="150">
        <v>334.49</v>
      </c>
      <c r="AF135" s="151">
        <v>334.4</v>
      </c>
      <c r="AG135" s="149"/>
      <c r="AH135" s="47"/>
      <c r="AI135" s="48"/>
    </row>
    <row r="136" spans="1:37" x14ac:dyDescent="0.25">
      <c r="A136" s="189" t="s">
        <v>407</v>
      </c>
      <c r="B136" s="150">
        <v>884.6</v>
      </c>
      <c r="C136" s="150">
        <v>885.2</v>
      </c>
      <c r="D136" s="150">
        <v>885.9</v>
      </c>
      <c r="E136" s="150">
        <v>886.5</v>
      </c>
      <c r="F136" s="150">
        <v>886.9</v>
      </c>
      <c r="G136" s="150">
        <v>887.4</v>
      </c>
      <c r="H136" s="150">
        <v>887.4</v>
      </c>
      <c r="I136" s="150">
        <v>887.4</v>
      </c>
      <c r="J136" s="150">
        <v>887.4</v>
      </c>
      <c r="K136" s="150">
        <v>887.2</v>
      </c>
      <c r="L136" s="150">
        <v>887.2</v>
      </c>
      <c r="M136" s="150">
        <v>887.1</v>
      </c>
      <c r="N136" s="150">
        <v>886.8</v>
      </c>
      <c r="O136" s="150">
        <v>866.2</v>
      </c>
      <c r="P136" s="150">
        <v>886</v>
      </c>
      <c r="Q136" s="150">
        <v>885.9</v>
      </c>
      <c r="R136" s="150">
        <v>885.6</v>
      </c>
      <c r="S136" s="150">
        <v>884.6</v>
      </c>
      <c r="T136" s="150">
        <v>883.6</v>
      </c>
      <c r="U136" s="150">
        <v>882.6</v>
      </c>
      <c r="V136" s="150">
        <v>882.1</v>
      </c>
      <c r="W136" s="150"/>
      <c r="X136" s="150"/>
      <c r="Y136" s="150"/>
      <c r="Z136" s="150"/>
      <c r="AA136" s="150"/>
      <c r="AB136" s="150">
        <v>881.8</v>
      </c>
      <c r="AC136" s="150"/>
      <c r="AD136" s="150">
        <v>882.6</v>
      </c>
      <c r="AE136" s="150">
        <v>883.5</v>
      </c>
      <c r="AF136" s="151">
        <v>884.3</v>
      </c>
      <c r="AG136" s="149"/>
      <c r="AH136" s="47"/>
      <c r="AI136" s="48"/>
    </row>
    <row r="137" spans="1:37" ht="15.75" thickBot="1" x14ac:dyDescent="0.3">
      <c r="A137" s="189" t="s">
        <v>242</v>
      </c>
      <c r="B137" s="152">
        <v>1518.92</v>
      </c>
      <c r="C137" s="152"/>
      <c r="D137" s="152"/>
      <c r="E137" s="152"/>
      <c r="F137" s="152"/>
      <c r="G137" s="152"/>
      <c r="H137" s="152"/>
      <c r="I137" s="152"/>
      <c r="J137" s="152">
        <v>1518.93</v>
      </c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>
        <v>1518.85</v>
      </c>
      <c r="Y137" s="152"/>
      <c r="Z137" s="152"/>
      <c r="AA137" s="152"/>
      <c r="AB137" s="152">
        <v>1518.83</v>
      </c>
      <c r="AC137" s="152"/>
      <c r="AD137" s="152"/>
      <c r="AE137" s="152"/>
      <c r="AF137" s="153"/>
      <c r="AG137" s="149"/>
      <c r="AH137" s="47"/>
      <c r="AI137" s="48"/>
    </row>
    <row r="138" spans="1:37" ht="15.75" thickBot="1" x14ac:dyDescent="0.3">
      <c r="A138" s="120" t="s">
        <v>125</v>
      </c>
      <c r="B138" s="121"/>
      <c r="C138" s="121"/>
      <c r="D138" s="121"/>
      <c r="E138" s="121"/>
      <c r="F138" s="170" t="s">
        <v>254</v>
      </c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74"/>
      <c r="AH138" s="47"/>
      <c r="AI138" s="48"/>
      <c r="AK138" s="50"/>
    </row>
    <row r="139" spans="1:37" x14ac:dyDescent="0.25">
      <c r="A139" s="122" t="s">
        <v>126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5">
        <v>9.94</v>
      </c>
      <c r="AH139" s="47"/>
      <c r="AI139" s="48"/>
      <c r="AK139" s="50"/>
    </row>
    <row r="140" spans="1:37" x14ac:dyDescent="0.25">
      <c r="A140" s="103" t="s">
        <v>127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5"/>
      <c r="AH140" s="47"/>
      <c r="AI140" s="48"/>
      <c r="AK140" s="50"/>
    </row>
    <row r="141" spans="1:37" x14ac:dyDescent="0.25">
      <c r="A141" s="103" t="s">
        <v>128</v>
      </c>
      <c r="B141" s="123"/>
      <c r="C141" s="124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5"/>
      <c r="AH141" s="47"/>
      <c r="AI141" s="48"/>
      <c r="AK141" s="50"/>
    </row>
    <row r="142" spans="1:37" x14ac:dyDescent="0.25">
      <c r="A142" s="103" t="s">
        <v>129</v>
      </c>
      <c r="B142" s="123"/>
      <c r="C142" s="124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5"/>
      <c r="AH142" s="47"/>
      <c r="AI142" s="48"/>
      <c r="AK142" s="50"/>
    </row>
    <row r="143" spans="1:37" x14ac:dyDescent="0.25">
      <c r="A143" s="103" t="s">
        <v>130</v>
      </c>
      <c r="B143" s="123"/>
      <c r="C143" s="124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5"/>
      <c r="AH143" s="47"/>
      <c r="AI143" s="48"/>
      <c r="AK143" s="50"/>
    </row>
    <row r="144" spans="1:37" x14ac:dyDescent="0.25">
      <c r="A144" s="103" t="s">
        <v>131</v>
      </c>
      <c r="B144" s="123"/>
      <c r="C144" s="124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>
        <v>9801043598</v>
      </c>
      <c r="R144" s="123"/>
      <c r="S144" s="123"/>
      <c r="T144" s="123"/>
      <c r="U144" s="123">
        <v>43.7</v>
      </c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5"/>
      <c r="AH144" s="47"/>
      <c r="AI144" s="48"/>
      <c r="AK144" s="50"/>
    </row>
    <row r="145" spans="1:37" x14ac:dyDescent="0.25">
      <c r="A145" s="103" t="s">
        <v>132</v>
      </c>
      <c r="B145" s="123"/>
      <c r="C145" s="124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>
        <v>38.6</v>
      </c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5"/>
      <c r="AH145" s="47"/>
      <c r="AI145" s="48"/>
      <c r="AK145" s="50"/>
    </row>
    <row r="146" spans="1:37" x14ac:dyDescent="0.25">
      <c r="A146" s="103" t="s">
        <v>133</v>
      </c>
      <c r="B146" s="123"/>
      <c r="C146" s="124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>
        <f>U144+U145</f>
        <v>82.300000000000011</v>
      </c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5"/>
      <c r="AH146" s="47"/>
      <c r="AI146" s="48"/>
      <c r="AK146" s="50"/>
    </row>
    <row r="147" spans="1:37" x14ac:dyDescent="0.25">
      <c r="A147" s="103" t="s">
        <v>134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5"/>
      <c r="AH147" s="47"/>
      <c r="AI147" s="48"/>
      <c r="AK147" s="50"/>
    </row>
    <row r="148" spans="1:37" x14ac:dyDescent="0.25">
      <c r="A148" s="103" t="s">
        <v>135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5"/>
      <c r="AH148" s="47"/>
      <c r="AI148" s="48"/>
      <c r="AK148" s="50"/>
    </row>
    <row r="149" spans="1:37" x14ac:dyDescent="0.25">
      <c r="A149" s="103" t="s">
        <v>136</v>
      </c>
      <c r="B149" s="123"/>
      <c r="C149" s="124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5"/>
      <c r="AH149" s="47"/>
      <c r="AI149" s="48"/>
      <c r="AK149" s="50"/>
    </row>
    <row r="150" spans="1:37" x14ac:dyDescent="0.25">
      <c r="A150" s="103" t="s">
        <v>137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5"/>
      <c r="AH150" s="47"/>
      <c r="AI150" s="48"/>
      <c r="AK150" s="50"/>
    </row>
    <row r="151" spans="1:37" x14ac:dyDescent="0.25">
      <c r="A151" s="103" t="s">
        <v>138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5"/>
      <c r="AH151" s="47"/>
      <c r="AI151" s="48"/>
      <c r="AK151" s="50"/>
    </row>
    <row r="152" spans="1:37" x14ac:dyDescent="0.25">
      <c r="A152" s="103" t="s">
        <v>139</v>
      </c>
      <c r="B152" s="123"/>
      <c r="C152" s="124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5"/>
      <c r="AH152" s="47"/>
      <c r="AI152" s="48"/>
      <c r="AK152" s="50"/>
    </row>
    <row r="153" spans="1:37" x14ac:dyDescent="0.25">
      <c r="A153" s="103" t="s">
        <v>140</v>
      </c>
      <c r="B153" s="123"/>
      <c r="C153" s="124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5"/>
      <c r="AH153" s="47"/>
      <c r="AI153" s="48"/>
      <c r="AK153" s="50"/>
    </row>
    <row r="154" spans="1:37" x14ac:dyDescent="0.25">
      <c r="A154" s="103" t="s">
        <v>141</v>
      </c>
      <c r="B154" s="123"/>
      <c r="C154" s="124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5"/>
      <c r="AH154" s="47"/>
      <c r="AI154" s="48"/>
      <c r="AK154" s="50"/>
    </row>
    <row r="155" spans="1:37" x14ac:dyDescent="0.25">
      <c r="A155" s="103" t="s">
        <v>142</v>
      </c>
      <c r="B155" s="126"/>
      <c r="C155" s="127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8">
        <v>9.9</v>
      </c>
      <c r="AH155" s="47"/>
      <c r="AI155" s="48"/>
      <c r="AK155" s="50"/>
    </row>
    <row r="156" spans="1:37" x14ac:dyDescent="0.25">
      <c r="A156" s="116" t="s">
        <v>143</v>
      </c>
      <c r="B156" s="126"/>
      <c r="C156" s="127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9">
        <v>9.6579999999999995</v>
      </c>
      <c r="AH156" s="47"/>
      <c r="AI156" s="48"/>
      <c r="AK156" s="50"/>
    </row>
    <row r="157" spans="1:37" x14ac:dyDescent="0.25">
      <c r="A157" s="116" t="s">
        <v>144</v>
      </c>
      <c r="B157" s="126"/>
      <c r="C157" s="127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9">
        <v>9.6</v>
      </c>
      <c r="AH157" s="47"/>
      <c r="AI157" s="48"/>
      <c r="AK157" s="50"/>
    </row>
    <row r="158" spans="1:37" x14ac:dyDescent="0.25">
      <c r="A158" s="116" t="s">
        <v>145</v>
      </c>
      <c r="B158" s="126"/>
      <c r="C158" s="127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9">
        <v>9.51</v>
      </c>
      <c r="AH158" s="47"/>
      <c r="AI158" s="48"/>
      <c r="AK158" s="50"/>
    </row>
    <row r="159" spans="1:37" x14ac:dyDescent="0.25">
      <c r="A159" s="116" t="s">
        <v>146</v>
      </c>
      <c r="B159" s="126"/>
      <c r="C159" s="127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9">
        <v>9.4</v>
      </c>
      <c r="AH159" s="47"/>
      <c r="AI159" s="48"/>
      <c r="AK159" s="50"/>
    </row>
    <row r="160" spans="1:37" x14ac:dyDescent="0.25">
      <c r="A160" s="116" t="s">
        <v>147</v>
      </c>
      <c r="B160" s="126"/>
      <c r="C160" s="127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9">
        <v>8.8000000000000007</v>
      </c>
      <c r="AH160" s="47"/>
      <c r="AI160" s="48"/>
      <c r="AK160" s="50"/>
    </row>
    <row r="161" spans="1:37" x14ac:dyDescent="0.25">
      <c r="A161" s="116" t="s">
        <v>148</v>
      </c>
      <c r="B161" s="126"/>
      <c r="C161" s="127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9">
        <v>8.5</v>
      </c>
      <c r="AH161" s="47"/>
      <c r="AI161" s="48"/>
      <c r="AK161" s="50"/>
    </row>
    <row r="162" spans="1:37" x14ac:dyDescent="0.25">
      <c r="A162" s="116" t="s">
        <v>149</v>
      </c>
      <c r="B162" s="126"/>
      <c r="C162" s="127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9">
        <v>8.5</v>
      </c>
      <c r="AH162" s="47"/>
      <c r="AI162" s="48"/>
      <c r="AK162" s="50"/>
    </row>
    <row r="163" spans="1:37" x14ac:dyDescent="0.25">
      <c r="A163" s="116" t="s">
        <v>150</v>
      </c>
      <c r="B163" s="126"/>
      <c r="C163" s="127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9">
        <v>8.4</v>
      </c>
      <c r="AH163" s="47"/>
      <c r="AI163" s="48"/>
      <c r="AK163" s="50"/>
    </row>
    <row r="164" spans="1:37" ht="13.5" customHeight="1" x14ac:dyDescent="0.25">
      <c r="A164" s="116" t="s">
        <v>151</v>
      </c>
      <c r="B164" s="126"/>
      <c r="C164" s="127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9">
        <v>8</v>
      </c>
      <c r="AH164" s="47"/>
      <c r="AI164" s="48"/>
      <c r="AK164" s="50"/>
    </row>
    <row r="165" spans="1:37" x14ac:dyDescent="0.25">
      <c r="A165" s="116" t="s">
        <v>152</v>
      </c>
      <c r="B165" s="126"/>
      <c r="C165" s="127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9">
        <v>8</v>
      </c>
      <c r="AH165" s="47"/>
      <c r="AI165" s="48"/>
      <c r="AK165" s="50"/>
    </row>
    <row r="166" spans="1:37" x14ac:dyDescent="0.25">
      <c r="A166" s="116" t="s">
        <v>153</v>
      </c>
      <c r="B166" s="126"/>
      <c r="C166" s="127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9">
        <v>8</v>
      </c>
      <c r="AH166" s="47"/>
      <c r="AI166" s="48"/>
      <c r="AK166" s="50"/>
    </row>
    <row r="167" spans="1:37" x14ac:dyDescent="0.25">
      <c r="A167" s="116" t="s">
        <v>154</v>
      </c>
      <c r="B167" s="126"/>
      <c r="C167" s="127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9">
        <v>7.8</v>
      </c>
      <c r="AH167" s="47"/>
      <c r="AI167" s="48"/>
      <c r="AK167" s="50"/>
    </row>
    <row r="168" spans="1:37" x14ac:dyDescent="0.25">
      <c r="A168" s="116" t="s">
        <v>155</v>
      </c>
      <c r="B168" s="126"/>
      <c r="C168" s="127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9">
        <v>7.6</v>
      </c>
      <c r="AH168" s="47"/>
      <c r="AI168" s="48"/>
      <c r="AK168" s="50"/>
    </row>
    <row r="169" spans="1:37" x14ac:dyDescent="0.25">
      <c r="A169" s="116" t="s">
        <v>156</v>
      </c>
      <c r="B169" s="126"/>
      <c r="C169" s="127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9">
        <v>7.5</v>
      </c>
      <c r="AH169" s="47"/>
      <c r="AI169" s="48"/>
      <c r="AK169" s="50"/>
    </row>
    <row r="170" spans="1:37" x14ac:dyDescent="0.25">
      <c r="A170" s="116" t="s">
        <v>157</v>
      </c>
      <c r="B170" s="126"/>
      <c r="C170" s="127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9">
        <v>7.5</v>
      </c>
      <c r="AH170" s="47"/>
      <c r="AI170" s="48"/>
      <c r="AK170" s="50"/>
    </row>
    <row r="171" spans="1:37" x14ac:dyDescent="0.25">
      <c r="A171" s="116" t="s">
        <v>158</v>
      </c>
      <c r="B171" s="126"/>
      <c r="C171" s="127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9">
        <v>7</v>
      </c>
      <c r="AH171" s="47"/>
      <c r="AI171" s="48"/>
      <c r="AK171" s="50"/>
    </row>
    <row r="172" spans="1:37" x14ac:dyDescent="0.25">
      <c r="A172" s="116" t="s">
        <v>159</v>
      </c>
      <c r="B172" s="126"/>
      <c r="C172" s="127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9">
        <v>7</v>
      </c>
      <c r="AH172" s="47"/>
      <c r="AI172" s="48"/>
      <c r="AK172" s="50"/>
    </row>
    <row r="173" spans="1:37" x14ac:dyDescent="0.25">
      <c r="A173" s="116" t="s">
        <v>160</v>
      </c>
      <c r="B173" s="126"/>
      <c r="C173" s="127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9">
        <v>7</v>
      </c>
      <c r="AH173" s="47"/>
      <c r="AI173" s="48"/>
      <c r="AK173" s="50"/>
    </row>
    <row r="174" spans="1:37" x14ac:dyDescent="0.25">
      <c r="A174" s="116" t="s">
        <v>161</v>
      </c>
      <c r="B174" s="126"/>
      <c r="C174" s="127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9">
        <v>7</v>
      </c>
      <c r="AH174" s="47"/>
      <c r="AI174" s="48"/>
      <c r="AK174" s="50"/>
    </row>
    <row r="175" spans="1:37" x14ac:dyDescent="0.25">
      <c r="A175" s="116" t="s">
        <v>162</v>
      </c>
      <c r="B175" s="126"/>
      <c r="C175" s="127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9">
        <v>6.6</v>
      </c>
      <c r="AH175" s="47"/>
      <c r="AI175" s="48"/>
      <c r="AK175" s="50"/>
    </row>
    <row r="176" spans="1:37" x14ac:dyDescent="0.25">
      <c r="A176" s="116" t="s">
        <v>163</v>
      </c>
      <c r="B176" s="126"/>
      <c r="C176" s="127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9">
        <v>6.6</v>
      </c>
      <c r="AH176" s="47"/>
      <c r="AI176" s="48"/>
      <c r="AK176" s="50"/>
    </row>
    <row r="177" spans="1:37" x14ac:dyDescent="0.25">
      <c r="A177" s="116" t="s">
        <v>164</v>
      </c>
      <c r="B177" s="126"/>
      <c r="C177" s="127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9">
        <v>6.4</v>
      </c>
      <c r="AH177" s="47"/>
      <c r="AI177" s="48"/>
      <c r="AK177" s="50"/>
    </row>
    <row r="178" spans="1:37" x14ac:dyDescent="0.25">
      <c r="A178" s="116" t="s">
        <v>165</v>
      </c>
      <c r="B178" s="126"/>
      <c r="C178" s="127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9">
        <v>6</v>
      </c>
      <c r="AH178" s="47"/>
      <c r="AI178" s="48"/>
      <c r="AK178" s="50"/>
    </row>
    <row r="179" spans="1:37" x14ac:dyDescent="0.25">
      <c r="A179" s="116" t="s">
        <v>166</v>
      </c>
      <c r="B179" s="126"/>
      <c r="C179" s="127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9">
        <v>5.0999999999999996</v>
      </c>
      <c r="AH179" s="47"/>
      <c r="AI179" s="48"/>
      <c r="AK179" s="50"/>
    </row>
    <row r="180" spans="1:37" x14ac:dyDescent="0.25">
      <c r="A180" s="116" t="s">
        <v>167</v>
      </c>
      <c r="B180" s="126"/>
      <c r="C180" s="127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9">
        <v>5</v>
      </c>
      <c r="AH180" s="47"/>
      <c r="AI180" s="48"/>
      <c r="AK180" s="50"/>
    </row>
    <row r="181" spans="1:37" x14ac:dyDescent="0.25">
      <c r="A181" s="103" t="s">
        <v>168</v>
      </c>
      <c r="B181" s="126"/>
      <c r="C181" s="127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8">
        <v>5</v>
      </c>
      <c r="AH181" s="47"/>
      <c r="AI181" s="48"/>
      <c r="AK181" s="50"/>
    </row>
    <row r="182" spans="1:37" x14ac:dyDescent="0.25">
      <c r="A182" s="116" t="s">
        <v>169</v>
      </c>
      <c r="B182" s="126"/>
      <c r="C182" s="127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9">
        <v>5</v>
      </c>
      <c r="AH182" s="47"/>
      <c r="AI182" s="48"/>
      <c r="AK182" s="50"/>
    </row>
    <row r="183" spans="1:37" x14ac:dyDescent="0.25">
      <c r="A183" s="116" t="s">
        <v>170</v>
      </c>
      <c r="B183" s="126"/>
      <c r="C183" s="127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9">
        <v>5</v>
      </c>
      <c r="AH183" s="47"/>
      <c r="AI183" s="48"/>
      <c r="AK183" s="50"/>
    </row>
    <row r="184" spans="1:37" x14ac:dyDescent="0.25">
      <c r="A184" s="116" t="s">
        <v>171</v>
      </c>
      <c r="B184" s="126"/>
      <c r="C184" s="127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9">
        <v>5</v>
      </c>
      <c r="AH184" s="47"/>
      <c r="AI184" s="48"/>
      <c r="AK184" s="50"/>
    </row>
    <row r="185" spans="1:37" x14ac:dyDescent="0.25">
      <c r="A185" s="116" t="s">
        <v>172</v>
      </c>
      <c r="B185" s="126"/>
      <c r="C185" s="127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9">
        <v>5</v>
      </c>
      <c r="AH185" s="47"/>
      <c r="AI185" s="48"/>
      <c r="AK185" s="50"/>
    </row>
    <row r="186" spans="1:37" x14ac:dyDescent="0.25">
      <c r="A186" s="116" t="s">
        <v>173</v>
      </c>
      <c r="B186" s="126"/>
      <c r="C186" s="127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9">
        <v>5</v>
      </c>
      <c r="AH186" s="47"/>
      <c r="AI186" s="48"/>
      <c r="AK186" s="50"/>
    </row>
    <row r="187" spans="1:37" x14ac:dyDescent="0.25">
      <c r="A187" s="116" t="s">
        <v>174</v>
      </c>
      <c r="B187" s="126"/>
      <c r="C187" s="127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9">
        <v>4.9930000000000003</v>
      </c>
      <c r="AH187" s="47"/>
      <c r="AI187" s="48"/>
      <c r="AK187" s="50"/>
    </row>
    <row r="188" spans="1:37" x14ac:dyDescent="0.25">
      <c r="A188" s="116" t="s">
        <v>175</v>
      </c>
      <c r="B188" s="126"/>
      <c r="C188" s="127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9">
        <v>4.9800000000000004</v>
      </c>
      <c r="AH188" s="47"/>
      <c r="AI188" s="48"/>
      <c r="AK188" s="50"/>
    </row>
    <row r="189" spans="1:37" x14ac:dyDescent="0.25">
      <c r="A189" s="116" t="s">
        <v>176</v>
      </c>
      <c r="B189" s="126"/>
      <c r="C189" s="127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9">
        <v>4.95</v>
      </c>
      <c r="AH189" s="47"/>
      <c r="AI189" s="48"/>
      <c r="AK189" s="50"/>
    </row>
    <row r="190" spans="1:37" x14ac:dyDescent="0.25">
      <c r="A190" s="116" t="s">
        <v>177</v>
      </c>
      <c r="B190" s="126"/>
      <c r="C190" s="127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9">
        <v>4.95</v>
      </c>
      <c r="AH190" s="47"/>
      <c r="AI190" s="48"/>
      <c r="AK190" s="50"/>
    </row>
    <row r="191" spans="1:37" x14ac:dyDescent="0.25">
      <c r="A191" s="116" t="s">
        <v>178</v>
      </c>
      <c r="B191" s="126"/>
      <c r="C191" s="127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9">
        <v>4.8</v>
      </c>
      <c r="AH191" s="47"/>
      <c r="AI191" s="48"/>
      <c r="AK191" s="50"/>
    </row>
    <row r="192" spans="1:37" x14ac:dyDescent="0.25">
      <c r="A192" s="116" t="s">
        <v>179</v>
      </c>
      <c r="B192" s="126"/>
      <c r="C192" s="127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9">
        <v>4.8</v>
      </c>
      <c r="AH192" s="47"/>
      <c r="AI192" s="48"/>
      <c r="AK192" s="50"/>
    </row>
    <row r="193" spans="1:37" x14ac:dyDescent="0.25">
      <c r="A193" s="116" t="s">
        <v>180</v>
      </c>
      <c r="B193" s="126"/>
      <c r="C193" s="127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9">
        <v>4.8</v>
      </c>
      <c r="AH193" s="47"/>
      <c r="AI193" s="48"/>
      <c r="AK193" s="50"/>
    </row>
    <row r="194" spans="1:37" x14ac:dyDescent="0.25">
      <c r="A194" s="116" t="s">
        <v>181</v>
      </c>
      <c r="B194" s="126"/>
      <c r="C194" s="127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9">
        <v>4.5</v>
      </c>
      <c r="AH194" s="47"/>
      <c r="AI194" s="48"/>
      <c r="AK194" s="50"/>
    </row>
    <row r="195" spans="1:37" x14ac:dyDescent="0.25">
      <c r="A195" s="116" t="s">
        <v>182</v>
      </c>
      <c r="B195" s="126"/>
      <c r="C195" s="127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9">
        <v>4.5</v>
      </c>
      <c r="AH195" s="47"/>
      <c r="AI195" s="48"/>
      <c r="AK195" s="50"/>
    </row>
    <row r="196" spans="1:37" x14ac:dyDescent="0.25">
      <c r="A196" s="116" t="s">
        <v>183</v>
      </c>
      <c r="B196" s="126"/>
      <c r="C196" s="127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9">
        <v>4.4550000000000001</v>
      </c>
      <c r="AH196" s="47"/>
      <c r="AI196" s="48"/>
      <c r="AK196" s="50"/>
    </row>
    <row r="197" spans="1:37" x14ac:dyDescent="0.25">
      <c r="A197" s="116" t="s">
        <v>184</v>
      </c>
      <c r="B197" s="126"/>
      <c r="C197" s="127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9">
        <v>4.41</v>
      </c>
      <c r="AH197" s="47"/>
      <c r="AI197" s="48"/>
      <c r="AK197" s="50"/>
    </row>
    <row r="198" spans="1:37" x14ac:dyDescent="0.25">
      <c r="A198" s="116" t="s">
        <v>185</v>
      </c>
      <c r="B198" s="126"/>
      <c r="C198" s="127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9">
        <v>4.4000000000000004</v>
      </c>
      <c r="AH198" s="47"/>
      <c r="AI198" s="48"/>
      <c r="AK198" s="50"/>
    </row>
    <row r="199" spans="1:37" x14ac:dyDescent="0.25">
      <c r="A199" s="116" t="s">
        <v>186</v>
      </c>
      <c r="B199" s="126"/>
      <c r="C199" s="127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9">
        <v>4.3600000000000003</v>
      </c>
      <c r="AH199" s="47"/>
      <c r="AI199" s="48"/>
      <c r="AK199" s="50"/>
    </row>
    <row r="200" spans="1:37" x14ac:dyDescent="0.25">
      <c r="A200" s="116" t="s">
        <v>187</v>
      </c>
      <c r="B200" s="126"/>
      <c r="C200" s="127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9">
        <v>4.2</v>
      </c>
      <c r="AH200" s="47"/>
      <c r="AI200" s="48"/>
      <c r="AK200" s="50"/>
    </row>
    <row r="201" spans="1:37" x14ac:dyDescent="0.25">
      <c r="A201" s="116" t="s">
        <v>188</v>
      </c>
      <c r="B201" s="126"/>
      <c r="C201" s="127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9">
        <v>4</v>
      </c>
      <c r="AH201" s="47"/>
      <c r="AI201" s="48"/>
      <c r="AK201" s="50"/>
    </row>
    <row r="202" spans="1:37" x14ac:dyDescent="0.25">
      <c r="A202" s="116" t="s">
        <v>189</v>
      </c>
      <c r="B202" s="126"/>
      <c r="C202" s="127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9">
        <v>4</v>
      </c>
      <c r="AH202" s="47"/>
      <c r="AI202" s="48"/>
      <c r="AK202" s="50"/>
    </row>
    <row r="203" spans="1:37" x14ac:dyDescent="0.25">
      <c r="A203" s="116" t="s">
        <v>190</v>
      </c>
      <c r="B203" s="126"/>
      <c r="C203" s="127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9">
        <v>4</v>
      </c>
      <c r="AH203" s="47"/>
      <c r="AI203" s="48"/>
      <c r="AK203" s="50"/>
    </row>
    <row r="204" spans="1:37" x14ac:dyDescent="0.25">
      <c r="A204" s="116" t="s">
        <v>191</v>
      </c>
      <c r="B204" s="126"/>
      <c r="C204" s="127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9">
        <v>4</v>
      </c>
      <c r="AH204" s="47"/>
      <c r="AI204" s="48"/>
      <c r="AK204" s="50"/>
    </row>
    <row r="205" spans="1:37" x14ac:dyDescent="0.25">
      <c r="A205" s="116" t="s">
        <v>192</v>
      </c>
      <c r="B205" s="126"/>
      <c r="C205" s="127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9">
        <v>4</v>
      </c>
      <c r="AH205" s="47"/>
      <c r="AI205" s="48"/>
      <c r="AK205" s="50"/>
    </row>
    <row r="206" spans="1:37" x14ac:dyDescent="0.25">
      <c r="A206" s="116" t="s">
        <v>193</v>
      </c>
      <c r="B206" s="126"/>
      <c r="C206" s="127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9">
        <v>4</v>
      </c>
      <c r="AH206" s="47"/>
      <c r="AI206" s="48"/>
      <c r="AK206" s="50"/>
    </row>
    <row r="207" spans="1:37" x14ac:dyDescent="0.25">
      <c r="A207" s="116" t="s">
        <v>194</v>
      </c>
      <c r="B207" s="126"/>
      <c r="C207" s="127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9">
        <v>4</v>
      </c>
      <c r="AH207" s="47"/>
      <c r="AI207" s="48"/>
      <c r="AK207" s="50"/>
    </row>
    <row r="208" spans="1:37" x14ac:dyDescent="0.25">
      <c r="A208" s="116" t="s">
        <v>195</v>
      </c>
      <c r="B208" s="126"/>
      <c r="C208" s="127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9">
        <v>4</v>
      </c>
      <c r="AH208" s="47"/>
      <c r="AI208" s="48"/>
      <c r="AK208" s="50"/>
    </row>
    <row r="209" spans="1:37" x14ac:dyDescent="0.25">
      <c r="A209" s="116" t="s">
        <v>196</v>
      </c>
      <c r="B209" s="126"/>
      <c r="C209" s="127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9">
        <v>3.75</v>
      </c>
      <c r="AH209" s="47"/>
      <c r="AI209" s="48"/>
      <c r="AK209" s="50"/>
    </row>
    <row r="210" spans="1:37" x14ac:dyDescent="0.25">
      <c r="A210" s="116" t="s">
        <v>197</v>
      </c>
      <c r="B210" s="126"/>
      <c r="C210" s="127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9">
        <v>3.52</v>
      </c>
      <c r="AH210" s="47"/>
      <c r="AI210" s="48"/>
      <c r="AK210" s="50"/>
    </row>
    <row r="211" spans="1:37" x14ac:dyDescent="0.25">
      <c r="A211" s="116" t="s">
        <v>198</v>
      </c>
      <c r="B211" s="126"/>
      <c r="C211" s="127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9">
        <v>3.33</v>
      </c>
      <c r="AH211" s="47"/>
      <c r="AI211" s="48"/>
      <c r="AK211" s="50"/>
    </row>
    <row r="212" spans="1:37" x14ac:dyDescent="0.25">
      <c r="A212" s="116" t="s">
        <v>199</v>
      </c>
      <c r="B212" s="126"/>
      <c r="C212" s="127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9">
        <v>3.2</v>
      </c>
      <c r="AH212" s="47"/>
      <c r="AI212" s="48"/>
      <c r="AK212" s="50"/>
    </row>
    <row r="213" spans="1:37" x14ac:dyDescent="0.25">
      <c r="A213" s="116" t="s">
        <v>200</v>
      </c>
      <c r="B213" s="126"/>
      <c r="C213" s="127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9">
        <v>3</v>
      </c>
      <c r="AH213" s="47"/>
      <c r="AI213" s="48"/>
      <c r="AK213" s="50"/>
    </row>
    <row r="214" spans="1:37" x14ac:dyDescent="0.25">
      <c r="A214" s="116" t="s">
        <v>201</v>
      </c>
      <c r="B214" s="126"/>
      <c r="C214" s="127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9">
        <v>3</v>
      </c>
      <c r="AH214" s="47"/>
      <c r="AI214" s="48"/>
      <c r="AK214" s="50"/>
    </row>
    <row r="215" spans="1:37" x14ac:dyDescent="0.25">
      <c r="A215" s="116" t="s">
        <v>202</v>
      </c>
      <c r="B215" s="126"/>
      <c r="C215" s="127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9">
        <v>3</v>
      </c>
      <c r="AH215" s="47"/>
      <c r="AI215" s="48"/>
      <c r="AK215" s="50"/>
    </row>
    <row r="216" spans="1:37" x14ac:dyDescent="0.25">
      <c r="A216" s="116" t="s">
        <v>203</v>
      </c>
      <c r="B216" s="126"/>
      <c r="C216" s="127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9">
        <v>3</v>
      </c>
      <c r="AH216" s="47"/>
      <c r="AI216" s="48"/>
      <c r="AK216" s="50"/>
    </row>
    <row r="217" spans="1:37" x14ac:dyDescent="0.25">
      <c r="A217" s="116" t="s">
        <v>204</v>
      </c>
      <c r="B217" s="126"/>
      <c r="C217" s="127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9">
        <v>3</v>
      </c>
      <c r="AH217" s="47"/>
      <c r="AI217" s="48"/>
      <c r="AK217" s="50"/>
    </row>
    <row r="218" spans="1:37" x14ac:dyDescent="0.25">
      <c r="A218" s="116" t="s">
        <v>205</v>
      </c>
      <c r="B218" s="126"/>
      <c r="C218" s="127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9">
        <v>3</v>
      </c>
      <c r="AH218" s="47"/>
      <c r="AI218" s="48"/>
      <c r="AK218" s="50"/>
    </row>
    <row r="219" spans="1:37" x14ac:dyDescent="0.25">
      <c r="A219" s="116" t="s">
        <v>206</v>
      </c>
      <c r="B219" s="126"/>
      <c r="C219" s="127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9">
        <v>3</v>
      </c>
      <c r="AH219" s="47"/>
      <c r="AI219" s="48"/>
      <c r="AK219" s="50"/>
    </row>
    <row r="220" spans="1:37" x14ac:dyDescent="0.25">
      <c r="A220" s="116" t="s">
        <v>207</v>
      </c>
      <c r="B220" s="126"/>
      <c r="C220" s="127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9">
        <v>3</v>
      </c>
      <c r="AH220" s="47"/>
      <c r="AI220" s="48"/>
      <c r="AK220" s="50"/>
    </row>
    <row r="221" spans="1:37" x14ac:dyDescent="0.25">
      <c r="A221" s="116" t="s">
        <v>208</v>
      </c>
      <c r="B221" s="126"/>
      <c r="C221" s="127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9">
        <v>2.83</v>
      </c>
      <c r="AH221" s="47"/>
      <c r="AI221" s="48"/>
      <c r="AK221" s="50"/>
    </row>
    <row r="222" spans="1:37" x14ac:dyDescent="0.25">
      <c r="A222" s="116" t="s">
        <v>209</v>
      </c>
      <c r="B222" s="126"/>
      <c r="C222" s="127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9">
        <v>2.5</v>
      </c>
      <c r="AH222" s="47"/>
      <c r="AI222" s="48"/>
      <c r="AK222" s="50"/>
    </row>
    <row r="223" spans="1:37" x14ac:dyDescent="0.25">
      <c r="A223" s="116" t="s">
        <v>210</v>
      </c>
      <c r="B223" s="126"/>
      <c r="C223" s="127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9">
        <v>2.5</v>
      </c>
      <c r="AH223" s="47"/>
      <c r="AI223" s="48"/>
      <c r="AK223" s="50"/>
    </row>
    <row r="224" spans="1:37" x14ac:dyDescent="0.25">
      <c r="A224" s="116" t="s">
        <v>211</v>
      </c>
      <c r="B224" s="126"/>
      <c r="C224" s="127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9">
        <v>2.4</v>
      </c>
      <c r="AH224" s="47"/>
      <c r="AI224" s="48"/>
      <c r="AK224" s="50"/>
    </row>
    <row r="225" spans="1:37" x14ac:dyDescent="0.25">
      <c r="A225" s="116" t="s">
        <v>212</v>
      </c>
      <c r="B225" s="126"/>
      <c r="C225" s="127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9">
        <v>2.4</v>
      </c>
      <c r="AH225" s="47"/>
      <c r="AI225" s="48"/>
      <c r="AK225" s="50"/>
    </row>
    <row r="226" spans="1:37" x14ac:dyDescent="0.25">
      <c r="A226" s="116" t="s">
        <v>213</v>
      </c>
      <c r="B226" s="126"/>
      <c r="C226" s="127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9">
        <v>2.2000000000000002</v>
      </c>
      <c r="AH226" s="47"/>
      <c r="AI226" s="48"/>
      <c r="AK226" s="50"/>
    </row>
    <row r="227" spans="1:37" x14ac:dyDescent="0.25">
      <c r="A227" s="116" t="s">
        <v>214</v>
      </c>
      <c r="B227" s="126"/>
      <c r="C227" s="127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9">
        <v>2</v>
      </c>
      <c r="AH227" s="47"/>
      <c r="AI227" s="48"/>
      <c r="AK227" s="50"/>
    </row>
    <row r="228" spans="1:37" x14ac:dyDescent="0.25">
      <c r="A228" s="116" t="s">
        <v>215</v>
      </c>
      <c r="B228" s="126"/>
      <c r="C228" s="127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9">
        <v>2</v>
      </c>
      <c r="AH228" s="47"/>
      <c r="AI228" s="48"/>
      <c r="AK228" s="50"/>
    </row>
    <row r="229" spans="1:37" x14ac:dyDescent="0.25">
      <c r="A229" s="116" t="s">
        <v>216</v>
      </c>
      <c r="B229" s="126"/>
      <c r="C229" s="127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9">
        <v>2</v>
      </c>
      <c r="AH229" s="47"/>
      <c r="AI229" s="48"/>
      <c r="AK229" s="50"/>
    </row>
    <row r="230" spans="1:37" x14ac:dyDescent="0.25">
      <c r="A230" s="116" t="s">
        <v>217</v>
      </c>
      <c r="B230" s="126"/>
      <c r="C230" s="127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9">
        <v>1.8</v>
      </c>
      <c r="AH230" s="47"/>
      <c r="AI230" s="48"/>
      <c r="AK230" s="50"/>
    </row>
    <row r="231" spans="1:37" x14ac:dyDescent="0.25">
      <c r="A231" s="116" t="s">
        <v>218</v>
      </c>
      <c r="B231" s="126"/>
      <c r="C231" s="127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9">
        <v>1.8</v>
      </c>
      <c r="AH231" s="47"/>
      <c r="AI231" s="48"/>
      <c r="AK231" s="50"/>
    </row>
    <row r="232" spans="1:37" x14ac:dyDescent="0.25">
      <c r="A232" s="116" t="s">
        <v>219</v>
      </c>
      <c r="B232" s="126"/>
      <c r="C232" s="127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9">
        <v>1.65</v>
      </c>
      <c r="AH232" s="47"/>
      <c r="AI232" s="48"/>
      <c r="AK232" s="50"/>
    </row>
    <row r="233" spans="1:37" x14ac:dyDescent="0.25">
      <c r="A233" s="116" t="s">
        <v>220</v>
      </c>
      <c r="B233" s="126"/>
      <c r="C233" s="127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9">
        <v>1.5</v>
      </c>
      <c r="AH233" s="47"/>
      <c r="AI233" s="48"/>
      <c r="AK233" s="50"/>
    </row>
    <row r="234" spans="1:37" x14ac:dyDescent="0.25">
      <c r="A234" s="116" t="s">
        <v>221</v>
      </c>
      <c r="B234" s="126"/>
      <c r="C234" s="127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9">
        <v>0.998</v>
      </c>
      <c r="AH234" s="47"/>
      <c r="AI234" s="48"/>
      <c r="AK234" s="50"/>
    </row>
    <row r="235" spans="1:37" x14ac:dyDescent="0.25">
      <c r="A235" s="116" t="s">
        <v>222</v>
      </c>
      <c r="B235" s="126"/>
      <c r="C235" s="127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9">
        <v>0.997</v>
      </c>
      <c r="AH235" s="47"/>
      <c r="AI235" s="48"/>
      <c r="AK235" s="50"/>
    </row>
    <row r="236" spans="1:37" x14ac:dyDescent="0.25">
      <c r="A236" s="116" t="s">
        <v>223</v>
      </c>
      <c r="B236" s="126"/>
      <c r="C236" s="127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9">
        <v>0.997</v>
      </c>
      <c r="AH236" s="47"/>
      <c r="AI236" s="48"/>
      <c r="AK236" s="50"/>
    </row>
    <row r="237" spans="1:37" x14ac:dyDescent="0.25">
      <c r="A237" s="116" t="s">
        <v>224</v>
      </c>
      <c r="B237" s="126"/>
      <c r="C237" s="127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9">
        <v>0.996</v>
      </c>
      <c r="AH237" s="47"/>
      <c r="AI237" s="48"/>
      <c r="AK237" s="50"/>
    </row>
    <row r="238" spans="1:37" x14ac:dyDescent="0.25">
      <c r="A238" s="116" t="s">
        <v>225</v>
      </c>
      <c r="B238" s="126"/>
      <c r="C238" s="127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9">
        <v>0.996</v>
      </c>
      <c r="AH238" s="47"/>
      <c r="AI238" s="48"/>
      <c r="AK238" s="50"/>
    </row>
    <row r="239" spans="1:37" x14ac:dyDescent="0.25">
      <c r="A239" s="116" t="s">
        <v>226</v>
      </c>
      <c r="B239" s="126"/>
      <c r="C239" s="127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9">
        <v>0.996</v>
      </c>
      <c r="AH239" s="47"/>
      <c r="AI239" s="48"/>
      <c r="AK239" s="50"/>
    </row>
    <row r="240" spans="1:37" x14ac:dyDescent="0.25">
      <c r="A240" s="116" t="s">
        <v>227</v>
      </c>
      <c r="B240" s="126"/>
      <c r="C240" s="127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9">
        <v>0.995</v>
      </c>
      <c r="AH240" s="47"/>
      <c r="AI240" s="48"/>
      <c r="AK240" s="50"/>
    </row>
    <row r="241" spans="1:37" x14ac:dyDescent="0.25">
      <c r="A241" s="116" t="s">
        <v>228</v>
      </c>
      <c r="B241" s="126"/>
      <c r="C241" s="127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9">
        <v>0.99299999999999999</v>
      </c>
      <c r="AH241" s="47"/>
      <c r="AI241" s="48"/>
      <c r="AK241" s="50"/>
    </row>
    <row r="242" spans="1:37" x14ac:dyDescent="0.25">
      <c r="A242" s="116" t="s">
        <v>229</v>
      </c>
      <c r="B242" s="126"/>
      <c r="C242" s="124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9">
        <v>0.99</v>
      </c>
      <c r="AH242" s="47"/>
      <c r="AI242" s="48"/>
      <c r="AK242" s="50"/>
    </row>
    <row r="243" spans="1:37" ht="15.75" thickBot="1" x14ac:dyDescent="0.3">
      <c r="A243" s="116" t="s">
        <v>230</v>
      </c>
      <c r="B243" s="130"/>
      <c r="C243" s="131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29">
        <v>0.97899999999999998</v>
      </c>
      <c r="AH243" s="47"/>
      <c r="AI243" s="48"/>
      <c r="AK243" s="50"/>
    </row>
    <row r="244" spans="1:37" ht="15.75" thickBot="1" x14ac:dyDescent="0.3">
      <c r="A244" s="132" t="s">
        <v>231</v>
      </c>
      <c r="B244" s="133">
        <f t="shared" ref="B244:AG244" si="119">SUM(B139:B243)</f>
        <v>0</v>
      </c>
      <c r="C244" s="134">
        <f t="shared" si="119"/>
        <v>0</v>
      </c>
      <c r="D244" s="134">
        <f t="shared" si="119"/>
        <v>0</v>
      </c>
      <c r="E244" s="134">
        <f t="shared" si="119"/>
        <v>0</v>
      </c>
      <c r="F244" s="134">
        <f t="shared" si="119"/>
        <v>0</v>
      </c>
      <c r="G244" s="134">
        <f t="shared" si="119"/>
        <v>0</v>
      </c>
      <c r="H244" s="134">
        <f t="shared" si="119"/>
        <v>0</v>
      </c>
      <c r="I244" s="134">
        <f t="shared" si="119"/>
        <v>0</v>
      </c>
      <c r="J244" s="134">
        <f t="shared" si="119"/>
        <v>0</v>
      </c>
      <c r="K244" s="134">
        <f t="shared" si="119"/>
        <v>0</v>
      </c>
      <c r="L244" s="134">
        <f t="shared" si="119"/>
        <v>0</v>
      </c>
      <c r="M244" s="134">
        <f t="shared" si="119"/>
        <v>0</v>
      </c>
      <c r="N244" s="134">
        <f t="shared" si="119"/>
        <v>0</v>
      </c>
      <c r="O244" s="134">
        <f t="shared" si="119"/>
        <v>0</v>
      </c>
      <c r="P244" s="134">
        <f t="shared" si="119"/>
        <v>0</v>
      </c>
      <c r="Q244" s="134">
        <f t="shared" si="119"/>
        <v>9801043598</v>
      </c>
      <c r="R244" s="134">
        <f t="shared" si="119"/>
        <v>0</v>
      </c>
      <c r="S244" s="134">
        <f t="shared" si="119"/>
        <v>0</v>
      </c>
      <c r="T244" s="134">
        <f t="shared" si="119"/>
        <v>0</v>
      </c>
      <c r="U244" s="134">
        <f t="shared" si="119"/>
        <v>164.60000000000002</v>
      </c>
      <c r="V244" s="134">
        <f t="shared" si="119"/>
        <v>0</v>
      </c>
      <c r="W244" s="134">
        <f t="shared" si="119"/>
        <v>0</v>
      </c>
      <c r="X244" s="134">
        <f t="shared" si="119"/>
        <v>0</v>
      </c>
      <c r="Y244" s="134">
        <f t="shared" si="119"/>
        <v>0</v>
      </c>
      <c r="Z244" s="134">
        <f t="shared" ref="Z244" si="120">SUM(Z139:Z243)</f>
        <v>0</v>
      </c>
      <c r="AA244" s="134">
        <f t="shared" si="119"/>
        <v>0</v>
      </c>
      <c r="AB244" s="134">
        <f t="shared" si="119"/>
        <v>0</v>
      </c>
      <c r="AC244" s="134">
        <f t="shared" si="119"/>
        <v>0</v>
      </c>
      <c r="AD244" s="134">
        <f t="shared" si="119"/>
        <v>0</v>
      </c>
      <c r="AE244" s="134">
        <f t="shared" si="119"/>
        <v>0</v>
      </c>
      <c r="AF244" s="135">
        <f t="shared" si="119"/>
        <v>0</v>
      </c>
      <c r="AG244" s="136">
        <f t="shared" si="119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19"/>
      <c r="AH245" s="47"/>
      <c r="AI245" s="48"/>
      <c r="AK245" s="50"/>
    </row>
    <row r="246" spans="1:37" x14ac:dyDescent="0.25">
      <c r="A246" s="100" t="s">
        <v>232</v>
      </c>
      <c r="B246" s="138">
        <f t="shared" ref="B246:B251" si="121">AF246</f>
        <v>0.3</v>
      </c>
      <c r="C246" s="138">
        <v>0.3</v>
      </c>
      <c r="D246" s="138">
        <f t="shared" ref="D246:S251" si="122">C246</f>
        <v>0.3</v>
      </c>
      <c r="E246" s="138">
        <f t="shared" si="122"/>
        <v>0.3</v>
      </c>
      <c r="F246" s="138">
        <f t="shared" si="122"/>
        <v>0.3</v>
      </c>
      <c r="G246" s="138">
        <f t="shared" si="122"/>
        <v>0.3</v>
      </c>
      <c r="H246" s="138">
        <f t="shared" si="122"/>
        <v>0.3</v>
      </c>
      <c r="I246" s="138">
        <f t="shared" si="122"/>
        <v>0.3</v>
      </c>
      <c r="J246" s="138">
        <f t="shared" si="122"/>
        <v>0.3</v>
      </c>
      <c r="K246" s="138">
        <f t="shared" si="122"/>
        <v>0.3</v>
      </c>
      <c r="L246" s="138">
        <f t="shared" si="122"/>
        <v>0.3</v>
      </c>
      <c r="M246" s="138">
        <f t="shared" si="122"/>
        <v>0.3</v>
      </c>
      <c r="N246" s="138">
        <f t="shared" si="122"/>
        <v>0.3</v>
      </c>
      <c r="O246" s="138">
        <f t="shared" si="122"/>
        <v>0.3</v>
      </c>
      <c r="P246" s="138">
        <f t="shared" si="122"/>
        <v>0.3</v>
      </c>
      <c r="Q246" s="138">
        <f t="shared" si="122"/>
        <v>0.3</v>
      </c>
      <c r="R246" s="138">
        <f t="shared" si="122"/>
        <v>0.3</v>
      </c>
      <c r="S246" s="138">
        <f t="shared" si="122"/>
        <v>0.3</v>
      </c>
      <c r="T246" s="138">
        <f t="shared" ref="T246:AF251" si="123">S246</f>
        <v>0.3</v>
      </c>
      <c r="U246" s="138">
        <f t="shared" si="123"/>
        <v>0.3</v>
      </c>
      <c r="V246" s="138">
        <f t="shared" si="123"/>
        <v>0.3</v>
      </c>
      <c r="W246" s="138">
        <f t="shared" si="123"/>
        <v>0.3</v>
      </c>
      <c r="X246" s="138">
        <f t="shared" si="123"/>
        <v>0.3</v>
      </c>
      <c r="Y246" s="138">
        <f t="shared" si="123"/>
        <v>0.3</v>
      </c>
      <c r="Z246" s="138">
        <f t="shared" si="123"/>
        <v>0.3</v>
      </c>
      <c r="AA246" s="138">
        <f t="shared" si="123"/>
        <v>0.3</v>
      </c>
      <c r="AB246" s="138">
        <f t="shared" si="123"/>
        <v>0.3</v>
      </c>
      <c r="AC246" s="138">
        <f t="shared" si="123"/>
        <v>0.3</v>
      </c>
      <c r="AD246" s="138">
        <f t="shared" si="123"/>
        <v>0.3</v>
      </c>
      <c r="AE246" s="138">
        <f t="shared" si="123"/>
        <v>0.3</v>
      </c>
      <c r="AF246" s="138">
        <f t="shared" si="123"/>
        <v>0.3</v>
      </c>
      <c r="AG246" s="139">
        <v>2.4</v>
      </c>
      <c r="AH246" s="47"/>
      <c r="AI246" s="48"/>
      <c r="AK246" s="50"/>
    </row>
    <row r="247" spans="1:37" x14ac:dyDescent="0.25">
      <c r="A247" s="103" t="s">
        <v>233</v>
      </c>
      <c r="B247" s="126">
        <f t="shared" si="121"/>
        <v>0.4</v>
      </c>
      <c r="C247" s="126">
        <v>0.4</v>
      </c>
      <c r="D247" s="126">
        <f t="shared" si="122"/>
        <v>0.4</v>
      </c>
      <c r="E247" s="126">
        <f t="shared" si="122"/>
        <v>0.4</v>
      </c>
      <c r="F247" s="126">
        <f t="shared" si="122"/>
        <v>0.4</v>
      </c>
      <c r="G247" s="126">
        <f t="shared" si="122"/>
        <v>0.4</v>
      </c>
      <c r="H247" s="126">
        <f t="shared" si="122"/>
        <v>0.4</v>
      </c>
      <c r="I247" s="126">
        <f t="shared" si="122"/>
        <v>0.4</v>
      </c>
      <c r="J247" s="126">
        <f t="shared" si="122"/>
        <v>0.4</v>
      </c>
      <c r="K247" s="126">
        <f t="shared" si="122"/>
        <v>0.4</v>
      </c>
      <c r="L247" s="126">
        <f t="shared" si="122"/>
        <v>0.4</v>
      </c>
      <c r="M247" s="126">
        <f t="shared" si="122"/>
        <v>0.4</v>
      </c>
      <c r="N247" s="126">
        <f t="shared" si="122"/>
        <v>0.4</v>
      </c>
      <c r="O247" s="126">
        <f t="shared" si="122"/>
        <v>0.4</v>
      </c>
      <c r="P247" s="126">
        <f t="shared" si="122"/>
        <v>0.4</v>
      </c>
      <c r="Q247" s="126">
        <f t="shared" si="122"/>
        <v>0.4</v>
      </c>
      <c r="R247" s="126">
        <f t="shared" si="122"/>
        <v>0.4</v>
      </c>
      <c r="S247" s="126">
        <f t="shared" si="122"/>
        <v>0.4</v>
      </c>
      <c r="T247" s="126">
        <f t="shared" si="123"/>
        <v>0.4</v>
      </c>
      <c r="U247" s="126">
        <f t="shared" si="123"/>
        <v>0.4</v>
      </c>
      <c r="V247" s="126">
        <f t="shared" si="123"/>
        <v>0.4</v>
      </c>
      <c r="W247" s="126">
        <f t="shared" si="123"/>
        <v>0.4</v>
      </c>
      <c r="X247" s="126">
        <f t="shared" si="123"/>
        <v>0.4</v>
      </c>
      <c r="Y247" s="126">
        <f t="shared" si="123"/>
        <v>0.4</v>
      </c>
      <c r="Z247" s="126">
        <f t="shared" si="123"/>
        <v>0.4</v>
      </c>
      <c r="AA247" s="126">
        <f t="shared" si="123"/>
        <v>0.4</v>
      </c>
      <c r="AB247" s="126">
        <f t="shared" si="123"/>
        <v>0.4</v>
      </c>
      <c r="AC247" s="126">
        <f t="shared" si="123"/>
        <v>0.4</v>
      </c>
      <c r="AD247" s="126">
        <f t="shared" si="123"/>
        <v>0.4</v>
      </c>
      <c r="AE247" s="126">
        <f t="shared" si="123"/>
        <v>0.4</v>
      </c>
      <c r="AF247" s="126">
        <f t="shared" si="123"/>
        <v>0.4</v>
      </c>
      <c r="AG247" s="140">
        <v>2</v>
      </c>
      <c r="AH247" s="47"/>
      <c r="AI247" s="48"/>
      <c r="AK247" s="50"/>
    </row>
    <row r="248" spans="1:37" x14ac:dyDescent="0.25">
      <c r="A248" s="103" t="s">
        <v>234</v>
      </c>
      <c r="B248" s="126">
        <f t="shared" si="121"/>
        <v>1.5</v>
      </c>
      <c r="C248" s="126">
        <v>1.5</v>
      </c>
      <c r="D248" s="126">
        <f t="shared" si="122"/>
        <v>1.5</v>
      </c>
      <c r="E248" s="126">
        <f t="shared" si="122"/>
        <v>1.5</v>
      </c>
      <c r="F248" s="126">
        <f t="shared" si="122"/>
        <v>1.5</v>
      </c>
      <c r="G248" s="126">
        <f t="shared" si="122"/>
        <v>1.5</v>
      </c>
      <c r="H248" s="126">
        <f t="shared" si="122"/>
        <v>1.5</v>
      </c>
      <c r="I248" s="126">
        <f t="shared" si="122"/>
        <v>1.5</v>
      </c>
      <c r="J248" s="126">
        <f t="shared" si="122"/>
        <v>1.5</v>
      </c>
      <c r="K248" s="126">
        <f t="shared" si="122"/>
        <v>1.5</v>
      </c>
      <c r="L248" s="126">
        <f t="shared" si="122"/>
        <v>1.5</v>
      </c>
      <c r="M248" s="126">
        <f t="shared" si="122"/>
        <v>1.5</v>
      </c>
      <c r="N248" s="126">
        <f t="shared" si="122"/>
        <v>1.5</v>
      </c>
      <c r="O248" s="126">
        <f t="shared" si="122"/>
        <v>1.5</v>
      </c>
      <c r="P248" s="126">
        <f t="shared" si="122"/>
        <v>1.5</v>
      </c>
      <c r="Q248" s="126">
        <f t="shared" si="122"/>
        <v>1.5</v>
      </c>
      <c r="R248" s="126">
        <f t="shared" si="122"/>
        <v>1.5</v>
      </c>
      <c r="S248" s="126">
        <f t="shared" si="122"/>
        <v>1.5</v>
      </c>
      <c r="T248" s="126">
        <f t="shared" si="123"/>
        <v>1.5</v>
      </c>
      <c r="U248" s="126">
        <f t="shared" si="123"/>
        <v>1.5</v>
      </c>
      <c r="V248" s="126">
        <f t="shared" si="123"/>
        <v>1.5</v>
      </c>
      <c r="W248" s="126">
        <f t="shared" si="123"/>
        <v>1.5</v>
      </c>
      <c r="X248" s="126">
        <f t="shared" si="123"/>
        <v>1.5</v>
      </c>
      <c r="Y248" s="126">
        <f t="shared" si="123"/>
        <v>1.5</v>
      </c>
      <c r="Z248" s="126">
        <f t="shared" si="123"/>
        <v>1.5</v>
      </c>
      <c r="AA248" s="126">
        <f t="shared" si="123"/>
        <v>1.5</v>
      </c>
      <c r="AB248" s="126">
        <f t="shared" si="123"/>
        <v>1.5</v>
      </c>
      <c r="AC248" s="126">
        <f t="shared" si="123"/>
        <v>1.5</v>
      </c>
      <c r="AD248" s="126">
        <f t="shared" si="123"/>
        <v>1.5</v>
      </c>
      <c r="AE248" s="126">
        <f t="shared" si="123"/>
        <v>1.5</v>
      </c>
      <c r="AF248" s="126">
        <f t="shared" si="123"/>
        <v>1.5</v>
      </c>
      <c r="AG248" s="140">
        <v>1.5</v>
      </c>
      <c r="AH248" s="47"/>
      <c r="AI248" s="48"/>
      <c r="AK248" s="50"/>
    </row>
    <row r="249" spans="1:37" x14ac:dyDescent="0.25">
      <c r="A249" s="103" t="s">
        <v>235</v>
      </c>
      <c r="B249" s="126">
        <f t="shared" si="121"/>
        <v>0.3</v>
      </c>
      <c r="C249" s="126">
        <v>0.3</v>
      </c>
      <c r="D249" s="126">
        <f t="shared" si="122"/>
        <v>0.3</v>
      </c>
      <c r="E249" s="126">
        <f t="shared" si="122"/>
        <v>0.3</v>
      </c>
      <c r="F249" s="126">
        <f t="shared" si="122"/>
        <v>0.3</v>
      </c>
      <c r="G249" s="126">
        <f t="shared" si="122"/>
        <v>0.3</v>
      </c>
      <c r="H249" s="126">
        <f t="shared" si="122"/>
        <v>0.3</v>
      </c>
      <c r="I249" s="126">
        <f t="shared" si="122"/>
        <v>0.3</v>
      </c>
      <c r="J249" s="126">
        <f t="shared" si="122"/>
        <v>0.3</v>
      </c>
      <c r="K249" s="126">
        <f t="shared" si="122"/>
        <v>0.3</v>
      </c>
      <c r="L249" s="126">
        <f t="shared" si="122"/>
        <v>0.3</v>
      </c>
      <c r="M249" s="126">
        <f t="shared" si="122"/>
        <v>0.3</v>
      </c>
      <c r="N249" s="126">
        <f t="shared" si="122"/>
        <v>0.3</v>
      </c>
      <c r="O249" s="126">
        <f t="shared" si="122"/>
        <v>0.3</v>
      </c>
      <c r="P249" s="126">
        <f t="shared" si="122"/>
        <v>0.3</v>
      </c>
      <c r="Q249" s="126">
        <f t="shared" si="122"/>
        <v>0.3</v>
      </c>
      <c r="R249" s="126">
        <f t="shared" si="122"/>
        <v>0.3</v>
      </c>
      <c r="S249" s="126">
        <f t="shared" si="122"/>
        <v>0.3</v>
      </c>
      <c r="T249" s="126">
        <f t="shared" si="123"/>
        <v>0.3</v>
      </c>
      <c r="U249" s="126">
        <f t="shared" si="123"/>
        <v>0.3</v>
      </c>
      <c r="V249" s="126">
        <f t="shared" si="123"/>
        <v>0.3</v>
      </c>
      <c r="W249" s="126">
        <f t="shared" si="123"/>
        <v>0.3</v>
      </c>
      <c r="X249" s="126">
        <f t="shared" si="123"/>
        <v>0.3</v>
      </c>
      <c r="Y249" s="126">
        <f t="shared" si="123"/>
        <v>0.3</v>
      </c>
      <c r="Z249" s="126">
        <f t="shared" si="123"/>
        <v>0.3</v>
      </c>
      <c r="AA249" s="126">
        <f t="shared" si="123"/>
        <v>0.3</v>
      </c>
      <c r="AB249" s="126">
        <f t="shared" si="123"/>
        <v>0.3</v>
      </c>
      <c r="AC249" s="126">
        <f t="shared" si="123"/>
        <v>0.3</v>
      </c>
      <c r="AD249" s="126">
        <f t="shared" si="123"/>
        <v>0.3</v>
      </c>
      <c r="AE249" s="126">
        <f t="shared" si="123"/>
        <v>0.3</v>
      </c>
      <c r="AF249" s="126">
        <f t="shared" si="123"/>
        <v>0.3</v>
      </c>
      <c r="AG249" s="140">
        <v>1</v>
      </c>
      <c r="AH249" s="47"/>
      <c r="AI249" s="48"/>
      <c r="AK249" s="50"/>
    </row>
    <row r="250" spans="1:37" x14ac:dyDescent="0.25">
      <c r="A250" s="103" t="s">
        <v>236</v>
      </c>
      <c r="B250" s="126">
        <f t="shared" si="121"/>
        <v>0.4</v>
      </c>
      <c r="C250" s="126">
        <v>0.4</v>
      </c>
      <c r="D250" s="126">
        <f t="shared" si="122"/>
        <v>0.4</v>
      </c>
      <c r="E250" s="126">
        <f t="shared" si="122"/>
        <v>0.4</v>
      </c>
      <c r="F250" s="126">
        <f t="shared" si="122"/>
        <v>0.4</v>
      </c>
      <c r="G250" s="126">
        <f t="shared" si="122"/>
        <v>0.4</v>
      </c>
      <c r="H250" s="126">
        <f t="shared" si="122"/>
        <v>0.4</v>
      </c>
      <c r="I250" s="126">
        <f t="shared" si="122"/>
        <v>0.4</v>
      </c>
      <c r="J250" s="126">
        <f t="shared" si="122"/>
        <v>0.4</v>
      </c>
      <c r="K250" s="126">
        <f t="shared" si="122"/>
        <v>0.4</v>
      </c>
      <c r="L250" s="126">
        <f t="shared" si="122"/>
        <v>0.4</v>
      </c>
      <c r="M250" s="126">
        <f t="shared" si="122"/>
        <v>0.4</v>
      </c>
      <c r="N250" s="126">
        <f t="shared" si="122"/>
        <v>0.4</v>
      </c>
      <c r="O250" s="126">
        <f t="shared" si="122"/>
        <v>0.4</v>
      </c>
      <c r="P250" s="126">
        <f t="shared" si="122"/>
        <v>0.4</v>
      </c>
      <c r="Q250" s="126">
        <f t="shared" si="122"/>
        <v>0.4</v>
      </c>
      <c r="R250" s="126">
        <f t="shared" si="122"/>
        <v>0.4</v>
      </c>
      <c r="S250" s="126">
        <f t="shared" si="122"/>
        <v>0.4</v>
      </c>
      <c r="T250" s="126">
        <f t="shared" si="123"/>
        <v>0.4</v>
      </c>
      <c r="U250" s="126">
        <f t="shared" si="123"/>
        <v>0.4</v>
      </c>
      <c r="V250" s="126">
        <f t="shared" si="123"/>
        <v>0.4</v>
      </c>
      <c r="W250" s="126">
        <f t="shared" si="123"/>
        <v>0.4</v>
      </c>
      <c r="X250" s="126">
        <f t="shared" si="123"/>
        <v>0.4</v>
      </c>
      <c r="Y250" s="126">
        <f t="shared" si="123"/>
        <v>0.4</v>
      </c>
      <c r="Z250" s="126">
        <f t="shared" si="123"/>
        <v>0.4</v>
      </c>
      <c r="AA250" s="126">
        <f t="shared" si="123"/>
        <v>0.4</v>
      </c>
      <c r="AB250" s="126">
        <f t="shared" si="123"/>
        <v>0.4</v>
      </c>
      <c r="AC250" s="126">
        <f t="shared" si="123"/>
        <v>0.4</v>
      </c>
      <c r="AD250" s="126">
        <f t="shared" si="123"/>
        <v>0.4</v>
      </c>
      <c r="AE250" s="126">
        <f t="shared" si="123"/>
        <v>0.4</v>
      </c>
      <c r="AF250" s="126">
        <f t="shared" si="123"/>
        <v>0.4</v>
      </c>
      <c r="AG250" s="140">
        <v>1</v>
      </c>
      <c r="AH250" s="47"/>
      <c r="AI250" s="48"/>
      <c r="AK250" s="50"/>
    </row>
    <row r="251" spans="1:37" ht="15.75" thickBot="1" x14ac:dyDescent="0.3">
      <c r="A251" s="116" t="s">
        <v>237</v>
      </c>
      <c r="B251" s="130">
        <f t="shared" si="121"/>
        <v>0.64</v>
      </c>
      <c r="C251" s="130">
        <v>0.64</v>
      </c>
      <c r="D251" s="130">
        <f t="shared" si="122"/>
        <v>0.64</v>
      </c>
      <c r="E251" s="130">
        <f t="shared" si="122"/>
        <v>0.64</v>
      </c>
      <c r="F251" s="130">
        <f t="shared" si="122"/>
        <v>0.64</v>
      </c>
      <c r="G251" s="130">
        <f t="shared" si="122"/>
        <v>0.64</v>
      </c>
      <c r="H251" s="130">
        <f t="shared" si="122"/>
        <v>0.64</v>
      </c>
      <c r="I251" s="130">
        <f t="shared" si="122"/>
        <v>0.64</v>
      </c>
      <c r="J251" s="130">
        <f t="shared" si="122"/>
        <v>0.64</v>
      </c>
      <c r="K251" s="130">
        <f t="shared" si="122"/>
        <v>0.64</v>
      </c>
      <c r="L251" s="130">
        <f t="shared" si="122"/>
        <v>0.64</v>
      </c>
      <c r="M251" s="130">
        <f t="shared" si="122"/>
        <v>0.64</v>
      </c>
      <c r="N251" s="130">
        <f t="shared" si="122"/>
        <v>0.64</v>
      </c>
      <c r="O251" s="130">
        <f t="shared" si="122"/>
        <v>0.64</v>
      </c>
      <c r="P251" s="130">
        <f t="shared" si="122"/>
        <v>0.64</v>
      </c>
      <c r="Q251" s="130">
        <f t="shared" si="122"/>
        <v>0.64</v>
      </c>
      <c r="R251" s="130">
        <f t="shared" si="122"/>
        <v>0.64</v>
      </c>
      <c r="S251" s="130">
        <f t="shared" si="122"/>
        <v>0.64</v>
      </c>
      <c r="T251" s="130">
        <f t="shared" si="123"/>
        <v>0.64</v>
      </c>
      <c r="U251" s="130">
        <f t="shared" si="123"/>
        <v>0.64</v>
      </c>
      <c r="V251" s="130">
        <f t="shared" si="123"/>
        <v>0.64</v>
      </c>
      <c r="W251" s="130">
        <f t="shared" si="123"/>
        <v>0.64</v>
      </c>
      <c r="X251" s="130">
        <f t="shared" si="123"/>
        <v>0.64</v>
      </c>
      <c r="Y251" s="130">
        <f t="shared" si="123"/>
        <v>0.64</v>
      </c>
      <c r="Z251" s="130">
        <f t="shared" si="123"/>
        <v>0.64</v>
      </c>
      <c r="AA251" s="130">
        <f t="shared" si="123"/>
        <v>0.64</v>
      </c>
      <c r="AB251" s="130">
        <f t="shared" si="123"/>
        <v>0.64</v>
      </c>
      <c r="AC251" s="130">
        <f t="shared" si="123"/>
        <v>0.64</v>
      </c>
      <c r="AD251" s="130">
        <f t="shared" si="123"/>
        <v>0.64</v>
      </c>
      <c r="AE251" s="130">
        <f t="shared" si="123"/>
        <v>0.64</v>
      </c>
      <c r="AF251" s="130">
        <f t="shared" si="123"/>
        <v>0.64</v>
      </c>
      <c r="AG251" s="141">
        <v>0.66</v>
      </c>
      <c r="AH251" s="47"/>
      <c r="AI251" s="48"/>
    </row>
    <row r="252" spans="1:37" ht="15.75" thickBot="1" x14ac:dyDescent="0.3">
      <c r="A252" s="142" t="s">
        <v>75</v>
      </c>
      <c r="B252" s="134">
        <f t="shared" ref="B252:AG252" si="124">SUM(B246:B251)</f>
        <v>3.54</v>
      </c>
      <c r="C252" s="134">
        <f t="shared" si="124"/>
        <v>3.54</v>
      </c>
      <c r="D252" s="134">
        <f t="shared" si="124"/>
        <v>3.54</v>
      </c>
      <c r="E252" s="134">
        <f t="shared" si="124"/>
        <v>3.54</v>
      </c>
      <c r="F252" s="134">
        <f t="shared" si="124"/>
        <v>3.54</v>
      </c>
      <c r="G252" s="134">
        <f t="shared" si="124"/>
        <v>3.54</v>
      </c>
      <c r="H252" s="134">
        <f t="shared" si="124"/>
        <v>3.54</v>
      </c>
      <c r="I252" s="134">
        <f t="shared" si="124"/>
        <v>3.54</v>
      </c>
      <c r="J252" s="134">
        <f t="shared" si="124"/>
        <v>3.54</v>
      </c>
      <c r="K252" s="134">
        <f t="shared" si="124"/>
        <v>3.54</v>
      </c>
      <c r="L252" s="134">
        <f t="shared" si="124"/>
        <v>3.54</v>
      </c>
      <c r="M252" s="134">
        <f t="shared" si="124"/>
        <v>3.54</v>
      </c>
      <c r="N252" s="134">
        <f t="shared" si="124"/>
        <v>3.54</v>
      </c>
      <c r="O252" s="134">
        <f t="shared" si="124"/>
        <v>3.54</v>
      </c>
      <c r="P252" s="134">
        <f t="shared" si="124"/>
        <v>3.54</v>
      </c>
      <c r="Q252" s="134">
        <f t="shared" si="124"/>
        <v>3.54</v>
      </c>
      <c r="R252" s="134">
        <f t="shared" si="124"/>
        <v>3.54</v>
      </c>
      <c r="S252" s="134">
        <f t="shared" si="124"/>
        <v>3.54</v>
      </c>
      <c r="T252" s="134">
        <f t="shared" si="124"/>
        <v>3.54</v>
      </c>
      <c r="U252" s="134">
        <f t="shared" si="124"/>
        <v>3.54</v>
      </c>
      <c r="V252" s="134">
        <f t="shared" si="124"/>
        <v>3.54</v>
      </c>
      <c r="W252" s="134">
        <f t="shared" si="124"/>
        <v>3.54</v>
      </c>
      <c r="X252" s="134">
        <f t="shared" si="124"/>
        <v>3.54</v>
      </c>
      <c r="Y252" s="134">
        <f t="shared" si="124"/>
        <v>3.54</v>
      </c>
      <c r="Z252" s="134">
        <f t="shared" si="124"/>
        <v>3.54</v>
      </c>
      <c r="AA252" s="134">
        <f t="shared" si="124"/>
        <v>3.54</v>
      </c>
      <c r="AB252" s="134">
        <f t="shared" si="124"/>
        <v>3.54</v>
      </c>
      <c r="AC252" s="134">
        <f t="shared" si="124"/>
        <v>3.54</v>
      </c>
      <c r="AD252" s="134">
        <f t="shared" si="124"/>
        <v>3.54</v>
      </c>
      <c r="AE252" s="134">
        <f t="shared" si="124"/>
        <v>3.54</v>
      </c>
      <c r="AF252" s="134">
        <f t="shared" si="124"/>
        <v>3.54</v>
      </c>
      <c r="AG252" s="143">
        <f t="shared" si="124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37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54" t="s">
        <v>243</v>
      </c>
      <c r="B256" s="155">
        <f>MAX(G99:N99)</f>
        <v>1710.94</v>
      </c>
      <c r="C256" s="156">
        <f>INDEX(G9:N9,1,MATCH(MAX(G99:N99),G99:N99,0))</f>
        <v>0.33333333333333331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50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157" t="str">
        <f ca="1">MID(CELL("filename",C7),FIND("]",CELL("filename",C7))+1,600)</f>
        <v>18</v>
      </c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50" x14ac:dyDescent="0.25">
      <c r="A258" s="257" t="s">
        <v>244</v>
      </c>
      <c r="B258" s="257"/>
      <c r="C258" s="43"/>
      <c r="D258" s="157" t="str">
        <f ca="1">"Pie Chart of Daily Peak Demand(Inclusive of Export) of Nepal ("&amp;A4&amp;" "&amp;B4&amp;")"</f>
        <v>Pie Chart of Daily Peak Demand(Inclusive of Export) of Nepal (Nepali Date: 2080/10/18)</v>
      </c>
      <c r="E258" s="43"/>
      <c r="F258" s="43"/>
      <c r="G258" s="157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157" t="str">
        <f ca="1">"Daily Load Curve(Excluding of Export) of Nepal ("&amp;A4&amp;" "&amp;B4&amp;")"</f>
        <v>Daily Load Curve(Excluding of Export) of Nepal (Nepali Date: 2080/10/18)</v>
      </c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50" ht="12.75" customHeight="1" thickBot="1" x14ac:dyDescent="0.3">
      <c r="A259" s="158" t="s">
        <v>7</v>
      </c>
      <c r="B259" s="159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50" ht="15.75" thickTop="1" x14ac:dyDescent="0.25">
      <c r="A260" s="158" t="s">
        <v>245</v>
      </c>
      <c r="B260" s="15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160" t="s">
        <v>246</v>
      </c>
      <c r="T260" s="161">
        <v>0</v>
      </c>
      <c r="U260" s="162">
        <v>4.1666666666666664E-2</v>
      </c>
      <c r="V260" s="163">
        <v>8.3333333333333301E-2</v>
      </c>
      <c r="W260" s="163">
        <v>0.125</v>
      </c>
      <c r="X260" s="163">
        <v>0.16666666666666699</v>
      </c>
      <c r="Y260" s="163">
        <v>0.20833333333333301</v>
      </c>
      <c r="Z260" s="163">
        <v>0.22916666666666666</v>
      </c>
      <c r="AA260" s="163">
        <v>0.25</v>
      </c>
      <c r="AB260" s="163">
        <v>0.27083333333333331</v>
      </c>
      <c r="AC260" s="163">
        <v>0.29166666666666669</v>
      </c>
      <c r="AD260" s="163">
        <v>0.3125</v>
      </c>
      <c r="AE260" s="164">
        <v>0.33333333333333331</v>
      </c>
      <c r="AF260" s="164">
        <v>0.375</v>
      </c>
      <c r="AG260" s="164">
        <v>0.41666666666666702</v>
      </c>
      <c r="AH260" s="164">
        <v>0.45833333333333298</v>
      </c>
      <c r="AI260" s="164">
        <v>0.5</v>
      </c>
      <c r="AJ260" s="164">
        <v>0.54166666666666696</v>
      </c>
      <c r="AK260" s="164">
        <v>0.58333333333333304</v>
      </c>
      <c r="AL260" s="164">
        <v>0.625</v>
      </c>
      <c r="AM260" s="164">
        <v>0.66666666666666696</v>
      </c>
      <c r="AN260" s="164">
        <v>0.70833333333333304</v>
      </c>
      <c r="AO260" s="164">
        <v>0.72916666666666663</v>
      </c>
      <c r="AP260" s="164">
        <v>0.75</v>
      </c>
      <c r="AQ260" s="164">
        <v>0.77083333333333337</v>
      </c>
      <c r="AR260" s="164">
        <v>0.79166666666666663</v>
      </c>
      <c r="AS260" s="164">
        <v>0.8125</v>
      </c>
      <c r="AT260" s="163">
        <v>0.83333333333333337</v>
      </c>
      <c r="AU260" s="163">
        <v>0.85416666666666663</v>
      </c>
      <c r="AV260" s="163">
        <v>0.875</v>
      </c>
      <c r="AW260" s="163">
        <v>0.91666666666666696</v>
      </c>
      <c r="AX260" s="163">
        <v>0.95833333333333304</v>
      </c>
    </row>
    <row r="261" spans="1:50" x14ac:dyDescent="0.25">
      <c r="A261" s="158" t="s">
        <v>247</v>
      </c>
      <c r="B261" s="15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 t="s">
        <v>248</v>
      </c>
      <c r="T261" s="165">
        <f t="shared" ref="T261:AX261" si="125">B99</f>
        <v>1143.8400000000001</v>
      </c>
      <c r="U261" s="165">
        <f t="shared" si="125"/>
        <v>1124.8400000000001</v>
      </c>
      <c r="V261" s="165">
        <f t="shared" si="125"/>
        <v>1125.8400000000001</v>
      </c>
      <c r="W261" s="165">
        <f t="shared" si="125"/>
        <v>1111.0400000000002</v>
      </c>
      <c r="X261" s="165">
        <f t="shared" si="125"/>
        <v>1110.1400000000001</v>
      </c>
      <c r="Y261" s="165">
        <f t="shared" si="125"/>
        <v>1204.8400000000001</v>
      </c>
      <c r="Z261" s="165">
        <f t="shared" si="125"/>
        <v>1261.94</v>
      </c>
      <c r="AA261" s="165">
        <f t="shared" si="125"/>
        <v>1356.94</v>
      </c>
      <c r="AB261" s="165">
        <f t="shared" si="125"/>
        <v>1476.8400000000001</v>
      </c>
      <c r="AC261" s="165">
        <f t="shared" si="125"/>
        <v>1557.14</v>
      </c>
      <c r="AD261" s="165">
        <f t="shared" si="125"/>
        <v>1698.5400000000002</v>
      </c>
      <c r="AE261" s="165">
        <f t="shared" si="125"/>
        <v>1710.94</v>
      </c>
      <c r="AF261" s="165">
        <f t="shared" si="125"/>
        <v>1574.8400000000001</v>
      </c>
      <c r="AG261" s="165">
        <f t="shared" si="125"/>
        <v>1549.24</v>
      </c>
      <c r="AH261" s="165">
        <f t="shared" si="125"/>
        <v>1322.04</v>
      </c>
      <c r="AI261" s="165">
        <f t="shared" si="125"/>
        <v>1504.94</v>
      </c>
      <c r="AJ261" s="165">
        <f t="shared" si="125"/>
        <v>930.84000000000015</v>
      </c>
      <c r="AK261" s="165">
        <f t="shared" si="125"/>
        <v>1533.5400000000002</v>
      </c>
      <c r="AL261" s="165">
        <f t="shared" si="125"/>
        <v>1541.14</v>
      </c>
      <c r="AM261" s="165">
        <f t="shared" si="125"/>
        <v>1536.54</v>
      </c>
      <c r="AN261" s="165">
        <f t="shared" si="125"/>
        <v>1449.8400000000001</v>
      </c>
      <c r="AO261" s="165">
        <f t="shared" si="125"/>
        <v>1680.74</v>
      </c>
      <c r="AP261" s="165">
        <f t="shared" si="125"/>
        <v>1890.44</v>
      </c>
      <c r="AQ261" s="165">
        <f t="shared" si="125"/>
        <v>2026.7400000000002</v>
      </c>
      <c r="AR261" s="165">
        <f t="shared" si="125"/>
        <v>1867.3400000000001</v>
      </c>
      <c r="AS261" s="165">
        <f t="shared" si="125"/>
        <v>1835.7400000000002</v>
      </c>
      <c r="AT261" s="165">
        <f t="shared" si="125"/>
        <v>1744.74</v>
      </c>
      <c r="AU261" s="165">
        <f t="shared" si="125"/>
        <v>1684.14</v>
      </c>
      <c r="AV261" s="165">
        <f t="shared" si="125"/>
        <v>1598.94</v>
      </c>
      <c r="AW261" s="165">
        <f t="shared" si="125"/>
        <v>1364.64</v>
      </c>
      <c r="AX261" s="165">
        <f t="shared" si="125"/>
        <v>1217.2400000000002</v>
      </c>
    </row>
    <row r="262" spans="1:50" x14ac:dyDescent="0.25">
      <c r="A262" s="158" t="s">
        <v>249</v>
      </c>
      <c r="B262" s="15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50" x14ac:dyDescent="0.25">
      <c r="A263" s="158" t="s">
        <v>250</v>
      </c>
      <c r="B263" s="15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50" x14ac:dyDescent="0.25">
      <c r="A264" s="158" t="s">
        <v>251</v>
      </c>
      <c r="B264" s="15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50" x14ac:dyDescent="0.25">
      <c r="A265" s="158" t="s">
        <v>252</v>
      </c>
      <c r="B265" s="166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50" x14ac:dyDescent="0.25">
      <c r="A266" s="158" t="s">
        <v>253</v>
      </c>
      <c r="B266" s="15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50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50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50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50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50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50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1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1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1:34" x14ac:dyDescent="0.25">
      <c r="A282" s="167" t="s">
        <v>238</v>
      </c>
      <c r="B282" s="168">
        <f t="shared" ref="B282:AE282" si="126">C251</f>
        <v>0.64</v>
      </c>
      <c r="C282" s="168">
        <f t="shared" si="126"/>
        <v>0.64</v>
      </c>
      <c r="D282" s="168">
        <f t="shared" si="126"/>
        <v>0.64</v>
      </c>
      <c r="E282" s="168">
        <f t="shared" si="126"/>
        <v>0.64</v>
      </c>
      <c r="F282" s="168">
        <f t="shared" si="126"/>
        <v>0.64</v>
      </c>
      <c r="G282" s="168">
        <f t="shared" si="126"/>
        <v>0.64</v>
      </c>
      <c r="H282" s="168">
        <f t="shared" si="126"/>
        <v>0.64</v>
      </c>
      <c r="I282" s="168">
        <f t="shared" si="126"/>
        <v>0.64</v>
      </c>
      <c r="J282" s="168">
        <f t="shared" si="126"/>
        <v>0.64</v>
      </c>
      <c r="K282" s="168">
        <f t="shared" si="126"/>
        <v>0.64</v>
      </c>
      <c r="L282" s="168">
        <f t="shared" si="126"/>
        <v>0.64</v>
      </c>
      <c r="M282" s="168">
        <f t="shared" si="126"/>
        <v>0.64</v>
      </c>
      <c r="N282" s="168">
        <f t="shared" si="126"/>
        <v>0.64</v>
      </c>
      <c r="O282" s="168">
        <f t="shared" si="126"/>
        <v>0.64</v>
      </c>
      <c r="P282" s="168">
        <f t="shared" si="126"/>
        <v>0.64</v>
      </c>
      <c r="Q282" s="168">
        <f t="shared" si="126"/>
        <v>0.64</v>
      </c>
      <c r="R282" s="168">
        <f t="shared" si="126"/>
        <v>0.64</v>
      </c>
      <c r="S282" s="168">
        <f t="shared" si="126"/>
        <v>0.64</v>
      </c>
      <c r="T282" s="168">
        <f t="shared" si="126"/>
        <v>0.64</v>
      </c>
      <c r="U282" s="168">
        <f t="shared" si="126"/>
        <v>0.64</v>
      </c>
      <c r="V282" s="168">
        <f t="shared" si="126"/>
        <v>0.64</v>
      </c>
      <c r="W282" s="168">
        <f t="shared" si="126"/>
        <v>0.64</v>
      </c>
      <c r="X282" s="168">
        <f t="shared" si="126"/>
        <v>0.64</v>
      </c>
      <c r="Y282" s="168">
        <f t="shared" si="126"/>
        <v>0.64</v>
      </c>
      <c r="Z282" s="168">
        <f t="shared" si="126"/>
        <v>0.64</v>
      </c>
      <c r="AA282" s="168">
        <f t="shared" si="126"/>
        <v>0.64</v>
      </c>
      <c r="AB282" s="168">
        <f t="shared" si="126"/>
        <v>0.64</v>
      </c>
      <c r="AC282" s="168">
        <f t="shared" si="126"/>
        <v>0.64</v>
      </c>
      <c r="AD282" s="168">
        <f t="shared" si="126"/>
        <v>0.64</v>
      </c>
      <c r="AE282" s="168">
        <f t="shared" si="126"/>
        <v>0.64</v>
      </c>
      <c r="AF282" s="168">
        <f>B251</f>
        <v>0.64</v>
      </c>
      <c r="AG282" s="43"/>
      <c r="AH282" s="43"/>
    </row>
    <row r="283" spans="1:34" x14ac:dyDescent="0.25">
      <c r="A283" s="169" t="e">
        <f>#REF!</f>
        <v>#REF!</v>
      </c>
      <c r="B283" s="169" t="e">
        <f>IF(#REF!&lt;100,"",#REF!-520)</f>
        <v>#REF!</v>
      </c>
      <c r="C283" s="169" t="e">
        <f>IF(#REF!&lt;100,"",#REF!-520)</f>
        <v>#REF!</v>
      </c>
      <c r="D283" s="169" t="e">
        <f>IF(#REF!&lt;100,"",#REF!-520)</f>
        <v>#REF!</v>
      </c>
      <c r="E283" s="169" t="e">
        <f>IF(#REF!&lt;100,"",#REF!-520)</f>
        <v>#REF!</v>
      </c>
      <c r="F283" s="169" t="e">
        <f>IF(#REF!&lt;100,"",#REF!-520)</f>
        <v>#REF!</v>
      </c>
      <c r="G283" s="169" t="e">
        <f>IF(#REF!&lt;100,"",#REF!-520)</f>
        <v>#REF!</v>
      </c>
      <c r="H283" s="169" t="e">
        <f>IF(#REF!&lt;100,"",#REF!-520)</f>
        <v>#REF!</v>
      </c>
      <c r="I283" s="169" t="e">
        <f>IF(#REF!&lt;100,"",#REF!-520)</f>
        <v>#REF!</v>
      </c>
      <c r="J283" s="169" t="e">
        <f>IF(#REF!&lt;100,"",#REF!-520)</f>
        <v>#REF!</v>
      </c>
      <c r="K283" s="169" t="e">
        <f>IF(#REF!&lt;100,"",#REF!-520)</f>
        <v>#REF!</v>
      </c>
      <c r="L283" s="169" t="e">
        <f>IF(#REF!&lt;100,"",#REF!-520)</f>
        <v>#REF!</v>
      </c>
      <c r="M283" s="169" t="e">
        <f>IF(#REF!&lt;100,"",#REF!-520)</f>
        <v>#REF!</v>
      </c>
      <c r="N283" s="169" t="e">
        <f>IF(#REF!&lt;100,"",#REF!-520)</f>
        <v>#REF!</v>
      </c>
      <c r="O283" s="169" t="e">
        <f>IF(#REF!&lt;100,"",#REF!-520)</f>
        <v>#REF!</v>
      </c>
      <c r="P283" s="169" t="e">
        <f>IF(#REF!&lt;100,"",#REF!-520)</f>
        <v>#REF!</v>
      </c>
      <c r="Q283" s="169" t="e">
        <f>IF(#REF!&lt;100,"",#REF!-520)</f>
        <v>#REF!</v>
      </c>
      <c r="R283" s="169" t="e">
        <f>IF(#REF!&lt;100,"",#REF!-520)</f>
        <v>#REF!</v>
      </c>
      <c r="S283" s="169" t="e">
        <f>IF(#REF!&lt;100,"",#REF!-520)</f>
        <v>#REF!</v>
      </c>
      <c r="T283" s="169" t="e">
        <f>IF(#REF!&lt;100,"",#REF!-520)</f>
        <v>#REF!</v>
      </c>
      <c r="U283" s="169" t="e">
        <f>IF(#REF!&lt;100,"",#REF!-520)</f>
        <v>#REF!</v>
      </c>
      <c r="V283" s="169" t="e">
        <f>IF(#REF!&lt;100,"",#REF!-520)</f>
        <v>#REF!</v>
      </c>
      <c r="W283" s="169" t="e">
        <f>IF(#REF!&lt;100,"",#REF!-520)</f>
        <v>#REF!</v>
      </c>
      <c r="X283" s="169" t="e">
        <f>IF(#REF!&lt;100,"",#REF!-520)</f>
        <v>#REF!</v>
      </c>
      <c r="Y283" s="169" t="e">
        <f>IF(#REF!&lt;100,"",#REF!-520)</f>
        <v>#REF!</v>
      </c>
      <c r="Z283" s="169" t="e">
        <f>IF(#REF!&lt;100,"",#REF!-520)</f>
        <v>#REF!</v>
      </c>
      <c r="AA283" s="169" t="e">
        <f>IF(#REF!&lt;100,"",#REF!-520)</f>
        <v>#REF!</v>
      </c>
      <c r="AB283" s="169" t="e">
        <f>IF(#REF!&lt;100,"",#REF!-520)</f>
        <v>#REF!</v>
      </c>
      <c r="AC283" s="169" t="e">
        <f>IF(#REF!&lt;100,"",#REF!-520)</f>
        <v>#REF!</v>
      </c>
      <c r="AD283" s="169" t="e">
        <f>IF(#REF!&lt;100,"",#REF!-520)</f>
        <v>#REF!</v>
      </c>
      <c r="AE283" s="169" t="e">
        <f>IF(#REF!&lt;100,"",#REF!-520)</f>
        <v>#REF!</v>
      </c>
      <c r="AF283" s="169" t="e">
        <f>IF(#REF!&lt;100,"",#REF!-520)</f>
        <v>#REF!</v>
      </c>
      <c r="AG283" s="43"/>
      <c r="AH283" s="43"/>
    </row>
    <row r="284" spans="1:34" x14ac:dyDescent="0.25">
      <c r="A284" s="169" t="e">
        <f>#REF!</f>
        <v>#REF!</v>
      </c>
      <c r="B284" s="169" t="e">
        <f>IF(#REF!&lt;100,"",#REF!-620)</f>
        <v>#REF!</v>
      </c>
      <c r="C284" s="169" t="e">
        <f>IF(#REF!&lt;100,"",#REF!-620)</f>
        <v>#REF!</v>
      </c>
      <c r="D284" s="169" t="e">
        <f>IF(#REF!&lt;100,"",#REF!-620)</f>
        <v>#REF!</v>
      </c>
      <c r="E284" s="169" t="e">
        <f>IF(#REF!&lt;100,"",#REF!-620)</f>
        <v>#REF!</v>
      </c>
      <c r="F284" s="169" t="e">
        <f>IF(#REF!&lt;100,"",#REF!-620)</f>
        <v>#REF!</v>
      </c>
      <c r="G284" s="169" t="e">
        <f>IF(#REF!&lt;100,"",#REF!-620)</f>
        <v>#REF!</v>
      </c>
      <c r="H284" s="169" t="e">
        <f>IF(#REF!&lt;100,"",#REF!-620)</f>
        <v>#REF!</v>
      </c>
      <c r="I284" s="169" t="e">
        <f>IF(#REF!&lt;100,"",#REF!-620)</f>
        <v>#REF!</v>
      </c>
      <c r="J284" s="169" t="e">
        <f>IF(#REF!&lt;100,"",#REF!-620)</f>
        <v>#REF!</v>
      </c>
      <c r="K284" s="169" t="e">
        <f>IF(#REF!&lt;100,"",#REF!-620)</f>
        <v>#REF!</v>
      </c>
      <c r="L284" s="169" t="e">
        <f>IF(#REF!&lt;100,"",#REF!-620)</f>
        <v>#REF!</v>
      </c>
      <c r="M284" s="169" t="e">
        <f>IF(#REF!&lt;100,"",#REF!-620)</f>
        <v>#REF!</v>
      </c>
      <c r="N284" s="169" t="e">
        <f>IF(#REF!&lt;100,"",#REF!-620)</f>
        <v>#REF!</v>
      </c>
      <c r="O284" s="169" t="e">
        <f>IF(#REF!&lt;100,"",#REF!-620)</f>
        <v>#REF!</v>
      </c>
      <c r="P284" s="169" t="e">
        <f>IF(#REF!&lt;100,"",#REF!-620)</f>
        <v>#REF!</v>
      </c>
      <c r="Q284" s="169" t="e">
        <f>IF(#REF!&lt;100,"",#REF!-620)</f>
        <v>#REF!</v>
      </c>
      <c r="R284" s="169" t="e">
        <f>IF(#REF!&lt;100,"",#REF!-620)</f>
        <v>#REF!</v>
      </c>
      <c r="S284" s="169" t="e">
        <f>IF(#REF!&lt;100,"",#REF!-620)</f>
        <v>#REF!</v>
      </c>
      <c r="T284" s="169" t="e">
        <f>IF(#REF!&lt;100,"",#REF!-620)</f>
        <v>#REF!</v>
      </c>
      <c r="U284" s="169" t="e">
        <f>IF(#REF!&lt;100,"",#REF!-620)</f>
        <v>#REF!</v>
      </c>
      <c r="V284" s="169" t="e">
        <f>IF(#REF!&lt;100,"",#REF!-620)</f>
        <v>#REF!</v>
      </c>
      <c r="W284" s="169" t="e">
        <f>IF(#REF!&lt;100,"",#REF!-620)</f>
        <v>#REF!</v>
      </c>
      <c r="X284" s="169" t="e">
        <f>IF(#REF!&lt;100,"",#REF!-620)</f>
        <v>#REF!</v>
      </c>
      <c r="Y284" s="169" t="e">
        <f>IF(#REF!&lt;100,"",#REF!-620)</f>
        <v>#REF!</v>
      </c>
      <c r="Z284" s="169" t="e">
        <f>IF(#REF!&lt;100,"",#REF!-620)</f>
        <v>#REF!</v>
      </c>
      <c r="AA284" s="169" t="e">
        <f>IF(#REF!&lt;100,"",#REF!-620)</f>
        <v>#REF!</v>
      </c>
      <c r="AB284" s="169" t="e">
        <f>IF(#REF!&lt;100,"",#REF!-620)</f>
        <v>#REF!</v>
      </c>
      <c r="AC284" s="169" t="e">
        <f>IF(#REF!&lt;100,"",#REF!-620)</f>
        <v>#REF!</v>
      </c>
      <c r="AD284" s="169" t="e">
        <f>IF(#REF!&lt;100,"",#REF!-620)</f>
        <v>#REF!</v>
      </c>
      <c r="AE284" s="169" t="e">
        <f>IF(#REF!&lt;100,"",#REF!-620)</f>
        <v>#REF!</v>
      </c>
      <c r="AF284" s="169" t="e">
        <f>IF(#REF!&lt;100,"",#REF!-620)</f>
        <v>#REF!</v>
      </c>
      <c r="AG284" s="43"/>
      <c r="AH284" s="43"/>
    </row>
    <row r="285" spans="1:34" x14ac:dyDescent="0.25">
      <c r="A285" s="169" t="e">
        <f>#REF!</f>
        <v>#REF!</v>
      </c>
      <c r="B285" s="169" t="e">
        <f>IF(#REF!&lt;100,"",#REF!-330)</f>
        <v>#REF!</v>
      </c>
      <c r="C285" s="169" t="e">
        <f>IF(#REF!&lt;100,"",#REF!-330)</f>
        <v>#REF!</v>
      </c>
      <c r="D285" s="169" t="e">
        <f>IF(#REF!&lt;100,"",#REF!-330)</f>
        <v>#REF!</v>
      </c>
      <c r="E285" s="169" t="e">
        <f>IF(#REF!&lt;100,"",#REF!-330)</f>
        <v>#REF!</v>
      </c>
      <c r="F285" s="169" t="e">
        <f>IF(#REF!&lt;100,"",#REF!-330)</f>
        <v>#REF!</v>
      </c>
      <c r="G285" s="169" t="e">
        <f>IF(#REF!&lt;100,"",#REF!-330)</f>
        <v>#REF!</v>
      </c>
      <c r="H285" s="169" t="e">
        <f>IF(#REF!&lt;100,"",#REF!-330)</f>
        <v>#REF!</v>
      </c>
      <c r="I285" s="169" t="e">
        <f>IF(#REF!&lt;100,"",#REF!-330)</f>
        <v>#REF!</v>
      </c>
      <c r="J285" s="169" t="e">
        <f>IF(#REF!&lt;100,"",#REF!-330)</f>
        <v>#REF!</v>
      </c>
      <c r="K285" s="169" t="e">
        <f>IF(#REF!&lt;100,"",#REF!-330)</f>
        <v>#REF!</v>
      </c>
      <c r="L285" s="169" t="e">
        <f>IF(#REF!&lt;100,"",#REF!-330)</f>
        <v>#REF!</v>
      </c>
      <c r="M285" s="169" t="e">
        <f>IF(#REF!&lt;100,"",#REF!-330)</f>
        <v>#REF!</v>
      </c>
      <c r="N285" s="169" t="e">
        <f>IF(#REF!&lt;100,"",#REF!-330)</f>
        <v>#REF!</v>
      </c>
      <c r="O285" s="169" t="e">
        <f>IF(#REF!&lt;100,"",#REF!-330)</f>
        <v>#REF!</v>
      </c>
      <c r="P285" s="169" t="e">
        <f>IF(#REF!&lt;100,"",#REF!-330)</f>
        <v>#REF!</v>
      </c>
      <c r="Q285" s="169" t="e">
        <f>IF(#REF!&lt;100,"",#REF!-330)</f>
        <v>#REF!</v>
      </c>
      <c r="R285" s="169" t="e">
        <f>IF(#REF!&lt;100,"",#REF!-330)</f>
        <v>#REF!</v>
      </c>
      <c r="S285" s="169" t="e">
        <f>IF(#REF!&lt;100,"",#REF!-330)</f>
        <v>#REF!</v>
      </c>
      <c r="T285" s="169" t="e">
        <f>IF(#REF!&lt;100,"",#REF!-330)</f>
        <v>#REF!</v>
      </c>
      <c r="U285" s="169" t="e">
        <f>IF(#REF!&lt;100,"",#REF!-330)</f>
        <v>#REF!</v>
      </c>
      <c r="V285" s="169" t="e">
        <f>IF(#REF!&lt;100,"",#REF!-330)</f>
        <v>#REF!</v>
      </c>
      <c r="W285" s="169" t="e">
        <f>IF(#REF!&lt;100,"",#REF!-330)</f>
        <v>#REF!</v>
      </c>
      <c r="X285" s="169" t="e">
        <f>IF(#REF!&lt;100,"",#REF!-330)</f>
        <v>#REF!</v>
      </c>
      <c r="Y285" s="169" t="e">
        <f>IF(#REF!&lt;100,"",#REF!-330)</f>
        <v>#REF!</v>
      </c>
      <c r="Z285" s="169" t="e">
        <f>IF(#REF!&lt;100,"",#REF!-330)</f>
        <v>#REF!</v>
      </c>
      <c r="AA285" s="169" t="e">
        <f>IF(#REF!&lt;100,"",#REF!-330)</f>
        <v>#REF!</v>
      </c>
      <c r="AB285" s="169" t="e">
        <f>IF(#REF!&lt;100,"",#REF!-330)</f>
        <v>#REF!</v>
      </c>
      <c r="AC285" s="169" t="e">
        <f>IF(#REF!&lt;100,"",#REF!-330)</f>
        <v>#REF!</v>
      </c>
      <c r="AD285" s="169" t="e">
        <f>IF(#REF!&lt;100,"",#REF!-330)</f>
        <v>#REF!</v>
      </c>
      <c r="AE285" s="169" t="e">
        <f>IF(#REF!&lt;100,"",#REF!-330)</f>
        <v>#REF!</v>
      </c>
      <c r="AF285" s="169" t="e">
        <f>IF(#REF!&lt;100,"",#REF!-330)</f>
        <v>#REF!</v>
      </c>
      <c r="AG285" s="43"/>
      <c r="AH285" s="43"/>
    </row>
    <row r="286" spans="1:34" x14ac:dyDescent="0.25">
      <c r="A286" s="169" t="e">
        <f>#REF!</f>
        <v>#REF!</v>
      </c>
      <c r="B286" s="169" t="e">
        <f>IF(#REF!&lt;100,"",#REF!-1500)</f>
        <v>#REF!</v>
      </c>
      <c r="C286" s="169" t="e">
        <f>IF(#REF!&lt;100,"",#REF!-1500)</f>
        <v>#REF!</v>
      </c>
      <c r="D286" s="169" t="e">
        <f>IF(#REF!&lt;100,"",#REF!-1500)</f>
        <v>#REF!</v>
      </c>
      <c r="E286" s="169" t="e">
        <f>IF(#REF!&lt;100,"",#REF!-1500)</f>
        <v>#REF!</v>
      </c>
      <c r="F286" s="169" t="e">
        <f>IF(#REF!&lt;100,"",#REF!-1500)</f>
        <v>#REF!</v>
      </c>
      <c r="G286" s="169" t="e">
        <f>IF(#REF!&lt;100,"",#REF!-1500)</f>
        <v>#REF!</v>
      </c>
      <c r="H286" s="169" t="e">
        <f>IF(#REF!&lt;100,"",#REF!-1500)</f>
        <v>#REF!</v>
      </c>
      <c r="I286" s="169" t="e">
        <f>IF(#REF!&lt;100,"",#REF!-1500)</f>
        <v>#REF!</v>
      </c>
      <c r="J286" s="169" t="e">
        <f>IF(#REF!&lt;100,"",#REF!-1500)</f>
        <v>#REF!</v>
      </c>
      <c r="K286" s="169" t="e">
        <f>IF(#REF!&lt;100,"",#REF!-1500)</f>
        <v>#REF!</v>
      </c>
      <c r="L286" s="169" t="e">
        <f>IF(#REF!&lt;100,"",#REF!-1500)</f>
        <v>#REF!</v>
      </c>
      <c r="M286" s="169" t="e">
        <f>IF(#REF!&lt;100,"",#REF!-1500)</f>
        <v>#REF!</v>
      </c>
      <c r="N286" s="169" t="e">
        <f>IF(#REF!&lt;100,"",#REF!-1500)</f>
        <v>#REF!</v>
      </c>
      <c r="O286" s="169" t="e">
        <f>IF(#REF!&lt;100,"",#REF!-1500)</f>
        <v>#REF!</v>
      </c>
      <c r="P286" s="169" t="e">
        <f>IF(#REF!&lt;100,"",#REF!-1500)</f>
        <v>#REF!</v>
      </c>
      <c r="Q286" s="169" t="e">
        <f>IF(#REF!&lt;100,"",#REF!-1500)</f>
        <v>#REF!</v>
      </c>
      <c r="R286" s="169" t="e">
        <f>IF(#REF!&lt;100,"",#REF!-1500)</f>
        <v>#REF!</v>
      </c>
      <c r="S286" s="169" t="e">
        <f>IF(#REF!&lt;100,"",#REF!-1500)</f>
        <v>#REF!</v>
      </c>
      <c r="T286" s="169" t="e">
        <f>IF(#REF!&lt;100,"",#REF!-1500)</f>
        <v>#REF!</v>
      </c>
      <c r="U286" s="169" t="e">
        <f>IF(#REF!&lt;100,"",#REF!-1500)</f>
        <v>#REF!</v>
      </c>
      <c r="V286" s="169" t="e">
        <f>IF(#REF!&lt;100,"",#REF!-1500)</f>
        <v>#REF!</v>
      </c>
      <c r="W286" s="169" t="e">
        <f>IF(#REF!&lt;100,"",#REF!-1500)</f>
        <v>#REF!</v>
      </c>
      <c r="X286" s="169" t="e">
        <f>IF(#REF!&lt;100,"",#REF!-1500)</f>
        <v>#REF!</v>
      </c>
      <c r="Y286" s="169" t="e">
        <f>IF(#REF!&lt;100,"",#REF!-1500)</f>
        <v>#REF!</v>
      </c>
      <c r="Z286" s="169" t="e">
        <f>IF(#REF!&lt;100,"",#REF!-1500)</f>
        <v>#REF!</v>
      </c>
      <c r="AA286" s="169" t="e">
        <f>IF(#REF!&lt;100,"",#REF!-1500)</f>
        <v>#REF!</v>
      </c>
      <c r="AB286" s="169" t="e">
        <f>IF(#REF!&lt;100,"",#REF!-1500)</f>
        <v>#REF!</v>
      </c>
      <c r="AC286" s="169" t="e">
        <f>IF(#REF!&lt;100,"",#REF!-1500)</f>
        <v>#REF!</v>
      </c>
      <c r="AD286" s="169" t="e">
        <f>IF(#REF!&lt;100,"",#REF!-1500)</f>
        <v>#REF!</v>
      </c>
      <c r="AE286" s="169" t="e">
        <f>IF(#REF!&lt;100,"",#REF!-1500)</f>
        <v>#REF!</v>
      </c>
      <c r="AF286" s="169" t="e">
        <f>IF(#REF!&lt;100,"",#REF!-1500)</f>
        <v>#REF!</v>
      </c>
      <c r="AG286" s="43"/>
      <c r="AH286" s="43"/>
    </row>
    <row r="287" spans="1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1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2:34" x14ac:dyDescent="0.25"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2:34" x14ac:dyDescent="0.25"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2:34" x14ac:dyDescent="0.25"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2:34" x14ac:dyDescent="0.25"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2:34" x14ac:dyDescent="0.25"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phoneticPr fontId="40" type="noConversion"/>
  <conditionalFormatting sqref="A11:A130">
    <cfRule type="expression" dxfId="960" priority="1">
      <formula>$AH11=0</formula>
    </cfRule>
  </conditionalFormatting>
  <conditionalFormatting sqref="A132:A253">
    <cfRule type="expression" dxfId="959" priority="6">
      <formula>$AH132=0</formula>
    </cfRule>
  </conditionalFormatting>
  <conditionalFormatting sqref="B8 M8 S8 AB8">
    <cfRule type="expression" dxfId="958" priority="116">
      <formula>C$9&lt;8/24</formula>
    </cfRule>
    <cfRule type="expression" dxfId="957" priority="115">
      <formula>AND(C$9&gt;=8/24,C$9&lt;14/24)</formula>
    </cfRule>
    <cfRule type="expression" dxfId="956" priority="114">
      <formula>AND(C$9&gt;=14/24,C$9&lt;20/24)</formula>
    </cfRule>
  </conditionalFormatting>
  <conditionalFormatting sqref="B63:L74 M66:N74 O68:Q74 R69:X74">
    <cfRule type="expression" dxfId="955" priority="21">
      <formula>B$9&gt;=20/24</formula>
    </cfRule>
    <cfRule type="expression" dxfId="954" priority="22">
      <formula>AND(B$9&gt;=14/24,B$9&lt;20/24)</formula>
    </cfRule>
    <cfRule type="expression" dxfId="953" priority="23">
      <formula>AND(B$9&gt;=8/24,B$9&lt;14/24)</formula>
    </cfRule>
    <cfRule type="expression" dxfId="952" priority="24">
      <formula>B$9&lt;8/24</formula>
    </cfRule>
  </conditionalFormatting>
  <conditionalFormatting sqref="B11:X54">
    <cfRule type="expression" dxfId="951" priority="15">
      <formula>B11&gt;$AG11</formula>
    </cfRule>
  </conditionalFormatting>
  <conditionalFormatting sqref="B53:X54">
    <cfRule type="expression" dxfId="950" priority="14">
      <formula>B$9&lt;8/24</formula>
    </cfRule>
  </conditionalFormatting>
  <conditionalFormatting sqref="B55:X55">
    <cfRule type="expression" dxfId="949" priority="35">
      <formula>B55&gt;$AG55</formula>
    </cfRule>
  </conditionalFormatting>
  <conditionalFormatting sqref="B55:X57">
    <cfRule type="expression" dxfId="948" priority="34">
      <formula>B$9&lt;8/24</formula>
    </cfRule>
  </conditionalFormatting>
  <conditionalFormatting sqref="B9:AF52">
    <cfRule type="expression" dxfId="947" priority="26">
      <formula>B$9&gt;=20/24</formula>
    </cfRule>
    <cfRule type="expression" dxfId="946" priority="27">
      <formula>AND(B$9&gt;=14/24,B$9&lt;20/24)</formula>
    </cfRule>
    <cfRule type="expression" dxfId="945" priority="28">
      <formula>AND(B$9&gt;=8/24,B$9&lt;14/24)</formula>
    </cfRule>
    <cfRule type="expression" dxfId="944" priority="29">
      <formula>B$9&lt;8/24</formula>
    </cfRule>
  </conditionalFormatting>
  <conditionalFormatting sqref="B53:AF54">
    <cfRule type="expression" dxfId="943" priority="11">
      <formula>B$9&gt;=20/24</formula>
    </cfRule>
    <cfRule type="expression" dxfId="942" priority="12">
      <formula>AND(B$9&gt;=14/24,B$9&lt;20/24)</formula>
    </cfRule>
    <cfRule type="expression" dxfId="941" priority="13">
      <formula>AND(B$9&gt;=8/24,B$9&lt;14/24)</formula>
    </cfRule>
  </conditionalFormatting>
  <conditionalFormatting sqref="B55:AF57">
    <cfRule type="expression" dxfId="940" priority="33">
      <formula>AND(B$9&gt;=8/24,B$9&lt;14/24)</formula>
    </cfRule>
    <cfRule type="expression" dxfId="939" priority="31">
      <formula>B$9&gt;=20/24</formula>
    </cfRule>
    <cfRule type="expression" dxfId="938" priority="32">
      <formula>AND(B$9&gt;=14/24,B$9&lt;20/24)</formula>
    </cfRule>
  </conditionalFormatting>
  <conditionalFormatting sqref="B56:AF61">
    <cfRule type="expression" dxfId="937" priority="30">
      <formula>B56&gt;$AG56</formula>
    </cfRule>
  </conditionalFormatting>
  <conditionalFormatting sqref="B59:AF61">
    <cfRule type="expression" dxfId="936" priority="41">
      <formula>B$9&gt;=20/24</formula>
    </cfRule>
    <cfRule type="expression" dxfId="935" priority="42">
      <formula>AND(B$9&gt;=14/24,B$9&lt;20/24)</formula>
    </cfRule>
    <cfRule type="expression" dxfId="934" priority="43">
      <formula>AND(B$9&gt;=8/24,B$9&lt;14/24)</formula>
    </cfRule>
    <cfRule type="expression" dxfId="933" priority="44">
      <formula>B$9&lt;8/24</formula>
    </cfRule>
  </conditionalFormatting>
  <conditionalFormatting sqref="B63:AF74">
    <cfRule type="expression" dxfId="932" priority="20">
      <formula>B63&gt;$AG63</formula>
    </cfRule>
  </conditionalFormatting>
  <conditionalFormatting sqref="B77:AF79">
    <cfRule type="expression" dxfId="931" priority="47">
      <formula>AND(B$9&gt;=14/24,B$9&lt;20/24)</formula>
    </cfRule>
    <cfRule type="expression" dxfId="930" priority="45">
      <formula>B77&gt;$AG77</formula>
    </cfRule>
    <cfRule type="expression" dxfId="929" priority="46">
      <formula>B$9&gt;=20/24</formula>
    </cfRule>
    <cfRule type="expression" dxfId="928" priority="48">
      <formula>AND(B$9&gt;=8/24,B$9&lt;14/24)</formula>
    </cfRule>
    <cfRule type="expression" dxfId="927" priority="49">
      <formula>B$9&lt;8/24</formula>
    </cfRule>
  </conditionalFormatting>
  <conditionalFormatting sqref="B81:AF99">
    <cfRule type="expression" dxfId="926" priority="19">
      <formula>B$9&lt;8/24</formula>
    </cfRule>
    <cfRule type="expression" dxfId="925" priority="18">
      <formula>AND(B$9&gt;=8/24,B$9&lt;14/24)</formula>
    </cfRule>
    <cfRule type="expression" dxfId="924" priority="16">
      <formula>B$9&gt;=20/24</formula>
    </cfRule>
    <cfRule type="expression" dxfId="923" priority="17">
      <formula>AND(B$9&gt;=14/24,B$9&lt;20/24)</formula>
    </cfRule>
  </conditionalFormatting>
  <conditionalFormatting sqref="B101:AF117">
    <cfRule type="expression" dxfId="922" priority="7">
      <formula>B$9&gt;=20/24</formula>
    </cfRule>
    <cfRule type="expression" dxfId="921" priority="8">
      <formula>AND(B$9&gt;=14/24,B$9&lt;20/24)</formula>
    </cfRule>
    <cfRule type="expression" dxfId="920" priority="10">
      <formula>B$9&lt;8/24</formula>
    </cfRule>
    <cfRule type="expression" dxfId="919" priority="9">
      <formula>AND(B$9&gt;=8/24,B$9&lt;14/24)</formula>
    </cfRule>
  </conditionalFormatting>
  <conditionalFormatting sqref="B119:AF137">
    <cfRule type="expression" dxfId="918" priority="3">
      <formula>AND(B$9&gt;=14/24,B$9&lt;20/24)</formula>
    </cfRule>
    <cfRule type="expression" dxfId="917" priority="4">
      <formula>AND(B$9&gt;=8/24,B$9&lt;14/24)</formula>
    </cfRule>
    <cfRule type="expression" dxfId="916" priority="5">
      <formula>B$9&lt;8/24</formula>
    </cfRule>
    <cfRule type="expression" dxfId="915" priority="2">
      <formula>B$9&gt;=20/24</formula>
    </cfRule>
  </conditionalFormatting>
  <conditionalFormatting sqref="B244:AF244 B246:B252 D246:AF252 U260:AF260">
    <cfRule type="expression" dxfId="914" priority="110">
      <formula>B$9&lt;8/24</formula>
    </cfRule>
    <cfRule type="expression" dxfId="913" priority="109">
      <formula>AND(B$9&gt;=8/24,B$9&lt;14/24)</formula>
    </cfRule>
    <cfRule type="expression" dxfId="912" priority="108">
      <formula>AND(B$9&gt;=14/24,B$9&lt;20/24)</formula>
    </cfRule>
    <cfRule type="expression" dxfId="911" priority="107">
      <formula>B$9&gt;=20/24</formula>
    </cfRule>
  </conditionalFormatting>
  <conditionalFormatting sqref="B62:AG62">
    <cfRule type="expression" dxfId="910" priority="50">
      <formula>B62&gt;$AG62</formula>
    </cfRule>
    <cfRule type="expression" dxfId="909" priority="51">
      <formula>B$9&gt;=20/24</formula>
    </cfRule>
    <cfRule type="expression" dxfId="908" priority="52">
      <formula>AND(B$9&gt;=14/24,B$9&lt;20/24)</formula>
    </cfRule>
    <cfRule type="expression" dxfId="907" priority="53">
      <formula>AND(B$9&gt;=8/24,B$9&lt;14/24)</formula>
    </cfRule>
    <cfRule type="expression" dxfId="906" priority="54">
      <formula>B$9&lt;8/24</formula>
    </cfRule>
  </conditionalFormatting>
  <conditionalFormatting sqref="B75:AG76 B80:AG80">
    <cfRule type="expression" dxfId="905" priority="36">
      <formula>B75&gt;$AG75</formula>
    </cfRule>
  </conditionalFormatting>
  <conditionalFormatting sqref="B80:AG80">
    <cfRule type="expression" dxfId="904" priority="37">
      <formula>B$9&gt;=20/24</formula>
    </cfRule>
    <cfRule type="expression" dxfId="903" priority="40">
      <formula>B$9&lt;8/24</formula>
    </cfRule>
    <cfRule type="expression" dxfId="902" priority="39">
      <formula>AND(B$9&gt;=8/24,B$9&lt;14/24)</formula>
    </cfRule>
    <cfRule type="expression" dxfId="901" priority="38">
      <formula>AND(B$9&gt;=14/24,B$9&lt;20/24)</formula>
    </cfRule>
  </conditionalFormatting>
  <conditionalFormatting sqref="F63:L65">
    <cfRule type="expression" dxfId="900" priority="91">
      <formula>F$9&lt;8/24</formula>
    </cfRule>
    <cfRule type="expression" dxfId="899" priority="90">
      <formula>AND(F$9&gt;=8/24,F$9&lt;14/24)</formula>
    </cfRule>
    <cfRule type="expression" dxfId="898" priority="89">
      <formula>AND(F$9&gt;=14/24,F$9&lt;20/24)</formula>
    </cfRule>
    <cfRule type="expression" dxfId="897" priority="88">
      <formula>F$9&gt;=20/24</formula>
    </cfRule>
  </conditionalFormatting>
  <conditionalFormatting sqref="F68:X68">
    <cfRule type="expression" dxfId="896" priority="65">
      <formula>F$9&gt;=20/24</formula>
    </cfRule>
    <cfRule type="expression" dxfId="895" priority="66">
      <formula>AND(F$9&gt;=14/24,F$9&lt;20/24)</formula>
    </cfRule>
    <cfRule type="expression" dxfId="894" priority="67">
      <formula>AND(F$9&gt;=8/24,F$9&lt;14/24)</formula>
    </cfRule>
    <cfRule type="expression" dxfId="893" priority="68">
      <formula>F$9&lt;8/24</formula>
    </cfRule>
  </conditionalFormatting>
  <conditionalFormatting sqref="F69:AF74">
    <cfRule type="expression" dxfId="892" priority="55">
      <formula>F$9&gt;=20/24</formula>
    </cfRule>
    <cfRule type="expression" dxfId="891" priority="56">
      <formula>AND(F$9&gt;=14/24,F$9&lt;20/24)</formula>
    </cfRule>
    <cfRule type="expression" dxfId="890" priority="57">
      <formula>AND(F$9&gt;=8/24,F$9&lt;14/24)</formula>
    </cfRule>
    <cfRule type="expression" dxfId="889" priority="58">
      <formula>F$9&lt;8/24</formula>
    </cfRule>
  </conditionalFormatting>
  <conditionalFormatting sqref="M63:X67 X67:Z67">
    <cfRule type="expression" dxfId="888" priority="93">
      <formula>AND(M$9&gt;=14/24,M$9&lt;20/24)</formula>
    </cfRule>
    <cfRule type="expression" dxfId="887" priority="94">
      <formula>AND(M$9&gt;=8/24,M$9&lt;14/24)</formula>
    </cfRule>
    <cfRule type="expression" dxfId="886" priority="95">
      <formula>M$9&lt;8/24</formula>
    </cfRule>
  </conditionalFormatting>
  <conditionalFormatting sqref="O3:P3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885" priority="113">
      <formula>C$9&gt;=20/24</formula>
    </cfRule>
  </conditionalFormatting>
  <conditionalFormatting sqref="S8">
    <cfRule type="expression" dxfId="884" priority="101">
      <formula>AND(U$9&gt;=14/24,U$9&lt;20/24)</formula>
    </cfRule>
    <cfRule type="expression" dxfId="883" priority="103">
      <formula>U$9&lt;8/24</formula>
    </cfRule>
    <cfRule type="expression" dxfId="882" priority="102">
      <formula>AND(U$9&gt;=8/24,U$9&lt;14/24)</formula>
    </cfRule>
    <cfRule type="expression" dxfId="881" priority="100">
      <formula>U$9&gt;=20/24</formula>
    </cfRule>
  </conditionalFormatting>
  <conditionalFormatting sqref="T260">
    <cfRule type="expression" dxfId="880" priority="128">
      <formula>AX$9&lt;8/24</formula>
    </cfRule>
    <cfRule type="expression" dxfId="879" priority="125">
      <formula>AX$9&gt;=20/24</formula>
    </cfRule>
    <cfRule type="expression" dxfId="878" priority="126">
      <formula>AND(AX$9&gt;=14/24,AX$9&lt;20/24)</formula>
    </cfRule>
    <cfRule type="expression" dxfId="877" priority="127">
      <formula>AND(AX$9&gt;=8/24,AX$9&lt;14/24)</formula>
    </cfRule>
  </conditionalFormatting>
  <conditionalFormatting sqref="V3 AB3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X67:Z67 M63:X67">
    <cfRule type="expression" dxfId="876" priority="92">
      <formula>M$9&gt;=20/24</formula>
    </cfRule>
  </conditionalFormatting>
  <conditionalFormatting sqref="Y11:AF52">
    <cfRule type="expression" dxfId="875" priority="25">
      <formula>Y11&gt;$AG11</formula>
    </cfRule>
  </conditionalFormatting>
  <conditionalFormatting sqref="Y53:AF55">
    <cfRule type="expression" dxfId="874" priority="64">
      <formula>Y53&gt;$AG53</formula>
    </cfRule>
  </conditionalFormatting>
  <conditionalFormatting sqref="Y53:AF57">
    <cfRule type="expression" dxfId="873" priority="63">
      <formula>Y$9&lt;8/24</formula>
    </cfRule>
  </conditionalFormatting>
  <conditionalFormatting sqref="Y63:AF68">
    <cfRule type="expression" dxfId="872" priority="59">
      <formula>Y$9&gt;=20/24</formula>
    </cfRule>
    <cfRule type="expression" dxfId="871" priority="60">
      <formula>AND(Y$9&gt;=14/24,Y$9&lt;20/24)</formula>
    </cfRule>
    <cfRule type="expression" dxfId="870" priority="62">
      <formula>Y$9&lt;8/24</formula>
    </cfRule>
    <cfRule type="expression" dxfId="869" priority="61">
      <formula>AND(Y$9&gt;=8/24,Y$9&lt;14/24)</formula>
    </cfRule>
  </conditionalFormatting>
  <conditionalFormatting sqref="AB8">
    <cfRule type="expression" dxfId="868" priority="96">
      <formula>AD$9&gt;=20/24</formula>
    </cfRule>
    <cfRule type="expression" dxfId="867" priority="97">
      <formula>AND(AD$9&gt;=14/24,AD$9&lt;20/24)</formula>
    </cfRule>
    <cfRule type="expression" dxfId="866" priority="98">
      <formula>AND(AD$9&gt;=8/24,AD$9&lt;14/24)</formula>
    </cfRule>
    <cfRule type="expression" dxfId="865" priority="99">
      <formula>AD$9&lt;8/24</formula>
    </cfRule>
  </conditionalFormatting>
  <conditionalFormatting sqref="AG58">
    <cfRule type="expression" dxfId="864" priority="83">
      <formula>AG58&gt;$AG58</formula>
    </cfRule>
  </conditionalFormatting>
  <conditionalFormatting sqref="AG97">
    <cfRule type="expression" dxfId="863" priority="84">
      <formula>AG$9&gt;=20/24</formula>
    </cfRule>
    <cfRule type="expression" dxfId="862" priority="85">
      <formula>AND(AG$9&gt;=14/24,AG$9&lt;20/24)</formula>
    </cfRule>
    <cfRule type="expression" dxfId="861" priority="87">
      <formula>AG$9&lt;8/24</formula>
    </cfRule>
    <cfRule type="expression" dxfId="860" priority="86">
      <formula>AND(AG$9&gt;=8/24,AG$9&lt;14/24)</formula>
    </cfRule>
  </conditionalFormatting>
  <conditionalFormatting sqref="AG260">
    <cfRule type="expression" dxfId="859" priority="120">
      <formula>B$9&lt;8/24</formula>
    </cfRule>
    <cfRule type="expression" dxfId="858" priority="117">
      <formula>B$9&gt;=20/24</formula>
    </cfRule>
    <cfRule type="expression" dxfId="857" priority="118">
      <formula>AND(B$9&gt;=14/24,B$9&lt;20/24)</formula>
    </cfRule>
    <cfRule type="expression" dxfId="856" priority="119">
      <formula>AND(B$9&gt;=8/24,B$9&lt;14/24)</formula>
    </cfRule>
  </conditionalFormatting>
  <conditionalFormatting sqref="AH260:AX260">
    <cfRule type="expression" dxfId="855" priority="121">
      <formula>AG$9&gt;=20/24</formula>
    </cfRule>
    <cfRule type="expression" dxfId="854" priority="122">
      <formula>AND(AG$9&gt;=14/24,AG$9&lt;20/24)</formula>
    </cfRule>
    <cfRule type="expression" dxfId="853" priority="123">
      <formula>AND(AG$9&gt;=8/24,AG$9&lt;14/24)</formula>
    </cfRule>
    <cfRule type="expression" dxfId="852" priority="124">
      <formula>AG$9&lt;8/24</formula>
    </cfRule>
  </conditionalFormatting>
  <conditionalFormatting sqref="AL4:AL6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19:AL20">
    <cfRule type="iconSet" priority="71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8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70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8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82">
      <iconSet iconSet="3TrafficLights2" reverse="1">
        <cfvo type="percent" val="0"/>
        <cfvo type="num" val="1"/>
        <cfvo type="num" val="1"/>
      </iconSet>
    </cfRule>
  </conditionalFormatting>
  <conditionalFormatting sqref="AL48 AL45:AL46 AL21:AL24 AL7:AL18 AL26:AL37 AL39:AL43 AL54:AL55">
    <cfRule type="iconSet" priority="129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04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69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851" priority="130">
      <formula>AJ$9&gt;=20/24</formula>
    </cfRule>
    <cfRule type="expression" dxfId="850" priority="131">
      <formula>AND(AJ$9&gt;=14/24,AJ$9&lt;20/24)</formula>
    </cfRule>
    <cfRule type="expression" dxfId="849" priority="132">
      <formula>AND(AJ$9&gt;=8/24,AJ$9&lt;14/24)</formula>
    </cfRule>
    <cfRule type="expression" dxfId="848" priority="133">
      <formula>AJ$9&lt;8/24</formula>
    </cfRule>
  </conditionalFormatting>
  <conditionalFormatting sqref="AL88:AN88 AL94:AN94">
    <cfRule type="expression" dxfId="847" priority="79">
      <formula>AL$9&lt;8/24</formula>
    </cfRule>
    <cfRule type="expression" dxfId="846" priority="78">
      <formula>AND(AL$9&gt;=8/24,AL$9&lt;14/24)</formula>
    </cfRule>
    <cfRule type="expression" dxfId="845" priority="76">
      <formula>AL$9&gt;=20/24</formula>
    </cfRule>
    <cfRule type="expression" dxfId="844" priority="77">
      <formula>AND(AL$9&gt;=14/24,AL$9&lt;20/24)</formula>
    </cfRule>
  </conditionalFormatting>
  <conditionalFormatting sqref="AN89:AN92">
    <cfRule type="expression" dxfId="843" priority="75">
      <formula>AN$9&lt;8/24</formula>
    </cfRule>
    <cfRule type="expression" dxfId="842" priority="74">
      <formula>AND(AN$9&gt;=8/24,AN$9&lt;14/24)</formula>
    </cfRule>
    <cfRule type="expression" dxfId="841" priority="73">
      <formula>AND(AN$9&gt;=14/24,AN$9&lt;20/24)</formula>
    </cfRule>
    <cfRule type="expression" dxfId="840" priority="72">
      <formula>AN$9&gt;=20/24</formula>
    </cfRule>
  </conditionalFormatting>
  <pageMargins left="0.7" right="0.7" top="0.75" bottom="0.75" header="0.3" footer="0.3"/>
  <drawing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B929C-2101-4C13-B237-E1098AA7AC39}">
  <sheetPr codeName="Sheet18"/>
  <dimension ref="A1:CJ293"/>
  <sheetViews>
    <sheetView zoomScale="106" workbookViewId="0">
      <pane xSplit="1" ySplit="10" topLeftCell="B123" activePane="bottomRight" state="frozen"/>
      <selection activeCell="Z63" sqref="Z63"/>
      <selection pane="topRight" activeCell="Z63" sqref="Z63"/>
      <selection pane="bottomLeft" activeCell="Z63" sqref="Z63"/>
      <selection pane="bottomRight" activeCell="F134" sqref="F134"/>
    </sheetView>
  </sheetViews>
  <sheetFormatPr defaultColWidth="9.140625" defaultRowHeight="15" x14ac:dyDescent="0.25"/>
  <cols>
    <col min="1" max="1" width="35.28515625" style="1" bestFit="1" customWidth="1"/>
    <col min="2" max="2" width="7.42578125" style="1" bestFit="1" customWidth="1"/>
    <col min="3" max="3" width="7.85546875" style="1" customWidth="1"/>
    <col min="4" max="4" width="7" style="1" customWidth="1"/>
    <col min="5" max="7" width="7.42578125" style="1" bestFit="1" customWidth="1"/>
    <col min="8" max="8" width="6.42578125" style="1" bestFit="1" customWidth="1"/>
    <col min="9" max="9" width="7.42578125" style="1" bestFit="1" customWidth="1"/>
    <col min="10" max="10" width="6.28515625" style="1" bestFit="1" customWidth="1"/>
    <col min="11" max="11" width="7.42578125" style="1" bestFit="1" customWidth="1"/>
    <col min="12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hidden="1" customHeight="1" thickBot="1" x14ac:dyDescent="0.3">
      <c r="A1" s="275" t="s">
        <v>0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  <c r="AD1" s="275"/>
      <c r="AE1" s="275"/>
      <c r="AF1" s="275"/>
      <c r="AG1" s="276" t="s">
        <v>1</v>
      </c>
      <c r="AH1" s="276"/>
      <c r="AI1" s="276"/>
      <c r="AL1" s="2"/>
    </row>
    <row r="2" spans="1:88" ht="20.25" hidden="1" x14ac:dyDescent="0.25">
      <c r="A2" s="3"/>
      <c r="B2" s="277" t="s">
        <v>2</v>
      </c>
      <c r="C2" s="4"/>
      <c r="D2" s="279" t="s">
        <v>3</v>
      </c>
      <c r="E2" s="4"/>
      <c r="F2" s="279" t="s">
        <v>4</v>
      </c>
      <c r="G2" s="4"/>
      <c r="H2" s="279" t="s">
        <v>5</v>
      </c>
      <c r="I2" s="5"/>
      <c r="J2" s="281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78"/>
      <c r="C3" s="16"/>
      <c r="D3" s="280"/>
      <c r="E3" s="16"/>
      <c r="F3" s="280"/>
      <c r="G3" s="16"/>
      <c r="H3" s="280"/>
      <c r="I3" s="17"/>
      <c r="J3" s="281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70" t="str">
        <f ca="1">"2080/"&amp;"10/"&amp;INT(MID(CELL("filename",D6),FIND("]",CELL("filename",D6))+1,200))</f>
        <v>2080/10/19</v>
      </c>
      <c r="C4" s="270"/>
      <c r="D4" s="270"/>
      <c r="E4" s="271" t="str">
        <f ca="1">"2080/"&amp;"10/"&amp;INT(MID(CELL("filename",G6),FIND("]",CELL("filename",G6))+1,200))</f>
        <v>2080/10/19</v>
      </c>
      <c r="F4" s="271"/>
      <c r="G4" s="271"/>
      <c r="H4" s="271" t="str">
        <f ca="1">TEXT(E4,"dddd")</f>
        <v>Saturday</v>
      </c>
      <c r="I4" s="271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C92</f>
        <v>526.5</v>
      </c>
      <c r="C5" s="30">
        <f t="shared" si="0"/>
        <v>523.70000000000005</v>
      </c>
      <c r="D5" s="30">
        <f t="shared" si="0"/>
        <v>514.6</v>
      </c>
      <c r="E5" s="30">
        <f t="shared" si="0"/>
        <v>523.1</v>
      </c>
      <c r="F5" s="30">
        <f t="shared" si="0"/>
        <v>550.70000000000005</v>
      </c>
      <c r="G5" s="30">
        <f t="shared" si="0"/>
        <v>543</v>
      </c>
      <c r="H5" s="30">
        <f t="shared" si="0"/>
        <v>538.5</v>
      </c>
      <c r="I5" s="30">
        <f t="shared" si="0"/>
        <v>602.9</v>
      </c>
      <c r="J5" s="30">
        <f t="shared" si="0"/>
        <v>576.4</v>
      </c>
      <c r="K5" s="30">
        <f t="shared" si="0"/>
        <v>400.9</v>
      </c>
      <c r="L5" s="30">
        <f t="shared" si="0"/>
        <v>337.5</v>
      </c>
      <c r="M5" s="30">
        <f t="shared" si="0"/>
        <v>259</v>
      </c>
      <c r="N5" s="30">
        <f t="shared" si="0"/>
        <v>410.4</v>
      </c>
      <c r="O5" s="30">
        <f t="shared" si="0"/>
        <v>552.29999999999995</v>
      </c>
      <c r="P5" s="30">
        <f t="shared" si="0"/>
        <v>612</v>
      </c>
      <c r="Q5" s="30">
        <f t="shared" si="0"/>
        <v>593.20000000000005</v>
      </c>
      <c r="R5" s="30">
        <f t="shared" si="0"/>
        <v>612.29999999999995</v>
      </c>
      <c r="S5" s="30">
        <f t="shared" si="0"/>
        <v>602.70000000000005</v>
      </c>
      <c r="T5" s="30">
        <f t="shared" si="0"/>
        <v>619.1</v>
      </c>
      <c r="U5" s="30">
        <f t="shared" si="0"/>
        <v>507.1</v>
      </c>
      <c r="V5" s="30">
        <f t="shared" si="0"/>
        <v>440.30000000000007</v>
      </c>
      <c r="W5" s="30">
        <f t="shared" si="0"/>
        <v>433.4</v>
      </c>
      <c r="X5" s="30">
        <f t="shared" si="0"/>
        <v>438.3</v>
      </c>
      <c r="Y5" s="30">
        <f t="shared" si="0"/>
        <v>357.4</v>
      </c>
      <c r="Z5" s="30">
        <f t="shared" si="0"/>
        <v>366.2</v>
      </c>
      <c r="AA5" s="30">
        <f t="shared" si="0"/>
        <v>430.1</v>
      </c>
      <c r="AB5" s="30">
        <f t="shared" si="0"/>
        <v>548.70000000000005</v>
      </c>
      <c r="AC5" s="30">
        <f t="shared" si="0"/>
        <v>700.7</v>
      </c>
      <c r="AD5" s="30">
        <f t="shared" si="0"/>
        <v>688</v>
      </c>
      <c r="AE5" s="30">
        <f t="shared" si="0"/>
        <v>615.4</v>
      </c>
      <c r="AF5" s="30">
        <f>B92</f>
        <v>542.79999999999995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1738MW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Load=1135</v>
      </c>
      <c r="B7" s="35">
        <f>B100</f>
        <v>1222.74</v>
      </c>
      <c r="C7" s="35">
        <f t="shared" ref="C7:AF7" si="1">C100</f>
        <v>1181.3400000000001</v>
      </c>
      <c r="D7" s="35">
        <f t="shared" si="1"/>
        <v>1159.6400000000001</v>
      </c>
      <c r="E7" s="35">
        <f t="shared" si="1"/>
        <v>1134.8400000000001</v>
      </c>
      <c r="F7" s="35">
        <f t="shared" si="1"/>
        <v>1157.8400000000001</v>
      </c>
      <c r="G7" s="35">
        <f t="shared" si="1"/>
        <v>1219.8400000000001</v>
      </c>
      <c r="H7" s="35">
        <f t="shared" si="1"/>
        <v>1320.54</v>
      </c>
      <c r="I7" s="35">
        <f t="shared" si="1"/>
        <v>1403.04</v>
      </c>
      <c r="J7" s="35">
        <f t="shared" si="1"/>
        <v>1506.54</v>
      </c>
      <c r="K7" s="35">
        <f t="shared" si="1"/>
        <v>1543.7400000000002</v>
      </c>
      <c r="L7" s="35">
        <f t="shared" si="1"/>
        <v>1738.04</v>
      </c>
      <c r="M7" s="35">
        <f t="shared" si="1"/>
        <v>1733.54</v>
      </c>
      <c r="N7" s="35">
        <f t="shared" si="1"/>
        <v>1545.24</v>
      </c>
      <c r="O7" s="35">
        <f t="shared" si="1"/>
        <v>1542.04</v>
      </c>
      <c r="P7" s="35">
        <f t="shared" si="1"/>
        <v>1451.6399999999999</v>
      </c>
      <c r="Q7" s="35">
        <f t="shared" si="1"/>
        <v>1532.44</v>
      </c>
      <c r="R7" s="35">
        <f t="shared" si="1"/>
        <v>1526.84</v>
      </c>
      <c r="S7" s="35">
        <f t="shared" si="1"/>
        <v>1484.1399999999999</v>
      </c>
      <c r="T7" s="35">
        <f t="shared" si="1"/>
        <v>1483.6399999999999</v>
      </c>
      <c r="U7" s="35">
        <f t="shared" si="1"/>
        <v>1519.24</v>
      </c>
      <c r="V7" s="35">
        <f t="shared" si="1"/>
        <v>1377.8400000000001</v>
      </c>
      <c r="W7" s="35">
        <f t="shared" si="1"/>
        <v>1586.54</v>
      </c>
      <c r="X7" s="35">
        <f t="shared" si="1"/>
        <v>1778.3400000000001</v>
      </c>
      <c r="Y7" s="35">
        <f t="shared" si="1"/>
        <v>1890.5</v>
      </c>
      <c r="Z7" s="35">
        <f t="shared" si="1"/>
        <v>1845.6</v>
      </c>
      <c r="AA7" s="35">
        <f t="shared" si="1"/>
        <v>1796.9400000000003</v>
      </c>
      <c r="AB7" s="35">
        <f t="shared" si="1"/>
        <v>1765.94</v>
      </c>
      <c r="AC7" s="35">
        <f t="shared" si="1"/>
        <v>1697.0400000000002</v>
      </c>
      <c r="AD7" s="35">
        <f t="shared" si="1"/>
        <v>1477.54</v>
      </c>
      <c r="AE7" s="35">
        <f t="shared" si="1"/>
        <v>1381.8400000000001</v>
      </c>
      <c r="AF7" s="35">
        <f t="shared" si="1"/>
        <v>1248.24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72" t="s">
        <v>14</v>
      </c>
      <c r="C8" s="273"/>
      <c r="D8" s="273"/>
      <c r="E8" s="273"/>
      <c r="F8" s="273"/>
      <c r="G8" s="273"/>
      <c r="H8" s="273"/>
      <c r="I8" s="273"/>
      <c r="J8" s="273"/>
      <c r="K8" s="273"/>
      <c r="L8" s="274"/>
      <c r="M8" s="265" t="s">
        <v>15</v>
      </c>
      <c r="N8" s="266"/>
      <c r="O8" s="266"/>
      <c r="P8" s="266"/>
      <c r="Q8" s="266"/>
      <c r="R8" s="267"/>
      <c r="S8" s="265" t="s">
        <v>16</v>
      </c>
      <c r="T8" s="266"/>
      <c r="U8" s="266"/>
      <c r="V8" s="266"/>
      <c r="W8" s="266"/>
      <c r="X8" s="266"/>
      <c r="Y8" s="266"/>
      <c r="Z8" s="266"/>
      <c r="AA8" s="267"/>
      <c r="AB8" s="265" t="s">
        <v>17</v>
      </c>
      <c r="AC8" s="266"/>
      <c r="AD8" s="266"/>
      <c r="AE8" s="266"/>
      <c r="AF8" s="267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68" t="s">
        <v>18</v>
      </c>
      <c r="B9" s="264">
        <v>0</v>
      </c>
      <c r="C9" s="264">
        <v>4.1666666666666664E-2</v>
      </c>
      <c r="D9" s="264">
        <v>8.3333333333333301E-2</v>
      </c>
      <c r="E9" s="264">
        <v>0.125</v>
      </c>
      <c r="F9" s="264">
        <v>0.16666666666666699</v>
      </c>
      <c r="G9" s="264">
        <v>0.20833333333333301</v>
      </c>
      <c r="H9" s="264">
        <v>0.22916666666666666</v>
      </c>
      <c r="I9" s="264">
        <v>0.25</v>
      </c>
      <c r="J9" s="264">
        <v>0.27083333333333331</v>
      </c>
      <c r="K9" s="264">
        <v>0.29166666666666669</v>
      </c>
      <c r="L9" s="264">
        <v>0.3125</v>
      </c>
      <c r="M9" s="262">
        <v>0.33333333333333331</v>
      </c>
      <c r="N9" s="262">
        <v>0.375</v>
      </c>
      <c r="O9" s="262">
        <v>0.41666666666666702</v>
      </c>
      <c r="P9" s="262">
        <v>0.45833333333333298</v>
      </c>
      <c r="Q9" s="262">
        <v>0.5</v>
      </c>
      <c r="R9" s="262">
        <v>0.54166666666666696</v>
      </c>
      <c r="S9" s="258">
        <v>0.58333333333333304</v>
      </c>
      <c r="T9" s="258">
        <v>0.625</v>
      </c>
      <c r="U9" s="258">
        <v>0.66666666666666696</v>
      </c>
      <c r="V9" s="258">
        <v>0.70833333333333304</v>
      </c>
      <c r="W9" s="258">
        <v>0.72916666666666663</v>
      </c>
      <c r="X9" s="258">
        <v>0.75</v>
      </c>
      <c r="Y9" s="258">
        <v>0.77083333333333337</v>
      </c>
      <c r="Z9" s="258">
        <v>0.79166666666666663</v>
      </c>
      <c r="AA9" s="258">
        <v>0.8125</v>
      </c>
      <c r="AB9" s="258">
        <v>0.83333333333333337</v>
      </c>
      <c r="AC9" s="258">
        <v>0.85416666666666663</v>
      </c>
      <c r="AD9" s="258">
        <v>0.875</v>
      </c>
      <c r="AE9" s="258">
        <v>0.91666666666666696</v>
      </c>
      <c r="AF9" s="258">
        <v>0.95833333333333304</v>
      </c>
      <c r="AG9" s="260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69"/>
      <c r="B10" s="259"/>
      <c r="C10" s="259"/>
      <c r="D10" s="259"/>
      <c r="E10" s="259"/>
      <c r="F10" s="259"/>
      <c r="G10" s="259"/>
      <c r="H10" s="259"/>
      <c r="I10" s="259"/>
      <c r="J10" s="259"/>
      <c r="K10" s="259"/>
      <c r="L10" s="259"/>
      <c r="M10" s="263"/>
      <c r="N10" s="263"/>
      <c r="O10" s="263"/>
      <c r="P10" s="263"/>
      <c r="Q10" s="263"/>
      <c r="R10" s="263"/>
      <c r="S10" s="259"/>
      <c r="T10" s="259"/>
      <c r="U10" s="259"/>
      <c r="V10" s="259"/>
      <c r="W10" s="259"/>
      <c r="X10" s="259"/>
      <c r="Y10" s="259"/>
      <c r="Z10" s="259"/>
      <c r="AA10" s="259"/>
      <c r="AB10" s="259"/>
      <c r="AC10" s="259"/>
      <c r="AD10" s="259"/>
      <c r="AE10" s="259"/>
      <c r="AF10" s="259"/>
      <c r="AG10" s="261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30.6</v>
      </c>
      <c r="C11" s="45">
        <v>30.6</v>
      </c>
      <c r="D11" s="45">
        <v>30.6</v>
      </c>
      <c r="E11" s="45">
        <v>30.6</v>
      </c>
      <c r="F11" s="45">
        <v>30.6</v>
      </c>
      <c r="G11" s="45">
        <v>30.6</v>
      </c>
      <c r="H11" s="45">
        <v>30.6</v>
      </c>
      <c r="I11" s="45">
        <v>30.6</v>
      </c>
      <c r="J11" s="45">
        <v>30.6</v>
      </c>
      <c r="K11" s="45">
        <v>30.6</v>
      </c>
      <c r="L11" s="45">
        <v>30.6</v>
      </c>
      <c r="M11" s="45">
        <v>30.7</v>
      </c>
      <c r="N11" s="45">
        <v>30.7</v>
      </c>
      <c r="O11" s="45">
        <v>30.6</v>
      </c>
      <c r="P11" s="45">
        <v>30.6</v>
      </c>
      <c r="Q11" s="45">
        <v>30.6</v>
      </c>
      <c r="R11" s="45">
        <v>30.6</v>
      </c>
      <c r="S11" s="45">
        <v>30.6</v>
      </c>
      <c r="T11" s="45">
        <v>30.6</v>
      </c>
      <c r="U11" s="45">
        <v>30.6</v>
      </c>
      <c r="V11" s="45">
        <v>30.6</v>
      </c>
      <c r="W11" s="45">
        <v>30.6</v>
      </c>
      <c r="X11" s="45">
        <v>30.6</v>
      </c>
      <c r="Y11" s="45">
        <v>30.6</v>
      </c>
      <c r="Z11" s="45">
        <v>30.6</v>
      </c>
      <c r="AA11" s="45">
        <v>30.6</v>
      </c>
      <c r="AB11" s="45">
        <v>30.6</v>
      </c>
      <c r="AC11" s="45">
        <v>30.6</v>
      </c>
      <c r="AD11" s="45">
        <v>30.6</v>
      </c>
      <c r="AE11" s="45">
        <v>30.6</v>
      </c>
      <c r="AF11" s="45">
        <v>30.6</v>
      </c>
      <c r="AG11" s="46">
        <v>86</v>
      </c>
      <c r="AH11" s="47">
        <f t="shared" ref="AH11:AH84" si="2">MAX(B11:AF11)</f>
        <v>30.7</v>
      </c>
      <c r="AI11" s="48">
        <f t="shared" ref="AI11:AI84" si="3">MIN(B11:AF11)</f>
        <v>30.6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262</v>
      </c>
      <c r="B12" s="45">
        <v>10.5</v>
      </c>
      <c r="C12" s="45">
        <v>10.5</v>
      </c>
      <c r="D12" s="45">
        <v>10.5</v>
      </c>
      <c r="E12" s="45">
        <v>10.5</v>
      </c>
      <c r="F12" s="45">
        <v>10.5</v>
      </c>
      <c r="G12" s="45">
        <v>10.5</v>
      </c>
      <c r="H12" s="45">
        <v>10.5</v>
      </c>
      <c r="I12" s="45">
        <v>10.5</v>
      </c>
      <c r="J12" s="45">
        <v>10.5</v>
      </c>
      <c r="K12" s="45">
        <v>10.5</v>
      </c>
      <c r="L12" s="45">
        <v>10.5</v>
      </c>
      <c r="M12" s="45">
        <v>10.5</v>
      </c>
      <c r="N12" s="45">
        <v>10.5</v>
      </c>
      <c r="O12" s="45">
        <v>10.5</v>
      </c>
      <c r="P12" s="45">
        <v>10.5</v>
      </c>
      <c r="Q12" s="45">
        <v>10.5</v>
      </c>
      <c r="R12" s="45">
        <v>10.5</v>
      </c>
      <c r="S12" s="45">
        <v>10.5</v>
      </c>
      <c r="T12" s="45">
        <v>10.5</v>
      </c>
      <c r="U12" s="45">
        <v>10.5</v>
      </c>
      <c r="V12" s="45">
        <v>10.5</v>
      </c>
      <c r="W12" s="45">
        <v>10.5</v>
      </c>
      <c r="X12" s="45">
        <v>10.5</v>
      </c>
      <c r="Y12" s="45">
        <v>10.5</v>
      </c>
      <c r="Z12" s="45">
        <v>10.5</v>
      </c>
      <c r="AA12" s="45">
        <v>10.5</v>
      </c>
      <c r="AB12" s="45">
        <v>10.5</v>
      </c>
      <c r="AC12" s="45">
        <v>10.5</v>
      </c>
      <c r="AD12" s="45">
        <v>10.5</v>
      </c>
      <c r="AE12" s="45">
        <v>10.5</v>
      </c>
      <c r="AF12" s="45">
        <v>10.5</v>
      </c>
      <c r="AG12" s="49">
        <v>54</v>
      </c>
      <c r="AH12" s="47">
        <f t="shared" si="2"/>
        <v>10.5</v>
      </c>
      <c r="AI12" s="48">
        <f t="shared" si="3"/>
        <v>10.5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12.1</v>
      </c>
      <c r="C13" s="45">
        <v>12.1</v>
      </c>
      <c r="D13" s="45">
        <v>12.1</v>
      </c>
      <c r="E13" s="45">
        <v>7</v>
      </c>
      <c r="F13" s="45">
        <v>12</v>
      </c>
      <c r="G13" s="45">
        <v>12</v>
      </c>
      <c r="H13" s="45">
        <v>12</v>
      </c>
      <c r="I13" s="45">
        <v>12</v>
      </c>
      <c r="J13" s="45">
        <v>12</v>
      </c>
      <c r="K13" s="45">
        <v>12</v>
      </c>
      <c r="L13" s="45">
        <v>12</v>
      </c>
      <c r="M13" s="45">
        <v>12</v>
      </c>
      <c r="N13" s="45">
        <v>12</v>
      </c>
      <c r="O13" s="45">
        <v>12</v>
      </c>
      <c r="P13" s="45">
        <v>12</v>
      </c>
      <c r="Q13" s="45">
        <v>12</v>
      </c>
      <c r="R13" s="45">
        <v>12</v>
      </c>
      <c r="S13" s="45">
        <v>12</v>
      </c>
      <c r="T13" s="45">
        <v>12</v>
      </c>
      <c r="U13" s="45">
        <v>12</v>
      </c>
      <c r="V13" s="45">
        <v>12</v>
      </c>
      <c r="W13" s="45">
        <v>12</v>
      </c>
      <c r="X13" s="45">
        <v>12</v>
      </c>
      <c r="Y13" s="45">
        <v>12</v>
      </c>
      <c r="Z13" s="45">
        <v>12</v>
      </c>
      <c r="AA13" s="45">
        <v>12</v>
      </c>
      <c r="AB13" s="45">
        <v>12</v>
      </c>
      <c r="AC13" s="45">
        <v>12</v>
      </c>
      <c r="AD13" s="45">
        <v>12</v>
      </c>
      <c r="AE13" s="45">
        <v>12</v>
      </c>
      <c r="AF13" s="45">
        <v>12</v>
      </c>
      <c r="AG13" s="49">
        <v>54</v>
      </c>
      <c r="AH13" s="47">
        <f t="shared" si="2"/>
        <v>12.1</v>
      </c>
      <c r="AI13" s="48">
        <f t="shared" si="3"/>
        <v>7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14.8</v>
      </c>
      <c r="C14" s="45">
        <v>14.8</v>
      </c>
      <c r="D14" s="45">
        <v>14.8</v>
      </c>
      <c r="E14" s="45">
        <v>15.1</v>
      </c>
      <c r="F14" s="45">
        <v>15.1</v>
      </c>
      <c r="G14" s="45">
        <v>15.1</v>
      </c>
      <c r="H14" s="45">
        <v>15.1</v>
      </c>
      <c r="I14" s="45">
        <v>15.1</v>
      </c>
      <c r="J14" s="45">
        <v>15.1</v>
      </c>
      <c r="K14" s="45">
        <v>15.1</v>
      </c>
      <c r="L14" s="45">
        <v>15.1</v>
      </c>
      <c r="M14" s="45">
        <v>13.5</v>
      </c>
      <c r="N14" s="45">
        <v>13.5</v>
      </c>
      <c r="O14" s="45">
        <v>13.5</v>
      </c>
      <c r="P14" s="45">
        <v>13.5</v>
      </c>
      <c r="Q14" s="45">
        <v>13.5</v>
      </c>
      <c r="R14" s="45">
        <v>13.5</v>
      </c>
      <c r="S14" s="45">
        <v>13.5</v>
      </c>
      <c r="T14" s="45">
        <v>13.5</v>
      </c>
      <c r="U14" s="45">
        <v>13.5</v>
      </c>
      <c r="V14" s="45">
        <v>13.5</v>
      </c>
      <c r="W14" s="45">
        <v>13.5</v>
      </c>
      <c r="X14" s="45">
        <v>13.5</v>
      </c>
      <c r="Y14" s="45">
        <v>13.5</v>
      </c>
      <c r="Z14" s="45">
        <v>13.5</v>
      </c>
      <c r="AA14" s="45">
        <v>13.5</v>
      </c>
      <c r="AB14" s="45">
        <v>13.5</v>
      </c>
      <c r="AC14" s="45">
        <v>13.5</v>
      </c>
      <c r="AD14" s="45">
        <v>13.5</v>
      </c>
      <c r="AE14" s="45">
        <v>13.5</v>
      </c>
      <c r="AF14" s="45">
        <v>13.5</v>
      </c>
      <c r="AG14" s="46">
        <v>52.4</v>
      </c>
      <c r="AH14" s="47">
        <f t="shared" si="2"/>
        <v>15.1</v>
      </c>
      <c r="AI14" s="48">
        <f t="shared" si="3"/>
        <v>13.5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33</v>
      </c>
      <c r="C15" s="45">
        <v>33</v>
      </c>
      <c r="D15" s="45">
        <v>33</v>
      </c>
      <c r="E15" s="45">
        <v>32.1</v>
      </c>
      <c r="F15" s="45">
        <v>31.5</v>
      </c>
      <c r="G15" s="45">
        <v>31.5</v>
      </c>
      <c r="H15" s="45">
        <v>31.5</v>
      </c>
      <c r="I15" s="45">
        <v>31.5</v>
      </c>
      <c r="J15" s="45">
        <v>31.5</v>
      </c>
      <c r="K15" s="45">
        <v>31.5</v>
      </c>
      <c r="L15" s="45">
        <v>31.5</v>
      </c>
      <c r="M15" s="45">
        <v>31.9</v>
      </c>
      <c r="N15" s="45">
        <v>31.9</v>
      </c>
      <c r="O15" s="45">
        <v>31.9</v>
      </c>
      <c r="P15" s="45">
        <v>31.9</v>
      </c>
      <c r="Q15" s="45">
        <v>31.9</v>
      </c>
      <c r="R15" s="45">
        <v>31.9</v>
      </c>
      <c r="S15" s="45">
        <v>31.9</v>
      </c>
      <c r="T15" s="45">
        <v>31.9</v>
      </c>
      <c r="U15" s="45">
        <v>31.9</v>
      </c>
      <c r="V15" s="45">
        <v>31.9</v>
      </c>
      <c r="W15" s="45">
        <v>31.9</v>
      </c>
      <c r="X15" s="45">
        <v>31.9</v>
      </c>
      <c r="Y15" s="45">
        <v>31.9</v>
      </c>
      <c r="Z15" s="45">
        <v>31.9</v>
      </c>
      <c r="AA15" s="45">
        <v>31.9</v>
      </c>
      <c r="AB15" s="45">
        <v>31.9</v>
      </c>
      <c r="AC15" s="45">
        <v>31.9</v>
      </c>
      <c r="AD15" s="45">
        <v>31.9</v>
      </c>
      <c r="AE15" s="45">
        <v>31.9</v>
      </c>
      <c r="AF15" s="45">
        <v>31.9</v>
      </c>
      <c r="AG15" s="49">
        <v>50</v>
      </c>
      <c r="AH15" s="47">
        <f t="shared" si="2"/>
        <v>33</v>
      </c>
      <c r="AI15" s="48">
        <f t="shared" si="3"/>
        <v>31.5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18.3</v>
      </c>
      <c r="C16" s="45">
        <v>18.3</v>
      </c>
      <c r="D16" s="45">
        <v>18.3</v>
      </c>
      <c r="E16" s="45">
        <v>17.5</v>
      </c>
      <c r="F16" s="45">
        <v>17.5</v>
      </c>
      <c r="G16" s="45">
        <v>17.5</v>
      </c>
      <c r="H16" s="45">
        <v>17.5</v>
      </c>
      <c r="I16" s="45">
        <v>17.5</v>
      </c>
      <c r="J16" s="45">
        <v>17.5</v>
      </c>
      <c r="K16" s="45">
        <v>17.5</v>
      </c>
      <c r="L16" s="45">
        <v>17.5</v>
      </c>
      <c r="M16" s="45">
        <v>15.4</v>
      </c>
      <c r="N16" s="45">
        <v>15.4</v>
      </c>
      <c r="O16" s="45">
        <v>15.4</v>
      </c>
      <c r="P16" s="45">
        <v>15.4</v>
      </c>
      <c r="Q16" s="45">
        <v>15.4</v>
      </c>
      <c r="R16" s="45">
        <v>15.4</v>
      </c>
      <c r="S16" s="45">
        <v>15.4</v>
      </c>
      <c r="T16" s="45">
        <v>15.4</v>
      </c>
      <c r="U16" s="45">
        <v>15.4</v>
      </c>
      <c r="V16" s="45">
        <v>15.4</v>
      </c>
      <c r="W16" s="45">
        <v>15.4</v>
      </c>
      <c r="X16" s="45">
        <v>15.4</v>
      </c>
      <c r="Y16" s="45">
        <v>15.4</v>
      </c>
      <c r="Z16" s="45">
        <v>15.4</v>
      </c>
      <c r="AA16" s="45">
        <v>15.4</v>
      </c>
      <c r="AB16" s="45">
        <v>15.4</v>
      </c>
      <c r="AC16" s="45">
        <v>15.4</v>
      </c>
      <c r="AD16" s="45">
        <v>15.4</v>
      </c>
      <c r="AE16" s="45">
        <v>15.4</v>
      </c>
      <c r="AF16" s="45">
        <v>15.4</v>
      </c>
      <c r="AG16" s="49">
        <v>45</v>
      </c>
      <c r="AH16" s="47">
        <f t="shared" si="2"/>
        <v>18.3</v>
      </c>
      <c r="AI16" s="48">
        <f t="shared" si="3"/>
        <v>15.4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16.5</v>
      </c>
      <c r="C17" s="45">
        <v>16.5</v>
      </c>
      <c r="D17" s="45">
        <v>16.5</v>
      </c>
      <c r="E17" s="45">
        <v>16.5</v>
      </c>
      <c r="F17" s="45">
        <v>16.5</v>
      </c>
      <c r="G17" s="45">
        <v>16.5</v>
      </c>
      <c r="H17" s="45">
        <v>16.5</v>
      </c>
      <c r="I17" s="45">
        <v>16.5</v>
      </c>
      <c r="J17" s="45">
        <v>16.5</v>
      </c>
      <c r="K17" s="45">
        <v>16.5</v>
      </c>
      <c r="L17" s="45">
        <v>16.5</v>
      </c>
      <c r="M17" s="45">
        <v>16.5</v>
      </c>
      <c r="N17" s="45">
        <v>16.5</v>
      </c>
      <c r="O17" s="45">
        <v>16.5</v>
      </c>
      <c r="P17" s="45">
        <v>16.5</v>
      </c>
      <c r="Q17" s="45">
        <v>16.5</v>
      </c>
      <c r="R17" s="45">
        <v>16.5</v>
      </c>
      <c r="S17" s="45">
        <v>16.5</v>
      </c>
      <c r="T17" s="45">
        <v>16.5</v>
      </c>
      <c r="U17" s="45">
        <v>16.5</v>
      </c>
      <c r="V17" s="45">
        <v>16.5</v>
      </c>
      <c r="W17" s="45">
        <v>16.5</v>
      </c>
      <c r="X17" s="45">
        <v>16.5</v>
      </c>
      <c r="Y17" s="45">
        <v>16.5</v>
      </c>
      <c r="Z17" s="45">
        <v>16.5</v>
      </c>
      <c r="AA17" s="45">
        <v>16.5</v>
      </c>
      <c r="AB17" s="45">
        <v>16.5</v>
      </c>
      <c r="AC17" s="45">
        <v>16.5</v>
      </c>
      <c r="AD17" s="45">
        <v>16.5</v>
      </c>
      <c r="AE17" s="45">
        <v>16.5</v>
      </c>
      <c r="AF17" s="45">
        <v>16.5</v>
      </c>
      <c r="AG17" s="49">
        <v>44</v>
      </c>
      <c r="AH17" s="47">
        <f>MAX(B17:AG17)</f>
        <v>44</v>
      </c>
      <c r="AI17" s="48">
        <f>MIN(B17:AG17)</f>
        <v>16.5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9</v>
      </c>
      <c r="C18" s="45">
        <v>9</v>
      </c>
      <c r="D18" s="45">
        <v>9</v>
      </c>
      <c r="E18" s="45">
        <v>8.5</v>
      </c>
      <c r="F18" s="45">
        <v>8.5</v>
      </c>
      <c r="G18" s="45">
        <v>8.5</v>
      </c>
      <c r="H18" s="45">
        <v>8.5</v>
      </c>
      <c r="I18" s="45">
        <v>8.5</v>
      </c>
      <c r="J18" s="45">
        <v>8.5</v>
      </c>
      <c r="K18" s="45">
        <v>8</v>
      </c>
      <c r="L18" s="45">
        <v>8.5</v>
      </c>
      <c r="M18" s="45">
        <v>8</v>
      </c>
      <c r="N18" s="45">
        <v>8</v>
      </c>
      <c r="O18" s="45">
        <v>8</v>
      </c>
      <c r="P18" s="45">
        <v>8</v>
      </c>
      <c r="Q18" s="45">
        <v>8</v>
      </c>
      <c r="R18" s="45">
        <v>8</v>
      </c>
      <c r="S18" s="45">
        <v>8</v>
      </c>
      <c r="T18" s="45">
        <v>8</v>
      </c>
      <c r="U18" s="45">
        <v>8</v>
      </c>
      <c r="V18" s="45">
        <v>8</v>
      </c>
      <c r="W18" s="45">
        <v>8</v>
      </c>
      <c r="X18" s="45">
        <v>8</v>
      </c>
      <c r="Y18" s="45">
        <v>8</v>
      </c>
      <c r="Z18" s="45">
        <v>8</v>
      </c>
      <c r="AA18" s="45">
        <v>8</v>
      </c>
      <c r="AB18" s="45">
        <v>8</v>
      </c>
      <c r="AC18" s="45">
        <v>8</v>
      </c>
      <c r="AD18" s="45">
        <v>8</v>
      </c>
      <c r="AE18" s="45">
        <v>8</v>
      </c>
      <c r="AF18" s="45">
        <v>8</v>
      </c>
      <c r="AG18" s="49">
        <v>42</v>
      </c>
      <c r="AH18" s="47">
        <f t="shared" si="2"/>
        <v>9</v>
      </c>
      <c r="AI18" s="48">
        <f t="shared" si="3"/>
        <v>8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263</v>
      </c>
      <c r="B19" s="45">
        <v>15.4</v>
      </c>
      <c r="C19" s="45">
        <v>15.4</v>
      </c>
      <c r="D19" s="45">
        <v>15.4</v>
      </c>
      <c r="E19" s="45">
        <v>15</v>
      </c>
      <c r="F19" s="45">
        <v>15</v>
      </c>
      <c r="G19" s="45">
        <v>15</v>
      </c>
      <c r="H19" s="45">
        <v>15</v>
      </c>
      <c r="I19" s="45">
        <v>15</v>
      </c>
      <c r="J19" s="45">
        <v>15</v>
      </c>
      <c r="K19" s="45">
        <v>15</v>
      </c>
      <c r="L19" s="45">
        <v>15</v>
      </c>
      <c r="M19" s="45">
        <v>15</v>
      </c>
      <c r="N19" s="45">
        <v>15</v>
      </c>
      <c r="O19" s="45">
        <v>15</v>
      </c>
      <c r="P19" s="45">
        <v>15</v>
      </c>
      <c r="Q19" s="45">
        <v>15</v>
      </c>
      <c r="R19" s="45">
        <v>15</v>
      </c>
      <c r="S19" s="45">
        <v>15</v>
      </c>
      <c r="T19" s="45">
        <v>15</v>
      </c>
      <c r="U19" s="45">
        <v>15</v>
      </c>
      <c r="V19" s="45">
        <v>15</v>
      </c>
      <c r="W19" s="45">
        <v>15</v>
      </c>
      <c r="X19" s="45">
        <v>15</v>
      </c>
      <c r="Y19" s="45">
        <v>15</v>
      </c>
      <c r="Z19" s="45">
        <v>15</v>
      </c>
      <c r="AA19" s="45">
        <v>15</v>
      </c>
      <c r="AB19" s="45">
        <v>15</v>
      </c>
      <c r="AC19" s="45">
        <v>15</v>
      </c>
      <c r="AD19" s="45">
        <v>15</v>
      </c>
      <c r="AE19" s="45">
        <v>15</v>
      </c>
      <c r="AF19" s="45">
        <v>15</v>
      </c>
      <c r="AG19" s="49">
        <v>38.46</v>
      </c>
      <c r="AH19" s="47">
        <f t="shared" si="2"/>
        <v>15.4</v>
      </c>
      <c r="AI19" s="48">
        <f t="shared" si="3"/>
        <v>15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10.199999999999999</v>
      </c>
      <c r="C20" s="45">
        <v>10.199999999999999</v>
      </c>
      <c r="D20" s="45">
        <v>10.199999999999999</v>
      </c>
      <c r="E20" s="45">
        <v>10</v>
      </c>
      <c r="F20" s="45">
        <v>10</v>
      </c>
      <c r="G20" s="45">
        <v>10</v>
      </c>
      <c r="H20" s="45">
        <v>10</v>
      </c>
      <c r="I20" s="45">
        <v>10</v>
      </c>
      <c r="J20" s="45">
        <v>10</v>
      </c>
      <c r="K20" s="45">
        <v>10</v>
      </c>
      <c r="L20" s="45">
        <v>10</v>
      </c>
      <c r="M20" s="45">
        <v>10</v>
      </c>
      <c r="N20" s="45">
        <v>10</v>
      </c>
      <c r="O20" s="45">
        <v>10</v>
      </c>
      <c r="P20" s="45">
        <v>10</v>
      </c>
      <c r="Q20" s="45">
        <v>10</v>
      </c>
      <c r="R20" s="45">
        <v>10</v>
      </c>
      <c r="S20" s="45">
        <v>10</v>
      </c>
      <c r="T20" s="45">
        <v>10</v>
      </c>
      <c r="U20" s="45">
        <v>10</v>
      </c>
      <c r="V20" s="45">
        <v>10</v>
      </c>
      <c r="W20" s="45">
        <v>10</v>
      </c>
      <c r="X20" s="45">
        <v>10</v>
      </c>
      <c r="Y20" s="45">
        <v>10</v>
      </c>
      <c r="Z20" s="45">
        <v>10</v>
      </c>
      <c r="AA20" s="45">
        <v>10</v>
      </c>
      <c r="AB20" s="45">
        <v>10</v>
      </c>
      <c r="AC20" s="45">
        <v>10</v>
      </c>
      <c r="AD20" s="45">
        <v>10</v>
      </c>
      <c r="AE20" s="45">
        <v>10</v>
      </c>
      <c r="AF20" s="45">
        <v>10</v>
      </c>
      <c r="AG20" s="49">
        <v>38.46</v>
      </c>
      <c r="AH20" s="47">
        <f t="shared" si="2"/>
        <v>10.199999999999999</v>
      </c>
      <c r="AI20" s="48">
        <f t="shared" si="3"/>
        <v>10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13.6</v>
      </c>
      <c r="C21" s="45">
        <v>13.6</v>
      </c>
      <c r="D21" s="45">
        <v>13.6</v>
      </c>
      <c r="E21" s="45">
        <v>13</v>
      </c>
      <c r="F21" s="45">
        <v>13</v>
      </c>
      <c r="G21" s="45">
        <v>13</v>
      </c>
      <c r="H21" s="45">
        <v>13</v>
      </c>
      <c r="I21" s="45">
        <v>13</v>
      </c>
      <c r="J21" s="45">
        <v>13</v>
      </c>
      <c r="K21" s="45">
        <v>13</v>
      </c>
      <c r="L21" s="45">
        <v>13</v>
      </c>
      <c r="M21" s="45">
        <v>13</v>
      </c>
      <c r="N21" s="45">
        <v>13</v>
      </c>
      <c r="O21" s="45">
        <v>13</v>
      </c>
      <c r="P21" s="45">
        <v>13</v>
      </c>
      <c r="Q21" s="45">
        <v>13</v>
      </c>
      <c r="R21" s="45">
        <v>13</v>
      </c>
      <c r="S21" s="45">
        <v>13</v>
      </c>
      <c r="T21" s="45">
        <v>13</v>
      </c>
      <c r="U21" s="45">
        <v>13</v>
      </c>
      <c r="V21" s="45">
        <v>13</v>
      </c>
      <c r="W21" s="45">
        <v>13</v>
      </c>
      <c r="X21" s="45">
        <v>13</v>
      </c>
      <c r="Y21" s="45">
        <v>13</v>
      </c>
      <c r="Z21" s="45">
        <v>13</v>
      </c>
      <c r="AA21" s="45">
        <v>13</v>
      </c>
      <c r="AB21" s="45">
        <v>13</v>
      </c>
      <c r="AC21" s="45">
        <v>13</v>
      </c>
      <c r="AD21" s="45">
        <v>13</v>
      </c>
      <c r="AE21" s="45">
        <v>13</v>
      </c>
      <c r="AF21" s="45">
        <v>13</v>
      </c>
      <c r="AG21" s="49">
        <v>36</v>
      </c>
      <c r="AH21" s="47">
        <f t="shared" si="2"/>
        <v>13.6</v>
      </c>
      <c r="AI21" s="48">
        <f t="shared" si="3"/>
        <v>13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8.8000000000000007</v>
      </c>
      <c r="C22" s="45">
        <v>8.8000000000000007</v>
      </c>
      <c r="D22" s="45">
        <v>8.8000000000000007</v>
      </c>
      <c r="E22" s="45">
        <v>7.9</v>
      </c>
      <c r="F22" s="45">
        <v>8.1999999999999993</v>
      </c>
      <c r="G22" s="45">
        <v>8.1999999999999993</v>
      </c>
      <c r="H22" s="45">
        <v>8.1999999999999993</v>
      </c>
      <c r="I22" s="45">
        <v>8.1999999999999993</v>
      </c>
      <c r="J22" s="45">
        <v>8.1999999999999993</v>
      </c>
      <c r="K22" s="45">
        <v>8.8000000000000007</v>
      </c>
      <c r="L22" s="45">
        <v>8.1999999999999993</v>
      </c>
      <c r="M22" s="45">
        <v>8.1999999999999993</v>
      </c>
      <c r="N22" s="45">
        <v>8.1999999999999993</v>
      </c>
      <c r="O22" s="45">
        <v>8.1999999999999993</v>
      </c>
      <c r="P22" s="45">
        <v>8.1999999999999993</v>
      </c>
      <c r="Q22" s="45">
        <v>8.1999999999999993</v>
      </c>
      <c r="R22" s="45">
        <v>8.1999999999999993</v>
      </c>
      <c r="S22" s="45">
        <v>8.1999999999999993</v>
      </c>
      <c r="T22" s="45">
        <v>8.1999999999999993</v>
      </c>
      <c r="U22" s="45">
        <v>8.1999999999999993</v>
      </c>
      <c r="V22" s="45">
        <v>8.1999999999999993</v>
      </c>
      <c r="W22" s="45">
        <v>8.1999999999999993</v>
      </c>
      <c r="X22" s="45">
        <v>8.1999999999999993</v>
      </c>
      <c r="Y22" s="45">
        <v>8.1999999999999993</v>
      </c>
      <c r="Z22" s="45">
        <v>8.1999999999999993</v>
      </c>
      <c r="AA22" s="45">
        <v>8.1999999999999993</v>
      </c>
      <c r="AB22" s="45">
        <v>8.1999999999999993</v>
      </c>
      <c r="AC22" s="45">
        <v>8.1999999999999993</v>
      </c>
      <c r="AD22" s="45">
        <v>8.1999999999999993</v>
      </c>
      <c r="AE22" s="45">
        <v>8.1999999999999993</v>
      </c>
      <c r="AF22" s="45">
        <v>8.1999999999999993</v>
      </c>
      <c r="AG22" s="52">
        <v>30</v>
      </c>
      <c r="AH22" s="47">
        <f t="shared" si="2"/>
        <v>8.8000000000000007</v>
      </c>
      <c r="AI22" s="48">
        <f t="shared" si="3"/>
        <v>7.9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9</v>
      </c>
      <c r="C23" s="45">
        <v>9</v>
      </c>
      <c r="D23" s="45">
        <v>9</v>
      </c>
      <c r="E23" s="45">
        <v>9</v>
      </c>
      <c r="F23" s="45">
        <v>9</v>
      </c>
      <c r="G23" s="45">
        <v>9</v>
      </c>
      <c r="H23" s="45">
        <v>9</v>
      </c>
      <c r="I23" s="45">
        <v>9</v>
      </c>
      <c r="J23" s="45">
        <v>9</v>
      </c>
      <c r="K23" s="45">
        <v>9</v>
      </c>
      <c r="L23" s="45">
        <v>9</v>
      </c>
      <c r="M23" s="45">
        <v>9</v>
      </c>
      <c r="N23" s="45">
        <v>9</v>
      </c>
      <c r="O23" s="45">
        <v>9</v>
      </c>
      <c r="P23" s="45">
        <v>9</v>
      </c>
      <c r="Q23" s="45">
        <v>9</v>
      </c>
      <c r="R23" s="45">
        <v>9</v>
      </c>
      <c r="S23" s="45">
        <v>9</v>
      </c>
      <c r="T23" s="45">
        <v>9</v>
      </c>
      <c r="U23" s="45">
        <v>9</v>
      </c>
      <c r="V23" s="45">
        <v>9</v>
      </c>
      <c r="W23" s="45">
        <v>9</v>
      </c>
      <c r="X23" s="45">
        <v>9</v>
      </c>
      <c r="Y23" s="45">
        <v>9</v>
      </c>
      <c r="Z23" s="45">
        <v>9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9</v>
      </c>
      <c r="AG23" s="49">
        <v>24.2</v>
      </c>
      <c r="AH23" s="47">
        <f t="shared" si="2"/>
        <v>9</v>
      </c>
      <c r="AI23" s="48">
        <f t="shared" si="3"/>
        <v>9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9.3000000000000007</v>
      </c>
      <c r="C24" s="45">
        <v>9.3000000000000007</v>
      </c>
      <c r="D24" s="45">
        <v>9.3000000000000007</v>
      </c>
      <c r="E24" s="45">
        <v>9.1</v>
      </c>
      <c r="F24" s="45">
        <v>9.1999999999999993</v>
      </c>
      <c r="G24" s="45">
        <v>9.1999999999999993</v>
      </c>
      <c r="H24" s="45">
        <v>9.1999999999999993</v>
      </c>
      <c r="I24" s="45">
        <v>9.1999999999999993</v>
      </c>
      <c r="J24" s="45">
        <v>9.1999999999999993</v>
      </c>
      <c r="K24" s="45">
        <v>9.1999999999999993</v>
      </c>
      <c r="L24" s="45">
        <v>9.1999999999999993</v>
      </c>
      <c r="M24" s="45">
        <v>8.1999999999999993</v>
      </c>
      <c r="N24" s="45">
        <v>8.1999999999999993</v>
      </c>
      <c r="O24" s="45">
        <v>8.1999999999999993</v>
      </c>
      <c r="P24" s="45">
        <v>8.1999999999999993</v>
      </c>
      <c r="Q24" s="45">
        <v>8.1999999999999993</v>
      </c>
      <c r="R24" s="45">
        <v>8.1999999999999993</v>
      </c>
      <c r="S24" s="45">
        <v>8.1999999999999993</v>
      </c>
      <c r="T24" s="45">
        <v>8.1999999999999993</v>
      </c>
      <c r="U24" s="45">
        <v>8.1999999999999993</v>
      </c>
      <c r="V24" s="45">
        <v>8.1999999999999993</v>
      </c>
      <c r="W24" s="45">
        <v>8.1999999999999993</v>
      </c>
      <c r="X24" s="45">
        <v>8.1999999999999993</v>
      </c>
      <c r="Y24" s="45">
        <v>8.1999999999999993</v>
      </c>
      <c r="Z24" s="45">
        <v>8.1999999999999993</v>
      </c>
      <c r="AA24" s="45">
        <v>8.1999999999999993</v>
      </c>
      <c r="AB24" s="45">
        <v>8.1999999999999993</v>
      </c>
      <c r="AC24" s="45">
        <v>8.1999999999999993</v>
      </c>
      <c r="AD24" s="45">
        <v>8.1999999999999993</v>
      </c>
      <c r="AE24" s="45">
        <v>8.1999999999999993</v>
      </c>
      <c r="AF24" s="45">
        <v>8.1999999999999993</v>
      </c>
      <c r="AG24" s="49">
        <v>28</v>
      </c>
      <c r="AH24" s="47">
        <f t="shared" si="2"/>
        <v>9.3000000000000007</v>
      </c>
      <c r="AI24" s="48">
        <f t="shared" si="3"/>
        <v>8.1999999999999993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7.7</v>
      </c>
      <c r="C25" s="45">
        <v>7.7</v>
      </c>
      <c r="D25" s="45">
        <v>7.7</v>
      </c>
      <c r="E25" s="45">
        <v>5.0999999999999996</v>
      </c>
      <c r="F25" s="45">
        <v>5.8</v>
      </c>
      <c r="G25" s="45">
        <v>5.8</v>
      </c>
      <c r="H25" s="45">
        <v>5.8</v>
      </c>
      <c r="I25" s="45">
        <v>5.8</v>
      </c>
      <c r="J25" s="45">
        <v>5.8</v>
      </c>
      <c r="K25" s="45">
        <v>6.4</v>
      </c>
      <c r="L25" s="45">
        <v>6.4</v>
      </c>
      <c r="M25" s="45">
        <v>7.6</v>
      </c>
      <c r="N25" s="45">
        <v>7.6</v>
      </c>
      <c r="O25" s="45">
        <v>7.6</v>
      </c>
      <c r="P25" s="45">
        <v>7.6</v>
      </c>
      <c r="Q25" s="45">
        <v>7.6</v>
      </c>
      <c r="R25" s="45">
        <v>7.6</v>
      </c>
      <c r="S25" s="45">
        <v>7.6</v>
      </c>
      <c r="T25" s="45">
        <v>7.6</v>
      </c>
      <c r="U25" s="45">
        <v>7.6</v>
      </c>
      <c r="V25" s="45">
        <v>7.6</v>
      </c>
      <c r="W25" s="45">
        <v>7.6</v>
      </c>
      <c r="X25" s="45">
        <v>7.6</v>
      </c>
      <c r="Y25" s="45">
        <v>7.6</v>
      </c>
      <c r="Z25" s="45">
        <v>7.6</v>
      </c>
      <c r="AA25" s="45">
        <v>7.6</v>
      </c>
      <c r="AB25" s="45">
        <v>7.6</v>
      </c>
      <c r="AC25" s="45">
        <v>7.6</v>
      </c>
      <c r="AD25" s="45">
        <v>7.6</v>
      </c>
      <c r="AE25" s="45">
        <v>7.6</v>
      </c>
      <c r="AF25" s="45">
        <v>7.6</v>
      </c>
      <c r="AG25" s="52">
        <v>30</v>
      </c>
      <c r="AH25" s="47">
        <f t="shared" si="2"/>
        <v>7.7</v>
      </c>
      <c r="AI25" s="48">
        <f t="shared" si="3"/>
        <v>5.0999999999999996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8.6</v>
      </c>
      <c r="C26" s="45">
        <v>8.6</v>
      </c>
      <c r="D26" s="45">
        <v>8.6</v>
      </c>
      <c r="E26" s="45">
        <v>8.6</v>
      </c>
      <c r="F26" s="45">
        <v>8.6</v>
      </c>
      <c r="G26" s="45">
        <v>8.6</v>
      </c>
      <c r="H26" s="45">
        <v>8.6</v>
      </c>
      <c r="I26" s="45">
        <v>8.6</v>
      </c>
      <c r="J26" s="45">
        <v>8.6</v>
      </c>
      <c r="K26" s="45">
        <v>8.6</v>
      </c>
      <c r="L26" s="45">
        <v>8.6</v>
      </c>
      <c r="M26" s="45">
        <v>8.5</v>
      </c>
      <c r="N26" s="45">
        <v>8.5</v>
      </c>
      <c r="O26" s="45">
        <v>8.5</v>
      </c>
      <c r="P26" s="45">
        <v>8.5</v>
      </c>
      <c r="Q26" s="45">
        <v>8.5</v>
      </c>
      <c r="R26" s="45">
        <v>8.5</v>
      </c>
      <c r="S26" s="45">
        <v>8.5</v>
      </c>
      <c r="T26" s="45">
        <v>8.5</v>
      </c>
      <c r="U26" s="45">
        <v>8.5</v>
      </c>
      <c r="V26" s="45">
        <v>8.5</v>
      </c>
      <c r="W26" s="45">
        <v>8.5</v>
      </c>
      <c r="X26" s="45">
        <v>8.5</v>
      </c>
      <c r="Y26" s="45">
        <v>8.5</v>
      </c>
      <c r="Z26" s="45">
        <v>8.5</v>
      </c>
      <c r="AA26" s="45">
        <v>8.5</v>
      </c>
      <c r="AB26" s="45">
        <v>8.5</v>
      </c>
      <c r="AC26" s="45">
        <v>8.5</v>
      </c>
      <c r="AD26" s="45">
        <v>8.5</v>
      </c>
      <c r="AE26" s="45">
        <v>8.5</v>
      </c>
      <c r="AF26" s="45">
        <v>8.5</v>
      </c>
      <c r="AG26" s="49">
        <v>25</v>
      </c>
      <c r="AH26" s="47">
        <f t="shared" si="2"/>
        <v>8.6</v>
      </c>
      <c r="AI26" s="48">
        <f t="shared" si="3"/>
        <v>8.5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5</v>
      </c>
      <c r="C27" s="45">
        <v>5</v>
      </c>
      <c r="D27" s="45">
        <v>5</v>
      </c>
      <c r="E27" s="45">
        <v>5</v>
      </c>
      <c r="F27" s="45">
        <v>5</v>
      </c>
      <c r="G27" s="45">
        <v>5</v>
      </c>
      <c r="H27" s="45">
        <v>5</v>
      </c>
      <c r="I27" s="45">
        <v>5</v>
      </c>
      <c r="J27" s="45">
        <v>5</v>
      </c>
      <c r="K27" s="45">
        <v>5</v>
      </c>
      <c r="L27" s="45">
        <v>5</v>
      </c>
      <c r="M27" s="45">
        <v>5</v>
      </c>
      <c r="N27" s="45">
        <v>5</v>
      </c>
      <c r="O27" s="45">
        <v>5</v>
      </c>
      <c r="P27" s="45">
        <v>5</v>
      </c>
      <c r="Q27" s="45">
        <v>5</v>
      </c>
      <c r="R27" s="45">
        <v>5</v>
      </c>
      <c r="S27" s="45">
        <v>5</v>
      </c>
      <c r="T27" s="45">
        <v>5</v>
      </c>
      <c r="U27" s="45">
        <v>5</v>
      </c>
      <c r="V27" s="45">
        <v>5</v>
      </c>
      <c r="W27" s="45">
        <v>5</v>
      </c>
      <c r="X27" s="45">
        <v>5</v>
      </c>
      <c r="Y27" s="45">
        <v>5</v>
      </c>
      <c r="Z27" s="45">
        <v>5</v>
      </c>
      <c r="AA27" s="45">
        <v>5</v>
      </c>
      <c r="AB27" s="45">
        <v>5</v>
      </c>
      <c r="AC27" s="45">
        <v>5</v>
      </c>
      <c r="AD27" s="45">
        <v>5</v>
      </c>
      <c r="AE27" s="45">
        <v>5</v>
      </c>
      <c r="AF27" s="45">
        <v>5</v>
      </c>
      <c r="AG27" s="49">
        <v>25</v>
      </c>
      <c r="AH27" s="47">
        <f t="shared" si="2"/>
        <v>5</v>
      </c>
      <c r="AI27" s="48">
        <f t="shared" si="3"/>
        <v>5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6.2</v>
      </c>
      <c r="C28" s="45">
        <v>6.2</v>
      </c>
      <c r="D28" s="45">
        <v>6.2</v>
      </c>
      <c r="E28" s="45">
        <v>6</v>
      </c>
      <c r="F28" s="45">
        <v>6</v>
      </c>
      <c r="G28" s="45">
        <v>6</v>
      </c>
      <c r="H28" s="45">
        <v>6</v>
      </c>
      <c r="I28" s="45">
        <v>6</v>
      </c>
      <c r="J28" s="45">
        <v>6</v>
      </c>
      <c r="K28" s="45">
        <v>6</v>
      </c>
      <c r="L28" s="45">
        <v>6</v>
      </c>
      <c r="M28" s="45">
        <v>6</v>
      </c>
      <c r="N28" s="45">
        <v>6</v>
      </c>
      <c r="O28" s="45">
        <v>6</v>
      </c>
      <c r="P28" s="45">
        <v>6</v>
      </c>
      <c r="Q28" s="45">
        <v>6</v>
      </c>
      <c r="R28" s="45">
        <v>6</v>
      </c>
      <c r="S28" s="45">
        <v>6</v>
      </c>
      <c r="T28" s="45">
        <v>6</v>
      </c>
      <c r="U28" s="45">
        <v>6</v>
      </c>
      <c r="V28" s="45">
        <v>6</v>
      </c>
      <c r="W28" s="45">
        <v>6</v>
      </c>
      <c r="X28" s="45">
        <v>6</v>
      </c>
      <c r="Y28" s="45">
        <v>6</v>
      </c>
      <c r="Z28" s="45">
        <v>6</v>
      </c>
      <c r="AA28" s="45">
        <v>6</v>
      </c>
      <c r="AB28" s="45">
        <v>6</v>
      </c>
      <c r="AC28" s="45">
        <v>6</v>
      </c>
      <c r="AD28" s="45">
        <v>6</v>
      </c>
      <c r="AE28" s="45">
        <v>6</v>
      </c>
      <c r="AF28" s="45">
        <v>6</v>
      </c>
      <c r="AG28" s="49">
        <v>25</v>
      </c>
      <c r="AH28" s="47">
        <f t="shared" si="2"/>
        <v>6.2</v>
      </c>
      <c r="AI28" s="48">
        <f t="shared" si="3"/>
        <v>6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8.4</v>
      </c>
      <c r="C29" s="45">
        <v>8.4</v>
      </c>
      <c r="D29" s="45">
        <v>8.4</v>
      </c>
      <c r="E29" s="45">
        <v>4.7</v>
      </c>
      <c r="F29" s="45">
        <v>7.7</v>
      </c>
      <c r="G29" s="45">
        <v>7.7</v>
      </c>
      <c r="H29" s="45">
        <v>7.7</v>
      </c>
      <c r="I29" s="45">
        <v>7.7</v>
      </c>
      <c r="J29" s="45">
        <v>7.7</v>
      </c>
      <c r="K29" s="45">
        <v>7.9</v>
      </c>
      <c r="L29" s="45">
        <v>7.9</v>
      </c>
      <c r="M29" s="45">
        <v>7.9</v>
      </c>
      <c r="N29" s="45">
        <v>7.9</v>
      </c>
      <c r="O29" s="45">
        <v>7.9</v>
      </c>
      <c r="P29" s="45">
        <v>7.9</v>
      </c>
      <c r="Q29" s="45">
        <v>7.9</v>
      </c>
      <c r="R29" s="45">
        <v>7.9</v>
      </c>
      <c r="S29" s="45">
        <v>7.9</v>
      </c>
      <c r="T29" s="45">
        <v>7.9</v>
      </c>
      <c r="U29" s="45">
        <v>7.9</v>
      </c>
      <c r="V29" s="45">
        <v>7.9</v>
      </c>
      <c r="W29" s="45">
        <v>7.9</v>
      </c>
      <c r="X29" s="45">
        <v>7.9</v>
      </c>
      <c r="Y29" s="45">
        <v>7.9</v>
      </c>
      <c r="Z29" s="45">
        <v>7.9</v>
      </c>
      <c r="AA29" s="45">
        <v>7.9</v>
      </c>
      <c r="AB29" s="45">
        <v>7.9</v>
      </c>
      <c r="AC29" s="45">
        <v>7.9</v>
      </c>
      <c r="AD29" s="45">
        <v>7.9</v>
      </c>
      <c r="AE29" s="45">
        <v>7.9</v>
      </c>
      <c r="AF29" s="45">
        <v>7.9</v>
      </c>
      <c r="AG29" s="49">
        <v>25</v>
      </c>
      <c r="AH29" s="47">
        <f t="shared" si="2"/>
        <v>8.4</v>
      </c>
      <c r="AI29" s="48">
        <f t="shared" si="3"/>
        <v>4.7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9.3000000000000007</v>
      </c>
      <c r="C30" s="45">
        <v>9.3000000000000007</v>
      </c>
      <c r="D30" s="45">
        <v>9.3000000000000007</v>
      </c>
      <c r="E30" s="45">
        <v>8.9</v>
      </c>
      <c r="F30" s="45">
        <v>8.9</v>
      </c>
      <c r="G30" s="45">
        <v>8.9</v>
      </c>
      <c r="H30" s="45">
        <v>8.9</v>
      </c>
      <c r="I30" s="45">
        <v>8.9</v>
      </c>
      <c r="J30" s="45">
        <v>8.9</v>
      </c>
      <c r="K30" s="45">
        <v>8.9</v>
      </c>
      <c r="L30" s="45">
        <v>8.9</v>
      </c>
      <c r="M30" s="45">
        <v>7.6</v>
      </c>
      <c r="N30" s="45">
        <v>7.6</v>
      </c>
      <c r="O30" s="45">
        <v>7.6</v>
      </c>
      <c r="P30" s="45">
        <v>7.6</v>
      </c>
      <c r="Q30" s="45">
        <v>7.6</v>
      </c>
      <c r="R30" s="45">
        <v>7.6</v>
      </c>
      <c r="S30" s="45">
        <v>7.6</v>
      </c>
      <c r="T30" s="45">
        <v>7.6</v>
      </c>
      <c r="U30" s="45">
        <v>7.6</v>
      </c>
      <c r="V30" s="45">
        <v>7.6</v>
      </c>
      <c r="W30" s="45">
        <v>7.6</v>
      </c>
      <c r="X30" s="45">
        <v>7.6</v>
      </c>
      <c r="Y30" s="45">
        <v>7.6</v>
      </c>
      <c r="Z30" s="45">
        <v>7.6</v>
      </c>
      <c r="AA30" s="45">
        <v>7.6</v>
      </c>
      <c r="AB30" s="45">
        <v>7.6</v>
      </c>
      <c r="AC30" s="45">
        <v>7.6</v>
      </c>
      <c r="AD30" s="45">
        <v>7.6</v>
      </c>
      <c r="AE30" s="45">
        <v>7.6</v>
      </c>
      <c r="AF30" s="45">
        <v>7.6</v>
      </c>
      <c r="AG30" s="49">
        <v>23.5</v>
      </c>
      <c r="AH30" s="47">
        <f t="shared" si="2"/>
        <v>9.3000000000000007</v>
      </c>
      <c r="AI30" s="48">
        <f t="shared" si="3"/>
        <v>7.6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4.5</v>
      </c>
      <c r="C31" s="45">
        <v>4.5</v>
      </c>
      <c r="D31" s="45">
        <v>4.5</v>
      </c>
      <c r="E31" s="45">
        <v>4.5</v>
      </c>
      <c r="F31" s="45">
        <v>4.5</v>
      </c>
      <c r="G31" s="45">
        <v>4.5</v>
      </c>
      <c r="H31" s="45">
        <v>4.5</v>
      </c>
      <c r="I31" s="45">
        <v>4.5</v>
      </c>
      <c r="J31" s="45">
        <v>4.5</v>
      </c>
      <c r="K31" s="45">
        <v>4.5</v>
      </c>
      <c r="L31" s="45">
        <v>4.5</v>
      </c>
      <c r="M31" s="45">
        <v>4.5</v>
      </c>
      <c r="N31" s="45">
        <v>4.5</v>
      </c>
      <c r="O31" s="45">
        <v>4.5</v>
      </c>
      <c r="P31" s="45">
        <v>4.5</v>
      </c>
      <c r="Q31" s="45">
        <v>4.5</v>
      </c>
      <c r="R31" s="45">
        <v>4.5</v>
      </c>
      <c r="S31" s="45">
        <v>4.5</v>
      </c>
      <c r="T31" s="45">
        <v>4.5</v>
      </c>
      <c r="U31" s="45">
        <v>4.5</v>
      </c>
      <c r="V31" s="45">
        <v>4.5</v>
      </c>
      <c r="W31" s="45">
        <v>4.5</v>
      </c>
      <c r="X31" s="45">
        <v>4.5</v>
      </c>
      <c r="Y31" s="45">
        <v>4.5</v>
      </c>
      <c r="Z31" s="45">
        <v>4.5</v>
      </c>
      <c r="AA31" s="45">
        <v>4.5</v>
      </c>
      <c r="AB31" s="45">
        <v>4.5</v>
      </c>
      <c r="AC31" s="45">
        <v>4.5</v>
      </c>
      <c r="AD31" s="45">
        <v>4.5</v>
      </c>
      <c r="AE31" s="45">
        <v>4.5</v>
      </c>
      <c r="AF31" s="45">
        <v>4.5</v>
      </c>
      <c r="AG31" s="49">
        <v>22.2</v>
      </c>
      <c r="AH31" s="47">
        <f t="shared" si="2"/>
        <v>4.5</v>
      </c>
      <c r="AI31" s="48">
        <f t="shared" si="3"/>
        <v>4.5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>
        <v>5.5</v>
      </c>
      <c r="N32" s="45">
        <v>5.5</v>
      </c>
      <c r="O32" s="45">
        <v>5.5</v>
      </c>
      <c r="P32" s="45">
        <v>5.5</v>
      </c>
      <c r="Q32" s="45">
        <v>5.5</v>
      </c>
      <c r="R32" s="45">
        <v>5.5</v>
      </c>
      <c r="S32" s="45">
        <v>5.5</v>
      </c>
      <c r="T32" s="45">
        <v>5.5</v>
      </c>
      <c r="U32" s="45">
        <v>5.5</v>
      </c>
      <c r="V32" s="45">
        <v>5.5</v>
      </c>
      <c r="W32" s="45">
        <v>5.5</v>
      </c>
      <c r="X32" s="45">
        <v>5.5</v>
      </c>
      <c r="Y32" s="45">
        <v>5.5</v>
      </c>
      <c r="Z32" s="45">
        <v>5.5</v>
      </c>
      <c r="AA32" s="45">
        <v>5.5</v>
      </c>
      <c r="AB32" s="45">
        <v>5.5</v>
      </c>
      <c r="AC32" s="45">
        <v>5.5</v>
      </c>
      <c r="AD32" s="45">
        <v>5.5</v>
      </c>
      <c r="AE32" s="45">
        <v>5.5</v>
      </c>
      <c r="AF32" s="45">
        <v>5.5</v>
      </c>
      <c r="AG32" s="49">
        <v>22.1</v>
      </c>
      <c r="AH32" s="47">
        <f t="shared" si="2"/>
        <v>5.5</v>
      </c>
      <c r="AI32" s="48">
        <f t="shared" si="3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22</v>
      </c>
      <c r="AH33" s="47">
        <f t="shared" si="2"/>
        <v>6</v>
      </c>
      <c r="AI33" s="48">
        <f t="shared" si="3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8</v>
      </c>
      <c r="C34" s="45">
        <v>8</v>
      </c>
      <c r="D34" s="45">
        <v>8</v>
      </c>
      <c r="E34" s="45">
        <v>10.8</v>
      </c>
      <c r="F34" s="45">
        <v>10.8</v>
      </c>
      <c r="G34" s="45">
        <v>10.8</v>
      </c>
      <c r="H34" s="45">
        <v>10.8</v>
      </c>
      <c r="I34" s="45">
        <v>10.8</v>
      </c>
      <c r="J34" s="45">
        <v>10.8</v>
      </c>
      <c r="K34" s="45">
        <v>10.8</v>
      </c>
      <c r="L34" s="45">
        <v>10.8</v>
      </c>
      <c r="M34" s="45">
        <v>9.5</v>
      </c>
      <c r="N34" s="45">
        <v>9.5</v>
      </c>
      <c r="O34" s="45">
        <v>9.5</v>
      </c>
      <c r="P34" s="45">
        <v>9.5</v>
      </c>
      <c r="Q34" s="45">
        <v>9.5</v>
      </c>
      <c r="R34" s="45">
        <v>9.5</v>
      </c>
      <c r="S34" s="45">
        <v>9.5</v>
      </c>
      <c r="T34" s="45">
        <v>9.5</v>
      </c>
      <c r="U34" s="45">
        <v>9.5</v>
      </c>
      <c r="V34" s="45">
        <v>9.5</v>
      </c>
      <c r="W34" s="45">
        <v>9.5</v>
      </c>
      <c r="X34" s="45">
        <v>9.5</v>
      </c>
      <c r="Y34" s="45">
        <v>9.5</v>
      </c>
      <c r="Z34" s="45">
        <v>9.5</v>
      </c>
      <c r="AA34" s="45">
        <v>9.5</v>
      </c>
      <c r="AB34" s="45">
        <v>9.5</v>
      </c>
      <c r="AC34" s="45">
        <v>9.5</v>
      </c>
      <c r="AD34" s="45">
        <v>9.5</v>
      </c>
      <c r="AE34" s="45">
        <v>9.5</v>
      </c>
      <c r="AF34" s="45">
        <v>9.5</v>
      </c>
      <c r="AG34" s="49">
        <v>22</v>
      </c>
      <c r="AH34" s="47">
        <f t="shared" si="2"/>
        <v>10.8</v>
      </c>
      <c r="AI34" s="48">
        <f t="shared" si="3"/>
        <v>8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6.5</v>
      </c>
      <c r="C35" s="45">
        <v>6.5</v>
      </c>
      <c r="D35" s="45">
        <v>6.5</v>
      </c>
      <c r="E35" s="45">
        <v>6.5</v>
      </c>
      <c r="F35" s="45">
        <v>6.5</v>
      </c>
      <c r="G35" s="45">
        <v>6.5</v>
      </c>
      <c r="H35" s="45">
        <v>6.5</v>
      </c>
      <c r="I35" s="45">
        <v>6.5</v>
      </c>
      <c r="J35" s="45">
        <v>6.5</v>
      </c>
      <c r="K35" s="45">
        <v>6.5</v>
      </c>
      <c r="L35" s="45">
        <v>6.5</v>
      </c>
      <c r="M35" s="45">
        <v>6.5</v>
      </c>
      <c r="N35" s="45">
        <v>6.5</v>
      </c>
      <c r="O35" s="45">
        <v>6.5</v>
      </c>
      <c r="P35" s="45">
        <v>6.5</v>
      </c>
      <c r="Q35" s="45">
        <v>6.5</v>
      </c>
      <c r="R35" s="45">
        <v>6.5</v>
      </c>
      <c r="S35" s="45">
        <v>6.5</v>
      </c>
      <c r="T35" s="45">
        <v>6.5</v>
      </c>
      <c r="U35" s="45">
        <v>6.5</v>
      </c>
      <c r="V35" s="45">
        <v>6.5</v>
      </c>
      <c r="W35" s="45">
        <v>6.5</v>
      </c>
      <c r="X35" s="45">
        <v>6.5</v>
      </c>
      <c r="Y35" s="45">
        <v>6.5</v>
      </c>
      <c r="Z35" s="45">
        <v>6.5</v>
      </c>
      <c r="AA35" s="45">
        <v>6.5</v>
      </c>
      <c r="AB35" s="45">
        <v>6.5</v>
      </c>
      <c r="AC35" s="45">
        <v>6.5</v>
      </c>
      <c r="AD35" s="45">
        <v>6.5</v>
      </c>
      <c r="AE35" s="45">
        <v>6.5</v>
      </c>
      <c r="AF35" s="45">
        <v>6.5</v>
      </c>
      <c r="AG35" s="49">
        <v>20</v>
      </c>
      <c r="AH35" s="47">
        <f t="shared" si="2"/>
        <v>6.5</v>
      </c>
      <c r="AI35" s="48">
        <f t="shared" si="3"/>
        <v>6.5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264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2"/>
        <v>4</v>
      </c>
      <c r="AI36" s="48">
        <f t="shared" si="3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5.5</v>
      </c>
      <c r="C37" s="45">
        <v>5.5</v>
      </c>
      <c r="D37" s="45">
        <v>5.5</v>
      </c>
      <c r="E37" s="45">
        <v>5.5</v>
      </c>
      <c r="F37" s="45">
        <v>5.5</v>
      </c>
      <c r="G37" s="45">
        <v>5.5</v>
      </c>
      <c r="H37" s="45">
        <v>5.5</v>
      </c>
      <c r="I37" s="45">
        <v>5.5</v>
      </c>
      <c r="J37" s="45">
        <v>5.5</v>
      </c>
      <c r="K37" s="45">
        <v>5.5</v>
      </c>
      <c r="L37" s="45">
        <v>5.5</v>
      </c>
      <c r="M37" s="45">
        <v>5.5</v>
      </c>
      <c r="N37" s="45">
        <v>5.5</v>
      </c>
      <c r="O37" s="45">
        <v>5.5</v>
      </c>
      <c r="P37" s="45">
        <v>5.5</v>
      </c>
      <c r="Q37" s="45">
        <v>5.5</v>
      </c>
      <c r="R37" s="45">
        <v>5.5</v>
      </c>
      <c r="S37" s="45">
        <v>5.5</v>
      </c>
      <c r="T37" s="45">
        <v>5.5</v>
      </c>
      <c r="U37" s="45">
        <v>5.5</v>
      </c>
      <c r="V37" s="45">
        <v>5.5</v>
      </c>
      <c r="W37" s="45">
        <v>5.5</v>
      </c>
      <c r="X37" s="45">
        <v>5.5</v>
      </c>
      <c r="Y37" s="45">
        <v>5.5</v>
      </c>
      <c r="Z37" s="45">
        <v>5.5</v>
      </c>
      <c r="AA37" s="45">
        <v>5.5</v>
      </c>
      <c r="AB37" s="45">
        <v>5.5</v>
      </c>
      <c r="AC37" s="45">
        <v>5.5</v>
      </c>
      <c r="AD37" s="45">
        <v>5.5</v>
      </c>
      <c r="AE37" s="45">
        <v>5.5</v>
      </c>
      <c r="AF37" s="45">
        <v>5.5</v>
      </c>
      <c r="AG37" s="49">
        <v>18</v>
      </c>
      <c r="AH37" s="47">
        <f t="shared" si="2"/>
        <v>5.5</v>
      </c>
      <c r="AI37" s="48">
        <f t="shared" si="3"/>
        <v>5.5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>
        <v>7.2</v>
      </c>
      <c r="N38" s="45">
        <v>7.2</v>
      </c>
      <c r="O38" s="45">
        <v>7.2</v>
      </c>
      <c r="P38" s="45">
        <v>7.2</v>
      </c>
      <c r="Q38" s="45">
        <v>7.2</v>
      </c>
      <c r="R38" s="45">
        <v>7.2</v>
      </c>
      <c r="S38" s="45">
        <v>7.2</v>
      </c>
      <c r="T38" s="45">
        <v>7.2</v>
      </c>
      <c r="U38" s="45">
        <v>7.2</v>
      </c>
      <c r="V38" s="45">
        <v>7.2</v>
      </c>
      <c r="W38" s="45">
        <v>7.2</v>
      </c>
      <c r="X38" s="45">
        <v>7.2</v>
      </c>
      <c r="Y38" s="45">
        <v>7.2</v>
      </c>
      <c r="Z38" s="45">
        <v>7.2</v>
      </c>
      <c r="AA38" s="45">
        <v>7.2</v>
      </c>
      <c r="AB38" s="45">
        <v>7.2</v>
      </c>
      <c r="AC38" s="45">
        <v>7.2</v>
      </c>
      <c r="AD38" s="45">
        <v>7.2</v>
      </c>
      <c r="AE38" s="45">
        <v>7.2</v>
      </c>
      <c r="AF38" s="45">
        <v>7.2</v>
      </c>
      <c r="AG38" s="49">
        <v>14.9</v>
      </c>
      <c r="AH38" s="47">
        <f t="shared" si="2"/>
        <v>7.2</v>
      </c>
      <c r="AI38" s="48">
        <f t="shared" si="3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265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2"/>
        <v>5</v>
      </c>
      <c r="AI40" s="48">
        <f t="shared" si="3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266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>
        <v>4</v>
      </c>
      <c r="N41" s="45">
        <v>4</v>
      </c>
      <c r="O41" s="45">
        <v>4</v>
      </c>
      <c r="P41" s="45">
        <v>4</v>
      </c>
      <c r="Q41" s="45">
        <v>4</v>
      </c>
      <c r="R41" s="45">
        <v>4</v>
      </c>
      <c r="S41" s="45">
        <v>4</v>
      </c>
      <c r="T41" s="45">
        <v>4</v>
      </c>
      <c r="U41" s="45">
        <v>4</v>
      </c>
      <c r="V41" s="45">
        <v>4</v>
      </c>
      <c r="W41" s="45">
        <v>4</v>
      </c>
      <c r="X41" s="45">
        <v>4</v>
      </c>
      <c r="Y41" s="45">
        <v>4</v>
      </c>
      <c r="Z41" s="45">
        <v>4</v>
      </c>
      <c r="AA41" s="45">
        <v>4</v>
      </c>
      <c r="AB41" s="45">
        <v>4</v>
      </c>
      <c r="AC41" s="45">
        <v>4</v>
      </c>
      <c r="AD41" s="45">
        <v>4</v>
      </c>
      <c r="AE41" s="45">
        <v>4</v>
      </c>
      <c r="AF41" s="45">
        <v>4</v>
      </c>
      <c r="AG41" s="49">
        <v>14.9</v>
      </c>
      <c r="AH41" s="47">
        <f t="shared" si="2"/>
        <v>4</v>
      </c>
      <c r="AI41" s="48">
        <f t="shared" si="3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2"/>
        <v>1.8</v>
      </c>
      <c r="AI42" s="48">
        <f t="shared" si="3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2"/>
        <v>3.8</v>
      </c>
      <c r="AI43" s="48">
        <f t="shared" si="3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4</v>
      </c>
      <c r="C44" s="45">
        <v>4</v>
      </c>
      <c r="D44" s="45">
        <v>4</v>
      </c>
      <c r="E44" s="45">
        <v>4</v>
      </c>
      <c r="F44" s="45">
        <v>4</v>
      </c>
      <c r="G44" s="45">
        <v>4</v>
      </c>
      <c r="H44" s="45">
        <v>4</v>
      </c>
      <c r="I44" s="45">
        <v>4</v>
      </c>
      <c r="J44" s="45">
        <v>4</v>
      </c>
      <c r="K44" s="45">
        <v>4</v>
      </c>
      <c r="L44" s="45">
        <v>4</v>
      </c>
      <c r="M44" s="45">
        <v>4</v>
      </c>
      <c r="N44" s="45">
        <v>4</v>
      </c>
      <c r="O44" s="45">
        <v>4</v>
      </c>
      <c r="P44" s="45">
        <v>4</v>
      </c>
      <c r="Q44" s="45">
        <v>4</v>
      </c>
      <c r="R44" s="45">
        <v>4</v>
      </c>
      <c r="S44" s="45">
        <v>4</v>
      </c>
      <c r="T44" s="45">
        <v>4</v>
      </c>
      <c r="U44" s="45">
        <v>4</v>
      </c>
      <c r="V44" s="45">
        <v>4</v>
      </c>
      <c r="W44" s="45">
        <v>4</v>
      </c>
      <c r="X44" s="45">
        <v>4</v>
      </c>
      <c r="Y44" s="45">
        <v>4</v>
      </c>
      <c r="Z44" s="45">
        <v>4</v>
      </c>
      <c r="AA44" s="45">
        <v>4</v>
      </c>
      <c r="AB44" s="45">
        <v>4</v>
      </c>
      <c r="AC44" s="45">
        <v>4</v>
      </c>
      <c r="AD44" s="45">
        <v>4</v>
      </c>
      <c r="AE44" s="45">
        <v>4</v>
      </c>
      <c r="AF44" s="45">
        <v>4</v>
      </c>
      <c r="AG44" s="49">
        <v>12</v>
      </c>
      <c r="AH44" s="47">
        <f t="shared" si="2"/>
        <v>4</v>
      </c>
      <c r="AI44" s="48">
        <f t="shared" si="3"/>
        <v>4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49">
        <v>12</v>
      </c>
      <c r="AH45" s="47">
        <f t="shared" si="2"/>
        <v>9</v>
      </c>
      <c r="AI45" s="48">
        <f t="shared" si="3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2"/>
        <v>3</v>
      </c>
      <c r="AI46" s="48">
        <f t="shared" si="3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2"/>
        <v>3.5</v>
      </c>
      <c r="AI47" s="48">
        <f t="shared" si="3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>
        <v>5</v>
      </c>
      <c r="N48" s="45">
        <v>5</v>
      </c>
      <c r="O48" s="45">
        <v>5</v>
      </c>
      <c r="P48" s="45">
        <v>5</v>
      </c>
      <c r="Q48" s="45">
        <v>5</v>
      </c>
      <c r="R48" s="45">
        <v>5</v>
      </c>
      <c r="S48" s="45">
        <v>5</v>
      </c>
      <c r="T48" s="45">
        <v>5</v>
      </c>
      <c r="U48" s="45">
        <v>5</v>
      </c>
      <c r="V48" s="45">
        <v>5</v>
      </c>
      <c r="W48" s="45">
        <v>5</v>
      </c>
      <c r="X48" s="45">
        <v>5</v>
      </c>
      <c r="Y48" s="45">
        <v>5</v>
      </c>
      <c r="Z48" s="45">
        <v>5</v>
      </c>
      <c r="AA48" s="45">
        <v>5</v>
      </c>
      <c r="AB48" s="45">
        <v>5</v>
      </c>
      <c r="AC48" s="45">
        <v>5</v>
      </c>
      <c r="AD48" s="45">
        <v>5</v>
      </c>
      <c r="AE48" s="45">
        <v>5</v>
      </c>
      <c r="AF48" s="45">
        <v>5</v>
      </c>
      <c r="AG48" s="52">
        <v>11.88</v>
      </c>
      <c r="AH48" s="47">
        <f t="shared" si="2"/>
        <v>5</v>
      </c>
      <c r="AI48" s="48">
        <f t="shared" si="3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>
        <v>3</v>
      </c>
      <c r="N49" s="45">
        <v>3</v>
      </c>
      <c r="O49" s="45">
        <v>3</v>
      </c>
      <c r="P49" s="45">
        <v>3</v>
      </c>
      <c r="Q49" s="45">
        <v>3</v>
      </c>
      <c r="R49" s="45">
        <v>3</v>
      </c>
      <c r="S49" s="45">
        <v>3</v>
      </c>
      <c r="T49" s="45">
        <v>3</v>
      </c>
      <c r="U49" s="45">
        <v>3</v>
      </c>
      <c r="V49" s="45">
        <v>3</v>
      </c>
      <c r="W49" s="45">
        <v>3</v>
      </c>
      <c r="X49" s="45">
        <v>3</v>
      </c>
      <c r="Y49" s="45">
        <v>3</v>
      </c>
      <c r="Z49" s="45">
        <v>3</v>
      </c>
      <c r="AA49" s="45">
        <v>3</v>
      </c>
      <c r="AB49" s="45">
        <v>3</v>
      </c>
      <c r="AC49" s="45">
        <v>3</v>
      </c>
      <c r="AD49" s="45">
        <v>3</v>
      </c>
      <c r="AE49" s="45">
        <v>3</v>
      </c>
      <c r="AF49" s="45">
        <v>3</v>
      </c>
      <c r="AG49" s="55">
        <v>11</v>
      </c>
      <c r="AH49" s="47">
        <f t="shared" si="2"/>
        <v>3</v>
      </c>
      <c r="AI49" s="48">
        <f t="shared" si="3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267</v>
      </c>
      <c r="B50" s="45">
        <v>3.3</v>
      </c>
      <c r="C50" s="45">
        <v>3.3</v>
      </c>
      <c r="D50" s="45">
        <v>3.3</v>
      </c>
      <c r="E50" s="45">
        <v>3.3</v>
      </c>
      <c r="F50" s="45">
        <v>3.3</v>
      </c>
      <c r="G50" s="45">
        <v>3.3</v>
      </c>
      <c r="H50" s="45">
        <v>3.3</v>
      </c>
      <c r="I50" s="45">
        <v>3.3</v>
      </c>
      <c r="J50" s="45">
        <v>3.3</v>
      </c>
      <c r="K50" s="45">
        <v>3.3</v>
      </c>
      <c r="L50" s="45">
        <v>3.3</v>
      </c>
      <c r="M50" s="45">
        <v>3.3</v>
      </c>
      <c r="N50" s="45">
        <v>3.3</v>
      </c>
      <c r="O50" s="45">
        <v>3.3</v>
      </c>
      <c r="P50" s="45">
        <v>3.3</v>
      </c>
      <c r="Q50" s="45">
        <v>3.3</v>
      </c>
      <c r="R50" s="45">
        <v>3.3</v>
      </c>
      <c r="S50" s="45">
        <v>3.3</v>
      </c>
      <c r="T50" s="45">
        <v>3.3</v>
      </c>
      <c r="U50" s="45">
        <v>3.3</v>
      </c>
      <c r="V50" s="45">
        <v>3.3</v>
      </c>
      <c r="W50" s="45">
        <v>3.3</v>
      </c>
      <c r="X50" s="45">
        <v>3.3</v>
      </c>
      <c r="Y50" s="45">
        <v>3.3</v>
      </c>
      <c r="Z50" s="45">
        <v>3.3</v>
      </c>
      <c r="AA50" s="45">
        <v>3.3</v>
      </c>
      <c r="AB50" s="45">
        <v>3.3</v>
      </c>
      <c r="AC50" s="45">
        <v>3.3</v>
      </c>
      <c r="AD50" s="45">
        <v>3.3</v>
      </c>
      <c r="AE50" s="45">
        <v>3.3</v>
      </c>
      <c r="AF50" s="45">
        <v>3.3</v>
      </c>
      <c r="AG50" s="55">
        <v>11</v>
      </c>
      <c r="AH50" s="47">
        <f t="shared" si="2"/>
        <v>3.3</v>
      </c>
      <c r="AI50" s="48">
        <f t="shared" si="3"/>
        <v>3.3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268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"/>
        <v>3</v>
      </c>
      <c r="AI51" s="48">
        <f t="shared" si="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2"/>
        <v>4</v>
      </c>
      <c r="AI52" s="48">
        <f t="shared" si="3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"/>
        <v>4.5</v>
      </c>
      <c r="AI53" s="48">
        <f t="shared" si="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269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"/>
        <v>0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150</v>
      </c>
      <c r="C56" s="57">
        <v>150</v>
      </c>
      <c r="D56" s="57">
        <v>150</v>
      </c>
      <c r="E56" s="57">
        <v>150</v>
      </c>
      <c r="F56" s="57">
        <v>150</v>
      </c>
      <c r="G56" s="57">
        <v>150</v>
      </c>
      <c r="H56" s="57">
        <v>150</v>
      </c>
      <c r="I56" s="57">
        <v>150</v>
      </c>
      <c r="J56" s="57">
        <v>150</v>
      </c>
      <c r="K56" s="57">
        <v>150</v>
      </c>
      <c r="L56" s="57">
        <v>150</v>
      </c>
      <c r="M56" s="57">
        <v>150</v>
      </c>
      <c r="N56" s="57">
        <v>150</v>
      </c>
      <c r="O56" s="57">
        <v>150</v>
      </c>
      <c r="P56" s="57">
        <v>150</v>
      </c>
      <c r="Q56" s="57">
        <v>150</v>
      </c>
      <c r="R56" s="57">
        <v>150</v>
      </c>
      <c r="S56" s="57">
        <v>150</v>
      </c>
      <c r="T56" s="57">
        <v>150</v>
      </c>
      <c r="U56" s="57">
        <v>150</v>
      </c>
      <c r="V56" s="57">
        <v>150</v>
      </c>
      <c r="W56" s="57">
        <v>150</v>
      </c>
      <c r="X56" s="57">
        <v>150</v>
      </c>
      <c r="Y56" s="57">
        <v>150</v>
      </c>
      <c r="Z56" s="57">
        <v>150</v>
      </c>
      <c r="AA56" s="57">
        <v>150</v>
      </c>
      <c r="AB56" s="57">
        <v>150</v>
      </c>
      <c r="AC56" s="57">
        <v>150</v>
      </c>
      <c r="AD56" s="57">
        <v>150</v>
      </c>
      <c r="AE56" s="57">
        <v>150</v>
      </c>
      <c r="AF56" s="57">
        <v>150</v>
      </c>
      <c r="AG56" s="55">
        <v>85</v>
      </c>
      <c r="AH56" s="47">
        <f t="shared" si="2"/>
        <v>150</v>
      </c>
      <c r="AI56" s="48">
        <f t="shared" si="3"/>
        <v>150</v>
      </c>
      <c r="AK56" s="50"/>
    </row>
    <row r="57" spans="1:88" ht="15.75" thickBot="1" x14ac:dyDescent="0.3">
      <c r="A57" s="58" t="s">
        <v>57</v>
      </c>
      <c r="B57" s="57">
        <f>8.7+20.8</f>
        <v>29.5</v>
      </c>
      <c r="C57" s="57">
        <f>8.7+20.8</f>
        <v>29.5</v>
      </c>
      <c r="D57" s="57">
        <f>8.7+20.8</f>
        <v>29.5</v>
      </c>
      <c r="E57" s="57">
        <v>29.4</v>
      </c>
      <c r="F57" s="57">
        <v>29.4</v>
      </c>
      <c r="G57" s="57">
        <v>29.4</v>
      </c>
      <c r="H57" s="57">
        <v>29.4</v>
      </c>
      <c r="I57" s="57">
        <v>29.4</v>
      </c>
      <c r="J57" s="57">
        <v>28</v>
      </c>
      <c r="K57" s="51">
        <v>28</v>
      </c>
      <c r="L57" s="51">
        <v>28.5</v>
      </c>
      <c r="M57" s="51">
        <f>7.2+17.4</f>
        <v>24.599999999999998</v>
      </c>
      <c r="N57" s="51">
        <f>20.4+8.6</f>
        <v>29</v>
      </c>
      <c r="O57" s="51">
        <f>20.1+8.8</f>
        <v>28.900000000000002</v>
      </c>
      <c r="P57" s="51">
        <f>20.2+8.9</f>
        <v>29.1</v>
      </c>
      <c r="Q57" s="51">
        <f>20.8+9.2</f>
        <v>30</v>
      </c>
      <c r="R57" s="51">
        <f>20.8+9.7</f>
        <v>30.5</v>
      </c>
      <c r="S57" s="51">
        <v>23</v>
      </c>
      <c r="T57" s="51">
        <v>23</v>
      </c>
      <c r="U57" s="51">
        <v>23</v>
      </c>
      <c r="V57" s="51">
        <v>23</v>
      </c>
      <c r="W57" s="51">
        <v>23</v>
      </c>
      <c r="X57" s="51">
        <v>21</v>
      </c>
      <c r="Y57" s="51">
        <v>21</v>
      </c>
      <c r="Z57" s="51">
        <v>21</v>
      </c>
      <c r="AA57" s="51">
        <v>21</v>
      </c>
      <c r="AB57" s="51">
        <v>21</v>
      </c>
      <c r="AC57" s="51">
        <v>21</v>
      </c>
      <c r="AD57" s="51">
        <v>21</v>
      </c>
      <c r="AE57" s="51">
        <v>21</v>
      </c>
      <c r="AF57" s="51">
        <v>21</v>
      </c>
      <c r="AG57" s="55">
        <v>240</v>
      </c>
      <c r="AH57" s="47">
        <f t="shared" si="2"/>
        <v>30.5</v>
      </c>
      <c r="AI57" s="48">
        <f t="shared" si="3"/>
        <v>21</v>
      </c>
      <c r="AK57" s="50"/>
    </row>
    <row r="58" spans="1:88" ht="15.75" thickBot="1" x14ac:dyDescent="0.3">
      <c r="A58" s="59" t="s">
        <v>58</v>
      </c>
      <c r="B58" s="60">
        <f>SUM(B11:B56)</f>
        <v>510.40000000000003</v>
      </c>
      <c r="C58" s="60">
        <f>SUM(C11:C56)</f>
        <v>510.40000000000003</v>
      </c>
      <c r="D58" s="60">
        <f t="shared" ref="D58:AF58" si="4">SUM(D11:D56)</f>
        <v>510.40000000000003</v>
      </c>
      <c r="E58" s="60">
        <f t="shared" si="4"/>
        <v>497.00000000000006</v>
      </c>
      <c r="F58" s="60">
        <f t="shared" si="4"/>
        <v>505.5</v>
      </c>
      <c r="G58" s="60">
        <f t="shared" si="4"/>
        <v>505.5</v>
      </c>
      <c r="H58" s="60">
        <f t="shared" si="4"/>
        <v>505.5</v>
      </c>
      <c r="I58" s="60">
        <f t="shared" si="4"/>
        <v>505.5</v>
      </c>
      <c r="J58" s="60">
        <f t="shared" si="4"/>
        <v>505.5</v>
      </c>
      <c r="K58" s="60">
        <f t="shared" si="4"/>
        <v>506.40000000000003</v>
      </c>
      <c r="L58" s="60">
        <f t="shared" si="4"/>
        <v>506.3</v>
      </c>
      <c r="M58" s="60">
        <f t="shared" ref="M58" si="5">SUM(M11:M56)</f>
        <v>500.1</v>
      </c>
      <c r="N58" s="60">
        <f t="shared" si="4"/>
        <v>500.1</v>
      </c>
      <c r="O58" s="60">
        <f t="shared" si="4"/>
        <v>500</v>
      </c>
      <c r="P58" s="60">
        <f t="shared" si="4"/>
        <v>500</v>
      </c>
      <c r="Q58" s="60">
        <f t="shared" si="4"/>
        <v>500</v>
      </c>
      <c r="R58" s="60">
        <f t="shared" si="4"/>
        <v>500</v>
      </c>
      <c r="S58" s="60">
        <f t="shared" ref="S58:T58" si="6">SUM(S11:S56)</f>
        <v>500</v>
      </c>
      <c r="T58" s="60">
        <f t="shared" si="6"/>
        <v>500</v>
      </c>
      <c r="U58" s="60">
        <f t="shared" si="4"/>
        <v>500</v>
      </c>
      <c r="V58" s="60">
        <f t="shared" ref="V58" si="7">SUM(V11:V56)</f>
        <v>500</v>
      </c>
      <c r="W58" s="60">
        <f t="shared" si="4"/>
        <v>500</v>
      </c>
      <c r="X58" s="60">
        <f t="shared" si="4"/>
        <v>500</v>
      </c>
      <c r="Y58" s="60">
        <f>SUM(Y11:Y56)</f>
        <v>500</v>
      </c>
      <c r="Z58" s="60">
        <f>SUM(Z11:Z56)</f>
        <v>500</v>
      </c>
      <c r="AA58" s="60">
        <f t="shared" si="4"/>
        <v>500</v>
      </c>
      <c r="AB58" s="60">
        <f t="shared" ref="AB58" si="8">SUM(AB11:AB56)</f>
        <v>500</v>
      </c>
      <c r="AC58" s="60">
        <f t="shared" si="4"/>
        <v>500</v>
      </c>
      <c r="AD58" s="60">
        <f t="shared" si="4"/>
        <v>500</v>
      </c>
      <c r="AE58" s="60">
        <f t="shared" si="4"/>
        <v>500</v>
      </c>
      <c r="AF58" s="60">
        <f t="shared" si="4"/>
        <v>500</v>
      </c>
      <c r="AG58" s="61">
        <f>SUM(AG14:AG56)</f>
        <v>1042.4000000000001</v>
      </c>
      <c r="AH58" s="47">
        <f t="shared" si="2"/>
        <v>510.40000000000003</v>
      </c>
      <c r="AI58" s="48">
        <f t="shared" si="3"/>
        <v>497.00000000000006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35</v>
      </c>
      <c r="J59" s="45">
        <v>35</v>
      </c>
      <c r="K59" s="45">
        <v>75</v>
      </c>
      <c r="L59" s="45">
        <v>300</v>
      </c>
      <c r="M59" s="45">
        <v>350</v>
      </c>
      <c r="N59" s="63">
        <v>200</v>
      </c>
      <c r="O59" s="63">
        <v>95</v>
      </c>
      <c r="P59" s="63">
        <v>15</v>
      </c>
      <c r="Q59" s="63">
        <v>15</v>
      </c>
      <c r="R59" s="63">
        <v>15</v>
      </c>
      <c r="S59" s="63">
        <v>0</v>
      </c>
      <c r="T59" s="63">
        <v>20</v>
      </c>
      <c r="U59" s="45">
        <v>20</v>
      </c>
      <c r="V59" s="45">
        <v>30</v>
      </c>
      <c r="W59" s="45">
        <v>80</v>
      </c>
      <c r="X59" s="45">
        <v>200</v>
      </c>
      <c r="Y59" s="45">
        <v>230</v>
      </c>
      <c r="Z59" s="45">
        <v>290</v>
      </c>
      <c r="AA59" s="45">
        <v>270</v>
      </c>
      <c r="AB59" s="45">
        <v>200</v>
      </c>
      <c r="AC59" s="45">
        <v>60</v>
      </c>
      <c r="AD59" s="45">
        <v>20</v>
      </c>
      <c r="AE59" s="45">
        <v>0</v>
      </c>
      <c r="AF59" s="45">
        <v>0</v>
      </c>
      <c r="AG59" s="52">
        <v>456</v>
      </c>
      <c r="AH59" s="47">
        <f t="shared" si="2"/>
        <v>350</v>
      </c>
      <c r="AI59" s="48">
        <f t="shared" si="3"/>
        <v>0</v>
      </c>
      <c r="AK59" s="50"/>
    </row>
    <row r="60" spans="1:88" x14ac:dyDescent="0.25">
      <c r="A60" s="64" t="s">
        <v>60</v>
      </c>
      <c r="B60" s="65">
        <v>30</v>
      </c>
      <c r="C60" s="65">
        <v>30</v>
      </c>
      <c r="D60" s="65">
        <v>30</v>
      </c>
      <c r="E60" s="65">
        <v>30</v>
      </c>
      <c r="F60" s="65">
        <v>30</v>
      </c>
      <c r="G60" s="65">
        <v>30</v>
      </c>
      <c r="H60" s="65">
        <v>30</v>
      </c>
      <c r="I60" s="65">
        <v>30</v>
      </c>
      <c r="J60" s="65">
        <v>30</v>
      </c>
      <c r="K60" s="65">
        <v>30</v>
      </c>
      <c r="L60" s="65">
        <v>30</v>
      </c>
      <c r="M60" s="65">
        <v>30</v>
      </c>
      <c r="N60" s="65">
        <v>30</v>
      </c>
      <c r="O60" s="65">
        <v>30</v>
      </c>
      <c r="P60" s="65">
        <v>30</v>
      </c>
      <c r="Q60" s="65">
        <v>30</v>
      </c>
      <c r="R60" s="65">
        <v>30</v>
      </c>
      <c r="S60" s="65">
        <v>30</v>
      </c>
      <c r="T60" s="65">
        <v>30</v>
      </c>
      <c r="U60" s="65">
        <v>30</v>
      </c>
      <c r="V60" s="65">
        <v>30</v>
      </c>
      <c r="W60" s="65">
        <v>30</v>
      </c>
      <c r="X60" s="65">
        <v>30</v>
      </c>
      <c r="Y60" s="65">
        <v>30</v>
      </c>
      <c r="Z60" s="65">
        <v>30</v>
      </c>
      <c r="AA60" s="65">
        <v>30</v>
      </c>
      <c r="AB60" s="65">
        <v>30</v>
      </c>
      <c r="AC60" s="65">
        <v>30</v>
      </c>
      <c r="AD60" s="65">
        <v>30</v>
      </c>
      <c r="AE60" s="65">
        <v>30</v>
      </c>
      <c r="AF60" s="65">
        <v>30</v>
      </c>
      <c r="AG60" s="55">
        <v>60</v>
      </c>
      <c r="AH60" s="47">
        <f t="shared" si="2"/>
        <v>30</v>
      </c>
      <c r="AI60" s="48">
        <f t="shared" si="3"/>
        <v>30</v>
      </c>
      <c r="AK60" s="50"/>
    </row>
    <row r="61" spans="1:88" ht="15.75" thickBot="1" x14ac:dyDescent="0.3">
      <c r="A61" s="66" t="s">
        <v>61</v>
      </c>
      <c r="B61" s="67">
        <v>10.199999999999999</v>
      </c>
      <c r="C61" s="67">
        <v>10.199999999999999</v>
      </c>
      <c r="D61" s="67">
        <v>10.199999999999999</v>
      </c>
      <c r="E61" s="67">
        <v>10.199999999999999</v>
      </c>
      <c r="F61" s="67">
        <v>10.199999999999999</v>
      </c>
      <c r="G61" s="67">
        <v>10.199999999999999</v>
      </c>
      <c r="H61" s="67">
        <v>10.199999999999999</v>
      </c>
      <c r="I61" s="67">
        <v>10.199999999999999</v>
      </c>
      <c r="J61" s="67">
        <v>10.199999999999999</v>
      </c>
      <c r="K61" s="67">
        <v>10.199999999999999</v>
      </c>
      <c r="L61" s="67">
        <v>10.199999999999999</v>
      </c>
      <c r="M61" s="67">
        <v>10.199999999999999</v>
      </c>
      <c r="N61" s="67">
        <v>10.199999999999999</v>
      </c>
      <c r="O61" s="67">
        <v>10.199999999999999</v>
      </c>
      <c r="P61" s="67">
        <v>10.3</v>
      </c>
      <c r="Q61" s="67">
        <v>10.3</v>
      </c>
      <c r="R61" s="67">
        <v>10.3</v>
      </c>
      <c r="S61" s="67">
        <v>10.3</v>
      </c>
      <c r="T61" s="67">
        <v>10.3</v>
      </c>
      <c r="U61" s="67">
        <v>8.6999999999999993</v>
      </c>
      <c r="V61" s="67">
        <v>8.6999999999999993</v>
      </c>
      <c r="W61" s="67">
        <v>8.8000000000000007</v>
      </c>
      <c r="X61" s="67">
        <v>8.6999999999999993</v>
      </c>
      <c r="Y61" s="67">
        <v>17.100000000000001</v>
      </c>
      <c r="Z61" s="67">
        <v>17.100000000000001</v>
      </c>
      <c r="AA61" s="67">
        <v>17.100000000000001</v>
      </c>
      <c r="AB61" s="67">
        <v>17.100000000000001</v>
      </c>
      <c r="AC61" s="67">
        <v>17.100000000000001</v>
      </c>
      <c r="AD61" s="67">
        <v>17.100000000000001</v>
      </c>
      <c r="AE61" s="67">
        <v>17.100000000000001</v>
      </c>
      <c r="AF61" s="67">
        <v>17.100000000000001</v>
      </c>
      <c r="AG61" s="68">
        <v>22.1</v>
      </c>
      <c r="AH61" s="47">
        <f t="shared" si="2"/>
        <v>17.100000000000001</v>
      </c>
      <c r="AI61" s="48">
        <f t="shared" si="3"/>
        <v>8.6999999999999993</v>
      </c>
      <c r="AK61" s="50"/>
    </row>
    <row r="62" spans="1:88" ht="15.75" thickBot="1" x14ac:dyDescent="0.3">
      <c r="A62" s="69" t="s">
        <v>62</v>
      </c>
      <c r="B62" s="60">
        <f t="shared" ref="B62:AG62" si="9">SUM(B59:B61)</f>
        <v>40.200000000000003</v>
      </c>
      <c r="C62" s="60">
        <f t="shared" si="9"/>
        <v>40.200000000000003</v>
      </c>
      <c r="D62" s="60">
        <f t="shared" si="9"/>
        <v>40.200000000000003</v>
      </c>
      <c r="E62" s="60">
        <f t="shared" si="9"/>
        <v>40.200000000000003</v>
      </c>
      <c r="F62" s="60">
        <f t="shared" si="9"/>
        <v>40.200000000000003</v>
      </c>
      <c r="G62" s="60">
        <f t="shared" si="9"/>
        <v>40.200000000000003</v>
      </c>
      <c r="H62" s="60">
        <f t="shared" si="9"/>
        <v>40.200000000000003</v>
      </c>
      <c r="I62" s="60">
        <f t="shared" si="9"/>
        <v>75.2</v>
      </c>
      <c r="J62" s="60">
        <f t="shared" si="9"/>
        <v>75.2</v>
      </c>
      <c r="K62" s="60">
        <f t="shared" si="9"/>
        <v>115.2</v>
      </c>
      <c r="L62" s="60">
        <f t="shared" si="9"/>
        <v>340.2</v>
      </c>
      <c r="M62" s="60">
        <f t="shared" ref="M62" si="10">SUM(M59:M61)</f>
        <v>390.2</v>
      </c>
      <c r="N62" s="60">
        <f t="shared" si="9"/>
        <v>240.2</v>
      </c>
      <c r="O62" s="60">
        <f t="shared" si="9"/>
        <v>135.19999999999999</v>
      </c>
      <c r="P62" s="60">
        <f t="shared" si="9"/>
        <v>55.3</v>
      </c>
      <c r="Q62" s="60">
        <f t="shared" si="9"/>
        <v>55.3</v>
      </c>
      <c r="R62" s="60">
        <f t="shared" si="9"/>
        <v>55.3</v>
      </c>
      <c r="S62" s="60">
        <f t="shared" ref="S62:T62" si="11">SUM(S59:S61)</f>
        <v>40.299999999999997</v>
      </c>
      <c r="T62" s="60">
        <f t="shared" si="11"/>
        <v>60.3</v>
      </c>
      <c r="U62" s="60">
        <f t="shared" si="9"/>
        <v>58.7</v>
      </c>
      <c r="V62" s="60">
        <f t="shared" ref="V62" si="12">SUM(V59:V61)</f>
        <v>68.7</v>
      </c>
      <c r="W62" s="60">
        <f t="shared" si="9"/>
        <v>118.8</v>
      </c>
      <c r="X62" s="60">
        <f t="shared" si="9"/>
        <v>238.7</v>
      </c>
      <c r="Y62" s="60">
        <f>SUM(Y59:Y61)</f>
        <v>277.10000000000002</v>
      </c>
      <c r="Z62" s="60">
        <f>SUM(Z59:Z61)</f>
        <v>337.1</v>
      </c>
      <c r="AA62" s="60">
        <f t="shared" si="9"/>
        <v>317.10000000000002</v>
      </c>
      <c r="AB62" s="60">
        <f t="shared" ref="AB62" si="13">SUM(AB59:AB61)</f>
        <v>247.1</v>
      </c>
      <c r="AC62" s="60">
        <f t="shared" si="9"/>
        <v>107.1</v>
      </c>
      <c r="AD62" s="60">
        <f t="shared" si="9"/>
        <v>67.099999999999994</v>
      </c>
      <c r="AE62" s="60">
        <f t="shared" si="9"/>
        <v>47.1</v>
      </c>
      <c r="AF62" s="60">
        <f t="shared" si="9"/>
        <v>47.1</v>
      </c>
      <c r="AG62" s="61">
        <f t="shared" si="9"/>
        <v>538.1</v>
      </c>
      <c r="AH62" s="47">
        <f t="shared" si="2"/>
        <v>390.2</v>
      </c>
      <c r="AI62" s="48">
        <f t="shared" si="3"/>
        <v>40.200000000000003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25.6</v>
      </c>
      <c r="I63" s="45">
        <v>48.7</v>
      </c>
      <c r="J63" s="45">
        <v>70.400000000000006</v>
      </c>
      <c r="K63" s="45">
        <v>98</v>
      </c>
      <c r="L63" s="45">
        <v>81.900000000000006</v>
      </c>
      <c r="M63" s="45">
        <v>80.099999999999994</v>
      </c>
      <c r="N63" s="45">
        <v>86.4</v>
      </c>
      <c r="O63" s="45">
        <v>86</v>
      </c>
      <c r="P63" s="45">
        <v>61</v>
      </c>
      <c r="Q63" s="45">
        <v>80.900000000000006</v>
      </c>
      <c r="R63" s="45">
        <v>60.8</v>
      </c>
      <c r="S63" s="45">
        <v>57.1</v>
      </c>
      <c r="T63" s="45">
        <v>61.3</v>
      </c>
      <c r="U63" s="45">
        <v>61</v>
      </c>
      <c r="V63" s="45">
        <v>61</v>
      </c>
      <c r="W63" s="45">
        <v>61</v>
      </c>
      <c r="X63" s="45">
        <v>83</v>
      </c>
      <c r="Y63" s="45">
        <v>122.3</v>
      </c>
      <c r="Z63" s="45">
        <v>131.6</v>
      </c>
      <c r="AA63" s="45">
        <v>131.9</v>
      </c>
      <c r="AB63" s="45">
        <v>135.1</v>
      </c>
      <c r="AC63" s="45">
        <v>144</v>
      </c>
      <c r="AD63" s="45">
        <v>70</v>
      </c>
      <c r="AE63" s="45">
        <v>30</v>
      </c>
      <c r="AF63" s="45">
        <v>0</v>
      </c>
      <c r="AG63" s="52">
        <v>144</v>
      </c>
      <c r="AH63" s="47">
        <f t="shared" si="2"/>
        <v>144</v>
      </c>
      <c r="AI63" s="48">
        <f t="shared" si="3"/>
        <v>0</v>
      </c>
      <c r="AK63" s="50"/>
    </row>
    <row r="64" spans="1:88" x14ac:dyDescent="0.25">
      <c r="A64" s="54" t="s">
        <v>64</v>
      </c>
      <c r="B64" s="4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30</v>
      </c>
      <c r="H64" s="65">
        <v>50</v>
      </c>
      <c r="I64" s="65">
        <v>50</v>
      </c>
      <c r="J64" s="65">
        <v>70</v>
      </c>
      <c r="K64" s="65">
        <v>70</v>
      </c>
      <c r="L64" s="65">
        <v>50</v>
      </c>
      <c r="M64" s="65">
        <v>50</v>
      </c>
      <c r="N64" s="65">
        <v>60</v>
      </c>
      <c r="O64" s="65">
        <v>45</v>
      </c>
      <c r="P64" s="65">
        <v>25</v>
      </c>
      <c r="Q64" s="65">
        <v>35</v>
      </c>
      <c r="R64" s="65">
        <v>35</v>
      </c>
      <c r="S64" s="65">
        <v>25</v>
      </c>
      <c r="T64" s="65">
        <v>25</v>
      </c>
      <c r="U64" s="45">
        <v>25</v>
      </c>
      <c r="V64" s="45">
        <v>25</v>
      </c>
      <c r="W64" s="45">
        <v>45</v>
      </c>
      <c r="X64" s="45">
        <v>69</v>
      </c>
      <c r="Y64" s="45">
        <v>69</v>
      </c>
      <c r="Z64" s="45">
        <v>60</v>
      </c>
      <c r="AA64" s="45">
        <v>60</v>
      </c>
      <c r="AB64" s="45">
        <v>35</v>
      </c>
      <c r="AC64" s="45">
        <v>25</v>
      </c>
      <c r="AD64" s="65">
        <v>25</v>
      </c>
      <c r="AE64" s="45">
        <v>0</v>
      </c>
      <c r="AF64" s="45">
        <v>0</v>
      </c>
      <c r="AG64" s="55">
        <v>70</v>
      </c>
      <c r="AH64" s="47">
        <f t="shared" si="2"/>
        <v>70</v>
      </c>
      <c r="AI64" s="48">
        <f t="shared" si="3"/>
        <v>0</v>
      </c>
      <c r="AK64" s="50"/>
    </row>
    <row r="65" spans="1:41" x14ac:dyDescent="0.25">
      <c r="A65" s="54" t="s">
        <v>65</v>
      </c>
      <c r="B65" s="45">
        <v>44</v>
      </c>
      <c r="C65" s="65">
        <v>18.2</v>
      </c>
      <c r="D65" s="65">
        <v>0</v>
      </c>
      <c r="E65" s="65">
        <v>0</v>
      </c>
      <c r="F65" s="65">
        <v>0</v>
      </c>
      <c r="G65" s="65">
        <v>0</v>
      </c>
      <c r="H65" s="65">
        <v>44</v>
      </c>
      <c r="I65" s="65">
        <v>63</v>
      </c>
      <c r="J65" s="65">
        <v>67.400000000000006</v>
      </c>
      <c r="K65" s="65">
        <v>67.7</v>
      </c>
      <c r="L65" s="65">
        <v>48.7</v>
      </c>
      <c r="M65" s="65">
        <v>45.1</v>
      </c>
      <c r="N65" s="65">
        <v>44.2</v>
      </c>
      <c r="O65" s="65">
        <v>45.1</v>
      </c>
      <c r="P65" s="65">
        <v>16.399999999999999</v>
      </c>
      <c r="Q65" s="65">
        <v>22.8</v>
      </c>
      <c r="R65" s="65">
        <v>22.8</v>
      </c>
      <c r="S65" s="65">
        <v>22.8</v>
      </c>
      <c r="T65" s="65">
        <v>22.8</v>
      </c>
      <c r="U65" s="45">
        <v>36.1</v>
      </c>
      <c r="V65" s="45">
        <v>32.9</v>
      </c>
      <c r="W65" s="45">
        <v>58</v>
      </c>
      <c r="X65" s="45">
        <v>63.2</v>
      </c>
      <c r="Y65" s="45">
        <v>60</v>
      </c>
      <c r="Z65" s="45">
        <v>61</v>
      </c>
      <c r="AA65" s="45">
        <v>66.7</v>
      </c>
      <c r="AB65" s="45">
        <v>63.4</v>
      </c>
      <c r="AC65" s="45">
        <v>35</v>
      </c>
      <c r="AD65" s="65">
        <v>32</v>
      </c>
      <c r="AE65" s="45">
        <v>34</v>
      </c>
      <c r="AF65" s="45">
        <v>0</v>
      </c>
      <c r="AG65" s="55">
        <v>69</v>
      </c>
      <c r="AH65" s="47">
        <f t="shared" si="2"/>
        <v>67.7</v>
      </c>
      <c r="AI65" s="48">
        <f t="shared" si="3"/>
        <v>0</v>
      </c>
      <c r="AK65" s="50"/>
    </row>
    <row r="66" spans="1:41" x14ac:dyDescent="0.25">
      <c r="A66" s="54" t="s">
        <v>66</v>
      </c>
      <c r="B66" s="45">
        <v>38.299999999999997</v>
      </c>
      <c r="C66" s="65">
        <v>39</v>
      </c>
      <c r="D66" s="65">
        <v>38.299999999999997</v>
      </c>
      <c r="E66" s="65">
        <v>36</v>
      </c>
      <c r="F66" s="65">
        <v>42</v>
      </c>
      <c r="G66" s="65">
        <v>46.4</v>
      </c>
      <c r="H66" s="65">
        <v>50.2</v>
      </c>
      <c r="I66" s="65">
        <v>46.1</v>
      </c>
      <c r="J66" s="65">
        <v>45.1</v>
      </c>
      <c r="K66" s="65">
        <v>40</v>
      </c>
      <c r="L66" s="65">
        <v>40</v>
      </c>
      <c r="M66" s="65">
        <v>42.3</v>
      </c>
      <c r="N66" s="65">
        <v>46.4</v>
      </c>
      <c r="O66" s="65">
        <v>43.8</v>
      </c>
      <c r="P66" s="65">
        <v>43.8</v>
      </c>
      <c r="Q66" s="65">
        <v>42.1</v>
      </c>
      <c r="R66" s="65">
        <v>42.1</v>
      </c>
      <c r="S66" s="65">
        <v>42.1</v>
      </c>
      <c r="T66" s="65">
        <v>42.1</v>
      </c>
      <c r="U66" s="45">
        <v>41.3</v>
      </c>
      <c r="V66" s="45">
        <v>41.3</v>
      </c>
      <c r="W66" s="45">
        <v>41.3</v>
      </c>
      <c r="X66" s="45">
        <v>40.299999999999997</v>
      </c>
      <c r="Y66" s="45">
        <v>40</v>
      </c>
      <c r="Z66" s="45">
        <v>40</v>
      </c>
      <c r="AA66" s="45">
        <v>35.299999999999997</v>
      </c>
      <c r="AB66" s="45">
        <v>35.5</v>
      </c>
      <c r="AC66" s="45">
        <v>35.5</v>
      </c>
      <c r="AD66" s="45">
        <v>41</v>
      </c>
      <c r="AE66" s="45">
        <v>41</v>
      </c>
      <c r="AF66" s="45">
        <v>44</v>
      </c>
      <c r="AG66" s="55">
        <v>60</v>
      </c>
      <c r="AH66" s="47">
        <f t="shared" si="2"/>
        <v>50.2</v>
      </c>
      <c r="AI66" s="48">
        <f t="shared" si="3"/>
        <v>35.299999999999997</v>
      </c>
      <c r="AK66" s="50"/>
    </row>
    <row r="67" spans="1:41" x14ac:dyDescent="0.25">
      <c r="A67" s="54" t="s">
        <v>67</v>
      </c>
      <c r="B67" s="45">
        <v>0</v>
      </c>
      <c r="C67" s="65">
        <v>0</v>
      </c>
      <c r="D67" s="65">
        <v>0</v>
      </c>
      <c r="E67" s="65">
        <v>0</v>
      </c>
      <c r="F67" s="65">
        <v>0</v>
      </c>
      <c r="G67" s="65">
        <v>0</v>
      </c>
      <c r="H67" s="65">
        <v>15</v>
      </c>
      <c r="I67" s="65">
        <v>29</v>
      </c>
      <c r="J67" s="65">
        <v>23</v>
      </c>
      <c r="K67" s="65">
        <v>23</v>
      </c>
      <c r="L67" s="65">
        <v>23</v>
      </c>
      <c r="M67" s="65">
        <v>23</v>
      </c>
      <c r="N67" s="65">
        <v>23</v>
      </c>
      <c r="O67" s="65">
        <v>10</v>
      </c>
      <c r="P67" s="65">
        <v>0</v>
      </c>
      <c r="Q67" s="65">
        <v>0</v>
      </c>
      <c r="R67" s="65">
        <v>10</v>
      </c>
      <c r="S67" s="65">
        <v>10</v>
      </c>
      <c r="T67" s="65">
        <v>0</v>
      </c>
      <c r="U67" s="45">
        <v>0</v>
      </c>
      <c r="V67" s="45">
        <v>0</v>
      </c>
      <c r="W67" s="45">
        <v>0</v>
      </c>
      <c r="X67" s="45">
        <v>15</v>
      </c>
      <c r="Y67" s="45">
        <v>28</v>
      </c>
      <c r="Z67" s="45">
        <v>28</v>
      </c>
      <c r="AA67" s="45">
        <v>28</v>
      </c>
      <c r="AB67" s="45">
        <v>28</v>
      </c>
      <c r="AC67" s="45">
        <v>10</v>
      </c>
      <c r="AD67" s="45">
        <v>0</v>
      </c>
      <c r="AE67" s="45">
        <v>0</v>
      </c>
      <c r="AF67" s="45">
        <v>0</v>
      </c>
      <c r="AG67" s="55">
        <v>30</v>
      </c>
      <c r="AH67" s="47">
        <f t="shared" si="2"/>
        <v>29</v>
      </c>
      <c r="AI67" s="48">
        <f t="shared" si="3"/>
        <v>0</v>
      </c>
      <c r="AK67" s="50"/>
    </row>
    <row r="68" spans="1:41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</v>
      </c>
      <c r="M68" s="45">
        <v>0.5</v>
      </c>
      <c r="N68" s="65">
        <v>1.9</v>
      </c>
      <c r="O68" s="65">
        <v>4.5999999999999996</v>
      </c>
      <c r="P68" s="65">
        <v>5.9</v>
      </c>
      <c r="Q68" s="65">
        <v>13.2</v>
      </c>
      <c r="R68" s="65">
        <v>16.100000000000001</v>
      </c>
      <c r="S68" s="65">
        <v>14.2</v>
      </c>
      <c r="T68" s="65">
        <v>10.1</v>
      </c>
      <c r="U68" s="45">
        <v>5.5</v>
      </c>
      <c r="V68" s="45">
        <v>0.9</v>
      </c>
      <c r="W68" s="45">
        <v>0.2</v>
      </c>
      <c r="X68" s="45">
        <v>0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55">
        <v>25</v>
      </c>
      <c r="AH68" s="47">
        <f t="shared" si="2"/>
        <v>16.100000000000001</v>
      </c>
      <c r="AI68" s="48">
        <f t="shared" si="3"/>
        <v>0</v>
      </c>
      <c r="AK68" s="50"/>
    </row>
    <row r="69" spans="1:41" x14ac:dyDescent="0.25">
      <c r="A69" s="54" t="s">
        <v>69</v>
      </c>
      <c r="B69" s="65">
        <v>16</v>
      </c>
      <c r="C69" s="65">
        <v>16</v>
      </c>
      <c r="D69" s="65">
        <v>16</v>
      </c>
      <c r="E69" s="65">
        <v>16</v>
      </c>
      <c r="F69" s="65">
        <v>16</v>
      </c>
      <c r="G69" s="65">
        <v>16</v>
      </c>
      <c r="H69" s="65">
        <v>16</v>
      </c>
      <c r="I69" s="65">
        <v>16</v>
      </c>
      <c r="J69" s="65">
        <v>16</v>
      </c>
      <c r="K69" s="65">
        <v>16</v>
      </c>
      <c r="L69" s="65">
        <v>16</v>
      </c>
      <c r="M69" s="65">
        <v>16</v>
      </c>
      <c r="N69" s="65">
        <v>16</v>
      </c>
      <c r="O69" s="65">
        <v>16</v>
      </c>
      <c r="P69" s="65">
        <v>16</v>
      </c>
      <c r="Q69" s="65">
        <v>16</v>
      </c>
      <c r="R69" s="65">
        <v>16</v>
      </c>
      <c r="S69" s="65">
        <v>16</v>
      </c>
      <c r="T69" s="65">
        <v>16</v>
      </c>
      <c r="U69" s="65">
        <v>16</v>
      </c>
      <c r="V69" s="65">
        <v>16</v>
      </c>
      <c r="W69" s="65">
        <v>16</v>
      </c>
      <c r="X69" s="65">
        <v>15</v>
      </c>
      <c r="Y69" s="65">
        <v>15</v>
      </c>
      <c r="Z69" s="65">
        <v>15</v>
      </c>
      <c r="AA69" s="65">
        <v>15</v>
      </c>
      <c r="AB69" s="65">
        <v>15</v>
      </c>
      <c r="AC69" s="65">
        <v>15</v>
      </c>
      <c r="AD69" s="65">
        <v>15</v>
      </c>
      <c r="AE69" s="65">
        <v>15</v>
      </c>
      <c r="AF69" s="65">
        <v>15</v>
      </c>
      <c r="AG69" s="55">
        <v>24</v>
      </c>
      <c r="AH69" s="47">
        <f t="shared" si="2"/>
        <v>16</v>
      </c>
      <c r="AI69" s="48">
        <f t="shared" si="3"/>
        <v>15</v>
      </c>
      <c r="AK69" s="50"/>
    </row>
    <row r="70" spans="1:41" x14ac:dyDescent="0.25">
      <c r="A70" s="54" t="s">
        <v>70</v>
      </c>
      <c r="B70" s="65">
        <v>3.6</v>
      </c>
      <c r="C70" s="65">
        <v>3.6</v>
      </c>
      <c r="D70" s="65">
        <v>3.6</v>
      </c>
      <c r="E70" s="65">
        <v>3.6</v>
      </c>
      <c r="F70" s="65">
        <v>3.6</v>
      </c>
      <c r="G70" s="65">
        <v>3.6</v>
      </c>
      <c r="H70" s="65">
        <v>3.6</v>
      </c>
      <c r="I70" s="65">
        <v>3.6</v>
      </c>
      <c r="J70" s="65">
        <v>3.6</v>
      </c>
      <c r="K70" s="65">
        <v>3.6</v>
      </c>
      <c r="L70" s="65">
        <v>3.6</v>
      </c>
      <c r="M70" s="65">
        <v>3.6</v>
      </c>
      <c r="N70" s="65">
        <v>3.6</v>
      </c>
      <c r="O70" s="65">
        <v>3.6</v>
      </c>
      <c r="P70" s="65">
        <v>3.6</v>
      </c>
      <c r="Q70" s="65">
        <v>3.6</v>
      </c>
      <c r="R70" s="65">
        <v>3.6</v>
      </c>
      <c r="S70" s="65">
        <v>3.6</v>
      </c>
      <c r="T70" s="65">
        <v>3.6</v>
      </c>
      <c r="U70" s="65">
        <v>3.6</v>
      </c>
      <c r="V70" s="65">
        <v>3.6</v>
      </c>
      <c r="W70" s="65">
        <v>3.6</v>
      </c>
      <c r="X70" s="65">
        <v>3.6</v>
      </c>
      <c r="Y70" s="65">
        <v>3.6</v>
      </c>
      <c r="Z70" s="65">
        <v>3.6</v>
      </c>
      <c r="AA70" s="65">
        <v>3.6</v>
      </c>
      <c r="AB70" s="65">
        <v>3.6</v>
      </c>
      <c r="AC70" s="65">
        <v>3.6</v>
      </c>
      <c r="AD70" s="65">
        <v>3.6</v>
      </c>
      <c r="AE70" s="65">
        <v>3.6</v>
      </c>
      <c r="AF70" s="65">
        <v>3.6</v>
      </c>
      <c r="AG70" s="55">
        <v>15</v>
      </c>
      <c r="AH70" s="47">
        <f t="shared" si="2"/>
        <v>3.6</v>
      </c>
      <c r="AI70" s="48">
        <f t="shared" si="3"/>
        <v>3.6</v>
      </c>
      <c r="AK70" s="50"/>
      <c r="AL70" s="70"/>
      <c r="AO70" s="70"/>
    </row>
    <row r="71" spans="1:41" s="70" customFormat="1" x14ac:dyDescent="0.25">
      <c r="A71" s="54" t="s">
        <v>71</v>
      </c>
      <c r="B71" s="65">
        <v>13.6</v>
      </c>
      <c r="C71" s="65">
        <v>13.6</v>
      </c>
      <c r="D71" s="65">
        <v>13.6</v>
      </c>
      <c r="E71" s="65">
        <v>13.6</v>
      </c>
      <c r="F71" s="65">
        <v>13.6</v>
      </c>
      <c r="G71" s="65">
        <v>13.6</v>
      </c>
      <c r="H71" s="65">
        <v>13.6</v>
      </c>
      <c r="I71" s="65">
        <v>13.6</v>
      </c>
      <c r="J71" s="65">
        <v>13.6</v>
      </c>
      <c r="K71" s="65">
        <v>13.6</v>
      </c>
      <c r="L71" s="65">
        <v>13.6</v>
      </c>
      <c r="M71" s="65">
        <v>8.6</v>
      </c>
      <c r="N71" s="65">
        <v>8.6</v>
      </c>
      <c r="O71" s="65">
        <v>8.6</v>
      </c>
      <c r="P71" s="65">
        <v>8.6</v>
      </c>
      <c r="Q71" s="65">
        <v>8.6</v>
      </c>
      <c r="R71" s="65">
        <v>8.6</v>
      </c>
      <c r="S71" s="65">
        <v>8.6</v>
      </c>
      <c r="T71" s="65">
        <v>8.6</v>
      </c>
      <c r="U71" s="65">
        <v>8.6</v>
      </c>
      <c r="V71" s="65">
        <v>8.6</v>
      </c>
      <c r="W71" s="65">
        <v>8.6</v>
      </c>
      <c r="X71" s="65">
        <v>9.1999999999999993</v>
      </c>
      <c r="Y71" s="65">
        <v>9.3000000000000007</v>
      </c>
      <c r="Z71" s="65">
        <v>9.3000000000000007</v>
      </c>
      <c r="AA71" s="65">
        <v>9.3000000000000007</v>
      </c>
      <c r="AB71" s="65">
        <v>9.3000000000000007</v>
      </c>
      <c r="AC71" s="65">
        <v>9.3000000000000007</v>
      </c>
      <c r="AD71" s="65">
        <v>9.3000000000000007</v>
      </c>
      <c r="AE71" s="65">
        <v>9.3000000000000007</v>
      </c>
      <c r="AF71" s="65">
        <v>9.3000000000000007</v>
      </c>
      <c r="AG71" s="55">
        <v>14.1</v>
      </c>
      <c r="AH71" s="47">
        <f t="shared" si="2"/>
        <v>13.6</v>
      </c>
      <c r="AI71" s="48">
        <f t="shared" si="3"/>
        <v>8.6</v>
      </c>
      <c r="AJ71" s="1"/>
      <c r="AK71" s="50"/>
      <c r="AL71" s="1"/>
      <c r="AM71" s="1"/>
      <c r="AN71" s="1"/>
      <c r="AO71" s="1"/>
    </row>
    <row r="72" spans="1:41" x14ac:dyDescent="0.25">
      <c r="A72" s="71" t="s">
        <v>72</v>
      </c>
      <c r="B72" s="65">
        <v>3.3</v>
      </c>
      <c r="C72" s="65">
        <v>3.3</v>
      </c>
      <c r="D72" s="65">
        <v>3.3</v>
      </c>
      <c r="E72" s="65">
        <v>3.3</v>
      </c>
      <c r="F72" s="65">
        <v>3.3</v>
      </c>
      <c r="G72" s="65">
        <v>3.3</v>
      </c>
      <c r="H72" s="65">
        <v>3.3</v>
      </c>
      <c r="I72" s="65">
        <v>3.3</v>
      </c>
      <c r="J72" s="65">
        <v>3.3</v>
      </c>
      <c r="K72" s="65">
        <v>3.3</v>
      </c>
      <c r="L72" s="65">
        <v>3.3</v>
      </c>
      <c r="M72" s="65">
        <v>3.2</v>
      </c>
      <c r="N72" s="65">
        <v>3.2</v>
      </c>
      <c r="O72" s="65">
        <v>3.2</v>
      </c>
      <c r="P72" s="65">
        <v>3.2</v>
      </c>
      <c r="Q72" s="65">
        <v>3.2</v>
      </c>
      <c r="R72" s="65">
        <v>3.2</v>
      </c>
      <c r="S72" s="65">
        <v>3.2</v>
      </c>
      <c r="T72" s="65">
        <v>3.2</v>
      </c>
      <c r="U72" s="65">
        <v>3.2</v>
      </c>
      <c r="V72" s="65">
        <v>3.2</v>
      </c>
      <c r="W72" s="65">
        <v>3.2</v>
      </c>
      <c r="X72" s="65">
        <v>3.3</v>
      </c>
      <c r="Y72" s="65">
        <v>3.3</v>
      </c>
      <c r="Z72" s="65">
        <v>3.3</v>
      </c>
      <c r="AA72" s="65">
        <v>3.3</v>
      </c>
      <c r="AB72" s="65">
        <v>3.3</v>
      </c>
      <c r="AC72" s="65">
        <v>3.3</v>
      </c>
      <c r="AD72" s="65">
        <v>3.3</v>
      </c>
      <c r="AE72" s="65">
        <v>3.3</v>
      </c>
      <c r="AF72" s="65">
        <v>3.3</v>
      </c>
      <c r="AG72" s="55">
        <v>14</v>
      </c>
      <c r="AH72" s="47">
        <f t="shared" si="2"/>
        <v>3.3</v>
      </c>
      <c r="AI72" s="48">
        <f t="shared" si="3"/>
        <v>3.2</v>
      </c>
      <c r="AK72" s="50"/>
    </row>
    <row r="73" spans="1:41" x14ac:dyDescent="0.25">
      <c r="A73" s="54" t="s">
        <v>73</v>
      </c>
      <c r="B73" s="65">
        <v>5</v>
      </c>
      <c r="C73" s="65">
        <v>5</v>
      </c>
      <c r="D73" s="65">
        <v>5</v>
      </c>
      <c r="E73" s="65">
        <v>5</v>
      </c>
      <c r="F73" s="65">
        <v>5</v>
      </c>
      <c r="G73" s="65">
        <v>5</v>
      </c>
      <c r="H73" s="65">
        <v>5</v>
      </c>
      <c r="I73" s="65">
        <v>5</v>
      </c>
      <c r="J73" s="65">
        <v>5</v>
      </c>
      <c r="K73" s="65">
        <v>5</v>
      </c>
      <c r="L73" s="65">
        <v>5</v>
      </c>
      <c r="M73" s="65">
        <v>5</v>
      </c>
      <c r="N73" s="65">
        <v>5</v>
      </c>
      <c r="O73" s="65">
        <v>5</v>
      </c>
      <c r="P73" s="65">
        <v>5</v>
      </c>
      <c r="Q73" s="65">
        <v>5</v>
      </c>
      <c r="R73" s="65">
        <v>5</v>
      </c>
      <c r="S73" s="65">
        <v>5</v>
      </c>
      <c r="T73" s="65">
        <v>5</v>
      </c>
      <c r="U73" s="65">
        <v>5</v>
      </c>
      <c r="V73" s="65">
        <v>5</v>
      </c>
      <c r="W73" s="65">
        <v>5</v>
      </c>
      <c r="X73" s="65">
        <v>5</v>
      </c>
      <c r="Y73" s="65">
        <v>5</v>
      </c>
      <c r="Z73" s="65">
        <v>5</v>
      </c>
      <c r="AA73" s="65">
        <v>5</v>
      </c>
      <c r="AB73" s="65">
        <v>5</v>
      </c>
      <c r="AC73" s="65">
        <v>5</v>
      </c>
      <c r="AD73" s="65">
        <v>5</v>
      </c>
      <c r="AE73" s="65">
        <v>5</v>
      </c>
      <c r="AF73" s="65">
        <v>5</v>
      </c>
      <c r="AG73" s="55">
        <v>10.050000000000001</v>
      </c>
      <c r="AH73" s="47">
        <f t="shared" si="2"/>
        <v>5</v>
      </c>
      <c r="AI73" s="48">
        <f t="shared" si="3"/>
        <v>5</v>
      </c>
      <c r="AK73" s="50"/>
    </row>
    <row r="74" spans="1:41" x14ac:dyDescent="0.25">
      <c r="A74" s="54" t="s">
        <v>74</v>
      </c>
      <c r="B74" s="65">
        <v>2</v>
      </c>
      <c r="C74" s="65">
        <v>2</v>
      </c>
      <c r="D74" s="65">
        <v>2</v>
      </c>
      <c r="E74" s="65">
        <v>2</v>
      </c>
      <c r="F74" s="65">
        <v>2</v>
      </c>
      <c r="G74" s="65">
        <v>2</v>
      </c>
      <c r="H74" s="65">
        <v>2</v>
      </c>
      <c r="I74" s="65">
        <v>2</v>
      </c>
      <c r="J74" s="65">
        <v>2</v>
      </c>
      <c r="K74" s="65">
        <v>2</v>
      </c>
      <c r="L74" s="65">
        <v>2</v>
      </c>
      <c r="M74" s="65">
        <v>2</v>
      </c>
      <c r="N74" s="65">
        <v>2</v>
      </c>
      <c r="O74" s="65">
        <v>2</v>
      </c>
      <c r="P74" s="65">
        <v>2</v>
      </c>
      <c r="Q74" s="65">
        <v>2</v>
      </c>
      <c r="R74" s="65">
        <v>2</v>
      </c>
      <c r="S74" s="65">
        <v>2</v>
      </c>
      <c r="T74" s="65">
        <v>2</v>
      </c>
      <c r="U74" s="65">
        <v>2</v>
      </c>
      <c r="V74" s="65">
        <v>2</v>
      </c>
      <c r="W74" s="65">
        <v>2</v>
      </c>
      <c r="X74" s="65">
        <v>2</v>
      </c>
      <c r="Y74" s="65">
        <v>2</v>
      </c>
      <c r="Z74" s="65">
        <v>2</v>
      </c>
      <c r="AA74" s="65">
        <v>2</v>
      </c>
      <c r="AB74" s="65">
        <v>2</v>
      </c>
      <c r="AC74" s="65">
        <v>2</v>
      </c>
      <c r="AD74" s="65">
        <v>2</v>
      </c>
      <c r="AE74" s="65">
        <v>2</v>
      </c>
      <c r="AF74" s="65">
        <v>2</v>
      </c>
      <c r="AG74" s="55">
        <v>6.2</v>
      </c>
      <c r="AH74" s="47">
        <f t="shared" si="2"/>
        <v>2</v>
      </c>
      <c r="AI74" s="48">
        <f t="shared" si="3"/>
        <v>2</v>
      </c>
      <c r="AK74" s="50"/>
    </row>
    <row r="75" spans="1:41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</v>
      </c>
      <c r="Z75" s="72">
        <v>5.5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2"/>
        <v>5.5</v>
      </c>
      <c r="AI75" s="48">
        <f t="shared" si="3"/>
        <v>3.5</v>
      </c>
      <c r="AK75" s="50"/>
    </row>
    <row r="76" spans="1:41" ht="15.75" thickBot="1" x14ac:dyDescent="0.3">
      <c r="A76" s="74" t="s">
        <v>76</v>
      </c>
      <c r="B76" s="60">
        <f t="shared" ref="B76:AG76" si="14">SUM(B63:B75)</f>
        <v>129.33999999999997</v>
      </c>
      <c r="C76" s="60">
        <f t="shared" si="14"/>
        <v>104.24</v>
      </c>
      <c r="D76" s="60">
        <f t="shared" si="14"/>
        <v>85.34</v>
      </c>
      <c r="E76" s="60">
        <f t="shared" si="14"/>
        <v>83.04</v>
      </c>
      <c r="F76" s="60">
        <f t="shared" si="14"/>
        <v>89.04</v>
      </c>
      <c r="G76" s="60">
        <f t="shared" si="14"/>
        <v>123.44</v>
      </c>
      <c r="H76" s="60">
        <f t="shared" si="14"/>
        <v>231.84</v>
      </c>
      <c r="I76" s="60">
        <f t="shared" si="14"/>
        <v>283.84000000000003</v>
      </c>
      <c r="J76" s="60">
        <f t="shared" si="14"/>
        <v>322.94000000000005</v>
      </c>
      <c r="K76" s="60">
        <f t="shared" si="14"/>
        <v>345.74000000000007</v>
      </c>
      <c r="L76" s="60">
        <f t="shared" si="14"/>
        <v>290.6400000000001</v>
      </c>
      <c r="M76" s="60">
        <f t="shared" si="14"/>
        <v>282.94000000000005</v>
      </c>
      <c r="N76" s="60">
        <f t="shared" si="14"/>
        <v>303.84000000000003</v>
      </c>
      <c r="O76" s="60">
        <f t="shared" si="14"/>
        <v>276.44</v>
      </c>
      <c r="P76" s="60">
        <f t="shared" si="14"/>
        <v>194.03999999999996</v>
      </c>
      <c r="Q76" s="60">
        <f t="shared" si="14"/>
        <v>235.93999999999997</v>
      </c>
      <c r="R76" s="60">
        <f t="shared" si="14"/>
        <v>228.73999999999995</v>
      </c>
      <c r="S76" s="60">
        <f t="shared" ref="S76:T76" si="15">SUM(S63:S75)</f>
        <v>213.13999999999996</v>
      </c>
      <c r="T76" s="60">
        <f t="shared" si="15"/>
        <v>203.23999999999995</v>
      </c>
      <c r="U76" s="60">
        <f t="shared" si="14"/>
        <v>210.83999999999995</v>
      </c>
      <c r="V76" s="60">
        <f t="shared" ref="V76" si="16">SUM(V63:V75)</f>
        <v>203.03999999999996</v>
      </c>
      <c r="W76" s="60">
        <f t="shared" si="14"/>
        <v>247.43999999999997</v>
      </c>
      <c r="X76" s="60">
        <f t="shared" si="14"/>
        <v>312.14000000000004</v>
      </c>
      <c r="Y76" s="60">
        <f>SUM(Y63:Y75)</f>
        <v>361.00000000000006</v>
      </c>
      <c r="Z76" s="60">
        <f>SUM(Z63:Z75)</f>
        <v>364.30000000000007</v>
      </c>
      <c r="AA76" s="60">
        <f t="shared" si="14"/>
        <v>363.6400000000001</v>
      </c>
      <c r="AB76" s="60">
        <f t="shared" ref="AB76" si="17">SUM(AB63:AB75)</f>
        <v>338.74000000000007</v>
      </c>
      <c r="AC76" s="60">
        <f t="shared" si="14"/>
        <v>291.24000000000007</v>
      </c>
      <c r="AD76" s="60">
        <f t="shared" si="14"/>
        <v>209.74</v>
      </c>
      <c r="AE76" s="60">
        <f t="shared" si="14"/>
        <v>146.74</v>
      </c>
      <c r="AF76" s="60">
        <f t="shared" si="14"/>
        <v>85.740000000000009</v>
      </c>
      <c r="AG76" s="61">
        <f t="shared" si="14"/>
        <v>489.91</v>
      </c>
      <c r="AH76" s="47">
        <f t="shared" si="2"/>
        <v>364.30000000000007</v>
      </c>
      <c r="AI76" s="48">
        <f t="shared" si="3"/>
        <v>83.04</v>
      </c>
      <c r="AK76" s="50"/>
    </row>
    <row r="77" spans="1:41" x14ac:dyDescent="0.25">
      <c r="A77" s="44" t="s">
        <v>77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>
        <v>14.2</v>
      </c>
      <c r="N77" s="45">
        <v>14.2</v>
      </c>
      <c r="O77" s="45"/>
      <c r="P77" s="45"/>
      <c r="Q77" s="45">
        <v>29.2</v>
      </c>
      <c r="R77" s="45">
        <v>30.1</v>
      </c>
      <c r="S77" s="45">
        <v>10.1</v>
      </c>
      <c r="T77" s="45">
        <v>10.1</v>
      </c>
      <c r="U77" s="45">
        <v>20.2</v>
      </c>
      <c r="V77" s="45">
        <v>0</v>
      </c>
      <c r="W77" s="45">
        <v>0</v>
      </c>
      <c r="X77" s="45">
        <v>14.1</v>
      </c>
      <c r="Y77" s="45">
        <v>24</v>
      </c>
      <c r="Z77" s="45">
        <v>10.7</v>
      </c>
      <c r="AA77" s="45">
        <v>0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52">
        <v>60</v>
      </c>
      <c r="AH77" s="47">
        <f t="shared" si="2"/>
        <v>30.1</v>
      </c>
      <c r="AI77" s="48">
        <f t="shared" si="3"/>
        <v>0</v>
      </c>
      <c r="AK77" s="50"/>
    </row>
    <row r="78" spans="1:41" x14ac:dyDescent="0.25">
      <c r="A78" s="54" t="s">
        <v>78</v>
      </c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>
        <v>6.3</v>
      </c>
      <c r="N78" s="65">
        <v>5.8</v>
      </c>
      <c r="O78" s="65"/>
      <c r="P78" s="65"/>
      <c r="Q78" s="65">
        <v>0</v>
      </c>
      <c r="R78" s="65">
        <v>14.3</v>
      </c>
      <c r="S78" s="65">
        <v>7.1</v>
      </c>
      <c r="T78" s="65">
        <v>7.1</v>
      </c>
      <c r="U78" s="65">
        <v>7.6</v>
      </c>
      <c r="V78" s="65">
        <v>0</v>
      </c>
      <c r="W78" s="65">
        <v>0</v>
      </c>
      <c r="X78" s="65">
        <v>0</v>
      </c>
      <c r="Y78" s="65">
        <v>8</v>
      </c>
      <c r="Z78" s="65">
        <v>13.3</v>
      </c>
      <c r="AA78" s="65">
        <v>0</v>
      </c>
      <c r="AB78" s="65">
        <v>0</v>
      </c>
      <c r="AC78" s="65">
        <v>0</v>
      </c>
      <c r="AD78" s="65">
        <v>0</v>
      </c>
      <c r="AE78" s="65">
        <v>0</v>
      </c>
      <c r="AF78" s="65">
        <v>0</v>
      </c>
      <c r="AG78" s="55">
        <v>32</v>
      </c>
      <c r="AH78" s="47">
        <f t="shared" si="2"/>
        <v>14.3</v>
      </c>
      <c r="AI78" s="48">
        <f t="shared" si="3"/>
        <v>0</v>
      </c>
      <c r="AK78" s="50"/>
    </row>
    <row r="79" spans="1:41" ht="15.75" thickBot="1" x14ac:dyDescent="0.3">
      <c r="A79" s="71" t="s">
        <v>79</v>
      </c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>
        <v>2.2999999999999998</v>
      </c>
      <c r="N79" s="67">
        <v>2.1</v>
      </c>
      <c r="O79" s="67"/>
      <c r="P79" s="67"/>
      <c r="Q79" s="67">
        <v>0</v>
      </c>
      <c r="R79" s="67">
        <v>5.2</v>
      </c>
      <c r="S79" s="67">
        <v>2.2000000000000002</v>
      </c>
      <c r="T79" s="67">
        <v>2.2000000000000002</v>
      </c>
      <c r="U79" s="67">
        <v>2.8</v>
      </c>
      <c r="V79" s="67">
        <v>0</v>
      </c>
      <c r="W79" s="67">
        <v>0</v>
      </c>
      <c r="X79" s="67">
        <v>0</v>
      </c>
      <c r="Y79" s="67">
        <v>3.1</v>
      </c>
      <c r="Z79" s="67">
        <v>4.8</v>
      </c>
      <c r="AA79" s="67">
        <v>0</v>
      </c>
      <c r="AB79" s="67">
        <v>0</v>
      </c>
      <c r="AC79" s="67">
        <v>0</v>
      </c>
      <c r="AD79" s="67">
        <v>0</v>
      </c>
      <c r="AE79" s="67">
        <v>0</v>
      </c>
      <c r="AF79" s="67">
        <v>0</v>
      </c>
      <c r="AG79" s="68">
        <v>14</v>
      </c>
      <c r="AH79" s="47">
        <f t="shared" si="2"/>
        <v>5.2</v>
      </c>
      <c r="AI79" s="48">
        <f t="shared" si="3"/>
        <v>0</v>
      </c>
      <c r="AK79" s="50"/>
    </row>
    <row r="80" spans="1:41" ht="15.75" thickBot="1" x14ac:dyDescent="0.3">
      <c r="A80" s="74" t="s">
        <v>80</v>
      </c>
      <c r="B80" s="60">
        <f t="shared" ref="B80:AF80" si="18">B77+B78+B79</f>
        <v>0</v>
      </c>
      <c r="C80" s="60">
        <f t="shared" si="18"/>
        <v>0</v>
      </c>
      <c r="D80" s="60">
        <f t="shared" si="18"/>
        <v>0</v>
      </c>
      <c r="E80" s="60">
        <f t="shared" si="18"/>
        <v>0</v>
      </c>
      <c r="F80" s="60">
        <f t="shared" si="18"/>
        <v>0</v>
      </c>
      <c r="G80" s="60">
        <f t="shared" si="18"/>
        <v>0</v>
      </c>
      <c r="H80" s="60">
        <f t="shared" si="18"/>
        <v>0</v>
      </c>
      <c r="I80" s="60">
        <f t="shared" si="18"/>
        <v>0</v>
      </c>
      <c r="J80" s="60">
        <f t="shared" si="18"/>
        <v>0</v>
      </c>
      <c r="K80" s="60">
        <f t="shared" si="18"/>
        <v>0</v>
      </c>
      <c r="L80" s="60">
        <f t="shared" si="18"/>
        <v>0</v>
      </c>
      <c r="M80" s="60">
        <f t="shared" si="18"/>
        <v>22.8</v>
      </c>
      <c r="N80" s="60">
        <f t="shared" si="18"/>
        <v>22.1</v>
      </c>
      <c r="O80" s="60">
        <f t="shared" si="18"/>
        <v>0</v>
      </c>
      <c r="P80" s="60">
        <f t="shared" si="18"/>
        <v>0</v>
      </c>
      <c r="Q80" s="60">
        <f t="shared" si="18"/>
        <v>29.2</v>
      </c>
      <c r="R80" s="60">
        <f t="shared" si="18"/>
        <v>49.600000000000009</v>
      </c>
      <c r="S80" s="60">
        <f t="shared" ref="S80:T80" si="19">S77+S78+S79</f>
        <v>19.399999999999999</v>
      </c>
      <c r="T80" s="60">
        <f t="shared" si="19"/>
        <v>19.399999999999999</v>
      </c>
      <c r="U80" s="60">
        <f t="shared" si="18"/>
        <v>30.599999999999998</v>
      </c>
      <c r="V80" s="60">
        <f t="shared" ref="V80" si="20">V77+V78+V79</f>
        <v>0</v>
      </c>
      <c r="W80" s="60">
        <f t="shared" si="18"/>
        <v>0</v>
      </c>
      <c r="X80" s="60">
        <f t="shared" si="18"/>
        <v>14.1</v>
      </c>
      <c r="Y80" s="60">
        <f>Y77+Y78+Y79</f>
        <v>35.1</v>
      </c>
      <c r="Z80" s="60">
        <f>Z77+Z78+Z79</f>
        <v>28.8</v>
      </c>
      <c r="AA80" s="60">
        <f t="shared" si="18"/>
        <v>0</v>
      </c>
      <c r="AB80" s="60">
        <f t="shared" si="18"/>
        <v>0</v>
      </c>
      <c r="AC80" s="60">
        <f t="shared" si="18"/>
        <v>0</v>
      </c>
      <c r="AD80" s="60">
        <f t="shared" si="18"/>
        <v>0</v>
      </c>
      <c r="AE80" s="60">
        <f t="shared" si="18"/>
        <v>0</v>
      </c>
      <c r="AF80" s="60">
        <f t="shared" si="18"/>
        <v>0</v>
      </c>
      <c r="AG80" s="61">
        <f>SUM(AG77:AG79)</f>
        <v>106</v>
      </c>
      <c r="AH80" s="47">
        <f t="shared" si="2"/>
        <v>49.600000000000009</v>
      </c>
      <c r="AI80" s="48">
        <f t="shared" si="3"/>
        <v>0</v>
      </c>
      <c r="AK80" s="50"/>
    </row>
    <row r="81" spans="1:40" x14ac:dyDescent="0.25">
      <c r="A81" s="44" t="s">
        <v>81</v>
      </c>
      <c r="B81" s="45">
        <v>69</v>
      </c>
      <c r="C81" s="45">
        <v>68</v>
      </c>
      <c r="D81" s="45">
        <v>60.1</v>
      </c>
      <c r="E81" s="45">
        <v>66.2</v>
      </c>
      <c r="F81" s="45">
        <v>59.5</v>
      </c>
      <c r="G81" s="45">
        <v>69</v>
      </c>
      <c r="H81" s="45">
        <v>75</v>
      </c>
      <c r="I81" s="45">
        <v>74</v>
      </c>
      <c r="J81" s="45">
        <v>66</v>
      </c>
      <c r="K81" s="45">
        <v>64.3</v>
      </c>
      <c r="L81" s="45">
        <v>70</v>
      </c>
      <c r="M81" s="45">
        <v>63.1</v>
      </c>
      <c r="N81" s="45">
        <v>41</v>
      </c>
      <c r="O81" s="45">
        <v>42</v>
      </c>
      <c r="P81" s="45">
        <v>66</v>
      </c>
      <c r="Q81" s="45">
        <v>62</v>
      </c>
      <c r="R81" s="45">
        <v>49.6</v>
      </c>
      <c r="S81" s="45">
        <v>51.2</v>
      </c>
      <c r="T81" s="45">
        <v>63.9</v>
      </c>
      <c r="U81" s="45">
        <v>53.8</v>
      </c>
      <c r="V81" s="45">
        <v>66</v>
      </c>
      <c r="W81" s="45">
        <v>64.3</v>
      </c>
      <c r="X81" s="45">
        <v>64.7</v>
      </c>
      <c r="Y81" s="45">
        <v>68.3</v>
      </c>
      <c r="Z81" s="45">
        <v>60.4</v>
      </c>
      <c r="AA81" s="45">
        <v>54.3</v>
      </c>
      <c r="AB81" s="45">
        <v>56.6</v>
      </c>
      <c r="AC81" s="45">
        <v>56</v>
      </c>
      <c r="AD81" s="45">
        <v>57</v>
      </c>
      <c r="AE81" s="45">
        <v>66</v>
      </c>
      <c r="AF81" s="45">
        <v>60.8</v>
      </c>
      <c r="AG81" s="52"/>
      <c r="AH81" s="47">
        <f t="shared" si="2"/>
        <v>75</v>
      </c>
      <c r="AI81" s="48">
        <f t="shared" si="3"/>
        <v>41</v>
      </c>
      <c r="AK81" s="50"/>
    </row>
    <row r="82" spans="1:40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>
        <v>0</v>
      </c>
      <c r="Y82" s="65">
        <v>0</v>
      </c>
      <c r="Z82" s="65">
        <v>0</v>
      </c>
      <c r="AA82" s="65">
        <v>0</v>
      </c>
      <c r="AB82" s="65">
        <v>0</v>
      </c>
      <c r="AC82" s="65">
        <v>0</v>
      </c>
      <c r="AD82" s="65">
        <v>0</v>
      </c>
      <c r="AE82" s="65">
        <v>0</v>
      </c>
      <c r="AF82" s="65">
        <v>0</v>
      </c>
      <c r="AG82" s="55"/>
      <c r="AH82" s="47">
        <f t="shared" si="2"/>
        <v>0</v>
      </c>
      <c r="AI82" s="48">
        <f t="shared" si="3"/>
        <v>0</v>
      </c>
      <c r="AK82" s="50"/>
    </row>
    <row r="83" spans="1:40" x14ac:dyDescent="0.25">
      <c r="A83" s="54" t="s">
        <v>83</v>
      </c>
      <c r="B83" s="65">
        <v>377</v>
      </c>
      <c r="C83" s="65">
        <v>406.5</v>
      </c>
      <c r="D83" s="65">
        <v>408.6</v>
      </c>
      <c r="E83" s="65">
        <v>393.8</v>
      </c>
      <c r="F83" s="65">
        <v>408.6</v>
      </c>
      <c r="G83" s="65">
        <v>421.8</v>
      </c>
      <c r="H83" s="65">
        <v>410</v>
      </c>
      <c r="I83" s="65">
        <v>406.5</v>
      </c>
      <c r="J83" s="65">
        <v>405.9</v>
      </c>
      <c r="K83" s="65">
        <v>396.7</v>
      </c>
      <c r="L83" s="65">
        <v>217</v>
      </c>
      <c r="M83" s="65">
        <v>165</v>
      </c>
      <c r="N83" s="65">
        <v>115</v>
      </c>
      <c r="O83" s="65">
        <v>259</v>
      </c>
      <c r="P83" s="65">
        <v>375.7</v>
      </c>
      <c r="Q83" s="65">
        <v>442.7</v>
      </c>
      <c r="R83" s="65">
        <v>432.8</v>
      </c>
      <c r="S83" s="65">
        <v>458.2</v>
      </c>
      <c r="T83" s="65">
        <v>455.3</v>
      </c>
      <c r="U83" s="65">
        <v>449.2</v>
      </c>
      <c r="V83" s="65">
        <v>358.1</v>
      </c>
      <c r="W83" s="65">
        <v>292.60000000000002</v>
      </c>
      <c r="X83" s="65">
        <v>277.89999999999998</v>
      </c>
      <c r="Y83" s="65">
        <v>270</v>
      </c>
      <c r="Z83" s="65">
        <v>205.3</v>
      </c>
      <c r="AA83" s="65">
        <v>210.9</v>
      </c>
      <c r="AB83" s="65">
        <v>274</v>
      </c>
      <c r="AC83" s="65">
        <v>384</v>
      </c>
      <c r="AD83" s="65">
        <v>430</v>
      </c>
      <c r="AE83" s="65">
        <v>406</v>
      </c>
      <c r="AF83" s="65">
        <v>380</v>
      </c>
      <c r="AG83" s="75"/>
      <c r="AH83" s="47">
        <f t="shared" si="2"/>
        <v>458.2</v>
      </c>
      <c r="AI83" s="48">
        <f t="shared" si="3"/>
        <v>115</v>
      </c>
      <c r="AK83" s="50"/>
    </row>
    <row r="84" spans="1:40" x14ac:dyDescent="0.25">
      <c r="A84" s="54" t="s">
        <v>84</v>
      </c>
      <c r="B84" s="65">
        <v>50</v>
      </c>
      <c r="C84" s="65">
        <v>52</v>
      </c>
      <c r="D84" s="65">
        <v>55</v>
      </c>
      <c r="E84" s="76">
        <v>54.6</v>
      </c>
      <c r="F84" s="76">
        <v>55</v>
      </c>
      <c r="G84" s="76">
        <v>59.9</v>
      </c>
      <c r="H84" s="76">
        <v>58</v>
      </c>
      <c r="I84" s="76">
        <v>58</v>
      </c>
      <c r="J84" s="76">
        <v>52</v>
      </c>
      <c r="K84" s="76">
        <v>50</v>
      </c>
      <c r="L84" s="76">
        <v>34</v>
      </c>
      <c r="M84" s="76">
        <v>35</v>
      </c>
      <c r="N84" s="76">
        <v>26.5</v>
      </c>
      <c r="O84" s="76">
        <v>30.8</v>
      </c>
      <c r="P84" s="76">
        <v>38.9</v>
      </c>
      <c r="Q84" s="76">
        <v>42.3</v>
      </c>
      <c r="R84" s="76">
        <v>42.4</v>
      </c>
      <c r="S84" s="76">
        <v>34</v>
      </c>
      <c r="T84" s="76">
        <v>19.399999999999999</v>
      </c>
      <c r="U84" s="76">
        <v>30.4</v>
      </c>
      <c r="V84" s="76">
        <v>21.8</v>
      </c>
      <c r="W84" s="76">
        <v>17.3</v>
      </c>
      <c r="X84" s="76">
        <v>20</v>
      </c>
      <c r="Y84" s="76">
        <v>22</v>
      </c>
      <c r="Z84" s="76">
        <v>17</v>
      </c>
      <c r="AA84" s="76">
        <v>25</v>
      </c>
      <c r="AB84" s="76">
        <v>27</v>
      </c>
      <c r="AC84" s="76">
        <v>35</v>
      </c>
      <c r="AD84" s="65">
        <v>40</v>
      </c>
      <c r="AE84" s="76">
        <v>36</v>
      </c>
      <c r="AF84" s="76">
        <v>36</v>
      </c>
      <c r="AG84" s="75"/>
      <c r="AH84" s="47">
        <f t="shared" si="2"/>
        <v>59.9</v>
      </c>
      <c r="AI84" s="48">
        <f t="shared" si="3"/>
        <v>17</v>
      </c>
      <c r="AK84" s="50"/>
    </row>
    <row r="85" spans="1:40" x14ac:dyDescent="0.25">
      <c r="A85" s="54" t="s">
        <v>85</v>
      </c>
      <c r="B85" s="45">
        <v>0</v>
      </c>
      <c r="C85" s="45">
        <v>0</v>
      </c>
      <c r="D85" s="45">
        <v>0</v>
      </c>
      <c r="E85" s="45">
        <v>0</v>
      </c>
      <c r="F85" s="45">
        <v>0</v>
      </c>
      <c r="G85" s="45">
        <v>0</v>
      </c>
      <c r="H85" s="45">
        <v>0</v>
      </c>
      <c r="I85" s="45">
        <v>0</v>
      </c>
      <c r="J85" s="45">
        <v>0</v>
      </c>
      <c r="K85" s="45">
        <v>0</v>
      </c>
      <c r="L85" s="45">
        <v>0</v>
      </c>
      <c r="M85" s="45">
        <v>0</v>
      </c>
      <c r="N85" s="45"/>
      <c r="O85" s="45">
        <v>0</v>
      </c>
      <c r="P85" s="45"/>
      <c r="Q85" s="45"/>
      <c r="R85" s="45"/>
      <c r="S85" s="45"/>
      <c r="T85" s="45"/>
      <c r="U85" s="45"/>
      <c r="V85" s="45"/>
      <c r="W85" s="45"/>
      <c r="X85" s="45">
        <v>0</v>
      </c>
      <c r="Y85" s="45">
        <v>0</v>
      </c>
      <c r="Z85" s="45">
        <v>0</v>
      </c>
      <c r="AA85" s="45">
        <v>0</v>
      </c>
      <c r="AB85" s="45">
        <v>0</v>
      </c>
      <c r="AC85" s="45"/>
      <c r="AD85" s="45">
        <v>100</v>
      </c>
      <c r="AE85" s="45">
        <v>110</v>
      </c>
      <c r="AF85" s="45">
        <v>100</v>
      </c>
      <c r="AG85" s="75"/>
      <c r="AH85" s="47">
        <f t="shared" ref="AH85:AH130" si="21">MAX(B85:AF85)</f>
        <v>110</v>
      </c>
      <c r="AI85" s="48">
        <f t="shared" ref="AI85:AI130" si="22">MIN(B85:AF85)</f>
        <v>0</v>
      </c>
      <c r="AK85" s="50"/>
    </row>
    <row r="86" spans="1:40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>
        <v>0</v>
      </c>
      <c r="Y86" s="77">
        <v>0</v>
      </c>
      <c r="Z86" s="77">
        <v>0</v>
      </c>
      <c r="AA86" s="77">
        <v>0</v>
      </c>
      <c r="AB86" s="77"/>
      <c r="AC86" s="77"/>
      <c r="AD86" s="77"/>
      <c r="AE86" s="77"/>
      <c r="AF86" s="77"/>
      <c r="AG86" s="75"/>
      <c r="AH86" s="47">
        <f t="shared" si="21"/>
        <v>0</v>
      </c>
      <c r="AI86" s="48">
        <f t="shared" si="22"/>
        <v>0</v>
      </c>
      <c r="AK86" s="50"/>
    </row>
    <row r="87" spans="1:40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>
        <v>0</v>
      </c>
      <c r="Y87" s="77">
        <v>0</v>
      </c>
      <c r="Z87" s="77">
        <v>0</v>
      </c>
      <c r="AA87" s="77">
        <v>0</v>
      </c>
      <c r="AB87" s="77"/>
      <c r="AC87" s="77"/>
      <c r="AD87" s="77"/>
      <c r="AE87" s="77"/>
      <c r="AF87" s="77"/>
      <c r="AG87" s="75"/>
      <c r="AH87" s="47">
        <f t="shared" si="21"/>
        <v>0</v>
      </c>
      <c r="AI87" s="48">
        <f t="shared" si="22"/>
        <v>0</v>
      </c>
      <c r="AK87" s="50"/>
      <c r="AL87" s="78" t="s">
        <v>88</v>
      </c>
      <c r="AM87" s="78"/>
    </row>
    <row r="88" spans="1:40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>
        <v>0</v>
      </c>
      <c r="Y88" s="77">
        <v>0</v>
      </c>
      <c r="Z88" s="77">
        <v>0</v>
      </c>
      <c r="AA88" s="77">
        <v>0</v>
      </c>
      <c r="AB88" s="77"/>
      <c r="AC88" s="77"/>
      <c r="AD88" s="77"/>
      <c r="AE88" s="77"/>
      <c r="AF88" s="77"/>
      <c r="AG88" s="75"/>
      <c r="AH88" s="47">
        <f t="shared" si="21"/>
        <v>0</v>
      </c>
      <c r="AI88" s="48">
        <f t="shared" si="22"/>
        <v>0</v>
      </c>
      <c r="AK88" s="79"/>
      <c r="AL88" s="80"/>
      <c r="AM88" s="80"/>
      <c r="AN88" s="81"/>
    </row>
    <row r="89" spans="1:40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>
        <v>0</v>
      </c>
      <c r="Y89" s="77">
        <v>0</v>
      </c>
      <c r="Z89" s="77">
        <v>0</v>
      </c>
      <c r="AA89" s="77">
        <v>0</v>
      </c>
      <c r="AB89" s="77"/>
      <c r="AC89" s="77"/>
      <c r="AD89" s="77"/>
      <c r="AE89" s="77"/>
      <c r="AF89" s="77"/>
      <c r="AG89" s="75"/>
      <c r="AH89" s="47">
        <f t="shared" si="21"/>
        <v>0</v>
      </c>
      <c r="AI89" s="48">
        <f t="shared" si="22"/>
        <v>0</v>
      </c>
      <c r="AK89" s="82" t="s">
        <v>91</v>
      </c>
      <c r="AL89" s="65"/>
      <c r="AM89" s="76"/>
      <c r="AN89" s="83"/>
    </row>
    <row r="90" spans="1:40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>
        <v>0</v>
      </c>
      <c r="Y90" s="77">
        <v>0</v>
      </c>
      <c r="Z90" s="77">
        <v>0</v>
      </c>
      <c r="AA90" s="77">
        <v>0</v>
      </c>
      <c r="AB90" s="77"/>
      <c r="AC90" s="77"/>
      <c r="AD90" s="77"/>
      <c r="AE90" s="77"/>
      <c r="AF90" s="77"/>
      <c r="AG90" s="85"/>
      <c r="AH90" s="47">
        <f t="shared" si="21"/>
        <v>0</v>
      </c>
      <c r="AI90" s="48">
        <f t="shared" si="22"/>
        <v>0</v>
      </c>
      <c r="AK90" s="82" t="s">
        <v>93</v>
      </c>
      <c r="AL90" s="76"/>
      <c r="AM90" s="76"/>
      <c r="AN90" s="83"/>
    </row>
    <row r="91" spans="1:40" ht="15.75" thickBot="1" x14ac:dyDescent="0.3">
      <c r="A91" s="84" t="s">
        <v>421</v>
      </c>
      <c r="B91" s="77">
        <v>46.8</v>
      </c>
      <c r="C91" s="77">
        <v>0</v>
      </c>
      <c r="D91" s="77">
        <v>0</v>
      </c>
      <c r="E91" s="77">
        <v>0</v>
      </c>
      <c r="F91" s="77">
        <v>0</v>
      </c>
      <c r="G91" s="77">
        <v>0</v>
      </c>
      <c r="H91" s="77">
        <v>0</v>
      </c>
      <c r="I91" s="77">
        <v>0</v>
      </c>
      <c r="J91" s="77">
        <v>79</v>
      </c>
      <c r="K91" s="77">
        <v>65.400000000000006</v>
      </c>
      <c r="L91" s="77">
        <v>79.900000000000006</v>
      </c>
      <c r="M91" s="77">
        <v>74.400000000000006</v>
      </c>
      <c r="N91" s="77">
        <v>76.5</v>
      </c>
      <c r="O91" s="77">
        <v>78.599999999999994</v>
      </c>
      <c r="P91" s="77">
        <v>71.7</v>
      </c>
      <c r="Q91" s="77">
        <v>65</v>
      </c>
      <c r="R91" s="77">
        <v>68.400000000000006</v>
      </c>
      <c r="S91" s="77">
        <v>68.900000000000006</v>
      </c>
      <c r="T91" s="77">
        <v>64.099999999999994</v>
      </c>
      <c r="U91" s="77">
        <v>85.7</v>
      </c>
      <c r="V91" s="77">
        <v>61.2</v>
      </c>
      <c r="W91" s="77">
        <v>66.099999999999994</v>
      </c>
      <c r="X91" s="77">
        <v>70.8</v>
      </c>
      <c r="Y91" s="77">
        <v>78</v>
      </c>
      <c r="Z91" s="77">
        <v>74.7</v>
      </c>
      <c r="AA91" s="77">
        <v>76</v>
      </c>
      <c r="AB91" s="77">
        <v>72.5</v>
      </c>
      <c r="AC91" s="77">
        <v>73.7</v>
      </c>
      <c r="AD91" s="77">
        <v>73.7</v>
      </c>
      <c r="AE91" s="77">
        <v>70</v>
      </c>
      <c r="AF91" s="77">
        <v>38.6</v>
      </c>
      <c r="AG91" s="85"/>
      <c r="AH91" s="47">
        <f t="shared" si="21"/>
        <v>85.7</v>
      </c>
      <c r="AI91" s="48">
        <f t="shared" si="22"/>
        <v>0</v>
      </c>
      <c r="AK91" s="86"/>
      <c r="AL91" s="45"/>
      <c r="AM91" s="45"/>
      <c r="AN91" s="87"/>
    </row>
    <row r="92" spans="1:40" ht="15.75" thickBot="1" x14ac:dyDescent="0.3">
      <c r="A92" s="74" t="s">
        <v>95</v>
      </c>
      <c r="B92" s="60">
        <f t="shared" ref="B92:AF92" si="23">SUMIF(B81:B91,"&gt;0")</f>
        <v>542.79999999999995</v>
      </c>
      <c r="C92" s="60">
        <f t="shared" si="23"/>
        <v>526.5</v>
      </c>
      <c r="D92" s="60">
        <f t="shared" si="23"/>
        <v>523.70000000000005</v>
      </c>
      <c r="E92" s="60">
        <f t="shared" si="23"/>
        <v>514.6</v>
      </c>
      <c r="F92" s="60">
        <f t="shared" si="23"/>
        <v>523.1</v>
      </c>
      <c r="G92" s="60">
        <f t="shared" si="23"/>
        <v>550.70000000000005</v>
      </c>
      <c r="H92" s="60">
        <f t="shared" si="23"/>
        <v>543</v>
      </c>
      <c r="I92" s="60">
        <f t="shared" si="23"/>
        <v>538.5</v>
      </c>
      <c r="J92" s="60">
        <f t="shared" si="23"/>
        <v>602.9</v>
      </c>
      <c r="K92" s="60">
        <f t="shared" si="23"/>
        <v>576.4</v>
      </c>
      <c r="L92" s="60">
        <f t="shared" si="23"/>
        <v>400.9</v>
      </c>
      <c r="M92" s="60">
        <f t="shared" si="23"/>
        <v>337.5</v>
      </c>
      <c r="N92" s="60">
        <f t="shared" si="23"/>
        <v>259</v>
      </c>
      <c r="O92" s="60">
        <f t="shared" si="23"/>
        <v>410.4</v>
      </c>
      <c r="P92" s="60">
        <f t="shared" si="23"/>
        <v>552.29999999999995</v>
      </c>
      <c r="Q92" s="60">
        <f t="shared" si="23"/>
        <v>612</v>
      </c>
      <c r="R92" s="60">
        <f t="shared" si="23"/>
        <v>593.20000000000005</v>
      </c>
      <c r="S92" s="60">
        <f t="shared" ref="S92:T92" si="24">SUMIF(S81:S91,"&gt;0")</f>
        <v>612.29999999999995</v>
      </c>
      <c r="T92" s="60">
        <f t="shared" si="24"/>
        <v>602.70000000000005</v>
      </c>
      <c r="U92" s="60">
        <f t="shared" si="23"/>
        <v>619.1</v>
      </c>
      <c r="V92" s="60">
        <f t="shared" ref="V92" si="25">SUMIF(V81:V91,"&gt;0")</f>
        <v>507.1</v>
      </c>
      <c r="W92" s="60">
        <f t="shared" si="23"/>
        <v>440.30000000000007</v>
      </c>
      <c r="X92" s="60">
        <f t="shared" si="23"/>
        <v>433.4</v>
      </c>
      <c r="Y92" s="60">
        <f>SUMIF(Y81:Y91,"&gt;0")</f>
        <v>438.3</v>
      </c>
      <c r="Z92" s="60">
        <f>SUMIF(Z81:Z91,"&gt;0")</f>
        <v>357.4</v>
      </c>
      <c r="AA92" s="60">
        <f t="shared" si="23"/>
        <v>366.2</v>
      </c>
      <c r="AB92" s="60">
        <f t="shared" si="23"/>
        <v>430.1</v>
      </c>
      <c r="AC92" s="60">
        <f t="shared" si="23"/>
        <v>548.70000000000005</v>
      </c>
      <c r="AD92" s="60">
        <f t="shared" si="23"/>
        <v>700.7</v>
      </c>
      <c r="AE92" s="60">
        <f t="shared" si="23"/>
        <v>688</v>
      </c>
      <c r="AF92" s="60">
        <f t="shared" si="23"/>
        <v>615.4</v>
      </c>
      <c r="AG92" s="88">
        <f>SUM(AG81:AG91)</f>
        <v>0</v>
      </c>
      <c r="AH92" s="47">
        <f t="shared" si="21"/>
        <v>700.7</v>
      </c>
      <c r="AI92" s="48">
        <f t="shared" si="22"/>
        <v>259</v>
      </c>
      <c r="AK92" s="86"/>
      <c r="AL92" s="77"/>
      <c r="AM92" s="89"/>
      <c r="AN92" s="255"/>
    </row>
    <row r="93" spans="1:40" x14ac:dyDescent="0.25">
      <c r="A93" s="44" t="s">
        <v>96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21"/>
        <v>0</v>
      </c>
      <c r="AI93" s="48">
        <f t="shared" si="22"/>
        <v>0</v>
      </c>
      <c r="AK93" s="86"/>
      <c r="AL93" s="77"/>
      <c r="AM93" s="77"/>
      <c r="AN93" s="256"/>
    </row>
    <row r="94" spans="1:40" ht="15.75" thickBot="1" x14ac:dyDescent="0.3">
      <c r="A94" s="54" t="s">
        <v>97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21"/>
        <v>0</v>
      </c>
      <c r="AI94" s="48">
        <f t="shared" si="22"/>
        <v>0</v>
      </c>
      <c r="AK94" s="91"/>
      <c r="AL94" s="92"/>
      <c r="AM94" s="92"/>
      <c r="AN94" s="93"/>
    </row>
    <row r="95" spans="1:40" ht="15.75" thickBot="1" x14ac:dyDescent="0.3">
      <c r="A95" s="84" t="s">
        <v>98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21"/>
        <v>0</v>
      </c>
      <c r="AI95" s="48">
        <f t="shared" si="22"/>
        <v>0</v>
      </c>
    </row>
    <row r="96" spans="1:40" ht="15.75" thickBot="1" x14ac:dyDescent="0.3">
      <c r="A96" s="74" t="s">
        <v>99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>
        <v>0</v>
      </c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21"/>
        <v>0</v>
      </c>
      <c r="AI96" s="48">
        <f t="shared" si="22"/>
        <v>0</v>
      </c>
    </row>
    <row r="97" spans="1:37" ht="15.75" thickBot="1" x14ac:dyDescent="0.3">
      <c r="A97" s="74" t="s">
        <v>100</v>
      </c>
      <c r="B97" s="95">
        <f t="shared" ref="B97:AG97" si="26">B58+B62+B80+B76+B92+B96</f>
        <v>1222.74</v>
      </c>
      <c r="C97" s="95">
        <f t="shared" si="26"/>
        <v>1181.3400000000001</v>
      </c>
      <c r="D97" s="95">
        <f t="shared" si="26"/>
        <v>1159.6400000000001</v>
      </c>
      <c r="E97" s="95">
        <f t="shared" si="26"/>
        <v>1134.8400000000001</v>
      </c>
      <c r="F97" s="95">
        <f t="shared" si="26"/>
        <v>1157.8400000000001</v>
      </c>
      <c r="G97" s="95">
        <f t="shared" si="26"/>
        <v>1219.8400000000001</v>
      </c>
      <c r="H97" s="95">
        <f t="shared" si="26"/>
        <v>1320.54</v>
      </c>
      <c r="I97" s="95">
        <f t="shared" si="26"/>
        <v>1403.04</v>
      </c>
      <c r="J97" s="95">
        <f t="shared" si="26"/>
        <v>1506.54</v>
      </c>
      <c r="K97" s="95">
        <f t="shared" si="26"/>
        <v>1543.7400000000002</v>
      </c>
      <c r="L97" s="95">
        <f t="shared" si="26"/>
        <v>1538.04</v>
      </c>
      <c r="M97" s="95">
        <f t="shared" si="26"/>
        <v>1533.54</v>
      </c>
      <c r="N97" s="95">
        <f t="shared" si="26"/>
        <v>1325.24</v>
      </c>
      <c r="O97" s="95">
        <f t="shared" si="26"/>
        <v>1322.04</v>
      </c>
      <c r="P97" s="95">
        <f t="shared" si="26"/>
        <v>1301.6399999999999</v>
      </c>
      <c r="Q97" s="95">
        <f t="shared" si="26"/>
        <v>1432.44</v>
      </c>
      <c r="R97" s="95">
        <f t="shared" si="26"/>
        <v>1426.84</v>
      </c>
      <c r="S97" s="95">
        <f t="shared" ref="S97:T97" si="27">S58+S62+S80+S76+S92+S96</f>
        <v>1385.1399999999999</v>
      </c>
      <c r="T97" s="95">
        <f t="shared" si="27"/>
        <v>1385.6399999999999</v>
      </c>
      <c r="U97" s="95">
        <f t="shared" si="26"/>
        <v>1419.24</v>
      </c>
      <c r="V97" s="95">
        <f t="shared" ref="V97" si="28">V58+V62+V80+V76+V92+V96</f>
        <v>1278.8400000000001</v>
      </c>
      <c r="W97" s="95">
        <f t="shared" si="26"/>
        <v>1306.54</v>
      </c>
      <c r="X97" s="95">
        <f t="shared" si="26"/>
        <v>1498.3400000000001</v>
      </c>
      <c r="Y97" s="95">
        <f>Y58+Y62+Y80+Y76+Y92+Y96</f>
        <v>1611.5</v>
      </c>
      <c r="Z97" s="95">
        <f>Z58+Z62+Z80+Z76+Z92+Z96</f>
        <v>1587.6</v>
      </c>
      <c r="AA97" s="95">
        <f t="shared" si="26"/>
        <v>1546.9400000000003</v>
      </c>
      <c r="AB97" s="95">
        <f t="shared" si="26"/>
        <v>1515.94</v>
      </c>
      <c r="AC97" s="95">
        <f t="shared" si="26"/>
        <v>1447.0400000000002</v>
      </c>
      <c r="AD97" s="95">
        <f t="shared" si="26"/>
        <v>1477.54</v>
      </c>
      <c r="AE97" s="95">
        <f t="shared" si="26"/>
        <v>1381.8400000000001</v>
      </c>
      <c r="AF97" s="95">
        <f t="shared" si="26"/>
        <v>1248.24</v>
      </c>
      <c r="AG97" s="61">
        <f t="shared" si="26"/>
        <v>2231.81</v>
      </c>
      <c r="AH97" s="47">
        <f t="shared" si="21"/>
        <v>1611.5</v>
      </c>
      <c r="AI97" s="48">
        <f t="shared" si="22"/>
        <v>1134.8400000000001</v>
      </c>
    </row>
    <row r="98" spans="1:37" ht="15.75" thickBot="1" x14ac:dyDescent="0.3">
      <c r="A98" s="96" t="s">
        <v>101</v>
      </c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>
        <v>200</v>
      </c>
      <c r="M98" s="97">
        <v>200</v>
      </c>
      <c r="N98" s="97">
        <v>220</v>
      </c>
      <c r="O98" s="97">
        <v>220</v>
      </c>
      <c r="P98" s="97">
        <v>150</v>
      </c>
      <c r="Q98" s="97">
        <v>100</v>
      </c>
      <c r="R98" s="97">
        <v>100</v>
      </c>
      <c r="S98" s="97">
        <v>100</v>
      </c>
      <c r="T98" s="97">
        <v>100</v>
      </c>
      <c r="U98" s="97">
        <v>100</v>
      </c>
      <c r="V98" s="97">
        <v>100</v>
      </c>
      <c r="W98" s="97">
        <v>280</v>
      </c>
      <c r="X98" s="97">
        <v>280</v>
      </c>
      <c r="Y98" s="97">
        <v>280</v>
      </c>
      <c r="Z98" s="97">
        <v>260</v>
      </c>
      <c r="AA98" s="97">
        <v>250</v>
      </c>
      <c r="AB98" s="97">
        <v>250</v>
      </c>
      <c r="AC98" s="97">
        <v>250</v>
      </c>
      <c r="AD98" s="97"/>
      <c r="AE98" s="97"/>
      <c r="AF98" s="97"/>
      <c r="AG98" s="88"/>
      <c r="AH98" s="47">
        <f t="shared" si="21"/>
        <v>280</v>
      </c>
      <c r="AI98" s="48">
        <f t="shared" si="22"/>
        <v>100</v>
      </c>
    </row>
    <row r="99" spans="1:37" ht="15.75" thickBot="1" x14ac:dyDescent="0.3">
      <c r="A99" s="74" t="s">
        <v>102</v>
      </c>
      <c r="B99" s="95">
        <f t="shared" ref="B99:AF99" si="29">B97+B98</f>
        <v>1222.74</v>
      </c>
      <c r="C99" s="95">
        <f t="shared" si="29"/>
        <v>1181.3400000000001</v>
      </c>
      <c r="D99" s="95">
        <f t="shared" si="29"/>
        <v>1159.6400000000001</v>
      </c>
      <c r="E99" s="95">
        <f t="shared" si="29"/>
        <v>1134.8400000000001</v>
      </c>
      <c r="F99" s="95">
        <f t="shared" si="29"/>
        <v>1157.8400000000001</v>
      </c>
      <c r="G99" s="95">
        <f t="shared" si="29"/>
        <v>1219.8400000000001</v>
      </c>
      <c r="H99" s="95">
        <f t="shared" si="29"/>
        <v>1320.54</v>
      </c>
      <c r="I99" s="95">
        <f t="shared" si="29"/>
        <v>1403.04</v>
      </c>
      <c r="J99" s="95">
        <f t="shared" si="29"/>
        <v>1506.54</v>
      </c>
      <c r="K99" s="95">
        <f t="shared" si="29"/>
        <v>1543.7400000000002</v>
      </c>
      <c r="L99" s="95">
        <f t="shared" si="29"/>
        <v>1738.04</v>
      </c>
      <c r="M99" s="95">
        <f t="shared" si="29"/>
        <v>1733.54</v>
      </c>
      <c r="N99" s="95">
        <f t="shared" si="29"/>
        <v>1545.24</v>
      </c>
      <c r="O99" s="95">
        <f t="shared" si="29"/>
        <v>1542.04</v>
      </c>
      <c r="P99" s="95">
        <f t="shared" si="29"/>
        <v>1451.6399999999999</v>
      </c>
      <c r="Q99" s="95">
        <f t="shared" si="29"/>
        <v>1532.44</v>
      </c>
      <c r="R99" s="95">
        <f t="shared" si="29"/>
        <v>1526.84</v>
      </c>
      <c r="S99" s="95">
        <f t="shared" ref="S99:T99" si="30">S97+S98</f>
        <v>1485.1399999999999</v>
      </c>
      <c r="T99" s="95">
        <f t="shared" si="30"/>
        <v>1485.6399999999999</v>
      </c>
      <c r="U99" s="95">
        <f t="shared" si="29"/>
        <v>1519.24</v>
      </c>
      <c r="V99" s="95">
        <f t="shared" ref="V99" si="31">V97+V98</f>
        <v>1378.8400000000001</v>
      </c>
      <c r="W99" s="95">
        <f t="shared" si="29"/>
        <v>1586.54</v>
      </c>
      <c r="X99" s="95">
        <f t="shared" si="29"/>
        <v>1778.3400000000001</v>
      </c>
      <c r="Y99" s="95">
        <f>Y97+Y98</f>
        <v>1891.5</v>
      </c>
      <c r="Z99" s="95">
        <f>Z97+Z98</f>
        <v>1847.6</v>
      </c>
      <c r="AA99" s="95">
        <f t="shared" si="29"/>
        <v>1796.9400000000003</v>
      </c>
      <c r="AB99" s="95">
        <f t="shared" si="29"/>
        <v>1765.94</v>
      </c>
      <c r="AC99" s="95">
        <f t="shared" si="29"/>
        <v>1697.0400000000002</v>
      </c>
      <c r="AD99" s="95">
        <f t="shared" si="29"/>
        <v>1477.54</v>
      </c>
      <c r="AE99" s="95">
        <f t="shared" si="29"/>
        <v>1381.8400000000001</v>
      </c>
      <c r="AF99" s="95">
        <f t="shared" si="29"/>
        <v>1248.24</v>
      </c>
      <c r="AG99" s="88">
        <f>AG96+AG92+AG80+AG76+AG58+AG98</f>
        <v>1693.71</v>
      </c>
      <c r="AH99" s="47">
        <f t="shared" si="21"/>
        <v>1891.5</v>
      </c>
      <c r="AI99" s="48">
        <f t="shared" si="22"/>
        <v>1134.8400000000001</v>
      </c>
    </row>
    <row r="100" spans="1:37" ht="15.75" thickBot="1" x14ac:dyDescent="0.3">
      <c r="A100" s="74" t="s">
        <v>103</v>
      </c>
      <c r="B100" s="95">
        <f t="shared" ref="B100:M100" si="32">B99-(B107)</f>
        <v>1222.74</v>
      </c>
      <c r="C100" s="95">
        <f t="shared" si="32"/>
        <v>1181.3400000000001</v>
      </c>
      <c r="D100" s="95">
        <f t="shared" si="32"/>
        <v>1159.6400000000001</v>
      </c>
      <c r="E100" s="95">
        <f t="shared" si="32"/>
        <v>1134.8400000000001</v>
      </c>
      <c r="F100" s="95">
        <f t="shared" si="32"/>
        <v>1157.8400000000001</v>
      </c>
      <c r="G100" s="95">
        <f t="shared" si="32"/>
        <v>1219.8400000000001</v>
      </c>
      <c r="H100" s="95">
        <f t="shared" si="32"/>
        <v>1320.54</v>
      </c>
      <c r="I100" s="95">
        <f t="shared" si="32"/>
        <v>1403.04</v>
      </c>
      <c r="J100" s="95">
        <f t="shared" si="32"/>
        <v>1506.54</v>
      </c>
      <c r="K100" s="95">
        <f t="shared" si="32"/>
        <v>1543.7400000000002</v>
      </c>
      <c r="L100" s="95">
        <f t="shared" si="32"/>
        <v>1738.04</v>
      </c>
      <c r="M100" s="95">
        <f t="shared" si="32"/>
        <v>1733.54</v>
      </c>
      <c r="N100" s="95">
        <f>N99-(N107)</f>
        <v>1545.24</v>
      </c>
      <c r="O100" s="95">
        <f t="shared" ref="O100:AF100" si="33">O99-(O107)</f>
        <v>1542.04</v>
      </c>
      <c r="P100" s="95">
        <f t="shared" si="33"/>
        <v>1451.6399999999999</v>
      </c>
      <c r="Q100" s="95">
        <f t="shared" si="33"/>
        <v>1532.44</v>
      </c>
      <c r="R100" s="95">
        <f t="shared" si="33"/>
        <v>1526.84</v>
      </c>
      <c r="S100" s="95">
        <f t="shared" ref="S100:T100" si="34">S99-(S107)</f>
        <v>1484.1399999999999</v>
      </c>
      <c r="T100" s="95">
        <f t="shared" si="34"/>
        <v>1483.6399999999999</v>
      </c>
      <c r="U100" s="95">
        <f t="shared" si="33"/>
        <v>1519.24</v>
      </c>
      <c r="V100" s="95">
        <f t="shared" ref="V100" si="35">V99-(V107)</f>
        <v>1377.8400000000001</v>
      </c>
      <c r="W100" s="95">
        <f t="shared" si="33"/>
        <v>1586.54</v>
      </c>
      <c r="X100" s="95">
        <f t="shared" si="33"/>
        <v>1778.3400000000001</v>
      </c>
      <c r="Y100" s="95">
        <f t="shared" si="33"/>
        <v>1890.5</v>
      </c>
      <c r="Z100" s="95">
        <f t="shared" si="33"/>
        <v>1845.6</v>
      </c>
      <c r="AA100" s="95">
        <f t="shared" si="33"/>
        <v>1796.9400000000003</v>
      </c>
      <c r="AB100" s="95">
        <f t="shared" si="33"/>
        <v>1765.94</v>
      </c>
      <c r="AC100" s="95">
        <f t="shared" si="33"/>
        <v>1697.0400000000002</v>
      </c>
      <c r="AD100" s="95">
        <f t="shared" si="33"/>
        <v>1477.54</v>
      </c>
      <c r="AE100" s="95">
        <f t="shared" si="33"/>
        <v>1381.8400000000001</v>
      </c>
      <c r="AF100" s="95">
        <f t="shared" si="33"/>
        <v>1248.24</v>
      </c>
      <c r="AG100" s="88"/>
      <c r="AH100" s="47">
        <f t="shared" si="21"/>
        <v>1890.5</v>
      </c>
      <c r="AI100" s="48">
        <f t="shared" si="22"/>
        <v>1134.8400000000001</v>
      </c>
    </row>
    <row r="101" spans="1:37" x14ac:dyDescent="0.25">
      <c r="A101" s="44" t="s">
        <v>84</v>
      </c>
      <c r="B101" s="76">
        <f>IF(B84&lt;0,B84*-1,0)</f>
        <v>0</v>
      </c>
      <c r="C101" s="76">
        <f t="shared" ref="C101:AF101" si="36">IF(C84&lt;0,C84*-1,0)</f>
        <v>0</v>
      </c>
      <c r="D101" s="76">
        <f t="shared" si="36"/>
        <v>0</v>
      </c>
      <c r="E101" s="76">
        <f t="shared" si="36"/>
        <v>0</v>
      </c>
      <c r="F101" s="76">
        <f t="shared" si="36"/>
        <v>0</v>
      </c>
      <c r="G101" s="76">
        <f t="shared" si="36"/>
        <v>0</v>
      </c>
      <c r="H101" s="76">
        <f t="shared" si="36"/>
        <v>0</v>
      </c>
      <c r="I101" s="76">
        <f t="shared" si="36"/>
        <v>0</v>
      </c>
      <c r="J101" s="76">
        <f t="shared" si="36"/>
        <v>0</v>
      </c>
      <c r="K101" s="76">
        <f t="shared" si="36"/>
        <v>0</v>
      </c>
      <c r="L101" s="76">
        <f t="shared" si="36"/>
        <v>0</v>
      </c>
      <c r="M101" s="76">
        <f t="shared" si="36"/>
        <v>0</v>
      </c>
      <c r="N101" s="76">
        <f t="shared" si="36"/>
        <v>0</v>
      </c>
      <c r="O101" s="76">
        <f t="shared" si="36"/>
        <v>0</v>
      </c>
      <c r="P101" s="76">
        <f t="shared" si="36"/>
        <v>0</v>
      </c>
      <c r="Q101" s="76">
        <f t="shared" si="36"/>
        <v>0</v>
      </c>
      <c r="R101" s="76">
        <f t="shared" si="36"/>
        <v>0</v>
      </c>
      <c r="S101" s="76">
        <f t="shared" ref="S101:T101" si="37">IF(S84&lt;0,S84*-1,0)</f>
        <v>0</v>
      </c>
      <c r="T101" s="76">
        <f t="shared" si="37"/>
        <v>0</v>
      </c>
      <c r="U101" s="76">
        <f t="shared" si="36"/>
        <v>0</v>
      </c>
      <c r="V101" s="76">
        <f t="shared" ref="V101" si="38">IF(V84&lt;0,V84*-1,0)</f>
        <v>0</v>
      </c>
      <c r="W101" s="76">
        <f t="shared" si="36"/>
        <v>0</v>
      </c>
      <c r="X101" s="76">
        <f t="shared" si="36"/>
        <v>0</v>
      </c>
      <c r="Y101" s="76">
        <f t="shared" si="36"/>
        <v>0</v>
      </c>
      <c r="Z101" s="76">
        <f t="shared" si="36"/>
        <v>0</v>
      </c>
      <c r="AA101" s="76">
        <f t="shared" si="36"/>
        <v>0</v>
      </c>
      <c r="AB101" s="76">
        <f t="shared" si="36"/>
        <v>0</v>
      </c>
      <c r="AC101" s="76">
        <f t="shared" si="36"/>
        <v>0</v>
      </c>
      <c r="AD101" s="76">
        <f t="shared" si="36"/>
        <v>0</v>
      </c>
      <c r="AE101" s="76">
        <f t="shared" si="36"/>
        <v>0</v>
      </c>
      <c r="AF101" s="76">
        <f t="shared" si="36"/>
        <v>0</v>
      </c>
      <c r="AG101" s="52"/>
      <c r="AH101" s="47">
        <f t="shared" si="21"/>
        <v>0</v>
      </c>
      <c r="AI101" s="48">
        <f t="shared" si="22"/>
        <v>0</v>
      </c>
    </row>
    <row r="102" spans="1:37" x14ac:dyDescent="0.25">
      <c r="A102" s="54" t="s">
        <v>82</v>
      </c>
      <c r="B102" s="76">
        <f>IF(B82&lt;0,B82*-1,0)</f>
        <v>0</v>
      </c>
      <c r="C102" s="76">
        <f t="shared" ref="C102:AF102" si="39">IF(C82&lt;0,C82*-1,0)</f>
        <v>0</v>
      </c>
      <c r="D102" s="76">
        <f t="shared" si="39"/>
        <v>0</v>
      </c>
      <c r="E102" s="76">
        <f t="shared" si="39"/>
        <v>0</v>
      </c>
      <c r="F102" s="76">
        <f t="shared" si="39"/>
        <v>0</v>
      </c>
      <c r="G102" s="76">
        <f t="shared" si="39"/>
        <v>0</v>
      </c>
      <c r="H102" s="76">
        <f t="shared" si="39"/>
        <v>0</v>
      </c>
      <c r="I102" s="76">
        <f t="shared" si="39"/>
        <v>0</v>
      </c>
      <c r="J102" s="76">
        <f t="shared" si="39"/>
        <v>0</v>
      </c>
      <c r="K102" s="76">
        <f t="shared" si="39"/>
        <v>0</v>
      </c>
      <c r="L102" s="76">
        <f t="shared" si="39"/>
        <v>0</v>
      </c>
      <c r="M102" s="76">
        <f t="shared" si="39"/>
        <v>0</v>
      </c>
      <c r="N102" s="76">
        <f t="shared" si="39"/>
        <v>0</v>
      </c>
      <c r="O102" s="76">
        <f t="shared" si="39"/>
        <v>0</v>
      </c>
      <c r="P102" s="76">
        <f t="shared" si="39"/>
        <v>0</v>
      </c>
      <c r="Q102" s="76">
        <f t="shared" si="39"/>
        <v>0</v>
      </c>
      <c r="R102" s="76">
        <f t="shared" si="39"/>
        <v>0</v>
      </c>
      <c r="S102" s="76">
        <f t="shared" ref="S102:T102" si="40">IF(S82&lt;0,S82*-1,0)</f>
        <v>0</v>
      </c>
      <c r="T102" s="76">
        <f t="shared" si="40"/>
        <v>0</v>
      </c>
      <c r="U102" s="76">
        <f t="shared" si="39"/>
        <v>0</v>
      </c>
      <c r="V102" s="76">
        <f t="shared" ref="V102" si="41">IF(V82&lt;0,V82*-1,0)</f>
        <v>0</v>
      </c>
      <c r="W102" s="76">
        <f t="shared" si="39"/>
        <v>0</v>
      </c>
      <c r="X102" s="76">
        <f t="shared" si="39"/>
        <v>0</v>
      </c>
      <c r="Y102" s="76">
        <f t="shared" si="39"/>
        <v>0</v>
      </c>
      <c r="Z102" s="76">
        <f t="shared" si="39"/>
        <v>0</v>
      </c>
      <c r="AA102" s="76">
        <f t="shared" si="39"/>
        <v>0</v>
      </c>
      <c r="AB102" s="76">
        <f t="shared" si="39"/>
        <v>0</v>
      </c>
      <c r="AC102" s="76">
        <f t="shared" si="39"/>
        <v>0</v>
      </c>
      <c r="AD102" s="76">
        <f t="shared" si="39"/>
        <v>0</v>
      </c>
      <c r="AE102" s="76">
        <f t="shared" si="39"/>
        <v>0</v>
      </c>
      <c r="AF102" s="76">
        <f t="shared" si="39"/>
        <v>0</v>
      </c>
      <c r="AG102" s="55"/>
      <c r="AH102" s="47">
        <f t="shared" si="21"/>
        <v>0</v>
      </c>
      <c r="AI102" s="48">
        <f t="shared" si="22"/>
        <v>0</v>
      </c>
    </row>
    <row r="103" spans="1:37" x14ac:dyDescent="0.25">
      <c r="A103" s="84" t="s">
        <v>104</v>
      </c>
      <c r="B103" s="76">
        <f>IF(B85&lt;0,B85*-1,0)</f>
        <v>0</v>
      </c>
      <c r="C103" s="76">
        <f t="shared" ref="C103:AF103" si="42">IF(C85&lt;0,C85*-1,0)</f>
        <v>0</v>
      </c>
      <c r="D103" s="76">
        <f t="shared" si="42"/>
        <v>0</v>
      </c>
      <c r="E103" s="76">
        <f t="shared" si="42"/>
        <v>0</v>
      </c>
      <c r="F103" s="76">
        <f t="shared" si="42"/>
        <v>0</v>
      </c>
      <c r="G103" s="76">
        <f t="shared" si="42"/>
        <v>0</v>
      </c>
      <c r="H103" s="76">
        <f t="shared" si="42"/>
        <v>0</v>
      </c>
      <c r="I103" s="76">
        <f t="shared" si="42"/>
        <v>0</v>
      </c>
      <c r="J103" s="76">
        <f t="shared" si="42"/>
        <v>0</v>
      </c>
      <c r="K103" s="76">
        <f t="shared" si="42"/>
        <v>0</v>
      </c>
      <c r="L103" s="76">
        <f t="shared" si="42"/>
        <v>0</v>
      </c>
      <c r="M103" s="76">
        <f t="shared" si="42"/>
        <v>0</v>
      </c>
      <c r="N103" s="76">
        <f t="shared" si="42"/>
        <v>0</v>
      </c>
      <c r="O103" s="76">
        <f t="shared" si="42"/>
        <v>0</v>
      </c>
      <c r="P103" s="76">
        <f t="shared" si="42"/>
        <v>0</v>
      </c>
      <c r="Q103" s="76">
        <f t="shared" si="42"/>
        <v>0</v>
      </c>
      <c r="R103" s="76">
        <f t="shared" si="42"/>
        <v>0</v>
      </c>
      <c r="S103" s="76">
        <f t="shared" ref="S103:T103" si="43">IF(S85&lt;0,S85*-1,0)</f>
        <v>0</v>
      </c>
      <c r="T103" s="76">
        <f t="shared" si="43"/>
        <v>0</v>
      </c>
      <c r="U103" s="76">
        <f t="shared" si="42"/>
        <v>0</v>
      </c>
      <c r="V103" s="76">
        <f t="shared" ref="V103" si="44">IF(V85&lt;0,V85*-1,0)</f>
        <v>0</v>
      </c>
      <c r="W103" s="76">
        <f t="shared" si="42"/>
        <v>0</v>
      </c>
      <c r="X103" s="76">
        <f t="shared" si="42"/>
        <v>0</v>
      </c>
      <c r="Y103" s="76">
        <f t="shared" si="42"/>
        <v>0</v>
      </c>
      <c r="Z103" s="76">
        <f t="shared" si="42"/>
        <v>0</v>
      </c>
      <c r="AA103" s="76">
        <f t="shared" si="42"/>
        <v>0</v>
      </c>
      <c r="AB103" s="76">
        <f t="shared" si="42"/>
        <v>0</v>
      </c>
      <c r="AC103" s="76">
        <f t="shared" si="42"/>
        <v>0</v>
      </c>
      <c r="AD103" s="76">
        <f t="shared" si="42"/>
        <v>0</v>
      </c>
      <c r="AE103" s="76">
        <f t="shared" si="42"/>
        <v>0</v>
      </c>
      <c r="AF103" s="76">
        <f t="shared" si="42"/>
        <v>0</v>
      </c>
      <c r="AG103" s="98"/>
      <c r="AH103" s="47">
        <f t="shared" si="21"/>
        <v>0</v>
      </c>
      <c r="AI103" s="48">
        <f t="shared" si="22"/>
        <v>0</v>
      </c>
    </row>
    <row r="104" spans="1:37" x14ac:dyDescent="0.25">
      <c r="A104" s="84" t="s">
        <v>105</v>
      </c>
      <c r="B104" s="76">
        <f>IF(B83&lt;0,B83*-1,0)</f>
        <v>0</v>
      </c>
      <c r="C104" s="76">
        <f t="shared" ref="C104:AF104" si="45">IF(C83&lt;0,C83*-1,0)</f>
        <v>0</v>
      </c>
      <c r="D104" s="76">
        <f t="shared" si="45"/>
        <v>0</v>
      </c>
      <c r="E104" s="76">
        <f t="shared" si="45"/>
        <v>0</v>
      </c>
      <c r="F104" s="76">
        <f t="shared" si="45"/>
        <v>0</v>
      </c>
      <c r="G104" s="76">
        <f t="shared" si="45"/>
        <v>0</v>
      </c>
      <c r="H104" s="76">
        <f t="shared" si="45"/>
        <v>0</v>
      </c>
      <c r="I104" s="76">
        <f t="shared" si="45"/>
        <v>0</v>
      </c>
      <c r="J104" s="76">
        <f t="shared" si="45"/>
        <v>0</v>
      </c>
      <c r="K104" s="76">
        <f t="shared" si="45"/>
        <v>0</v>
      </c>
      <c r="L104" s="76">
        <f t="shared" si="45"/>
        <v>0</v>
      </c>
      <c r="M104" s="76">
        <f t="shared" si="45"/>
        <v>0</v>
      </c>
      <c r="N104" s="76">
        <f t="shared" si="45"/>
        <v>0</v>
      </c>
      <c r="O104" s="76">
        <f t="shared" si="45"/>
        <v>0</v>
      </c>
      <c r="P104" s="76">
        <f t="shared" si="45"/>
        <v>0</v>
      </c>
      <c r="Q104" s="76">
        <f t="shared" si="45"/>
        <v>0</v>
      </c>
      <c r="R104" s="76">
        <f t="shared" si="45"/>
        <v>0</v>
      </c>
      <c r="S104" s="76">
        <f t="shared" ref="S104:T104" si="46">IF(S83&lt;0,S83*-1,0)</f>
        <v>0</v>
      </c>
      <c r="T104" s="76">
        <f t="shared" si="46"/>
        <v>0</v>
      </c>
      <c r="U104" s="76">
        <f t="shared" si="45"/>
        <v>0</v>
      </c>
      <c r="V104" s="76">
        <f t="shared" ref="V104" si="47">IF(V83&lt;0,V83*-1,0)</f>
        <v>0</v>
      </c>
      <c r="W104" s="76">
        <f t="shared" si="45"/>
        <v>0</v>
      </c>
      <c r="X104" s="76">
        <f t="shared" si="45"/>
        <v>0</v>
      </c>
      <c r="Y104" s="76">
        <f t="shared" si="45"/>
        <v>0</v>
      </c>
      <c r="Z104" s="76">
        <f t="shared" si="45"/>
        <v>0</v>
      </c>
      <c r="AA104" s="76">
        <f t="shared" si="45"/>
        <v>0</v>
      </c>
      <c r="AB104" s="76">
        <f t="shared" si="45"/>
        <v>0</v>
      </c>
      <c r="AC104" s="76">
        <f t="shared" si="45"/>
        <v>0</v>
      </c>
      <c r="AD104" s="76">
        <f t="shared" si="45"/>
        <v>0</v>
      </c>
      <c r="AE104" s="76">
        <f t="shared" si="45"/>
        <v>0</v>
      </c>
      <c r="AF104" s="76">
        <f t="shared" si="45"/>
        <v>0</v>
      </c>
      <c r="AG104" s="98"/>
      <c r="AH104" s="47">
        <f t="shared" si="21"/>
        <v>0</v>
      </c>
      <c r="AI104" s="48">
        <f t="shared" si="22"/>
        <v>0</v>
      </c>
    </row>
    <row r="105" spans="1:37" x14ac:dyDescent="0.25">
      <c r="A105" s="84" t="s">
        <v>81</v>
      </c>
      <c r="B105" s="76">
        <f>IF(B81&lt;0,B81*-1,0)</f>
        <v>0</v>
      </c>
      <c r="C105" s="76">
        <f t="shared" ref="C105:AF105" si="48">IF(C81&lt;0,C81*-1,0)</f>
        <v>0</v>
      </c>
      <c r="D105" s="76">
        <f t="shared" si="48"/>
        <v>0</v>
      </c>
      <c r="E105" s="76">
        <f t="shared" si="48"/>
        <v>0</v>
      </c>
      <c r="F105" s="76">
        <f t="shared" si="48"/>
        <v>0</v>
      </c>
      <c r="G105" s="76">
        <f t="shared" si="48"/>
        <v>0</v>
      </c>
      <c r="H105" s="76">
        <f t="shared" si="48"/>
        <v>0</v>
      </c>
      <c r="I105" s="76">
        <f t="shared" si="48"/>
        <v>0</v>
      </c>
      <c r="J105" s="76">
        <f t="shared" si="48"/>
        <v>0</v>
      </c>
      <c r="K105" s="76">
        <f t="shared" si="48"/>
        <v>0</v>
      </c>
      <c r="L105" s="76">
        <f t="shared" si="48"/>
        <v>0</v>
      </c>
      <c r="M105" s="76">
        <f t="shared" si="48"/>
        <v>0</v>
      </c>
      <c r="N105" s="76">
        <f t="shared" si="48"/>
        <v>0</v>
      </c>
      <c r="O105" s="76">
        <f t="shared" si="48"/>
        <v>0</v>
      </c>
      <c r="P105" s="76">
        <f t="shared" si="48"/>
        <v>0</v>
      </c>
      <c r="Q105" s="76">
        <f t="shared" si="48"/>
        <v>0</v>
      </c>
      <c r="R105" s="76">
        <f t="shared" si="48"/>
        <v>0</v>
      </c>
      <c r="S105" s="76">
        <f t="shared" ref="S105:T105" si="49">IF(S81&lt;0,S81*-1,0)</f>
        <v>0</v>
      </c>
      <c r="T105" s="76">
        <f t="shared" si="49"/>
        <v>0</v>
      </c>
      <c r="U105" s="76">
        <f t="shared" si="48"/>
        <v>0</v>
      </c>
      <c r="V105" s="76">
        <f t="shared" ref="V105" si="50">IF(V81&lt;0,V81*-1,0)</f>
        <v>0</v>
      </c>
      <c r="W105" s="76">
        <f t="shared" si="48"/>
        <v>0</v>
      </c>
      <c r="X105" s="76">
        <f t="shared" si="48"/>
        <v>0</v>
      </c>
      <c r="Y105" s="76">
        <f t="shared" si="48"/>
        <v>0</v>
      </c>
      <c r="Z105" s="76">
        <f t="shared" si="48"/>
        <v>0</v>
      </c>
      <c r="AA105" s="76">
        <f t="shared" si="48"/>
        <v>0</v>
      </c>
      <c r="AB105" s="76">
        <f t="shared" si="48"/>
        <v>0</v>
      </c>
      <c r="AC105" s="76">
        <f t="shared" si="48"/>
        <v>0</v>
      </c>
      <c r="AD105" s="76">
        <f t="shared" si="48"/>
        <v>0</v>
      </c>
      <c r="AE105" s="76">
        <f t="shared" si="48"/>
        <v>0</v>
      </c>
      <c r="AF105" s="76">
        <f t="shared" si="48"/>
        <v>0</v>
      </c>
      <c r="AG105" s="98"/>
      <c r="AH105" s="47">
        <f t="shared" si="21"/>
        <v>0</v>
      </c>
      <c r="AI105" s="48">
        <f t="shared" si="22"/>
        <v>0</v>
      </c>
    </row>
    <row r="106" spans="1:37" ht="15.75" thickBot="1" x14ac:dyDescent="0.3">
      <c r="A106" s="84" t="s">
        <v>106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1</v>
      </c>
      <c r="T106" s="94">
        <v>2</v>
      </c>
      <c r="U106" s="94">
        <v>0</v>
      </c>
      <c r="V106" s="94">
        <v>1</v>
      </c>
      <c r="W106" s="94">
        <v>0</v>
      </c>
      <c r="X106" s="94">
        <v>0</v>
      </c>
      <c r="Y106" s="94">
        <v>1</v>
      </c>
      <c r="Z106" s="94">
        <v>2</v>
      </c>
      <c r="AA106" s="94">
        <v>0</v>
      </c>
      <c r="AB106" s="94">
        <v>0</v>
      </c>
      <c r="AC106" s="94">
        <v>0</v>
      </c>
      <c r="AD106" s="94">
        <v>0</v>
      </c>
      <c r="AE106" s="94">
        <v>0</v>
      </c>
      <c r="AF106" s="94">
        <v>0</v>
      </c>
      <c r="AG106" s="85"/>
      <c r="AH106" s="47">
        <f t="shared" si="21"/>
        <v>2</v>
      </c>
      <c r="AI106" s="48">
        <f t="shared" si="22"/>
        <v>0</v>
      </c>
    </row>
    <row r="107" spans="1:37" ht="15.75" thickBot="1" x14ac:dyDescent="0.3">
      <c r="A107" s="99" t="s">
        <v>107</v>
      </c>
      <c r="B107" s="60">
        <f>SUM(B101:B106)</f>
        <v>0</v>
      </c>
      <c r="C107" s="60">
        <f t="shared" ref="C107:AF107" si="51">SUM(C101:C106)</f>
        <v>0</v>
      </c>
      <c r="D107" s="60">
        <f t="shared" si="51"/>
        <v>0</v>
      </c>
      <c r="E107" s="60">
        <f t="shared" si="51"/>
        <v>0</v>
      </c>
      <c r="F107" s="60">
        <f t="shared" si="51"/>
        <v>0</v>
      </c>
      <c r="G107" s="60">
        <f t="shared" si="51"/>
        <v>0</v>
      </c>
      <c r="H107" s="60">
        <f t="shared" si="51"/>
        <v>0</v>
      </c>
      <c r="I107" s="60">
        <f t="shared" si="51"/>
        <v>0</v>
      </c>
      <c r="J107" s="60">
        <f t="shared" si="51"/>
        <v>0</v>
      </c>
      <c r="K107" s="60">
        <f t="shared" si="51"/>
        <v>0</v>
      </c>
      <c r="L107" s="60">
        <f t="shared" si="51"/>
        <v>0</v>
      </c>
      <c r="M107" s="60">
        <f t="shared" si="51"/>
        <v>0</v>
      </c>
      <c r="N107" s="60">
        <f t="shared" si="51"/>
        <v>0</v>
      </c>
      <c r="O107" s="60">
        <f t="shared" si="51"/>
        <v>0</v>
      </c>
      <c r="P107" s="60">
        <f t="shared" si="51"/>
        <v>0</v>
      </c>
      <c r="Q107" s="60">
        <f t="shared" si="51"/>
        <v>0</v>
      </c>
      <c r="R107" s="60">
        <f t="shared" si="51"/>
        <v>0</v>
      </c>
      <c r="S107" s="60">
        <f t="shared" ref="S107:T107" si="52">SUM(S101:S106)</f>
        <v>1</v>
      </c>
      <c r="T107" s="60">
        <f t="shared" si="52"/>
        <v>2</v>
      </c>
      <c r="U107" s="60">
        <f t="shared" si="51"/>
        <v>0</v>
      </c>
      <c r="V107" s="60">
        <f t="shared" ref="V107" si="53">SUM(V101:V106)</f>
        <v>1</v>
      </c>
      <c r="W107" s="60">
        <f t="shared" si="51"/>
        <v>0</v>
      </c>
      <c r="X107" s="60">
        <f t="shared" si="51"/>
        <v>0</v>
      </c>
      <c r="Y107" s="60">
        <f t="shared" si="51"/>
        <v>1</v>
      </c>
      <c r="Z107" s="60">
        <f t="shared" si="51"/>
        <v>2</v>
      </c>
      <c r="AA107" s="60">
        <f t="shared" si="51"/>
        <v>0</v>
      </c>
      <c r="AB107" s="60">
        <f t="shared" si="51"/>
        <v>0</v>
      </c>
      <c r="AC107" s="60">
        <f t="shared" si="51"/>
        <v>0</v>
      </c>
      <c r="AD107" s="60">
        <f t="shared" si="51"/>
        <v>0</v>
      </c>
      <c r="AE107" s="60">
        <f t="shared" si="51"/>
        <v>0</v>
      </c>
      <c r="AF107" s="60">
        <f t="shared" si="51"/>
        <v>0</v>
      </c>
      <c r="AG107" s="88"/>
      <c r="AH107" s="47">
        <f t="shared" si="21"/>
        <v>2</v>
      </c>
      <c r="AI107" s="48">
        <f t="shared" si="22"/>
        <v>0</v>
      </c>
      <c r="AK107" s="50"/>
    </row>
    <row r="108" spans="1:37" ht="15.75" thickBot="1" x14ac:dyDescent="0.3">
      <c r="A108" s="74" t="s">
        <v>108</v>
      </c>
      <c r="B108" s="60">
        <f t="shared" ref="B108:AF108" si="54">B92-B107</f>
        <v>542.79999999999995</v>
      </c>
      <c r="C108" s="60">
        <f t="shared" si="54"/>
        <v>526.5</v>
      </c>
      <c r="D108" s="60">
        <f t="shared" si="54"/>
        <v>523.70000000000005</v>
      </c>
      <c r="E108" s="60">
        <f t="shared" si="54"/>
        <v>514.6</v>
      </c>
      <c r="F108" s="60">
        <f t="shared" si="54"/>
        <v>523.1</v>
      </c>
      <c r="G108" s="60">
        <f t="shared" si="54"/>
        <v>550.70000000000005</v>
      </c>
      <c r="H108" s="60">
        <f t="shared" si="54"/>
        <v>543</v>
      </c>
      <c r="I108" s="60">
        <f t="shared" si="54"/>
        <v>538.5</v>
      </c>
      <c r="J108" s="60">
        <f t="shared" si="54"/>
        <v>602.9</v>
      </c>
      <c r="K108" s="60">
        <f t="shared" si="54"/>
        <v>576.4</v>
      </c>
      <c r="L108" s="60">
        <f t="shared" si="54"/>
        <v>400.9</v>
      </c>
      <c r="M108" s="60">
        <f t="shared" si="54"/>
        <v>337.5</v>
      </c>
      <c r="N108" s="60">
        <f t="shared" si="54"/>
        <v>259</v>
      </c>
      <c r="O108" s="60">
        <f t="shared" si="54"/>
        <v>410.4</v>
      </c>
      <c r="P108" s="60">
        <f t="shared" si="54"/>
        <v>552.29999999999995</v>
      </c>
      <c r="Q108" s="60">
        <f t="shared" si="54"/>
        <v>612</v>
      </c>
      <c r="R108" s="60">
        <f t="shared" si="54"/>
        <v>593.20000000000005</v>
      </c>
      <c r="S108" s="60">
        <f t="shared" ref="S108:T108" si="55">S92-S107</f>
        <v>611.29999999999995</v>
      </c>
      <c r="T108" s="60">
        <f t="shared" si="55"/>
        <v>600.70000000000005</v>
      </c>
      <c r="U108" s="60">
        <f t="shared" si="54"/>
        <v>619.1</v>
      </c>
      <c r="V108" s="60">
        <f t="shared" ref="V108" si="56">V92-V107</f>
        <v>506.1</v>
      </c>
      <c r="W108" s="60">
        <f t="shared" si="54"/>
        <v>440.30000000000007</v>
      </c>
      <c r="X108" s="60">
        <f t="shared" si="54"/>
        <v>433.4</v>
      </c>
      <c r="Y108" s="60">
        <f>Y92-Y107</f>
        <v>437.3</v>
      </c>
      <c r="Z108" s="60">
        <f>Z92-Z107</f>
        <v>355.4</v>
      </c>
      <c r="AA108" s="60">
        <f t="shared" si="54"/>
        <v>366.2</v>
      </c>
      <c r="AB108" s="60">
        <f t="shared" si="54"/>
        <v>430.1</v>
      </c>
      <c r="AC108" s="60">
        <f t="shared" si="54"/>
        <v>548.70000000000005</v>
      </c>
      <c r="AD108" s="60">
        <f t="shared" si="54"/>
        <v>700.7</v>
      </c>
      <c r="AE108" s="60">
        <f t="shared" si="54"/>
        <v>688</v>
      </c>
      <c r="AF108" s="60">
        <f t="shared" si="54"/>
        <v>615.4</v>
      </c>
      <c r="AG108" s="88"/>
      <c r="AH108" s="47">
        <f t="shared" si="21"/>
        <v>700.7</v>
      </c>
      <c r="AI108" s="48">
        <f t="shared" si="22"/>
        <v>259</v>
      </c>
    </row>
    <row r="109" spans="1:37" x14ac:dyDescent="0.25">
      <c r="A109" s="100" t="s">
        <v>109</v>
      </c>
      <c r="B109" s="101">
        <v>50.018000000000001</v>
      </c>
      <c r="C109" s="101">
        <v>49.945</v>
      </c>
      <c r="D109" s="101">
        <v>49.878999999999998</v>
      </c>
      <c r="E109" s="101">
        <v>49.97</v>
      </c>
      <c r="F109" s="101">
        <v>49.984999999999999</v>
      </c>
      <c r="G109" s="101">
        <v>49.945999999999998</v>
      </c>
      <c r="H109" s="101">
        <v>49.927999999999997</v>
      </c>
      <c r="I109" s="101">
        <v>50</v>
      </c>
      <c r="J109" s="101">
        <v>49.920999999999999</v>
      </c>
      <c r="K109" s="101">
        <v>49.987000000000002</v>
      </c>
      <c r="L109" s="101">
        <v>49.722999999999999</v>
      </c>
      <c r="M109" s="101">
        <v>50.02</v>
      </c>
      <c r="N109" s="101">
        <v>50.034999999999997</v>
      </c>
      <c r="O109" s="101">
        <v>50.055999999999997</v>
      </c>
      <c r="P109" s="101">
        <v>50.021000000000001</v>
      </c>
      <c r="Q109" s="101">
        <v>49.975000000000001</v>
      </c>
      <c r="R109" s="101">
        <v>50.097000000000001</v>
      </c>
      <c r="S109" s="101">
        <v>50.04</v>
      </c>
      <c r="T109" s="101">
        <v>49.87</v>
      </c>
      <c r="U109" s="101">
        <v>50.012</v>
      </c>
      <c r="V109" s="101">
        <v>50.04</v>
      </c>
      <c r="W109" s="101">
        <v>50.131</v>
      </c>
      <c r="X109" s="101">
        <v>50.040999999999997</v>
      </c>
      <c r="Y109" s="101">
        <v>50.04</v>
      </c>
      <c r="Z109" s="101">
        <v>49.83</v>
      </c>
      <c r="AA109" s="101">
        <v>50.005000000000003</v>
      </c>
      <c r="AB109" s="101">
        <v>50.091000000000001</v>
      </c>
      <c r="AC109" s="101">
        <v>50.091000000000001</v>
      </c>
      <c r="AD109" s="101">
        <v>50.048999999999999</v>
      </c>
      <c r="AE109" s="101">
        <v>49.984999999999999</v>
      </c>
      <c r="AF109" s="101">
        <v>49.923999999999999</v>
      </c>
      <c r="AG109" s="102"/>
      <c r="AH109" s="47">
        <f t="shared" si="21"/>
        <v>50.131</v>
      </c>
      <c r="AI109" s="48">
        <f t="shared" si="22"/>
        <v>49.722999999999999</v>
      </c>
    </row>
    <row r="110" spans="1:37" x14ac:dyDescent="0.25">
      <c r="A110" s="103" t="s">
        <v>110</v>
      </c>
      <c r="B110" s="65">
        <v>128.9</v>
      </c>
      <c r="C110" s="65">
        <v>128.80000000000001</v>
      </c>
      <c r="D110" s="65">
        <v>126.6</v>
      </c>
      <c r="E110" s="65">
        <v>127.8</v>
      </c>
      <c r="F110" s="65">
        <v>127.8</v>
      </c>
      <c r="G110" s="65">
        <v>127.8</v>
      </c>
      <c r="H110" s="65">
        <v>126.7</v>
      </c>
      <c r="I110" s="65">
        <v>125.5</v>
      </c>
      <c r="J110" s="65">
        <v>125.5</v>
      </c>
      <c r="K110" s="65">
        <v>124.4</v>
      </c>
      <c r="L110" s="65">
        <v>125</v>
      </c>
      <c r="M110" s="65">
        <v>124.7</v>
      </c>
      <c r="N110" s="65">
        <v>126.6</v>
      </c>
      <c r="O110" s="65">
        <v>126.7</v>
      </c>
      <c r="P110" s="65">
        <v>125.4</v>
      </c>
      <c r="Q110" s="65">
        <v>123.7</v>
      </c>
      <c r="R110" s="65">
        <v>125.9</v>
      </c>
      <c r="S110" s="65">
        <v>125.4</v>
      </c>
      <c r="T110" s="65">
        <v>125.1</v>
      </c>
      <c r="U110" s="65">
        <v>125.3</v>
      </c>
      <c r="V110" s="65">
        <v>126.8</v>
      </c>
      <c r="W110" s="65">
        <v>127.3</v>
      </c>
      <c r="X110" s="65">
        <v>126.2</v>
      </c>
      <c r="Y110" s="65">
        <v>126.3</v>
      </c>
      <c r="Z110" s="65">
        <v>126.4</v>
      </c>
      <c r="AA110" s="65">
        <v>125.8</v>
      </c>
      <c r="AB110" s="65">
        <v>125.6</v>
      </c>
      <c r="AC110" s="65">
        <v>125.6</v>
      </c>
      <c r="AD110" s="65">
        <v>127.4</v>
      </c>
      <c r="AE110" s="65">
        <v>128.69999999999999</v>
      </c>
      <c r="AF110" s="65">
        <v>129.19999999999999</v>
      </c>
      <c r="AG110" s="104"/>
      <c r="AH110" s="47">
        <f t="shared" si="21"/>
        <v>129.19999999999999</v>
      </c>
      <c r="AI110" s="48">
        <f t="shared" si="22"/>
        <v>123.7</v>
      </c>
    </row>
    <row r="111" spans="1:37" x14ac:dyDescent="0.25">
      <c r="A111" s="103" t="s">
        <v>111</v>
      </c>
      <c r="B111" s="65">
        <v>133.1</v>
      </c>
      <c r="C111" s="65">
        <v>132.6</v>
      </c>
      <c r="D111" s="65">
        <v>131.19999999999999</v>
      </c>
      <c r="E111" s="65">
        <v>132</v>
      </c>
      <c r="F111" s="65">
        <v>132</v>
      </c>
      <c r="G111" s="65">
        <v>130.80000000000001</v>
      </c>
      <c r="H111" s="65">
        <v>130.5</v>
      </c>
      <c r="I111" s="65">
        <v>129</v>
      </c>
      <c r="J111" s="65">
        <v>129</v>
      </c>
      <c r="K111" s="65">
        <v>127</v>
      </c>
      <c r="L111" s="65">
        <v>126</v>
      </c>
      <c r="M111" s="65">
        <v>125.6</v>
      </c>
      <c r="N111" s="65">
        <v>127.8</v>
      </c>
      <c r="O111" s="65">
        <v>127.8</v>
      </c>
      <c r="P111" s="65">
        <v>127.1</v>
      </c>
      <c r="Q111" s="65">
        <v>126.2</v>
      </c>
      <c r="R111" s="65">
        <v>128.1</v>
      </c>
      <c r="S111" s="65">
        <v>127.3</v>
      </c>
      <c r="T111" s="65">
        <v>127.5</v>
      </c>
      <c r="U111" s="65">
        <v>127.6</v>
      </c>
      <c r="V111" s="65">
        <v>128.5</v>
      </c>
      <c r="W111" s="65">
        <v>128.80000000000001</v>
      </c>
      <c r="X111" s="65">
        <v>127.5</v>
      </c>
      <c r="Y111" s="65">
        <v>126.8</v>
      </c>
      <c r="Z111" s="65">
        <v>127</v>
      </c>
      <c r="AA111" s="65">
        <v>127</v>
      </c>
      <c r="AB111" s="65">
        <v>126.7</v>
      </c>
      <c r="AC111" s="65">
        <v>126.7</v>
      </c>
      <c r="AD111" s="65">
        <v>129.19999999999999</v>
      </c>
      <c r="AE111" s="65">
        <v>130.80000000000001</v>
      </c>
      <c r="AF111" s="65">
        <v>132.30000000000001</v>
      </c>
      <c r="AG111" s="104"/>
      <c r="AH111" s="47">
        <f t="shared" si="21"/>
        <v>133.1</v>
      </c>
      <c r="AI111" s="48">
        <f t="shared" si="22"/>
        <v>125.6</v>
      </c>
    </row>
    <row r="112" spans="1:37" x14ac:dyDescent="0.25">
      <c r="A112" s="103" t="s">
        <v>112</v>
      </c>
      <c r="B112" s="65">
        <v>130.6</v>
      </c>
      <c r="C112" s="65">
        <v>132.19999999999999</v>
      </c>
      <c r="D112" s="65">
        <v>131.69999999999999</v>
      </c>
      <c r="E112" s="65">
        <v>128.69999999999999</v>
      </c>
      <c r="F112" s="65">
        <v>128.69999999999999</v>
      </c>
      <c r="G112" s="65">
        <v>128.69999999999999</v>
      </c>
      <c r="H112" s="65">
        <v>129.4</v>
      </c>
      <c r="I112" s="65">
        <v>129.5</v>
      </c>
      <c r="J112" s="65">
        <v>129.5</v>
      </c>
      <c r="K112" s="65">
        <v>126.7</v>
      </c>
      <c r="L112" s="65">
        <v>127.7</v>
      </c>
      <c r="M112" s="65">
        <v>127.3</v>
      </c>
      <c r="N112" s="65">
        <v>128.80000000000001</v>
      </c>
      <c r="O112" s="65">
        <v>129.69999999999999</v>
      </c>
      <c r="P112" s="65">
        <v>128.1</v>
      </c>
      <c r="Q112" s="65">
        <v>129.4</v>
      </c>
      <c r="R112" s="65">
        <v>126.3</v>
      </c>
      <c r="S112" s="65">
        <v>127.1</v>
      </c>
      <c r="T112" s="65">
        <v>128.69999999999999</v>
      </c>
      <c r="U112" s="65">
        <v>128</v>
      </c>
      <c r="V112" s="65">
        <v>131.30000000000001</v>
      </c>
      <c r="W112" s="65">
        <v>130</v>
      </c>
      <c r="X112" s="65">
        <v>127.3</v>
      </c>
      <c r="Y112" s="65">
        <v>129.19999999999999</v>
      </c>
      <c r="Z112" s="65">
        <v>131.1</v>
      </c>
      <c r="AA112" s="65">
        <v>132.4</v>
      </c>
      <c r="AB112" s="65">
        <v>131.69999999999999</v>
      </c>
      <c r="AC112" s="65">
        <v>131.69999999999999</v>
      </c>
      <c r="AD112" s="65">
        <v>127.9</v>
      </c>
      <c r="AE112" s="65">
        <v>131.1</v>
      </c>
      <c r="AF112" s="65">
        <v>127.9</v>
      </c>
      <c r="AG112" s="104"/>
      <c r="AH112" s="47">
        <f t="shared" si="21"/>
        <v>132.4</v>
      </c>
      <c r="AI112" s="48">
        <f t="shared" si="22"/>
        <v>126.3</v>
      </c>
    </row>
    <row r="113" spans="1:35" x14ac:dyDescent="0.25">
      <c r="A113" s="105" t="s">
        <v>113</v>
      </c>
      <c r="B113" s="65">
        <v>132.6</v>
      </c>
      <c r="C113" s="65">
        <v>134</v>
      </c>
      <c r="D113" s="65">
        <v>132.1</v>
      </c>
      <c r="E113" s="65">
        <v>131</v>
      </c>
      <c r="F113" s="65">
        <v>131</v>
      </c>
      <c r="G113" s="65">
        <v>131</v>
      </c>
      <c r="H113" s="65">
        <v>130.30000000000001</v>
      </c>
      <c r="I113" s="65">
        <v>133</v>
      </c>
      <c r="J113" s="65">
        <v>133</v>
      </c>
      <c r="K113" s="65">
        <v>128</v>
      </c>
      <c r="L113" s="65">
        <v>127.6</v>
      </c>
      <c r="M113" s="65">
        <v>128</v>
      </c>
      <c r="N113" s="65">
        <v>130.1</v>
      </c>
      <c r="O113" s="65">
        <v>131</v>
      </c>
      <c r="P113" s="65">
        <v>129.9</v>
      </c>
      <c r="Q113" s="65">
        <v>131.9</v>
      </c>
      <c r="R113" s="65">
        <v>129.6</v>
      </c>
      <c r="S113" s="65">
        <v>129.4</v>
      </c>
      <c r="T113" s="65">
        <v>131.69999999999999</v>
      </c>
      <c r="U113" s="65">
        <v>130.30000000000001</v>
      </c>
      <c r="V113" s="65">
        <v>131.69999999999999</v>
      </c>
      <c r="W113" s="65">
        <v>131</v>
      </c>
      <c r="X113" s="65">
        <v>126.6</v>
      </c>
      <c r="Y113" s="65">
        <v>129.9</v>
      </c>
      <c r="Z113" s="65">
        <v>132.4</v>
      </c>
      <c r="AA113" s="65">
        <v>134.1</v>
      </c>
      <c r="AB113" s="65">
        <v>134.30000000000001</v>
      </c>
      <c r="AC113" s="65">
        <v>134.30000000000001</v>
      </c>
      <c r="AD113" s="65">
        <v>129</v>
      </c>
      <c r="AE113" s="65">
        <v>132.80000000000001</v>
      </c>
      <c r="AF113" s="65">
        <v>130.1</v>
      </c>
      <c r="AG113" s="104"/>
      <c r="AH113" s="47">
        <f t="shared" si="21"/>
        <v>134.30000000000001</v>
      </c>
      <c r="AI113" s="48">
        <f t="shared" si="22"/>
        <v>126.6</v>
      </c>
    </row>
    <row r="114" spans="1:35" x14ac:dyDescent="0.25">
      <c r="A114" s="105" t="s">
        <v>114</v>
      </c>
      <c r="B114" s="106">
        <v>135.4</v>
      </c>
      <c r="C114" s="106">
        <v>130.80000000000001</v>
      </c>
      <c r="D114" s="106">
        <v>131.80000000000001</v>
      </c>
      <c r="E114" s="106">
        <v>130.9</v>
      </c>
      <c r="F114" s="106">
        <v>130.9</v>
      </c>
      <c r="G114" s="106">
        <v>130.9</v>
      </c>
      <c r="H114" s="106">
        <v>130.9</v>
      </c>
      <c r="I114" s="106">
        <v>130.19999999999999</v>
      </c>
      <c r="J114" s="106">
        <v>130.19999999999999</v>
      </c>
      <c r="K114" s="106">
        <v>132.5</v>
      </c>
      <c r="L114" s="106">
        <v>132.80000000000001</v>
      </c>
      <c r="M114" s="106">
        <v>132.69999999999999</v>
      </c>
      <c r="N114" s="106">
        <v>133.6</v>
      </c>
      <c r="O114" s="106">
        <v>135.1</v>
      </c>
      <c r="P114" s="106">
        <v>131.19999999999999</v>
      </c>
      <c r="Q114" s="106">
        <v>130.80000000000001</v>
      </c>
      <c r="R114" s="106">
        <v>137.69999999999999</v>
      </c>
      <c r="S114" s="106">
        <v>131.6</v>
      </c>
      <c r="T114" s="106">
        <v>133</v>
      </c>
      <c r="U114" s="106">
        <v>132.9</v>
      </c>
      <c r="V114" s="106">
        <v>135.4</v>
      </c>
      <c r="W114" s="106">
        <v>133.9</v>
      </c>
      <c r="X114" s="106">
        <v>132.69999999999999</v>
      </c>
      <c r="Y114" s="106">
        <v>136.19999999999999</v>
      </c>
      <c r="Z114" s="106">
        <v>135.1</v>
      </c>
      <c r="AA114" s="106">
        <v>135.19999999999999</v>
      </c>
      <c r="AB114" s="106">
        <v>135.5</v>
      </c>
      <c r="AC114" s="106">
        <v>135.5</v>
      </c>
      <c r="AD114" s="106">
        <v>134.5</v>
      </c>
      <c r="AE114" s="106">
        <v>135</v>
      </c>
      <c r="AF114" s="106">
        <v>134.4</v>
      </c>
      <c r="AG114" s="107"/>
      <c r="AH114" s="47">
        <f t="shared" si="21"/>
        <v>137.69999999999999</v>
      </c>
      <c r="AI114" s="48">
        <f t="shared" si="22"/>
        <v>130.19999999999999</v>
      </c>
    </row>
    <row r="115" spans="1:35" x14ac:dyDescent="0.25">
      <c r="A115" s="103" t="s">
        <v>115</v>
      </c>
      <c r="B115" s="65">
        <v>130.5</v>
      </c>
      <c r="C115" s="65">
        <v>127</v>
      </c>
      <c r="D115" s="65">
        <v>131.30000000000001</v>
      </c>
      <c r="E115" s="65">
        <v>127.6</v>
      </c>
      <c r="F115" s="65">
        <v>127.6</v>
      </c>
      <c r="G115" s="65">
        <v>127.6</v>
      </c>
      <c r="H115" s="65">
        <v>125.5</v>
      </c>
      <c r="I115" s="65">
        <v>124.8</v>
      </c>
      <c r="J115" s="65">
        <v>124.8</v>
      </c>
      <c r="K115" s="65">
        <v>135</v>
      </c>
      <c r="L115" s="65">
        <v>135</v>
      </c>
      <c r="M115" s="65">
        <v>133.19999999999999</v>
      </c>
      <c r="N115" s="65">
        <v>135.1</v>
      </c>
      <c r="O115" s="65">
        <v>129.69999999999999</v>
      </c>
      <c r="P115" s="65">
        <v>131.1</v>
      </c>
      <c r="Q115" s="65">
        <v>136.80000000000001</v>
      </c>
      <c r="R115" s="65">
        <v>134.5</v>
      </c>
      <c r="S115" s="65">
        <v>133</v>
      </c>
      <c r="T115" s="65">
        <v>133</v>
      </c>
      <c r="U115" s="65">
        <v>129.69999999999999</v>
      </c>
      <c r="V115" s="65">
        <v>134.6</v>
      </c>
      <c r="W115" s="65">
        <v>131.4</v>
      </c>
      <c r="X115" s="65">
        <v>133.30000000000001</v>
      </c>
      <c r="Y115" s="65">
        <v>129</v>
      </c>
      <c r="Z115" s="65">
        <v>134.9</v>
      </c>
      <c r="AA115" s="65">
        <v>133.5</v>
      </c>
      <c r="AB115" s="65">
        <v>134.19999999999999</v>
      </c>
      <c r="AC115" s="65">
        <v>134.19999999999999</v>
      </c>
      <c r="AD115" s="65">
        <v>133</v>
      </c>
      <c r="AE115" s="65">
        <v>130.4</v>
      </c>
      <c r="AF115" s="65">
        <v>132</v>
      </c>
      <c r="AG115" s="104"/>
      <c r="AH115" s="47">
        <f t="shared" si="21"/>
        <v>136.80000000000001</v>
      </c>
      <c r="AI115" s="48">
        <f t="shared" si="22"/>
        <v>124.8</v>
      </c>
    </row>
    <row r="116" spans="1:35" ht="15.75" thickBot="1" x14ac:dyDescent="0.3">
      <c r="A116" s="103" t="s">
        <v>116</v>
      </c>
      <c r="B116" s="92">
        <v>67</v>
      </c>
      <c r="C116" s="92">
        <v>66.900000000000006</v>
      </c>
      <c r="D116" s="92">
        <v>66.3</v>
      </c>
      <c r="E116" s="92">
        <v>66.5</v>
      </c>
      <c r="F116" s="92">
        <v>66.5</v>
      </c>
      <c r="G116" s="92">
        <v>65.569999999999993</v>
      </c>
      <c r="H116" s="92">
        <v>65.7</v>
      </c>
      <c r="I116" s="92">
        <v>64.900000000000006</v>
      </c>
      <c r="J116" s="92">
        <v>64.900000000000006</v>
      </c>
      <c r="K116" s="92">
        <v>64</v>
      </c>
      <c r="L116" s="92">
        <v>63.5</v>
      </c>
      <c r="M116" s="92">
        <v>63.1</v>
      </c>
      <c r="N116" s="92">
        <v>64.3</v>
      </c>
      <c r="O116" s="92">
        <v>64.099999999999994</v>
      </c>
      <c r="P116" s="92">
        <v>63.5</v>
      </c>
      <c r="Q116" s="92">
        <v>63.5</v>
      </c>
      <c r="R116" s="92">
        <v>64.599999999999994</v>
      </c>
      <c r="S116" s="92">
        <v>64.099999999999994</v>
      </c>
      <c r="T116" s="92">
        <v>64.099999999999994</v>
      </c>
      <c r="U116" s="92">
        <v>64.400000000000006</v>
      </c>
      <c r="V116" s="92">
        <v>64.8</v>
      </c>
      <c r="W116" s="92">
        <v>64.900000000000006</v>
      </c>
      <c r="X116" s="92">
        <v>64.3</v>
      </c>
      <c r="Y116" s="92">
        <v>63.9</v>
      </c>
      <c r="Z116" s="92">
        <v>64</v>
      </c>
      <c r="AA116" s="92">
        <v>63.9</v>
      </c>
      <c r="AB116" s="92">
        <v>63.7</v>
      </c>
      <c r="AC116" s="92">
        <v>63.7</v>
      </c>
      <c r="AD116" s="92">
        <v>64.8</v>
      </c>
      <c r="AE116" s="92">
        <v>65.900000000000006</v>
      </c>
      <c r="AF116" s="92">
        <v>66.7</v>
      </c>
      <c r="AG116" s="108"/>
      <c r="AH116" s="47">
        <f t="shared" si="21"/>
        <v>67</v>
      </c>
      <c r="AI116" s="48">
        <f t="shared" si="22"/>
        <v>63.1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 t="s">
        <v>117</v>
      </c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21"/>
        <v>0</v>
      </c>
      <c r="AI117" s="48">
        <f t="shared" si="22"/>
        <v>0</v>
      </c>
    </row>
    <row r="118" spans="1:35" ht="15.75" thickBot="1" x14ac:dyDescent="0.3">
      <c r="A118" s="110" t="s">
        <v>118</v>
      </c>
      <c r="B118" s="111">
        <f t="shared" ref="B118:N118" si="57">SUM(B22,B28,B31:B32,B66,B68:B69,B71,B73,B119:B123,B155,B161,B167,B176,B178,B190,B197,B200:B201,B208,B210,B212,B216:B218,B220:B222,B227,B233:B234,B236:B238,B246,B251)</f>
        <v>169.297</v>
      </c>
      <c r="C118" s="111">
        <f t="shared" si="57"/>
        <v>155.93199999999996</v>
      </c>
      <c r="D118" s="111">
        <f t="shared" si="57"/>
        <v>148.971</v>
      </c>
      <c r="E118" s="111">
        <f>SUM(E22,E28,E31:E32,E66,E68:E69,E71,E73,E119:E123,E155,E161,E167,E176,E178,E190,E197,E200:E201,E208,E210,E212,E216:E218,E220:E222,E227,E233:E234,E236:E238,E246,E251)</f>
        <v>143.94</v>
      </c>
      <c r="F118" s="111">
        <f>SUM(F22,F28,F31:F32,F66,F68:F69,F71,F73,F119:F123,F155,F161,F167,F176,F178,F190,F197,F200:F201,F208,F210,F212,F216:F218,F220:F222,F227,F233:F234,F236:F238,F246,F251)</f>
        <v>150.44</v>
      </c>
      <c r="G118" s="111">
        <f t="shared" si="57"/>
        <v>188.44</v>
      </c>
      <c r="H118" s="111">
        <f t="shared" si="57"/>
        <v>220.94</v>
      </c>
      <c r="I118" s="111">
        <f t="shared" si="57"/>
        <v>247.04</v>
      </c>
      <c r="J118" s="111">
        <f t="shared" si="57"/>
        <v>333.24</v>
      </c>
      <c r="K118" s="111">
        <f t="shared" si="57"/>
        <v>364.44</v>
      </c>
      <c r="L118" s="111">
        <f t="shared" si="57"/>
        <v>438.14</v>
      </c>
      <c r="M118" s="111">
        <f t="shared" si="57"/>
        <v>443.24</v>
      </c>
      <c r="N118" s="111">
        <f t="shared" si="57"/>
        <v>331.24</v>
      </c>
      <c r="O118" s="111">
        <f>SUM(O22,O28,O31:O32,O66,O68:O69,O71,O73,O119:O123,O155,O161,O167,O176,O178,O190,O197,O200:O201,O208,O210,O212,O216:O218,O220:O222,O227,O233:O234,O236:O238,O246,O251)</f>
        <v>397.09999999999997</v>
      </c>
      <c r="P118" s="111">
        <v>42</v>
      </c>
      <c r="Q118" s="111">
        <f t="shared" ref="Q118:AC118" si="58">SUM(Q22,Q28,Q31:Q32,Q66,Q68:Q69,Q71,Q73,Q119:Q123,Q155,Q161,Q167,Q176,Q178,Q190,Q197,Q200:Q201,Q208,Q210,Q212,Q216:Q218,Q220:Q222,Q227,Q233:Q234,Q236:Q238,Q246,Q251)</f>
        <v>359.71999999999997</v>
      </c>
      <c r="R118" s="111">
        <f t="shared" si="58"/>
        <v>331.26</v>
      </c>
      <c r="S118" s="111">
        <f t="shared" ref="S118:T118" si="59">SUM(S22,S28,S31:S32,S66,S68:S69,S71,S73,S119:S123,S155,S161,S167,S176,S178,S190,S197,S200:S201,S208,S210,S212,S216:S218,S220:S222,S227,S233:S234,S236:S238,S246,S251)</f>
        <v>318.73999999999995</v>
      </c>
      <c r="T118" s="111">
        <f t="shared" si="59"/>
        <v>318.14</v>
      </c>
      <c r="U118" s="111">
        <f t="shared" si="58"/>
        <v>332.36899999999997</v>
      </c>
      <c r="V118" s="111">
        <f t="shared" ref="V118" si="60">SUM(V22,V28,V31:V32,V66,V68:V69,V71,V73,V119:V123,V155,V161,V167,V176,V178,V190,V197,V200:V201,V208,V210,V212,V216:V218,V220:V222,V227,V233:V234,V236:V238,V246,V251)</f>
        <v>234.33999999999997</v>
      </c>
      <c r="W118" s="111">
        <f t="shared" si="58"/>
        <v>381.14000000000004</v>
      </c>
      <c r="X118" s="111">
        <f t="shared" si="58"/>
        <v>438.88799999999998</v>
      </c>
      <c r="Y118" s="111">
        <f t="shared" ref="Y118:Z118" si="61">SUM(Y20,Y26,Y37:Y38,Y66,Y68:Y69,Y71,Y73,Y119:Y123,Y148,Y154,Y160,Y169,Y171,Y183,Y190,Y193:Y194,Y201,Y203,Y205,Y209:Y211,Y213:Y215,Y220,Y226:Y227,Y229:Y231,Y239,Y244)</f>
        <v>479.45600000000002</v>
      </c>
      <c r="Z118" s="111">
        <f t="shared" si="61"/>
        <v>481.76</v>
      </c>
      <c r="AA118" s="111">
        <f t="shared" si="58"/>
        <v>463.82099999999997</v>
      </c>
      <c r="AB118" s="111">
        <f t="shared" si="58"/>
        <v>446.65100000000001</v>
      </c>
      <c r="AC118" s="111">
        <f t="shared" si="58"/>
        <v>367.94</v>
      </c>
      <c r="AD118" s="111"/>
      <c r="AE118" s="111">
        <f>SUM(AE22,AE28,AE31:AE32,AE66,AE68:AE69,AE71,AE73,AE119:AE123,AE155,AE161,AE167,AE176,AE178,AE190,AE197,AE200:AE201,AE208,AE210,AE212,AE216:AE218,AE220:AE222,AE227,AE233:AE234,AE236:AE238,AE246,AE251)</f>
        <v>306.54000000000002</v>
      </c>
      <c r="AF118" s="111">
        <f>SUM(AF22,AF28,AF31:AF32,AF66,AF68:AF69,AF71,AF73,AF119:AF123,AF155,AF161,AF167,AF176,AF178,AF190,AF197,AF200:AF201,AF208,AF210,AF212,AF216:AF218,AF220:AF222,AF227,AF233:AF234,AF236:AF238,AF246,AF251)</f>
        <v>222.54000000000002</v>
      </c>
      <c r="AG118" s="112"/>
      <c r="AH118" s="47">
        <f t="shared" si="21"/>
        <v>481.76</v>
      </c>
      <c r="AI118" s="48">
        <f t="shared" si="22"/>
        <v>42</v>
      </c>
    </row>
    <row r="119" spans="1:35" x14ac:dyDescent="0.25">
      <c r="A119" s="172" t="s">
        <v>119</v>
      </c>
      <c r="B119" s="113">
        <v>15.1</v>
      </c>
      <c r="C119" s="113">
        <v>-2.7</v>
      </c>
      <c r="D119" s="113">
        <v>-5.0999999999999996</v>
      </c>
      <c r="E119" s="113">
        <v>-3.8</v>
      </c>
      <c r="F119" s="113">
        <v>-2.6</v>
      </c>
      <c r="G119" s="113">
        <v>7.9</v>
      </c>
      <c r="H119" s="113">
        <v>25.9</v>
      </c>
      <c r="I119" s="113">
        <v>27.2</v>
      </c>
      <c r="J119" s="113">
        <v>43.6</v>
      </c>
      <c r="K119" s="113">
        <v>47.4</v>
      </c>
      <c r="L119" s="113">
        <v>34.299999999999997</v>
      </c>
      <c r="M119" s="113">
        <v>35.9</v>
      </c>
      <c r="N119" s="113">
        <v>41.6</v>
      </c>
      <c r="O119" s="113">
        <v>45.5</v>
      </c>
      <c r="P119" s="113">
        <v>33.700000000000003</v>
      </c>
      <c r="Q119" s="113">
        <v>37.799999999999997</v>
      </c>
      <c r="R119" s="113">
        <v>31.3</v>
      </c>
      <c r="S119" s="113">
        <v>30.4</v>
      </c>
      <c r="T119" s="113">
        <v>27.5</v>
      </c>
      <c r="U119" s="113">
        <v>35.799999999999997</v>
      </c>
      <c r="V119" s="113">
        <v>38.200000000000003</v>
      </c>
      <c r="W119" s="113">
        <v>46.2</v>
      </c>
      <c r="X119" s="113">
        <v>52.4</v>
      </c>
      <c r="Y119" s="113">
        <v>51.8</v>
      </c>
      <c r="Z119" s="113">
        <v>55</v>
      </c>
      <c r="AA119" s="113">
        <v>58.8</v>
      </c>
      <c r="AB119" s="113">
        <v>53.8</v>
      </c>
      <c r="AC119" s="113">
        <v>35.200000000000003</v>
      </c>
      <c r="AD119" s="113">
        <v>35.200000000000003</v>
      </c>
      <c r="AE119" s="113">
        <v>21.1</v>
      </c>
      <c r="AF119" s="113">
        <v>2.7</v>
      </c>
      <c r="AG119" s="114">
        <v>75</v>
      </c>
      <c r="AH119" s="47">
        <f t="shared" si="21"/>
        <v>58.8</v>
      </c>
      <c r="AI119" s="48">
        <f t="shared" si="22"/>
        <v>-5.0999999999999996</v>
      </c>
    </row>
    <row r="120" spans="1:35" x14ac:dyDescent="0.25">
      <c r="A120" s="173" t="s">
        <v>120</v>
      </c>
      <c r="B120" s="115">
        <v>17.5</v>
      </c>
      <c r="C120" s="115">
        <v>-5</v>
      </c>
      <c r="D120" s="115">
        <v>-7.5</v>
      </c>
      <c r="E120" s="115">
        <v>-4</v>
      </c>
      <c r="F120" s="115">
        <v>-2.9</v>
      </c>
      <c r="G120" s="115">
        <v>12.3</v>
      </c>
      <c r="H120" s="115">
        <v>34.299999999999997</v>
      </c>
      <c r="I120" s="115">
        <v>35.200000000000003</v>
      </c>
      <c r="J120" s="115">
        <v>56.6</v>
      </c>
      <c r="K120" s="115">
        <v>62.5</v>
      </c>
      <c r="L120" s="115">
        <v>46.6</v>
      </c>
      <c r="M120" s="115">
        <v>48.7</v>
      </c>
      <c r="N120" s="115">
        <v>56.9</v>
      </c>
      <c r="O120" s="115">
        <v>61.6</v>
      </c>
      <c r="P120" s="115">
        <v>42.4</v>
      </c>
      <c r="Q120" s="115">
        <v>50.7</v>
      </c>
      <c r="R120" s="115">
        <v>41.6</v>
      </c>
      <c r="S120" s="115">
        <v>39.979999999999997</v>
      </c>
      <c r="T120" s="115">
        <v>36.1</v>
      </c>
      <c r="U120" s="115">
        <v>46.9</v>
      </c>
      <c r="V120" s="115">
        <v>55</v>
      </c>
      <c r="W120" s="115">
        <v>63.6</v>
      </c>
      <c r="X120" s="115">
        <v>71.900000000000006</v>
      </c>
      <c r="Y120" s="211">
        <v>69.900000000000006</v>
      </c>
      <c r="Z120" s="115">
        <v>74.5</v>
      </c>
      <c r="AA120" s="115">
        <v>79.900000000000006</v>
      </c>
      <c r="AB120" s="115">
        <v>72.400000000000006</v>
      </c>
      <c r="AC120" s="115">
        <v>47.8</v>
      </c>
      <c r="AD120" s="115">
        <v>47.8</v>
      </c>
      <c r="AE120" s="115">
        <v>26</v>
      </c>
      <c r="AF120" s="115">
        <v>1.2</v>
      </c>
      <c r="AG120" s="114">
        <v>240</v>
      </c>
      <c r="AH120" s="47">
        <f t="shared" si="21"/>
        <v>79.900000000000006</v>
      </c>
      <c r="AI120" s="48">
        <f t="shared" si="22"/>
        <v>-7.5</v>
      </c>
    </row>
    <row r="121" spans="1:35" x14ac:dyDescent="0.25">
      <c r="A121" s="173" t="s">
        <v>121</v>
      </c>
      <c r="B121" s="115">
        <v>-46</v>
      </c>
      <c r="C121" s="115">
        <v>-42.3</v>
      </c>
      <c r="D121" s="115">
        <v>-43.1</v>
      </c>
      <c r="E121" s="115">
        <v>-42.8</v>
      </c>
      <c r="F121" s="115">
        <v>-45</v>
      </c>
      <c r="G121" s="115">
        <v>-41</v>
      </c>
      <c r="H121" s="115">
        <v>-44</v>
      </c>
      <c r="I121" s="115">
        <v>-31.8</v>
      </c>
      <c r="J121" s="115">
        <v>-13.2</v>
      </c>
      <c r="K121" s="115">
        <v>3.7</v>
      </c>
      <c r="L121" s="115">
        <v>47</v>
      </c>
      <c r="M121" s="115">
        <f>25.2+25.6</f>
        <v>50.8</v>
      </c>
      <c r="N121" s="115">
        <f>-20-20</f>
        <v>-40</v>
      </c>
      <c r="O121" s="115">
        <f>19.3+21</f>
        <v>40.299999999999997</v>
      </c>
      <c r="P121" s="115">
        <f>20+22.1</f>
        <v>42.1</v>
      </c>
      <c r="Q121" s="115">
        <f>2.9+3.5</f>
        <v>6.4</v>
      </c>
      <c r="R121" s="115">
        <f>4</f>
        <v>4</v>
      </c>
      <c r="S121" s="115">
        <v>4</v>
      </c>
      <c r="T121" s="115">
        <v>4.5999999999999996</v>
      </c>
      <c r="U121" s="115">
        <v>3.7</v>
      </c>
      <c r="V121" s="115">
        <v>26.2</v>
      </c>
      <c r="W121" s="115">
        <v>38</v>
      </c>
      <c r="X121" s="115">
        <v>46</v>
      </c>
      <c r="Y121" s="115">
        <v>53.6</v>
      </c>
      <c r="Z121" s="115">
        <v>53.3</v>
      </c>
      <c r="AA121" s="115">
        <v>50</v>
      </c>
      <c r="AB121" s="115">
        <v>48.7</v>
      </c>
      <c r="AC121" s="115">
        <v>40</v>
      </c>
      <c r="AD121" s="115">
        <v>40</v>
      </c>
      <c r="AE121" s="115">
        <v>25</v>
      </c>
      <c r="AF121" s="115">
        <v>0.2</v>
      </c>
      <c r="AG121" s="114">
        <v>240</v>
      </c>
      <c r="AH121" s="47">
        <f t="shared" si="21"/>
        <v>53.6</v>
      </c>
      <c r="AI121" s="48">
        <f t="shared" si="22"/>
        <v>-46</v>
      </c>
    </row>
    <row r="122" spans="1:35" ht="15.75" thickBot="1" x14ac:dyDescent="0.3">
      <c r="A122" s="173" t="s">
        <v>122</v>
      </c>
      <c r="B122" s="115">
        <v>-11.5</v>
      </c>
      <c r="C122" s="115">
        <v>-6.5</v>
      </c>
      <c r="D122" s="115">
        <v>-9.9</v>
      </c>
      <c r="E122" s="115">
        <v>-10.9</v>
      </c>
      <c r="F122" s="115">
        <v>-12.8</v>
      </c>
      <c r="G122" s="115">
        <v>-8.9</v>
      </c>
      <c r="H122" s="115">
        <v>-9.1999999999999993</v>
      </c>
      <c r="I122" s="115">
        <v>-4.4000000000000004</v>
      </c>
      <c r="J122" s="115">
        <v>3.4</v>
      </c>
      <c r="K122" s="115">
        <v>5.5</v>
      </c>
      <c r="L122" s="115">
        <v>33.5</v>
      </c>
      <c r="M122" s="115">
        <v>32.700000000000003</v>
      </c>
      <c r="N122" s="115">
        <v>30.3</v>
      </c>
      <c r="O122" s="115">
        <v>25.2</v>
      </c>
      <c r="P122" s="115">
        <v>23.6</v>
      </c>
      <c r="Q122" s="115">
        <v>20.3</v>
      </c>
      <c r="R122" s="115">
        <v>21.7</v>
      </c>
      <c r="S122" s="115">
        <v>8.1999999999999993</v>
      </c>
      <c r="T122" s="115">
        <v>15.8</v>
      </c>
      <c r="U122" s="115">
        <v>16.8</v>
      </c>
      <c r="V122" s="115">
        <v>18</v>
      </c>
      <c r="W122" s="115">
        <v>23</v>
      </c>
      <c r="X122" s="115">
        <v>33</v>
      </c>
      <c r="Y122" s="115">
        <v>42</v>
      </c>
      <c r="Z122" s="115">
        <v>34.799999999999997</v>
      </c>
      <c r="AA122" s="115">
        <v>27.9</v>
      </c>
      <c r="AB122" s="115">
        <v>26</v>
      </c>
      <c r="AC122" s="115">
        <v>15</v>
      </c>
      <c r="AD122" s="115">
        <v>15</v>
      </c>
      <c r="AE122" s="115">
        <v>9</v>
      </c>
      <c r="AF122" s="115">
        <v>0</v>
      </c>
      <c r="AG122" s="114">
        <v>60</v>
      </c>
      <c r="AH122" s="47">
        <f t="shared" si="21"/>
        <v>42</v>
      </c>
      <c r="AI122" s="48">
        <f t="shared" si="22"/>
        <v>-12.8</v>
      </c>
    </row>
    <row r="123" spans="1:35" x14ac:dyDescent="0.25">
      <c r="A123" s="172" t="s">
        <v>260</v>
      </c>
      <c r="B123" s="117">
        <f>57.1*1.67</f>
        <v>95.356999999999999</v>
      </c>
      <c r="C123" s="117">
        <f>67.6*1.67</f>
        <v>112.89199999999998</v>
      </c>
      <c r="D123" s="117">
        <f>69.3*1.67</f>
        <v>115.73099999999999</v>
      </c>
      <c r="E123" s="117">
        <v>110</v>
      </c>
      <c r="F123" s="117">
        <v>112</v>
      </c>
      <c r="G123" s="117">
        <v>112</v>
      </c>
      <c r="H123" s="117">
        <v>104</v>
      </c>
      <c r="I123" s="117">
        <v>115</v>
      </c>
      <c r="J123" s="117">
        <v>138</v>
      </c>
      <c r="K123" s="117">
        <v>145</v>
      </c>
      <c r="L123" s="117">
        <v>177</v>
      </c>
      <c r="M123" s="117">
        <f>111*1.6</f>
        <v>177.60000000000002</v>
      </c>
      <c r="N123" s="117">
        <f>85*1.64</f>
        <v>139.4</v>
      </c>
      <c r="O123" s="117">
        <f>74*1.64</f>
        <v>121.36</v>
      </c>
      <c r="P123" s="117">
        <f>79*1.64</f>
        <v>129.56</v>
      </c>
      <c r="Q123" s="117">
        <f>82*1.64</f>
        <v>134.47999999999999</v>
      </c>
      <c r="R123" s="117">
        <f>73*1.64</f>
        <v>119.72</v>
      </c>
      <c r="S123" s="117">
        <f>78.2*1.6</f>
        <v>125.12</v>
      </c>
      <c r="T123" s="117">
        <f>79.5*1.6</f>
        <v>127.2</v>
      </c>
      <c r="U123" s="117">
        <f>78.3*1.63</f>
        <v>127.62899999999999</v>
      </c>
      <c r="V123" s="117"/>
      <c r="W123" s="117">
        <f>70*1.63</f>
        <v>114.1</v>
      </c>
      <c r="X123" s="117">
        <f>84.4*1.67</f>
        <v>140.94800000000001</v>
      </c>
      <c r="Y123" s="115">
        <f>96.8*1.67</f>
        <v>161.65599999999998</v>
      </c>
      <c r="Z123" s="117">
        <f>98*1.67</f>
        <v>163.66</v>
      </c>
      <c r="AA123" s="117">
        <f>94.3*1.67</f>
        <v>157.48099999999999</v>
      </c>
      <c r="AB123" s="117">
        <f>1.67*93.3</f>
        <v>155.81099999999998</v>
      </c>
      <c r="AC123" s="117">
        <v>140</v>
      </c>
      <c r="AD123" s="117">
        <v>140</v>
      </c>
      <c r="AE123" s="117">
        <v>130</v>
      </c>
      <c r="AF123" s="117">
        <v>120</v>
      </c>
      <c r="AG123" s="118">
        <v>120</v>
      </c>
      <c r="AH123" s="47">
        <f t="shared" si="21"/>
        <v>177.60000000000002</v>
      </c>
      <c r="AI123" s="48">
        <f t="shared" si="22"/>
        <v>95.356999999999999</v>
      </c>
    </row>
    <row r="124" spans="1:35" x14ac:dyDescent="0.25">
      <c r="A124" s="173" t="s">
        <v>259</v>
      </c>
      <c r="B124" s="117">
        <v>75.7</v>
      </c>
      <c r="C124" s="117">
        <v>82.3</v>
      </c>
      <c r="D124" s="117">
        <v>84</v>
      </c>
      <c r="E124" s="117">
        <v>81.8</v>
      </c>
      <c r="F124" s="117">
        <v>83.1</v>
      </c>
      <c r="G124" s="117">
        <v>80.400000000000006</v>
      </c>
      <c r="H124" s="117">
        <v>79.7</v>
      </c>
      <c r="I124" s="117">
        <v>85.2</v>
      </c>
      <c r="J124" s="117">
        <v>94.5</v>
      </c>
      <c r="K124" s="117">
        <v>92.8</v>
      </c>
      <c r="L124" s="117">
        <v>111.7</v>
      </c>
      <c r="M124" s="117">
        <v>115</v>
      </c>
      <c r="N124" s="117">
        <v>95</v>
      </c>
      <c r="O124" s="117">
        <v>86.9</v>
      </c>
      <c r="P124" s="117">
        <v>91.4</v>
      </c>
      <c r="Q124" s="117">
        <v>92.3</v>
      </c>
      <c r="R124" s="117">
        <v>84.6</v>
      </c>
      <c r="S124" s="117">
        <v>89.1</v>
      </c>
      <c r="T124" s="117">
        <v>89.7</v>
      </c>
      <c r="U124" s="117">
        <v>91.2</v>
      </c>
      <c r="V124" s="117">
        <v>77.2</v>
      </c>
      <c r="W124" s="117">
        <v>81.8</v>
      </c>
      <c r="X124" s="117">
        <v>92.9</v>
      </c>
      <c r="Y124" s="212">
        <v>104.2</v>
      </c>
      <c r="Z124" s="117">
        <v>105.4</v>
      </c>
      <c r="AA124" s="117">
        <v>102.6</v>
      </c>
      <c r="AB124" s="117">
        <v>101.7</v>
      </c>
      <c r="AC124" s="117">
        <v>91</v>
      </c>
      <c r="AD124" s="117">
        <v>91</v>
      </c>
      <c r="AE124" s="117">
        <v>90</v>
      </c>
      <c r="AF124" s="117">
        <v>83.5</v>
      </c>
      <c r="AG124" s="118"/>
      <c r="AH124" s="47"/>
      <c r="AI124" s="48"/>
    </row>
    <row r="125" spans="1:35" x14ac:dyDescent="0.25">
      <c r="A125" s="173" t="s">
        <v>256</v>
      </c>
      <c r="B125" s="117">
        <v>56.7</v>
      </c>
      <c r="C125" s="117">
        <v>76</v>
      </c>
      <c r="D125" s="117">
        <v>36.1</v>
      </c>
      <c r="E125" s="117">
        <v>71.2</v>
      </c>
      <c r="F125" s="117">
        <v>71.400000000000006</v>
      </c>
      <c r="G125" s="117">
        <v>48.3</v>
      </c>
      <c r="H125" s="117">
        <v>26.2</v>
      </c>
      <c r="I125" s="117">
        <v>21.4</v>
      </c>
      <c r="J125" s="117">
        <v>-2</v>
      </c>
      <c r="K125" s="117">
        <v>-20.9</v>
      </c>
      <c r="L125" s="117">
        <v>-28</v>
      </c>
      <c r="M125" s="117">
        <v>-22</v>
      </c>
      <c r="N125" s="117">
        <v>-46</v>
      </c>
      <c r="O125" s="117">
        <v>-51.5</v>
      </c>
      <c r="P125" s="117">
        <v>-18.8</v>
      </c>
      <c r="Q125" s="117">
        <v>-4.0999999999999996</v>
      </c>
      <c r="R125" s="117">
        <v>0.4</v>
      </c>
      <c r="S125" s="117">
        <v>8.8000000000000007</v>
      </c>
      <c r="T125" s="117">
        <v>10.8</v>
      </c>
      <c r="U125" s="117">
        <v>-3.3</v>
      </c>
      <c r="V125" s="117">
        <v>-36.700000000000003</v>
      </c>
      <c r="W125" s="117">
        <v>-57.6</v>
      </c>
      <c r="X125" s="117">
        <v>-71.8</v>
      </c>
      <c r="Y125" s="212">
        <v>-78.5</v>
      </c>
      <c r="Z125" s="117">
        <v>-73.2</v>
      </c>
      <c r="AA125" s="117">
        <v>-71.099999999999994</v>
      </c>
      <c r="AB125" s="117">
        <v>-60.3</v>
      </c>
      <c r="AC125" s="117">
        <v>-35</v>
      </c>
      <c r="AD125" s="117">
        <v>-35</v>
      </c>
      <c r="AE125" s="117">
        <v>-3.5</v>
      </c>
      <c r="AF125" s="117">
        <v>-42</v>
      </c>
      <c r="AG125" s="118"/>
      <c r="AH125" s="47"/>
      <c r="AI125" s="48"/>
    </row>
    <row r="126" spans="1:35" ht="15.75" thickBot="1" x14ac:dyDescent="0.3">
      <c r="A126" s="173" t="s">
        <v>255</v>
      </c>
      <c r="B126" s="117">
        <v>101</v>
      </c>
      <c r="C126" s="117">
        <v>102.9</v>
      </c>
      <c r="D126" s="117">
        <v>110</v>
      </c>
      <c r="E126" s="117">
        <v>102.4</v>
      </c>
      <c r="F126" s="117">
        <v>101</v>
      </c>
      <c r="G126" s="117">
        <v>107</v>
      </c>
      <c r="H126" s="117">
        <v>101</v>
      </c>
      <c r="I126" s="117">
        <v>107.6</v>
      </c>
      <c r="J126" s="117">
        <v>110</v>
      </c>
      <c r="K126" s="117">
        <v>101.8</v>
      </c>
      <c r="L126" s="117">
        <v>101</v>
      </c>
      <c r="M126" s="117">
        <v>95.8</v>
      </c>
      <c r="N126" s="117">
        <v>74.5</v>
      </c>
      <c r="O126" s="117">
        <v>71</v>
      </c>
      <c r="P126" s="117">
        <v>83.1</v>
      </c>
      <c r="Q126" s="117">
        <v>106</v>
      </c>
      <c r="R126" s="117">
        <v>100</v>
      </c>
      <c r="S126" s="117">
        <v>95.8</v>
      </c>
      <c r="T126" s="117">
        <v>102.9</v>
      </c>
      <c r="U126" s="117">
        <v>104.5</v>
      </c>
      <c r="V126" s="117">
        <v>75.099999999999994</v>
      </c>
      <c r="W126" s="117">
        <v>64.400000000000006</v>
      </c>
      <c r="X126" s="117">
        <v>68</v>
      </c>
      <c r="Y126" s="117">
        <v>84</v>
      </c>
      <c r="Z126" s="117">
        <v>81.400000000000006</v>
      </c>
      <c r="AA126" s="117">
        <v>81.8</v>
      </c>
      <c r="AB126" s="117">
        <v>91.2</v>
      </c>
      <c r="AC126" s="117">
        <v>78</v>
      </c>
      <c r="AD126" s="117">
        <v>78</v>
      </c>
      <c r="AE126" s="117">
        <v>74</v>
      </c>
      <c r="AF126" s="117">
        <v>78</v>
      </c>
      <c r="AG126" s="114"/>
      <c r="AH126" s="47">
        <f t="shared" si="21"/>
        <v>110</v>
      </c>
      <c r="AI126" s="48">
        <f t="shared" si="22"/>
        <v>64.400000000000006</v>
      </c>
    </row>
    <row r="127" spans="1:35" x14ac:dyDescent="0.25">
      <c r="A127" s="172" t="s">
        <v>257</v>
      </c>
      <c r="B127" s="117">
        <v>4</v>
      </c>
      <c r="C127" s="117">
        <v>16.600000000000001</v>
      </c>
      <c r="D127" s="117">
        <v>13.8</v>
      </c>
      <c r="E127" s="117">
        <v>13.3</v>
      </c>
      <c r="F127" s="117">
        <v>13.9</v>
      </c>
      <c r="G127" s="117">
        <v>12.1</v>
      </c>
      <c r="H127" s="117">
        <v>9.3000000000000007</v>
      </c>
      <c r="I127" s="117">
        <v>6.8</v>
      </c>
      <c r="J127" s="117">
        <v>-9</v>
      </c>
      <c r="K127" s="117">
        <v>-13.3</v>
      </c>
      <c r="L127" s="117">
        <v>-7</v>
      </c>
      <c r="M127" s="117">
        <v>-10.3</v>
      </c>
      <c r="N127" s="117">
        <v>-11.4</v>
      </c>
      <c r="O127" s="117">
        <v>-15.7</v>
      </c>
      <c r="P127" s="117">
        <v>-9.6</v>
      </c>
      <c r="Q127" s="117">
        <v>-17</v>
      </c>
      <c r="R127" s="117">
        <v>-13</v>
      </c>
      <c r="S127" s="117">
        <v>-13.3</v>
      </c>
      <c r="T127" s="117">
        <v>-10.199999999999999</v>
      </c>
      <c r="U127" s="117">
        <v>-10.5</v>
      </c>
      <c r="V127" s="117">
        <v>-12.1</v>
      </c>
      <c r="W127" s="117">
        <v>-9.6999999999999993</v>
      </c>
      <c r="X127" s="117">
        <v>-15.7</v>
      </c>
      <c r="Y127" s="117">
        <v>-16.600000000000001</v>
      </c>
      <c r="Z127" s="117">
        <v>-17.3</v>
      </c>
      <c r="AA127" s="117">
        <v>-19.2</v>
      </c>
      <c r="AB127" s="117">
        <v>-20.5</v>
      </c>
      <c r="AC127" s="117">
        <v>-7.5</v>
      </c>
      <c r="AD127" s="117">
        <v>-7.5</v>
      </c>
      <c r="AE127" s="117">
        <v>0</v>
      </c>
      <c r="AF127" s="106">
        <v>13</v>
      </c>
      <c r="AG127" s="114"/>
      <c r="AH127" s="47">
        <f t="shared" si="21"/>
        <v>16.600000000000001</v>
      </c>
      <c r="AI127" s="48">
        <f t="shared" si="22"/>
        <v>-20.5</v>
      </c>
    </row>
    <row r="128" spans="1:35" x14ac:dyDescent="0.25">
      <c r="A128" s="173" t="s">
        <v>124</v>
      </c>
      <c r="B128" s="106">
        <v>-1.7</v>
      </c>
      <c r="C128" s="106">
        <v>-1.1000000000000001</v>
      </c>
      <c r="D128" s="106">
        <v>-5.6</v>
      </c>
      <c r="E128" s="106">
        <v>1.5</v>
      </c>
      <c r="F128" s="106">
        <v>0.8</v>
      </c>
      <c r="G128" s="106">
        <v>-3.5</v>
      </c>
      <c r="H128" s="106">
        <v>-9.1999999999999993</v>
      </c>
      <c r="I128" s="106">
        <v>-15.1</v>
      </c>
      <c r="J128" s="106">
        <v>-23.9</v>
      </c>
      <c r="K128" s="106">
        <v>-26.8</v>
      </c>
      <c r="L128" s="106">
        <f>-33</f>
        <v>-33</v>
      </c>
      <c r="M128" s="106">
        <v>-37.5</v>
      </c>
      <c r="N128" s="106">
        <v>-24.9</v>
      </c>
      <c r="O128" s="106">
        <v>-21.3</v>
      </c>
      <c r="P128" s="106">
        <v>-14.5</v>
      </c>
      <c r="Q128" s="106">
        <v>-10.3</v>
      </c>
      <c r="R128" s="106">
        <v>-7.7</v>
      </c>
      <c r="S128" s="106">
        <v>-14.5</v>
      </c>
      <c r="T128" s="106">
        <v>-9.6999999999999993</v>
      </c>
      <c r="U128" s="106"/>
      <c r="V128" s="106">
        <v>-25.1</v>
      </c>
      <c r="W128" s="106">
        <v>-32.1</v>
      </c>
      <c r="X128" s="106">
        <v>-47.9</v>
      </c>
      <c r="Y128" s="117">
        <v>-46.7</v>
      </c>
      <c r="Z128" s="106">
        <v>-38.6</v>
      </c>
      <c r="AA128" s="106">
        <v>-34.6</v>
      </c>
      <c r="AB128" s="106">
        <v>-25</v>
      </c>
      <c r="AC128" s="106">
        <v>-15</v>
      </c>
      <c r="AD128" s="106">
        <v>-15</v>
      </c>
      <c r="AE128" s="106">
        <v>-2</v>
      </c>
      <c r="AF128" s="106">
        <v>-3.6</v>
      </c>
      <c r="AG128" s="114"/>
      <c r="AH128" s="47">
        <f t="shared" si="21"/>
        <v>1.5</v>
      </c>
      <c r="AI128" s="48">
        <f t="shared" si="22"/>
        <v>-47.9</v>
      </c>
    </row>
    <row r="129" spans="1:37" x14ac:dyDescent="0.25">
      <c r="A129" s="173" t="s">
        <v>261</v>
      </c>
      <c r="B129" s="106">
        <v>27.3</v>
      </c>
      <c r="C129" s="106">
        <v>23.5</v>
      </c>
      <c r="D129" s="106">
        <v>27.2</v>
      </c>
      <c r="E129" s="106">
        <v>26.2</v>
      </c>
      <c r="F129" s="106">
        <v>26.3</v>
      </c>
      <c r="G129" s="106">
        <v>27.5</v>
      </c>
      <c r="H129" s="106">
        <v>28.4</v>
      </c>
      <c r="I129" s="106">
        <v>29.2</v>
      </c>
      <c r="J129" s="106">
        <v>31.3</v>
      </c>
      <c r="K129" s="106">
        <v>20.6</v>
      </c>
      <c r="L129" s="106">
        <v>13</v>
      </c>
      <c r="M129" s="106">
        <v>13.5</v>
      </c>
      <c r="N129" s="106">
        <v>13.3</v>
      </c>
      <c r="O129" s="106">
        <v>12.1</v>
      </c>
      <c r="P129" s="106">
        <v>12.3</v>
      </c>
      <c r="Q129" s="106">
        <v>20.5</v>
      </c>
      <c r="R129" s="106">
        <v>20.5</v>
      </c>
      <c r="S129" s="106">
        <v>20</v>
      </c>
      <c r="T129" s="106">
        <v>21.9</v>
      </c>
      <c r="U129" s="106">
        <v>17.2</v>
      </c>
      <c r="V129" s="106">
        <v>11.3</v>
      </c>
      <c r="W129" s="106">
        <v>9.5</v>
      </c>
      <c r="X129" s="106">
        <v>11.3</v>
      </c>
      <c r="Y129" s="213">
        <v>11.7</v>
      </c>
      <c r="Z129" s="106">
        <v>11.3</v>
      </c>
      <c r="AA129" s="106">
        <v>10.6</v>
      </c>
      <c r="AB129" s="106">
        <v>9.9</v>
      </c>
      <c r="AC129" s="106">
        <v>17</v>
      </c>
      <c r="AD129" s="106">
        <v>17</v>
      </c>
      <c r="AE129" s="106">
        <v>25</v>
      </c>
      <c r="AF129" s="106">
        <v>25</v>
      </c>
      <c r="AG129" s="114"/>
      <c r="AH129" s="47">
        <f t="shared" si="21"/>
        <v>31.3</v>
      </c>
      <c r="AI129" s="48">
        <f t="shared" si="22"/>
        <v>9.5</v>
      </c>
    </row>
    <row r="130" spans="1:37" ht="15.75" thickBot="1" x14ac:dyDescent="0.3">
      <c r="A130" s="173" t="s">
        <v>258</v>
      </c>
      <c r="B130" s="106">
        <v>84.1</v>
      </c>
      <c r="C130" s="106">
        <v>79</v>
      </c>
      <c r="D130" s="106">
        <v>80.3</v>
      </c>
      <c r="E130" s="106">
        <v>79.900000000000006</v>
      </c>
      <c r="F130" s="106">
        <v>80.7</v>
      </c>
      <c r="G130" s="106">
        <v>79.599999999999994</v>
      </c>
      <c r="H130" s="106">
        <v>86.5</v>
      </c>
      <c r="I130" s="106">
        <v>88</v>
      </c>
      <c r="J130" s="106">
        <v>99.4</v>
      </c>
      <c r="K130" s="106">
        <v>102.4</v>
      </c>
      <c r="L130" s="106">
        <v>95.2</v>
      </c>
      <c r="M130" s="106">
        <v>101.3</v>
      </c>
      <c r="N130" s="106">
        <v>87</v>
      </c>
      <c r="O130" s="106">
        <v>78.400000000000006</v>
      </c>
      <c r="P130" s="106">
        <v>76.099999999999994</v>
      </c>
      <c r="Q130" s="106">
        <v>103.5</v>
      </c>
      <c r="R130" s="106">
        <v>95.1</v>
      </c>
      <c r="S130" s="106">
        <v>99.8</v>
      </c>
      <c r="T130" s="106">
        <v>100.7</v>
      </c>
      <c r="U130" s="106">
        <v>98.5</v>
      </c>
      <c r="V130" s="106">
        <v>87.7</v>
      </c>
      <c r="W130" s="106">
        <v>92.8</v>
      </c>
      <c r="X130" s="106">
        <v>114</v>
      </c>
      <c r="Y130" s="213">
        <v>106.9</v>
      </c>
      <c r="Z130" s="106">
        <v>105.8</v>
      </c>
      <c r="AA130" s="106">
        <v>104.1</v>
      </c>
      <c r="AB130" s="106">
        <v>94.6</v>
      </c>
      <c r="AC130" s="106">
        <v>96</v>
      </c>
      <c r="AD130" s="106">
        <v>96</v>
      </c>
      <c r="AE130" s="106">
        <v>94</v>
      </c>
      <c r="AF130" s="106">
        <v>92</v>
      </c>
      <c r="AG130" s="114"/>
      <c r="AH130" s="47">
        <f t="shared" si="21"/>
        <v>114</v>
      </c>
      <c r="AI130" s="48">
        <f t="shared" si="22"/>
        <v>76.099999999999994</v>
      </c>
    </row>
    <row r="131" spans="1:37" x14ac:dyDescent="0.25">
      <c r="A131" s="144" t="s">
        <v>238</v>
      </c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6"/>
      <c r="AG131" s="43"/>
      <c r="AH131" s="47"/>
      <c r="AI131" s="48"/>
    </row>
    <row r="132" spans="1:37" ht="16.5" x14ac:dyDescent="0.25">
      <c r="A132" s="189" t="s">
        <v>368</v>
      </c>
      <c r="B132" s="205">
        <v>1983.7</v>
      </c>
      <c r="C132" s="205">
        <v>1983.99</v>
      </c>
      <c r="D132" s="205">
        <v>1984.24</v>
      </c>
      <c r="E132" s="205">
        <v>1984.5</v>
      </c>
      <c r="F132" s="205">
        <v>1984.75</v>
      </c>
      <c r="G132" s="205">
        <v>1985</v>
      </c>
      <c r="H132" s="205"/>
      <c r="I132" s="205">
        <v>1985.2</v>
      </c>
      <c r="J132" s="205"/>
      <c r="K132" s="205">
        <v>1985.31</v>
      </c>
      <c r="L132" s="205"/>
      <c r="M132" s="147">
        <v>1984.94</v>
      </c>
      <c r="N132" s="147">
        <v>1984.08</v>
      </c>
      <c r="O132" s="147">
        <v>1983.55</v>
      </c>
      <c r="P132" s="147">
        <v>1983.68</v>
      </c>
      <c r="Q132" s="147">
        <v>1983.9</v>
      </c>
      <c r="R132" s="147">
        <v>1984.11</v>
      </c>
      <c r="S132" s="147">
        <v>1984.35</v>
      </c>
      <c r="T132" s="147">
        <v>1984.58</v>
      </c>
      <c r="U132" s="147">
        <v>1984.74</v>
      </c>
      <c r="V132" s="147">
        <v>1984.9</v>
      </c>
      <c r="W132" s="147"/>
      <c r="X132" s="147">
        <v>1984.85</v>
      </c>
      <c r="Y132" s="147"/>
      <c r="Z132" s="147">
        <v>1984.38</v>
      </c>
      <c r="AA132" s="147"/>
      <c r="AB132" s="147">
        <v>1983.75</v>
      </c>
      <c r="AC132" s="147"/>
      <c r="AD132" s="147">
        <v>1983.6</v>
      </c>
      <c r="AE132" s="147">
        <v>1983.5</v>
      </c>
      <c r="AF132" s="148">
        <v>1984.12</v>
      </c>
      <c r="AG132" s="149"/>
      <c r="AH132" s="47"/>
      <c r="AI132" s="48"/>
    </row>
    <row r="133" spans="1:37" ht="16.5" x14ac:dyDescent="0.25">
      <c r="A133" s="189" t="s">
        <v>239</v>
      </c>
      <c r="B133" s="206">
        <v>519.4</v>
      </c>
      <c r="C133" s="206">
        <v>519.88</v>
      </c>
      <c r="D133" s="206">
        <v>520.34</v>
      </c>
      <c r="E133" s="206">
        <v>520.75</v>
      </c>
      <c r="F133" s="206">
        <v>521.14</v>
      </c>
      <c r="G133" s="206">
        <v>521.49</v>
      </c>
      <c r="H133" s="206"/>
      <c r="I133" s="206">
        <v>521.73</v>
      </c>
      <c r="J133" s="206"/>
      <c r="K133" s="206">
        <v>521.69000000000005</v>
      </c>
      <c r="L133" s="206"/>
      <c r="M133" s="150">
        <v>521.63</v>
      </c>
      <c r="N133" s="150">
        <v>521.5</v>
      </c>
      <c r="O133" s="150">
        <v>521.38</v>
      </c>
      <c r="P133" s="150">
        <v>521.38</v>
      </c>
      <c r="Q133" s="150">
        <v>521.38</v>
      </c>
      <c r="R133" s="150">
        <v>521.32000000000005</v>
      </c>
      <c r="S133" s="150">
        <v>521.34</v>
      </c>
      <c r="T133" s="150">
        <v>521.32000000000005</v>
      </c>
      <c r="U133" s="150">
        <v>521.29999999999995</v>
      </c>
      <c r="V133" s="150">
        <v>521.28</v>
      </c>
      <c r="W133" s="150"/>
      <c r="X133" s="150">
        <v>521.26</v>
      </c>
      <c r="Y133" s="150"/>
      <c r="Z133" s="150">
        <v>520.91</v>
      </c>
      <c r="AA133" s="150"/>
      <c r="AB133" s="150">
        <v>520.36</v>
      </c>
      <c r="AC133" s="150"/>
      <c r="AD133" s="150">
        <v>519.85</v>
      </c>
      <c r="AE133" s="150">
        <v>519.82000000000005</v>
      </c>
      <c r="AF133" s="151">
        <v>520.23</v>
      </c>
      <c r="AG133" s="149"/>
      <c r="AH133" s="47"/>
      <c r="AI133" s="48"/>
    </row>
    <row r="134" spans="1:37" ht="16.5" x14ac:dyDescent="0.25">
      <c r="A134" s="189" t="s">
        <v>240</v>
      </c>
      <c r="B134" s="206">
        <v>622.85</v>
      </c>
      <c r="C134" s="206">
        <v>623.24</v>
      </c>
      <c r="D134" s="206">
        <v>623.66999999999996</v>
      </c>
      <c r="E134" s="206">
        <v>624.14</v>
      </c>
      <c r="F134" s="206">
        <v>624.5</v>
      </c>
      <c r="G134" s="206">
        <v>624.79</v>
      </c>
      <c r="H134" s="206"/>
      <c r="I134" s="206">
        <v>624.63</v>
      </c>
      <c r="J134" s="206"/>
      <c r="K134" s="206">
        <v>624.29999999999995</v>
      </c>
      <c r="L134" s="206"/>
      <c r="M134" s="150">
        <v>623.9</v>
      </c>
      <c r="N134" s="150">
        <v>623.15</v>
      </c>
      <c r="O134" s="150">
        <v>623.09</v>
      </c>
      <c r="P134" s="150">
        <v>622.88</v>
      </c>
      <c r="Q134" s="150">
        <v>622.94000000000005</v>
      </c>
      <c r="R134" s="150">
        <v>622.89</v>
      </c>
      <c r="S134" s="150">
        <v>622.85</v>
      </c>
      <c r="T134" s="150">
        <v>622.91</v>
      </c>
      <c r="U134" s="150">
        <v>623.04</v>
      </c>
      <c r="V134" s="150">
        <v>623.12</v>
      </c>
      <c r="W134" s="150"/>
      <c r="X134" s="150">
        <v>622.98</v>
      </c>
      <c r="Y134" s="150"/>
      <c r="Z134" s="150">
        <v>622.28</v>
      </c>
      <c r="AA134" s="150"/>
      <c r="AB134" s="150">
        <v>621.46</v>
      </c>
      <c r="AC134" s="150"/>
      <c r="AD134" s="150">
        <v>621.55999999999995</v>
      </c>
      <c r="AE134" s="150">
        <v>622.04</v>
      </c>
      <c r="AF134" s="151">
        <v>622.76</v>
      </c>
      <c r="AG134" s="149"/>
      <c r="AH134" s="47"/>
      <c r="AI134" s="48"/>
    </row>
    <row r="135" spans="1:37" ht="16.5" x14ac:dyDescent="0.25">
      <c r="A135" s="189" t="s">
        <v>241</v>
      </c>
      <c r="B135" s="206">
        <v>334.4</v>
      </c>
      <c r="C135" s="206">
        <v>334.85</v>
      </c>
      <c r="D135" s="206">
        <v>335.12</v>
      </c>
      <c r="E135" s="206">
        <v>335.55</v>
      </c>
      <c r="F135" s="206">
        <v>335.82</v>
      </c>
      <c r="G135" s="206">
        <v>336.07</v>
      </c>
      <c r="H135" s="206"/>
      <c r="I135" s="206">
        <v>335.93</v>
      </c>
      <c r="J135" s="206"/>
      <c r="K135" s="206">
        <v>335.46</v>
      </c>
      <c r="L135" s="206"/>
      <c r="M135" s="150">
        <v>335.04</v>
      </c>
      <c r="N135" s="150">
        <v>334.67</v>
      </c>
      <c r="O135" s="150">
        <v>334.26</v>
      </c>
      <c r="P135" s="150">
        <v>333.99</v>
      </c>
      <c r="Q135" s="150">
        <v>333.95</v>
      </c>
      <c r="R135" s="150">
        <v>334.05</v>
      </c>
      <c r="S135" s="150">
        <v>334.95</v>
      </c>
      <c r="T135" s="150">
        <v>335.4</v>
      </c>
      <c r="U135" s="150">
        <v>335.61</v>
      </c>
      <c r="V135" s="150">
        <v>335.66</v>
      </c>
      <c r="W135" s="150"/>
      <c r="X135" s="150">
        <v>335.56</v>
      </c>
      <c r="Y135" s="150"/>
      <c r="Z135" s="150">
        <v>335.32</v>
      </c>
      <c r="AA135" s="150"/>
      <c r="AB135" s="150">
        <v>334.91</v>
      </c>
      <c r="AC135" s="150"/>
      <c r="AD135" s="150">
        <v>334.76</v>
      </c>
      <c r="AE135" s="150">
        <v>334.73</v>
      </c>
      <c r="AF135" s="151">
        <v>335.01</v>
      </c>
      <c r="AG135" s="149"/>
      <c r="AH135" s="47"/>
      <c r="AI135" s="48"/>
    </row>
    <row r="136" spans="1:37" ht="16.5" x14ac:dyDescent="0.25">
      <c r="A136" s="189" t="s">
        <v>407</v>
      </c>
      <c r="B136" s="206">
        <v>884.3</v>
      </c>
      <c r="C136" s="206">
        <v>885.6</v>
      </c>
      <c r="D136" s="206">
        <v>886.3</v>
      </c>
      <c r="E136" s="206">
        <v>886.8</v>
      </c>
      <c r="F136" s="206">
        <v>887.3</v>
      </c>
      <c r="G136" s="206">
        <v>887.7</v>
      </c>
      <c r="H136" s="206"/>
      <c r="I136" s="206">
        <v>887.3</v>
      </c>
      <c r="J136" s="206"/>
      <c r="K136" s="206">
        <v>886.7</v>
      </c>
      <c r="L136" s="206"/>
      <c r="M136" s="150">
        <v>886</v>
      </c>
      <c r="N136" s="150">
        <v>885.2</v>
      </c>
      <c r="O136" s="150">
        <v>884.2</v>
      </c>
      <c r="P136" s="150">
        <v>884.4</v>
      </c>
      <c r="Q136" s="150">
        <v>884.4</v>
      </c>
      <c r="R136" s="150">
        <v>884.4</v>
      </c>
      <c r="S136" s="150">
        <v>884.3</v>
      </c>
      <c r="T136" s="150">
        <v>884.8</v>
      </c>
      <c r="U136" s="150">
        <v>885.4</v>
      </c>
      <c r="V136" s="150">
        <v>886</v>
      </c>
      <c r="W136" s="150"/>
      <c r="X136" s="150">
        <v>886.2</v>
      </c>
      <c r="Y136" s="150"/>
      <c r="Z136" s="150">
        <v>885.3</v>
      </c>
      <c r="AA136" s="150"/>
      <c r="AB136" s="150">
        <v>883.3</v>
      </c>
      <c r="AC136" s="150"/>
      <c r="AD136" s="150">
        <v>883.1</v>
      </c>
      <c r="AE136" s="150">
        <v>883.5</v>
      </c>
      <c r="AF136" s="151">
        <v>884.3</v>
      </c>
      <c r="AG136" s="149"/>
      <c r="AH136" s="47"/>
      <c r="AI136" s="48"/>
    </row>
    <row r="137" spans="1:37" ht="17.25" thickBot="1" x14ac:dyDescent="0.3">
      <c r="A137" s="189" t="s">
        <v>242</v>
      </c>
      <c r="B137" s="207">
        <v>1518.84</v>
      </c>
      <c r="C137" s="207"/>
      <c r="D137" s="207"/>
      <c r="E137" s="207">
        <v>1518.84</v>
      </c>
      <c r="F137" s="207"/>
      <c r="G137" s="207">
        <v>1518.85</v>
      </c>
      <c r="H137" s="207"/>
      <c r="I137" s="207"/>
      <c r="J137" s="207"/>
      <c r="K137" s="207"/>
      <c r="L137" s="207"/>
      <c r="M137" s="152">
        <v>1518.85</v>
      </c>
      <c r="N137" s="152"/>
      <c r="O137" s="152"/>
      <c r="P137" s="152"/>
      <c r="Q137" s="152"/>
      <c r="R137" s="152"/>
      <c r="S137" s="152"/>
      <c r="T137" s="152">
        <v>1518.82</v>
      </c>
      <c r="U137" s="152"/>
      <c r="V137" s="152"/>
      <c r="W137" s="152"/>
      <c r="X137" s="152"/>
      <c r="Y137" s="152"/>
      <c r="Z137" s="152">
        <v>1518.81</v>
      </c>
      <c r="AA137" s="152"/>
      <c r="AB137" s="152"/>
      <c r="AC137" s="152"/>
      <c r="AD137" s="152"/>
      <c r="AE137" s="152"/>
      <c r="AF137" s="153"/>
      <c r="AG137" s="149"/>
      <c r="AH137" s="47"/>
      <c r="AI137" s="48"/>
    </row>
    <row r="138" spans="1:37" ht="15.75" thickBot="1" x14ac:dyDescent="0.3">
      <c r="A138" s="120" t="s">
        <v>125</v>
      </c>
      <c r="B138" s="121"/>
      <c r="C138" s="121"/>
      <c r="D138" s="121"/>
      <c r="E138" s="121"/>
      <c r="F138" s="170" t="s">
        <v>254</v>
      </c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74"/>
      <c r="AH138" s="47"/>
      <c r="AI138" s="48"/>
      <c r="AK138" s="50"/>
    </row>
    <row r="139" spans="1:37" x14ac:dyDescent="0.25">
      <c r="A139" s="122" t="s">
        <v>126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5">
        <v>9.94</v>
      </c>
      <c r="AH139" s="47"/>
      <c r="AI139" s="48"/>
      <c r="AK139" s="50"/>
    </row>
    <row r="140" spans="1:37" x14ac:dyDescent="0.25">
      <c r="A140" s="103" t="s">
        <v>127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5"/>
      <c r="AH140" s="47"/>
      <c r="AI140" s="48"/>
      <c r="AK140" s="50"/>
    </row>
    <row r="141" spans="1:37" x14ac:dyDescent="0.25">
      <c r="A141" s="103" t="s">
        <v>128</v>
      </c>
      <c r="B141" s="123"/>
      <c r="C141" s="124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5"/>
      <c r="AH141" s="47"/>
      <c r="AI141" s="48"/>
      <c r="AK141" s="50"/>
    </row>
    <row r="142" spans="1:37" x14ac:dyDescent="0.25">
      <c r="A142" s="103" t="s">
        <v>129</v>
      </c>
      <c r="B142" s="123"/>
      <c r="C142" s="124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5"/>
      <c r="AH142" s="47"/>
      <c r="AI142" s="48"/>
      <c r="AK142" s="50"/>
    </row>
    <row r="143" spans="1:37" x14ac:dyDescent="0.25">
      <c r="A143" s="103" t="s">
        <v>130</v>
      </c>
      <c r="B143" s="123"/>
      <c r="C143" s="124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5"/>
      <c r="AH143" s="47"/>
      <c r="AI143" s="48"/>
      <c r="AK143" s="50"/>
    </row>
    <row r="144" spans="1:37" x14ac:dyDescent="0.25">
      <c r="A144" s="103" t="s">
        <v>131</v>
      </c>
      <c r="B144" s="123"/>
      <c r="C144" s="124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5"/>
      <c r="AH144" s="47"/>
      <c r="AI144" s="48"/>
      <c r="AK144" s="50"/>
    </row>
    <row r="145" spans="1:37" x14ac:dyDescent="0.25">
      <c r="A145" s="103" t="s">
        <v>132</v>
      </c>
      <c r="B145" s="123"/>
      <c r="C145" s="124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5"/>
      <c r="AH145" s="47"/>
      <c r="AI145" s="48"/>
      <c r="AK145" s="50"/>
    </row>
    <row r="146" spans="1:37" x14ac:dyDescent="0.25">
      <c r="A146" s="103" t="s">
        <v>133</v>
      </c>
      <c r="B146" s="123"/>
      <c r="C146" s="124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5"/>
      <c r="AH146" s="47"/>
      <c r="AI146" s="48"/>
      <c r="AK146" s="50"/>
    </row>
    <row r="147" spans="1:37" x14ac:dyDescent="0.25">
      <c r="A147" s="103" t="s">
        <v>134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5"/>
      <c r="AH147" s="47"/>
      <c r="AI147" s="48"/>
      <c r="AK147" s="50"/>
    </row>
    <row r="148" spans="1:37" x14ac:dyDescent="0.25">
      <c r="A148" s="103" t="s">
        <v>135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5"/>
      <c r="AH148" s="47"/>
      <c r="AI148" s="48"/>
      <c r="AK148" s="50"/>
    </row>
    <row r="149" spans="1:37" x14ac:dyDescent="0.25">
      <c r="A149" s="103" t="s">
        <v>136</v>
      </c>
      <c r="B149" s="123"/>
      <c r="C149" s="124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5"/>
      <c r="AH149" s="47"/>
      <c r="AI149" s="48"/>
      <c r="AK149" s="50"/>
    </row>
    <row r="150" spans="1:37" x14ac:dyDescent="0.25">
      <c r="A150" s="103" t="s">
        <v>137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5"/>
      <c r="AH150" s="47"/>
      <c r="AI150" s="48"/>
      <c r="AK150" s="50"/>
    </row>
    <row r="151" spans="1:37" x14ac:dyDescent="0.25">
      <c r="A151" s="103" t="s">
        <v>138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5"/>
      <c r="AH151" s="47"/>
      <c r="AI151" s="48"/>
      <c r="AK151" s="50"/>
    </row>
    <row r="152" spans="1:37" x14ac:dyDescent="0.25">
      <c r="A152" s="103" t="s">
        <v>139</v>
      </c>
      <c r="B152" s="123"/>
      <c r="C152" s="124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5"/>
      <c r="AH152" s="47"/>
      <c r="AI152" s="48"/>
      <c r="AK152" s="50"/>
    </row>
    <row r="153" spans="1:37" x14ac:dyDescent="0.25">
      <c r="A153" s="103" t="s">
        <v>140</v>
      </c>
      <c r="B153" s="123"/>
      <c r="C153" s="124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5"/>
      <c r="AH153" s="47"/>
      <c r="AI153" s="48"/>
      <c r="AK153" s="50"/>
    </row>
    <row r="154" spans="1:37" x14ac:dyDescent="0.25">
      <c r="A154" s="103" t="s">
        <v>141</v>
      </c>
      <c r="B154" s="123"/>
      <c r="C154" s="124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5"/>
      <c r="AH154" s="47"/>
      <c r="AI154" s="48"/>
      <c r="AK154" s="50"/>
    </row>
    <row r="155" spans="1:37" x14ac:dyDescent="0.25">
      <c r="A155" s="103" t="s">
        <v>142</v>
      </c>
      <c r="B155" s="126"/>
      <c r="C155" s="127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8">
        <v>9.9</v>
      </c>
      <c r="AH155" s="47"/>
      <c r="AI155" s="48"/>
      <c r="AK155" s="50"/>
    </row>
    <row r="156" spans="1:37" x14ac:dyDescent="0.25">
      <c r="A156" s="116" t="s">
        <v>143</v>
      </c>
      <c r="B156" s="126"/>
      <c r="C156" s="127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9">
        <v>9.6579999999999995</v>
      </c>
      <c r="AH156" s="47"/>
      <c r="AI156" s="48"/>
      <c r="AK156" s="50"/>
    </row>
    <row r="157" spans="1:37" x14ac:dyDescent="0.25">
      <c r="A157" s="116" t="s">
        <v>144</v>
      </c>
      <c r="B157" s="126"/>
      <c r="C157" s="127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9">
        <v>9.6</v>
      </c>
      <c r="AH157" s="47"/>
      <c r="AI157" s="48"/>
      <c r="AK157" s="50"/>
    </row>
    <row r="158" spans="1:37" x14ac:dyDescent="0.25">
      <c r="A158" s="116" t="s">
        <v>145</v>
      </c>
      <c r="B158" s="126"/>
      <c r="C158" s="127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9">
        <v>9.51</v>
      </c>
      <c r="AH158" s="47"/>
      <c r="AI158" s="48"/>
      <c r="AK158" s="50"/>
    </row>
    <row r="159" spans="1:37" x14ac:dyDescent="0.25">
      <c r="A159" s="116" t="s">
        <v>146</v>
      </c>
      <c r="B159" s="126"/>
      <c r="C159" s="127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9">
        <v>9.4</v>
      </c>
      <c r="AH159" s="47"/>
      <c r="AI159" s="48"/>
      <c r="AK159" s="50"/>
    </row>
    <row r="160" spans="1:37" x14ac:dyDescent="0.25">
      <c r="A160" s="116" t="s">
        <v>147</v>
      </c>
      <c r="B160" s="126"/>
      <c r="C160" s="127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9">
        <v>8.8000000000000007</v>
      </c>
      <c r="AH160" s="47"/>
      <c r="AI160" s="48"/>
      <c r="AK160" s="50"/>
    </row>
    <row r="161" spans="1:37" x14ac:dyDescent="0.25">
      <c r="A161" s="116" t="s">
        <v>148</v>
      </c>
      <c r="B161" s="126"/>
      <c r="C161" s="127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9">
        <v>8.5</v>
      </c>
      <c r="AH161" s="47"/>
      <c r="AI161" s="48"/>
      <c r="AK161" s="50"/>
    </row>
    <row r="162" spans="1:37" x14ac:dyDescent="0.25">
      <c r="A162" s="116" t="s">
        <v>149</v>
      </c>
      <c r="B162" s="126"/>
      <c r="C162" s="127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9">
        <v>8.5</v>
      </c>
      <c r="AH162" s="47"/>
      <c r="AI162" s="48"/>
      <c r="AK162" s="50"/>
    </row>
    <row r="163" spans="1:37" x14ac:dyDescent="0.25">
      <c r="A163" s="116" t="s">
        <v>150</v>
      </c>
      <c r="B163" s="126"/>
      <c r="C163" s="127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9">
        <v>8.4</v>
      </c>
      <c r="AH163" s="47"/>
      <c r="AI163" s="48"/>
      <c r="AK163" s="50"/>
    </row>
    <row r="164" spans="1:37" ht="13.5" customHeight="1" x14ac:dyDescent="0.25">
      <c r="A164" s="116" t="s">
        <v>151</v>
      </c>
      <c r="B164" s="126"/>
      <c r="C164" s="127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9">
        <v>8</v>
      </c>
      <c r="AH164" s="47"/>
      <c r="AI164" s="48"/>
      <c r="AK164" s="50"/>
    </row>
    <row r="165" spans="1:37" x14ac:dyDescent="0.25">
      <c r="A165" s="116" t="s">
        <v>152</v>
      </c>
      <c r="B165" s="126"/>
      <c r="C165" s="127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9">
        <v>8</v>
      </c>
      <c r="AH165" s="47"/>
      <c r="AI165" s="48"/>
      <c r="AK165" s="50"/>
    </row>
    <row r="166" spans="1:37" x14ac:dyDescent="0.25">
      <c r="A166" s="116" t="s">
        <v>153</v>
      </c>
      <c r="B166" s="126"/>
      <c r="C166" s="127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9">
        <v>8</v>
      </c>
      <c r="AH166" s="47"/>
      <c r="AI166" s="48"/>
      <c r="AK166" s="50"/>
    </row>
    <row r="167" spans="1:37" x14ac:dyDescent="0.25">
      <c r="A167" s="116" t="s">
        <v>154</v>
      </c>
      <c r="B167" s="126"/>
      <c r="C167" s="127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9">
        <v>7.8</v>
      </c>
      <c r="AH167" s="47"/>
      <c r="AI167" s="48"/>
      <c r="AK167" s="50"/>
    </row>
    <row r="168" spans="1:37" x14ac:dyDescent="0.25">
      <c r="A168" s="116" t="s">
        <v>155</v>
      </c>
      <c r="B168" s="126"/>
      <c r="C168" s="127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9">
        <v>7.6</v>
      </c>
      <c r="AH168" s="47"/>
      <c r="AI168" s="48"/>
      <c r="AK168" s="50"/>
    </row>
    <row r="169" spans="1:37" x14ac:dyDescent="0.25">
      <c r="A169" s="116" t="s">
        <v>156</v>
      </c>
      <c r="B169" s="126"/>
      <c r="C169" s="127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9">
        <v>7.5</v>
      </c>
      <c r="AH169" s="47"/>
      <c r="AI169" s="48"/>
      <c r="AK169" s="50"/>
    </row>
    <row r="170" spans="1:37" x14ac:dyDescent="0.25">
      <c r="A170" s="116" t="s">
        <v>157</v>
      </c>
      <c r="B170" s="126"/>
      <c r="C170" s="127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9">
        <v>7.5</v>
      </c>
      <c r="AH170" s="47"/>
      <c r="AI170" s="48"/>
      <c r="AK170" s="50"/>
    </row>
    <row r="171" spans="1:37" x14ac:dyDescent="0.25">
      <c r="A171" s="116" t="s">
        <v>158</v>
      </c>
      <c r="B171" s="126"/>
      <c r="C171" s="127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9">
        <v>7</v>
      </c>
      <c r="AH171" s="47"/>
      <c r="AI171" s="48"/>
      <c r="AK171" s="50"/>
    </row>
    <row r="172" spans="1:37" x14ac:dyDescent="0.25">
      <c r="A172" s="116" t="s">
        <v>159</v>
      </c>
      <c r="B172" s="126"/>
      <c r="C172" s="127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9">
        <v>7</v>
      </c>
      <c r="AH172" s="47"/>
      <c r="AI172" s="48"/>
      <c r="AK172" s="50"/>
    </row>
    <row r="173" spans="1:37" x14ac:dyDescent="0.25">
      <c r="A173" s="116" t="s">
        <v>160</v>
      </c>
      <c r="B173" s="126"/>
      <c r="C173" s="127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9">
        <v>7</v>
      </c>
      <c r="AH173" s="47"/>
      <c r="AI173" s="48"/>
      <c r="AK173" s="50"/>
    </row>
    <row r="174" spans="1:37" x14ac:dyDescent="0.25">
      <c r="A174" s="116" t="s">
        <v>161</v>
      </c>
      <c r="B174" s="126"/>
      <c r="C174" s="127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9">
        <v>7</v>
      </c>
      <c r="AH174" s="47"/>
      <c r="AI174" s="48"/>
      <c r="AK174" s="50"/>
    </row>
    <row r="175" spans="1:37" x14ac:dyDescent="0.25">
      <c r="A175" s="116" t="s">
        <v>162</v>
      </c>
      <c r="B175" s="126"/>
      <c r="C175" s="127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9">
        <v>6.6</v>
      </c>
      <c r="AH175" s="47"/>
      <c r="AI175" s="48"/>
      <c r="AK175" s="50"/>
    </row>
    <row r="176" spans="1:37" x14ac:dyDescent="0.25">
      <c r="A176" s="116" t="s">
        <v>163</v>
      </c>
      <c r="B176" s="126"/>
      <c r="C176" s="127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9">
        <v>6.6</v>
      </c>
      <c r="AH176" s="47"/>
      <c r="AI176" s="48"/>
      <c r="AK176" s="50"/>
    </row>
    <row r="177" spans="1:37" x14ac:dyDescent="0.25">
      <c r="A177" s="116" t="s">
        <v>164</v>
      </c>
      <c r="B177" s="126"/>
      <c r="C177" s="127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9">
        <v>6.4</v>
      </c>
      <c r="AH177" s="47"/>
      <c r="AI177" s="48"/>
      <c r="AK177" s="50"/>
    </row>
    <row r="178" spans="1:37" x14ac:dyDescent="0.25">
      <c r="A178" s="116" t="s">
        <v>165</v>
      </c>
      <c r="B178" s="126"/>
      <c r="C178" s="127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9">
        <v>6</v>
      </c>
      <c r="AH178" s="47"/>
      <c r="AI178" s="48"/>
      <c r="AK178" s="50"/>
    </row>
    <row r="179" spans="1:37" x14ac:dyDescent="0.25">
      <c r="A179" s="116" t="s">
        <v>166</v>
      </c>
      <c r="B179" s="126"/>
      <c r="C179" s="127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9">
        <v>5.0999999999999996</v>
      </c>
      <c r="AH179" s="47"/>
      <c r="AI179" s="48"/>
      <c r="AK179" s="50"/>
    </row>
    <row r="180" spans="1:37" x14ac:dyDescent="0.25">
      <c r="A180" s="116" t="s">
        <v>167</v>
      </c>
      <c r="B180" s="126"/>
      <c r="C180" s="127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9">
        <v>5</v>
      </c>
      <c r="AH180" s="47"/>
      <c r="AI180" s="48"/>
      <c r="AK180" s="50"/>
    </row>
    <row r="181" spans="1:37" x14ac:dyDescent="0.25">
      <c r="A181" s="103" t="s">
        <v>168</v>
      </c>
      <c r="B181" s="126"/>
      <c r="C181" s="127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8">
        <v>5</v>
      </c>
      <c r="AH181" s="47"/>
      <c r="AI181" s="48"/>
      <c r="AK181" s="50"/>
    </row>
    <row r="182" spans="1:37" x14ac:dyDescent="0.25">
      <c r="A182" s="116" t="s">
        <v>169</v>
      </c>
      <c r="B182" s="126"/>
      <c r="C182" s="127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9">
        <v>5</v>
      </c>
      <c r="AH182" s="47"/>
      <c r="AI182" s="48"/>
      <c r="AK182" s="50"/>
    </row>
    <row r="183" spans="1:37" x14ac:dyDescent="0.25">
      <c r="A183" s="116" t="s">
        <v>170</v>
      </c>
      <c r="B183" s="126"/>
      <c r="C183" s="127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9">
        <v>5</v>
      </c>
      <c r="AH183" s="47"/>
      <c r="AI183" s="48"/>
      <c r="AK183" s="50"/>
    </row>
    <row r="184" spans="1:37" x14ac:dyDescent="0.25">
      <c r="A184" s="116" t="s">
        <v>171</v>
      </c>
      <c r="B184" s="126"/>
      <c r="C184" s="127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9">
        <v>5</v>
      </c>
      <c r="AH184" s="47"/>
      <c r="AI184" s="48"/>
      <c r="AK184" s="50"/>
    </row>
    <row r="185" spans="1:37" x14ac:dyDescent="0.25">
      <c r="A185" s="116" t="s">
        <v>172</v>
      </c>
      <c r="B185" s="126"/>
      <c r="C185" s="127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9">
        <v>5</v>
      </c>
      <c r="AH185" s="47"/>
      <c r="AI185" s="48"/>
      <c r="AK185" s="50"/>
    </row>
    <row r="186" spans="1:37" x14ac:dyDescent="0.25">
      <c r="A186" s="116" t="s">
        <v>173</v>
      </c>
      <c r="B186" s="126"/>
      <c r="C186" s="127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9">
        <v>5</v>
      </c>
      <c r="AH186" s="47"/>
      <c r="AI186" s="48"/>
      <c r="AK186" s="50"/>
    </row>
    <row r="187" spans="1:37" x14ac:dyDescent="0.25">
      <c r="A187" s="116" t="s">
        <v>174</v>
      </c>
      <c r="B187" s="126"/>
      <c r="C187" s="127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9">
        <v>4.9930000000000003</v>
      </c>
      <c r="AH187" s="47"/>
      <c r="AI187" s="48"/>
      <c r="AK187" s="50"/>
    </row>
    <row r="188" spans="1:37" x14ac:dyDescent="0.25">
      <c r="A188" s="116" t="s">
        <v>175</v>
      </c>
      <c r="B188" s="126"/>
      <c r="C188" s="127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9">
        <v>4.9800000000000004</v>
      </c>
      <c r="AH188" s="47"/>
      <c r="AI188" s="48"/>
      <c r="AK188" s="50"/>
    </row>
    <row r="189" spans="1:37" x14ac:dyDescent="0.25">
      <c r="A189" s="116" t="s">
        <v>176</v>
      </c>
      <c r="B189" s="126"/>
      <c r="C189" s="127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9">
        <v>4.95</v>
      </c>
      <c r="AH189" s="47"/>
      <c r="AI189" s="48"/>
      <c r="AK189" s="50"/>
    </row>
    <row r="190" spans="1:37" x14ac:dyDescent="0.25">
      <c r="A190" s="116" t="s">
        <v>177</v>
      </c>
      <c r="B190" s="126"/>
      <c r="C190" s="127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9">
        <v>4.95</v>
      </c>
      <c r="AH190" s="47"/>
      <c r="AI190" s="48"/>
      <c r="AK190" s="50"/>
    </row>
    <row r="191" spans="1:37" x14ac:dyDescent="0.25">
      <c r="A191" s="116" t="s">
        <v>178</v>
      </c>
      <c r="B191" s="126"/>
      <c r="C191" s="127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9">
        <v>4.8</v>
      </c>
      <c r="AH191" s="47"/>
      <c r="AI191" s="48"/>
      <c r="AK191" s="50"/>
    </row>
    <row r="192" spans="1:37" x14ac:dyDescent="0.25">
      <c r="A192" s="116" t="s">
        <v>179</v>
      </c>
      <c r="B192" s="126"/>
      <c r="C192" s="127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9">
        <v>4.8</v>
      </c>
      <c r="AH192" s="47"/>
      <c r="AI192" s="48"/>
      <c r="AK192" s="50"/>
    </row>
    <row r="193" spans="1:37" x14ac:dyDescent="0.25">
      <c r="A193" s="116" t="s">
        <v>180</v>
      </c>
      <c r="B193" s="126"/>
      <c r="C193" s="127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9">
        <v>4.8</v>
      </c>
      <c r="AH193" s="47"/>
      <c r="AI193" s="48"/>
      <c r="AK193" s="50"/>
    </row>
    <row r="194" spans="1:37" x14ac:dyDescent="0.25">
      <c r="A194" s="116" t="s">
        <v>181</v>
      </c>
      <c r="B194" s="126"/>
      <c r="C194" s="127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9">
        <v>4.5</v>
      </c>
      <c r="AH194" s="47"/>
      <c r="AI194" s="48"/>
      <c r="AK194" s="50"/>
    </row>
    <row r="195" spans="1:37" x14ac:dyDescent="0.25">
      <c r="A195" s="116" t="s">
        <v>182</v>
      </c>
      <c r="B195" s="126"/>
      <c r="C195" s="127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9">
        <v>4.5</v>
      </c>
      <c r="AH195" s="47"/>
      <c r="AI195" s="48"/>
      <c r="AK195" s="50"/>
    </row>
    <row r="196" spans="1:37" x14ac:dyDescent="0.25">
      <c r="A196" s="116" t="s">
        <v>183</v>
      </c>
      <c r="B196" s="126"/>
      <c r="C196" s="127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9">
        <v>4.4550000000000001</v>
      </c>
      <c r="AH196" s="47"/>
      <c r="AI196" s="48"/>
      <c r="AK196" s="50"/>
    </row>
    <row r="197" spans="1:37" x14ac:dyDescent="0.25">
      <c r="A197" s="116" t="s">
        <v>184</v>
      </c>
      <c r="B197" s="126"/>
      <c r="C197" s="127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9">
        <v>4.41</v>
      </c>
      <c r="AH197" s="47"/>
      <c r="AI197" s="48"/>
      <c r="AK197" s="50"/>
    </row>
    <row r="198" spans="1:37" x14ac:dyDescent="0.25">
      <c r="A198" s="116" t="s">
        <v>185</v>
      </c>
      <c r="B198" s="126"/>
      <c r="C198" s="127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9">
        <v>4.4000000000000004</v>
      </c>
      <c r="AH198" s="47"/>
      <c r="AI198" s="48"/>
      <c r="AK198" s="50"/>
    </row>
    <row r="199" spans="1:37" x14ac:dyDescent="0.25">
      <c r="A199" s="116" t="s">
        <v>186</v>
      </c>
      <c r="B199" s="126"/>
      <c r="C199" s="127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9">
        <v>4.3600000000000003</v>
      </c>
      <c r="AH199" s="47"/>
      <c r="AI199" s="48"/>
      <c r="AK199" s="50"/>
    </row>
    <row r="200" spans="1:37" x14ac:dyDescent="0.25">
      <c r="A200" s="116" t="s">
        <v>187</v>
      </c>
      <c r="B200" s="126"/>
      <c r="C200" s="127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9">
        <v>4.2</v>
      </c>
      <c r="AH200" s="47"/>
      <c r="AI200" s="48"/>
      <c r="AK200" s="50"/>
    </row>
    <row r="201" spans="1:37" x14ac:dyDescent="0.25">
      <c r="A201" s="116" t="s">
        <v>188</v>
      </c>
      <c r="B201" s="126"/>
      <c r="C201" s="127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9">
        <v>4</v>
      </c>
      <c r="AH201" s="47"/>
      <c r="AI201" s="48"/>
      <c r="AK201" s="50"/>
    </row>
    <row r="202" spans="1:37" x14ac:dyDescent="0.25">
      <c r="A202" s="116" t="s">
        <v>189</v>
      </c>
      <c r="B202" s="126"/>
      <c r="C202" s="127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9">
        <v>4</v>
      </c>
      <c r="AH202" s="47"/>
      <c r="AI202" s="48"/>
      <c r="AK202" s="50"/>
    </row>
    <row r="203" spans="1:37" x14ac:dyDescent="0.25">
      <c r="A203" s="116" t="s">
        <v>190</v>
      </c>
      <c r="B203" s="126"/>
      <c r="C203" s="127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9">
        <v>4</v>
      </c>
      <c r="AH203" s="47"/>
      <c r="AI203" s="48"/>
      <c r="AK203" s="50"/>
    </row>
    <row r="204" spans="1:37" x14ac:dyDescent="0.25">
      <c r="A204" s="116" t="s">
        <v>191</v>
      </c>
      <c r="B204" s="126"/>
      <c r="C204" s="127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9">
        <v>4</v>
      </c>
      <c r="AH204" s="47"/>
      <c r="AI204" s="48"/>
      <c r="AK204" s="50"/>
    </row>
    <row r="205" spans="1:37" x14ac:dyDescent="0.25">
      <c r="A205" s="116" t="s">
        <v>192</v>
      </c>
      <c r="B205" s="126"/>
      <c r="C205" s="127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9">
        <v>4</v>
      </c>
      <c r="AH205" s="47"/>
      <c r="AI205" s="48"/>
      <c r="AK205" s="50"/>
    </row>
    <row r="206" spans="1:37" x14ac:dyDescent="0.25">
      <c r="A206" s="116" t="s">
        <v>193</v>
      </c>
      <c r="B206" s="126"/>
      <c r="C206" s="127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9">
        <v>4</v>
      </c>
      <c r="AH206" s="47"/>
      <c r="AI206" s="48"/>
      <c r="AK206" s="50"/>
    </row>
    <row r="207" spans="1:37" x14ac:dyDescent="0.25">
      <c r="A207" s="116" t="s">
        <v>194</v>
      </c>
      <c r="B207" s="126"/>
      <c r="C207" s="127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9">
        <v>4</v>
      </c>
      <c r="AH207" s="47"/>
      <c r="AI207" s="48"/>
      <c r="AK207" s="50"/>
    </row>
    <row r="208" spans="1:37" x14ac:dyDescent="0.25">
      <c r="A208" s="116" t="s">
        <v>195</v>
      </c>
      <c r="B208" s="126"/>
      <c r="C208" s="127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9">
        <v>4</v>
      </c>
      <c r="AH208" s="47"/>
      <c r="AI208" s="48"/>
      <c r="AK208" s="50"/>
    </row>
    <row r="209" spans="1:37" x14ac:dyDescent="0.25">
      <c r="A209" s="116" t="s">
        <v>196</v>
      </c>
      <c r="B209" s="126"/>
      <c r="C209" s="127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9">
        <v>3.75</v>
      </c>
      <c r="AH209" s="47"/>
      <c r="AI209" s="48"/>
      <c r="AK209" s="50"/>
    </row>
    <row r="210" spans="1:37" x14ac:dyDescent="0.25">
      <c r="A210" s="116" t="s">
        <v>197</v>
      </c>
      <c r="B210" s="126"/>
      <c r="C210" s="127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9">
        <v>3.52</v>
      </c>
      <c r="AH210" s="47"/>
      <c r="AI210" s="48"/>
      <c r="AK210" s="50"/>
    </row>
    <row r="211" spans="1:37" x14ac:dyDescent="0.25">
      <c r="A211" s="116" t="s">
        <v>198</v>
      </c>
      <c r="B211" s="126"/>
      <c r="C211" s="127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9">
        <v>3.33</v>
      </c>
      <c r="AH211" s="47"/>
      <c r="AI211" s="48"/>
      <c r="AK211" s="50"/>
    </row>
    <row r="212" spans="1:37" x14ac:dyDescent="0.25">
      <c r="A212" s="116" t="s">
        <v>199</v>
      </c>
      <c r="B212" s="126"/>
      <c r="C212" s="127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9">
        <v>3.2</v>
      </c>
      <c r="AH212" s="47"/>
      <c r="AI212" s="48"/>
      <c r="AK212" s="50"/>
    </row>
    <row r="213" spans="1:37" x14ac:dyDescent="0.25">
      <c r="A213" s="116" t="s">
        <v>200</v>
      </c>
      <c r="B213" s="126"/>
      <c r="C213" s="127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9">
        <v>3</v>
      </c>
      <c r="AH213" s="47"/>
      <c r="AI213" s="48"/>
      <c r="AK213" s="50"/>
    </row>
    <row r="214" spans="1:37" x14ac:dyDescent="0.25">
      <c r="A214" s="116" t="s">
        <v>201</v>
      </c>
      <c r="B214" s="126"/>
      <c r="C214" s="127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9">
        <v>3</v>
      </c>
      <c r="AH214" s="47"/>
      <c r="AI214" s="48"/>
      <c r="AK214" s="50"/>
    </row>
    <row r="215" spans="1:37" x14ac:dyDescent="0.25">
      <c r="A215" s="116" t="s">
        <v>202</v>
      </c>
      <c r="B215" s="126"/>
      <c r="C215" s="127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9">
        <v>3</v>
      </c>
      <c r="AH215" s="47"/>
      <c r="AI215" s="48"/>
      <c r="AK215" s="50"/>
    </row>
    <row r="216" spans="1:37" x14ac:dyDescent="0.25">
      <c r="A216" s="116" t="s">
        <v>203</v>
      </c>
      <c r="B216" s="126"/>
      <c r="C216" s="127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9">
        <v>3</v>
      </c>
      <c r="AH216" s="47"/>
      <c r="AI216" s="48"/>
      <c r="AK216" s="50"/>
    </row>
    <row r="217" spans="1:37" x14ac:dyDescent="0.25">
      <c r="A217" s="116" t="s">
        <v>204</v>
      </c>
      <c r="B217" s="126"/>
      <c r="C217" s="127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9">
        <v>3</v>
      </c>
      <c r="AH217" s="47"/>
      <c r="AI217" s="48"/>
      <c r="AK217" s="50"/>
    </row>
    <row r="218" spans="1:37" x14ac:dyDescent="0.25">
      <c r="A218" s="116" t="s">
        <v>205</v>
      </c>
      <c r="B218" s="126"/>
      <c r="C218" s="127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9">
        <v>3</v>
      </c>
      <c r="AH218" s="47"/>
      <c r="AI218" s="48"/>
      <c r="AK218" s="50"/>
    </row>
    <row r="219" spans="1:37" x14ac:dyDescent="0.25">
      <c r="A219" s="116" t="s">
        <v>206</v>
      </c>
      <c r="B219" s="126"/>
      <c r="C219" s="127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9">
        <v>3</v>
      </c>
      <c r="AH219" s="47"/>
      <c r="AI219" s="48"/>
      <c r="AK219" s="50"/>
    </row>
    <row r="220" spans="1:37" x14ac:dyDescent="0.25">
      <c r="A220" s="116" t="s">
        <v>207</v>
      </c>
      <c r="B220" s="126"/>
      <c r="C220" s="127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9">
        <v>3</v>
      </c>
      <c r="AH220" s="47"/>
      <c r="AI220" s="48"/>
      <c r="AK220" s="50"/>
    </row>
    <row r="221" spans="1:37" x14ac:dyDescent="0.25">
      <c r="A221" s="116" t="s">
        <v>208</v>
      </c>
      <c r="B221" s="126"/>
      <c r="C221" s="127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9">
        <v>2.83</v>
      </c>
      <c r="AH221" s="47"/>
      <c r="AI221" s="48"/>
      <c r="AK221" s="50"/>
    </row>
    <row r="222" spans="1:37" x14ac:dyDescent="0.25">
      <c r="A222" s="116" t="s">
        <v>209</v>
      </c>
      <c r="B222" s="126"/>
      <c r="C222" s="127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9">
        <v>2.5</v>
      </c>
      <c r="AH222" s="47"/>
      <c r="AI222" s="48"/>
      <c r="AK222" s="50"/>
    </row>
    <row r="223" spans="1:37" x14ac:dyDescent="0.25">
      <c r="A223" s="116" t="s">
        <v>210</v>
      </c>
      <c r="B223" s="126"/>
      <c r="C223" s="127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9">
        <v>2.5</v>
      </c>
      <c r="AH223" s="47"/>
      <c r="AI223" s="48"/>
      <c r="AK223" s="50"/>
    </row>
    <row r="224" spans="1:37" x14ac:dyDescent="0.25">
      <c r="A224" s="116" t="s">
        <v>211</v>
      </c>
      <c r="B224" s="126"/>
      <c r="C224" s="127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9">
        <v>2.4</v>
      </c>
      <c r="AH224" s="47"/>
      <c r="AI224" s="48"/>
      <c r="AK224" s="50"/>
    </row>
    <row r="225" spans="1:37" x14ac:dyDescent="0.25">
      <c r="A225" s="116" t="s">
        <v>212</v>
      </c>
      <c r="B225" s="126"/>
      <c r="C225" s="127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9">
        <v>2.4</v>
      </c>
      <c r="AH225" s="47"/>
      <c r="AI225" s="48"/>
      <c r="AK225" s="50"/>
    </row>
    <row r="226" spans="1:37" x14ac:dyDescent="0.25">
      <c r="A226" s="116" t="s">
        <v>213</v>
      </c>
      <c r="B226" s="126"/>
      <c r="C226" s="127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9">
        <v>2.2000000000000002</v>
      </c>
      <c r="AH226" s="47"/>
      <c r="AI226" s="48"/>
      <c r="AK226" s="50"/>
    </row>
    <row r="227" spans="1:37" x14ac:dyDescent="0.25">
      <c r="A227" s="116" t="s">
        <v>214</v>
      </c>
      <c r="B227" s="126"/>
      <c r="C227" s="127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9">
        <v>2</v>
      </c>
      <c r="AH227" s="47"/>
      <c r="AI227" s="48"/>
      <c r="AK227" s="50"/>
    </row>
    <row r="228" spans="1:37" x14ac:dyDescent="0.25">
      <c r="A228" s="116" t="s">
        <v>215</v>
      </c>
      <c r="B228" s="126"/>
      <c r="C228" s="127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9">
        <v>2</v>
      </c>
      <c r="AH228" s="47"/>
      <c r="AI228" s="48"/>
      <c r="AK228" s="50"/>
    </row>
    <row r="229" spans="1:37" x14ac:dyDescent="0.25">
      <c r="A229" s="116" t="s">
        <v>216</v>
      </c>
      <c r="B229" s="126"/>
      <c r="C229" s="127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9">
        <v>2</v>
      </c>
      <c r="AH229" s="47"/>
      <c r="AI229" s="48"/>
      <c r="AK229" s="50"/>
    </row>
    <row r="230" spans="1:37" x14ac:dyDescent="0.25">
      <c r="A230" s="116" t="s">
        <v>217</v>
      </c>
      <c r="B230" s="126"/>
      <c r="C230" s="127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9">
        <v>1.8</v>
      </c>
      <c r="AH230" s="47"/>
      <c r="AI230" s="48"/>
      <c r="AK230" s="50"/>
    </row>
    <row r="231" spans="1:37" x14ac:dyDescent="0.25">
      <c r="A231" s="116" t="s">
        <v>218</v>
      </c>
      <c r="B231" s="126"/>
      <c r="C231" s="127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9">
        <v>1.8</v>
      </c>
      <c r="AH231" s="47"/>
      <c r="AI231" s="48"/>
      <c r="AK231" s="50"/>
    </row>
    <row r="232" spans="1:37" x14ac:dyDescent="0.25">
      <c r="A232" s="116" t="s">
        <v>219</v>
      </c>
      <c r="B232" s="126"/>
      <c r="C232" s="127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9">
        <v>1.65</v>
      </c>
      <c r="AH232" s="47"/>
      <c r="AI232" s="48"/>
      <c r="AK232" s="50"/>
    </row>
    <row r="233" spans="1:37" x14ac:dyDescent="0.25">
      <c r="A233" s="116" t="s">
        <v>220</v>
      </c>
      <c r="B233" s="126"/>
      <c r="C233" s="127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9">
        <v>1.5</v>
      </c>
      <c r="AH233" s="47"/>
      <c r="AI233" s="48"/>
      <c r="AK233" s="50"/>
    </row>
    <row r="234" spans="1:37" x14ac:dyDescent="0.25">
      <c r="A234" s="116" t="s">
        <v>221</v>
      </c>
      <c r="B234" s="126"/>
      <c r="C234" s="127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9">
        <v>0.998</v>
      </c>
      <c r="AH234" s="47"/>
      <c r="AI234" s="48"/>
      <c r="AK234" s="50"/>
    </row>
    <row r="235" spans="1:37" x14ac:dyDescent="0.25">
      <c r="A235" s="116" t="s">
        <v>222</v>
      </c>
      <c r="B235" s="126"/>
      <c r="C235" s="127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9">
        <v>0.997</v>
      </c>
      <c r="AH235" s="47"/>
      <c r="AI235" s="48"/>
      <c r="AK235" s="50"/>
    </row>
    <row r="236" spans="1:37" x14ac:dyDescent="0.25">
      <c r="A236" s="116" t="s">
        <v>223</v>
      </c>
      <c r="B236" s="126"/>
      <c r="C236" s="127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9">
        <v>0.997</v>
      </c>
      <c r="AH236" s="47"/>
      <c r="AI236" s="48"/>
      <c r="AK236" s="50"/>
    </row>
    <row r="237" spans="1:37" x14ac:dyDescent="0.25">
      <c r="A237" s="116" t="s">
        <v>224</v>
      </c>
      <c r="B237" s="126"/>
      <c r="C237" s="127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9">
        <v>0.996</v>
      </c>
      <c r="AH237" s="47"/>
      <c r="AI237" s="48"/>
      <c r="AK237" s="50"/>
    </row>
    <row r="238" spans="1:37" x14ac:dyDescent="0.25">
      <c r="A238" s="116" t="s">
        <v>225</v>
      </c>
      <c r="B238" s="126"/>
      <c r="C238" s="127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9">
        <v>0.996</v>
      </c>
      <c r="AH238" s="47"/>
      <c r="AI238" s="48"/>
      <c r="AK238" s="50"/>
    </row>
    <row r="239" spans="1:37" x14ac:dyDescent="0.25">
      <c r="A239" s="116" t="s">
        <v>226</v>
      </c>
      <c r="B239" s="126"/>
      <c r="C239" s="127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9">
        <v>0.996</v>
      </c>
      <c r="AH239" s="47"/>
      <c r="AI239" s="48"/>
      <c r="AK239" s="50"/>
    </row>
    <row r="240" spans="1:37" x14ac:dyDescent="0.25">
      <c r="A240" s="116" t="s">
        <v>227</v>
      </c>
      <c r="B240" s="126"/>
      <c r="C240" s="127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9">
        <v>0.995</v>
      </c>
      <c r="AH240" s="47"/>
      <c r="AI240" s="48"/>
      <c r="AK240" s="50"/>
    </row>
    <row r="241" spans="1:37" x14ac:dyDescent="0.25">
      <c r="A241" s="116" t="s">
        <v>228</v>
      </c>
      <c r="B241" s="126"/>
      <c r="C241" s="127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9">
        <v>0.99299999999999999</v>
      </c>
      <c r="AH241" s="47"/>
      <c r="AI241" s="48"/>
      <c r="AK241" s="50"/>
    </row>
    <row r="242" spans="1:37" x14ac:dyDescent="0.25">
      <c r="A242" s="116" t="s">
        <v>229</v>
      </c>
      <c r="B242" s="126"/>
      <c r="C242" s="124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9">
        <v>0.99</v>
      </c>
      <c r="AH242" s="47"/>
      <c r="AI242" s="48"/>
      <c r="AK242" s="50"/>
    </row>
    <row r="243" spans="1:37" ht="15.75" thickBot="1" x14ac:dyDescent="0.3">
      <c r="A243" s="116" t="s">
        <v>230</v>
      </c>
      <c r="B243" s="130"/>
      <c r="C243" s="131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29">
        <v>0.97899999999999998</v>
      </c>
      <c r="AH243" s="47"/>
      <c r="AI243" s="48"/>
      <c r="AK243" s="50"/>
    </row>
    <row r="244" spans="1:37" ht="15.75" thickBot="1" x14ac:dyDescent="0.3">
      <c r="A244" s="132" t="s">
        <v>231</v>
      </c>
      <c r="B244" s="133">
        <f t="shared" ref="B244:AG244" si="62">SUM(B139:B243)</f>
        <v>0</v>
      </c>
      <c r="C244" s="134">
        <f t="shared" si="62"/>
        <v>0</v>
      </c>
      <c r="D244" s="134">
        <f t="shared" si="62"/>
        <v>0</v>
      </c>
      <c r="E244" s="134">
        <f t="shared" si="62"/>
        <v>0</v>
      </c>
      <c r="F244" s="134">
        <f t="shared" si="62"/>
        <v>0</v>
      </c>
      <c r="G244" s="134">
        <f t="shared" si="62"/>
        <v>0</v>
      </c>
      <c r="H244" s="134">
        <f t="shared" si="62"/>
        <v>0</v>
      </c>
      <c r="I244" s="134">
        <f t="shared" si="62"/>
        <v>0</v>
      </c>
      <c r="J244" s="134">
        <f t="shared" si="62"/>
        <v>0</v>
      </c>
      <c r="K244" s="134">
        <f t="shared" si="62"/>
        <v>0</v>
      </c>
      <c r="L244" s="134">
        <f t="shared" si="62"/>
        <v>0</v>
      </c>
      <c r="M244" s="134">
        <f t="shared" si="62"/>
        <v>0</v>
      </c>
      <c r="N244" s="134">
        <f t="shared" si="62"/>
        <v>0</v>
      </c>
      <c r="O244" s="134">
        <f t="shared" si="62"/>
        <v>0</v>
      </c>
      <c r="P244" s="134">
        <f t="shared" si="62"/>
        <v>0</v>
      </c>
      <c r="Q244" s="134">
        <f t="shared" si="62"/>
        <v>0</v>
      </c>
      <c r="R244" s="134">
        <f t="shared" si="62"/>
        <v>0</v>
      </c>
      <c r="S244" s="134">
        <f t="shared" si="62"/>
        <v>0</v>
      </c>
      <c r="T244" s="134">
        <f t="shared" si="62"/>
        <v>0</v>
      </c>
      <c r="U244" s="134">
        <f t="shared" si="62"/>
        <v>0</v>
      </c>
      <c r="V244" s="134">
        <f t="shared" si="62"/>
        <v>0</v>
      </c>
      <c r="W244" s="134">
        <f t="shared" si="62"/>
        <v>0</v>
      </c>
      <c r="X244" s="134">
        <f t="shared" si="62"/>
        <v>0</v>
      </c>
      <c r="Y244" s="134">
        <f t="shared" si="62"/>
        <v>0</v>
      </c>
      <c r="Z244" s="134">
        <f t="shared" si="62"/>
        <v>0</v>
      </c>
      <c r="AA244" s="134">
        <f t="shared" si="62"/>
        <v>0</v>
      </c>
      <c r="AB244" s="134">
        <f t="shared" si="62"/>
        <v>0</v>
      </c>
      <c r="AC244" s="134">
        <f t="shared" si="62"/>
        <v>0</v>
      </c>
      <c r="AD244" s="134">
        <f t="shared" si="62"/>
        <v>0</v>
      </c>
      <c r="AE244" s="134">
        <f t="shared" si="62"/>
        <v>0</v>
      </c>
      <c r="AF244" s="135">
        <f t="shared" si="62"/>
        <v>0</v>
      </c>
      <c r="AG244" s="136">
        <f t="shared" si="62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19"/>
      <c r="AH245" s="47"/>
      <c r="AI245" s="48"/>
      <c r="AK245" s="50"/>
    </row>
    <row r="246" spans="1:37" x14ac:dyDescent="0.25">
      <c r="A246" s="100" t="s">
        <v>232</v>
      </c>
      <c r="B246" s="138">
        <f t="shared" ref="B246:B251" si="63">AF246</f>
        <v>0.3</v>
      </c>
      <c r="C246" s="138">
        <v>0.3</v>
      </c>
      <c r="D246" s="138">
        <f t="shared" ref="D246:S251" si="64">C246</f>
        <v>0.3</v>
      </c>
      <c r="E246" s="138">
        <f t="shared" si="64"/>
        <v>0.3</v>
      </c>
      <c r="F246" s="138">
        <f t="shared" si="64"/>
        <v>0.3</v>
      </c>
      <c r="G246" s="138">
        <f t="shared" si="64"/>
        <v>0.3</v>
      </c>
      <c r="H246" s="138">
        <f t="shared" si="64"/>
        <v>0.3</v>
      </c>
      <c r="I246" s="138">
        <f t="shared" si="64"/>
        <v>0.3</v>
      </c>
      <c r="J246" s="138">
        <f t="shared" si="64"/>
        <v>0.3</v>
      </c>
      <c r="K246" s="138">
        <f t="shared" si="64"/>
        <v>0.3</v>
      </c>
      <c r="L246" s="138">
        <f t="shared" si="64"/>
        <v>0.3</v>
      </c>
      <c r="M246" s="138">
        <f t="shared" si="64"/>
        <v>0.3</v>
      </c>
      <c r="N246" s="138">
        <f t="shared" si="64"/>
        <v>0.3</v>
      </c>
      <c r="O246" s="138">
        <f t="shared" si="64"/>
        <v>0.3</v>
      </c>
      <c r="P246" s="138">
        <f t="shared" si="64"/>
        <v>0.3</v>
      </c>
      <c r="Q246" s="138">
        <f t="shared" si="64"/>
        <v>0.3</v>
      </c>
      <c r="R246" s="138">
        <f t="shared" si="64"/>
        <v>0.3</v>
      </c>
      <c r="S246" s="138">
        <f t="shared" si="64"/>
        <v>0.3</v>
      </c>
      <c r="T246" s="138">
        <f t="shared" ref="T246:AF251" si="65">S246</f>
        <v>0.3</v>
      </c>
      <c r="U246" s="138">
        <f t="shared" si="65"/>
        <v>0.3</v>
      </c>
      <c r="V246" s="138">
        <f t="shared" si="65"/>
        <v>0.3</v>
      </c>
      <c r="W246" s="138">
        <f t="shared" si="65"/>
        <v>0.3</v>
      </c>
      <c r="X246" s="138">
        <f t="shared" si="65"/>
        <v>0.3</v>
      </c>
      <c r="Y246" s="138">
        <f t="shared" si="65"/>
        <v>0.3</v>
      </c>
      <c r="Z246" s="138">
        <f t="shared" si="65"/>
        <v>0.3</v>
      </c>
      <c r="AA246" s="138">
        <f t="shared" si="65"/>
        <v>0.3</v>
      </c>
      <c r="AB246" s="138">
        <f t="shared" si="65"/>
        <v>0.3</v>
      </c>
      <c r="AC246" s="138">
        <f t="shared" si="65"/>
        <v>0.3</v>
      </c>
      <c r="AD246" s="138">
        <f t="shared" si="65"/>
        <v>0.3</v>
      </c>
      <c r="AE246" s="138">
        <f t="shared" si="65"/>
        <v>0.3</v>
      </c>
      <c r="AF246" s="138">
        <f t="shared" si="65"/>
        <v>0.3</v>
      </c>
      <c r="AG246" s="139">
        <v>2.4</v>
      </c>
      <c r="AH246" s="47"/>
      <c r="AI246" s="48"/>
      <c r="AK246" s="50"/>
    </row>
    <row r="247" spans="1:37" x14ac:dyDescent="0.25">
      <c r="A247" s="103" t="s">
        <v>233</v>
      </c>
      <c r="B247" s="126">
        <f t="shared" si="63"/>
        <v>0.4</v>
      </c>
      <c r="C247" s="126">
        <v>0.4</v>
      </c>
      <c r="D247" s="126">
        <f t="shared" si="64"/>
        <v>0.4</v>
      </c>
      <c r="E247" s="126">
        <f t="shared" si="64"/>
        <v>0.4</v>
      </c>
      <c r="F247" s="126">
        <f t="shared" si="64"/>
        <v>0.4</v>
      </c>
      <c r="G247" s="126">
        <f t="shared" si="64"/>
        <v>0.4</v>
      </c>
      <c r="H247" s="126">
        <f t="shared" si="64"/>
        <v>0.4</v>
      </c>
      <c r="I247" s="126">
        <f t="shared" si="64"/>
        <v>0.4</v>
      </c>
      <c r="J247" s="126">
        <f t="shared" si="64"/>
        <v>0.4</v>
      </c>
      <c r="K247" s="126">
        <f t="shared" si="64"/>
        <v>0.4</v>
      </c>
      <c r="L247" s="126">
        <f t="shared" si="64"/>
        <v>0.4</v>
      </c>
      <c r="M247" s="126">
        <f t="shared" si="64"/>
        <v>0.4</v>
      </c>
      <c r="N247" s="126">
        <f t="shared" si="64"/>
        <v>0.4</v>
      </c>
      <c r="O247" s="126">
        <f t="shared" si="64"/>
        <v>0.4</v>
      </c>
      <c r="P247" s="126">
        <f t="shared" si="64"/>
        <v>0.4</v>
      </c>
      <c r="Q247" s="126">
        <f t="shared" si="64"/>
        <v>0.4</v>
      </c>
      <c r="R247" s="126">
        <f t="shared" si="64"/>
        <v>0.4</v>
      </c>
      <c r="S247" s="126">
        <f t="shared" si="64"/>
        <v>0.4</v>
      </c>
      <c r="T247" s="126">
        <f t="shared" si="65"/>
        <v>0.4</v>
      </c>
      <c r="U247" s="126">
        <f t="shared" si="65"/>
        <v>0.4</v>
      </c>
      <c r="V247" s="126">
        <f t="shared" si="65"/>
        <v>0.4</v>
      </c>
      <c r="W247" s="126">
        <f t="shared" si="65"/>
        <v>0.4</v>
      </c>
      <c r="X247" s="126">
        <f t="shared" si="65"/>
        <v>0.4</v>
      </c>
      <c r="Y247" s="126">
        <f t="shared" si="65"/>
        <v>0.4</v>
      </c>
      <c r="Z247" s="126">
        <f t="shared" si="65"/>
        <v>0.4</v>
      </c>
      <c r="AA247" s="126">
        <f t="shared" si="65"/>
        <v>0.4</v>
      </c>
      <c r="AB247" s="126">
        <f t="shared" si="65"/>
        <v>0.4</v>
      </c>
      <c r="AC247" s="126">
        <f t="shared" si="65"/>
        <v>0.4</v>
      </c>
      <c r="AD247" s="126">
        <f t="shared" si="65"/>
        <v>0.4</v>
      </c>
      <c r="AE247" s="126">
        <f t="shared" si="65"/>
        <v>0.4</v>
      </c>
      <c r="AF247" s="126">
        <f t="shared" si="65"/>
        <v>0.4</v>
      </c>
      <c r="AG247" s="140">
        <v>2</v>
      </c>
      <c r="AH247" s="47"/>
      <c r="AI247" s="48"/>
      <c r="AK247" s="50"/>
    </row>
    <row r="248" spans="1:37" x14ac:dyDescent="0.25">
      <c r="A248" s="103" t="s">
        <v>234</v>
      </c>
      <c r="B248" s="126">
        <f t="shared" si="63"/>
        <v>1.5</v>
      </c>
      <c r="C248" s="126">
        <v>1.5</v>
      </c>
      <c r="D248" s="126">
        <f t="shared" si="64"/>
        <v>1.5</v>
      </c>
      <c r="E248" s="126">
        <f t="shared" si="64"/>
        <v>1.5</v>
      </c>
      <c r="F248" s="126">
        <f t="shared" si="64"/>
        <v>1.5</v>
      </c>
      <c r="G248" s="126">
        <f t="shared" si="64"/>
        <v>1.5</v>
      </c>
      <c r="H248" s="126">
        <f t="shared" si="64"/>
        <v>1.5</v>
      </c>
      <c r="I248" s="126">
        <f t="shared" si="64"/>
        <v>1.5</v>
      </c>
      <c r="J248" s="126">
        <f t="shared" si="64"/>
        <v>1.5</v>
      </c>
      <c r="K248" s="126">
        <f t="shared" si="64"/>
        <v>1.5</v>
      </c>
      <c r="L248" s="126">
        <f t="shared" si="64"/>
        <v>1.5</v>
      </c>
      <c r="M248" s="126">
        <f t="shared" si="64"/>
        <v>1.5</v>
      </c>
      <c r="N248" s="126">
        <f t="shared" si="64"/>
        <v>1.5</v>
      </c>
      <c r="O248" s="126">
        <f t="shared" si="64"/>
        <v>1.5</v>
      </c>
      <c r="P248" s="126">
        <f t="shared" si="64"/>
        <v>1.5</v>
      </c>
      <c r="Q248" s="126">
        <f t="shared" si="64"/>
        <v>1.5</v>
      </c>
      <c r="R248" s="126">
        <f t="shared" si="64"/>
        <v>1.5</v>
      </c>
      <c r="S248" s="126">
        <f t="shared" si="64"/>
        <v>1.5</v>
      </c>
      <c r="T248" s="126">
        <f t="shared" si="65"/>
        <v>1.5</v>
      </c>
      <c r="U248" s="126">
        <f t="shared" si="65"/>
        <v>1.5</v>
      </c>
      <c r="V248" s="126">
        <f t="shared" si="65"/>
        <v>1.5</v>
      </c>
      <c r="W248" s="126">
        <f t="shared" si="65"/>
        <v>1.5</v>
      </c>
      <c r="X248" s="126">
        <f t="shared" si="65"/>
        <v>1.5</v>
      </c>
      <c r="Y248" s="126">
        <f t="shared" si="65"/>
        <v>1.5</v>
      </c>
      <c r="Z248" s="126">
        <f t="shared" si="65"/>
        <v>1.5</v>
      </c>
      <c r="AA248" s="126">
        <f t="shared" si="65"/>
        <v>1.5</v>
      </c>
      <c r="AB248" s="126">
        <f t="shared" si="65"/>
        <v>1.5</v>
      </c>
      <c r="AC248" s="126">
        <f t="shared" si="65"/>
        <v>1.5</v>
      </c>
      <c r="AD248" s="126">
        <f t="shared" si="65"/>
        <v>1.5</v>
      </c>
      <c r="AE248" s="126">
        <f t="shared" si="65"/>
        <v>1.5</v>
      </c>
      <c r="AF248" s="126">
        <f t="shared" si="65"/>
        <v>1.5</v>
      </c>
      <c r="AG248" s="140">
        <v>1.5</v>
      </c>
      <c r="AH248" s="47"/>
      <c r="AI248" s="48"/>
      <c r="AK248" s="50"/>
    </row>
    <row r="249" spans="1:37" x14ac:dyDescent="0.25">
      <c r="A249" s="103" t="s">
        <v>235</v>
      </c>
      <c r="B249" s="126">
        <f t="shared" si="63"/>
        <v>0.3</v>
      </c>
      <c r="C249" s="126">
        <v>0.3</v>
      </c>
      <c r="D249" s="126">
        <f t="shared" si="64"/>
        <v>0.3</v>
      </c>
      <c r="E249" s="126">
        <f t="shared" si="64"/>
        <v>0.3</v>
      </c>
      <c r="F249" s="126">
        <f t="shared" si="64"/>
        <v>0.3</v>
      </c>
      <c r="G249" s="126">
        <f t="shared" si="64"/>
        <v>0.3</v>
      </c>
      <c r="H249" s="126">
        <f t="shared" si="64"/>
        <v>0.3</v>
      </c>
      <c r="I249" s="126">
        <f t="shared" si="64"/>
        <v>0.3</v>
      </c>
      <c r="J249" s="126">
        <f t="shared" si="64"/>
        <v>0.3</v>
      </c>
      <c r="K249" s="126">
        <f t="shared" si="64"/>
        <v>0.3</v>
      </c>
      <c r="L249" s="126">
        <f t="shared" si="64"/>
        <v>0.3</v>
      </c>
      <c r="M249" s="126">
        <f t="shared" si="64"/>
        <v>0.3</v>
      </c>
      <c r="N249" s="126">
        <f t="shared" si="64"/>
        <v>0.3</v>
      </c>
      <c r="O249" s="126">
        <f t="shared" si="64"/>
        <v>0.3</v>
      </c>
      <c r="P249" s="126">
        <f t="shared" si="64"/>
        <v>0.3</v>
      </c>
      <c r="Q249" s="126">
        <f t="shared" si="64"/>
        <v>0.3</v>
      </c>
      <c r="R249" s="126">
        <f t="shared" si="64"/>
        <v>0.3</v>
      </c>
      <c r="S249" s="126">
        <f t="shared" si="64"/>
        <v>0.3</v>
      </c>
      <c r="T249" s="126">
        <f t="shared" si="65"/>
        <v>0.3</v>
      </c>
      <c r="U249" s="126">
        <f t="shared" si="65"/>
        <v>0.3</v>
      </c>
      <c r="V249" s="126">
        <f t="shared" si="65"/>
        <v>0.3</v>
      </c>
      <c r="W249" s="126">
        <f t="shared" si="65"/>
        <v>0.3</v>
      </c>
      <c r="X249" s="126">
        <f t="shared" si="65"/>
        <v>0.3</v>
      </c>
      <c r="Y249" s="126">
        <f t="shared" si="65"/>
        <v>0.3</v>
      </c>
      <c r="Z249" s="126">
        <f t="shared" si="65"/>
        <v>0.3</v>
      </c>
      <c r="AA249" s="126">
        <f t="shared" si="65"/>
        <v>0.3</v>
      </c>
      <c r="AB249" s="126">
        <f t="shared" si="65"/>
        <v>0.3</v>
      </c>
      <c r="AC249" s="126">
        <f t="shared" si="65"/>
        <v>0.3</v>
      </c>
      <c r="AD249" s="126">
        <f t="shared" si="65"/>
        <v>0.3</v>
      </c>
      <c r="AE249" s="126">
        <f t="shared" si="65"/>
        <v>0.3</v>
      </c>
      <c r="AF249" s="126">
        <f t="shared" si="65"/>
        <v>0.3</v>
      </c>
      <c r="AG249" s="140">
        <v>1</v>
      </c>
      <c r="AH249" s="47"/>
      <c r="AI249" s="48"/>
      <c r="AK249" s="50"/>
    </row>
    <row r="250" spans="1:37" x14ac:dyDescent="0.25">
      <c r="A250" s="103" t="s">
        <v>236</v>
      </c>
      <c r="B250" s="126">
        <f t="shared" si="63"/>
        <v>0.4</v>
      </c>
      <c r="C250" s="126">
        <v>0.4</v>
      </c>
      <c r="D250" s="126">
        <f t="shared" si="64"/>
        <v>0.4</v>
      </c>
      <c r="E250" s="126">
        <f t="shared" si="64"/>
        <v>0.4</v>
      </c>
      <c r="F250" s="126">
        <f t="shared" si="64"/>
        <v>0.4</v>
      </c>
      <c r="G250" s="126">
        <f t="shared" si="64"/>
        <v>0.4</v>
      </c>
      <c r="H250" s="126">
        <f t="shared" si="64"/>
        <v>0.4</v>
      </c>
      <c r="I250" s="126">
        <f t="shared" si="64"/>
        <v>0.4</v>
      </c>
      <c r="J250" s="126">
        <f t="shared" si="64"/>
        <v>0.4</v>
      </c>
      <c r="K250" s="126">
        <f t="shared" si="64"/>
        <v>0.4</v>
      </c>
      <c r="L250" s="126">
        <f t="shared" si="64"/>
        <v>0.4</v>
      </c>
      <c r="M250" s="126">
        <f t="shared" si="64"/>
        <v>0.4</v>
      </c>
      <c r="N250" s="126">
        <f t="shared" si="64"/>
        <v>0.4</v>
      </c>
      <c r="O250" s="126">
        <f t="shared" si="64"/>
        <v>0.4</v>
      </c>
      <c r="P250" s="126">
        <f t="shared" si="64"/>
        <v>0.4</v>
      </c>
      <c r="Q250" s="126">
        <f t="shared" si="64"/>
        <v>0.4</v>
      </c>
      <c r="R250" s="126">
        <f t="shared" si="64"/>
        <v>0.4</v>
      </c>
      <c r="S250" s="126">
        <f t="shared" si="64"/>
        <v>0.4</v>
      </c>
      <c r="T250" s="126">
        <f t="shared" si="65"/>
        <v>0.4</v>
      </c>
      <c r="U250" s="126">
        <f t="shared" si="65"/>
        <v>0.4</v>
      </c>
      <c r="V250" s="126">
        <f t="shared" si="65"/>
        <v>0.4</v>
      </c>
      <c r="W250" s="126">
        <f t="shared" si="65"/>
        <v>0.4</v>
      </c>
      <c r="X250" s="126">
        <f t="shared" si="65"/>
        <v>0.4</v>
      </c>
      <c r="Y250" s="126">
        <f t="shared" si="65"/>
        <v>0.4</v>
      </c>
      <c r="Z250" s="126">
        <f t="shared" si="65"/>
        <v>0.4</v>
      </c>
      <c r="AA250" s="126">
        <f t="shared" si="65"/>
        <v>0.4</v>
      </c>
      <c r="AB250" s="126">
        <f t="shared" si="65"/>
        <v>0.4</v>
      </c>
      <c r="AC250" s="126">
        <f t="shared" si="65"/>
        <v>0.4</v>
      </c>
      <c r="AD250" s="126">
        <f t="shared" si="65"/>
        <v>0.4</v>
      </c>
      <c r="AE250" s="126">
        <f t="shared" si="65"/>
        <v>0.4</v>
      </c>
      <c r="AF250" s="126">
        <f t="shared" si="65"/>
        <v>0.4</v>
      </c>
      <c r="AG250" s="140">
        <v>1</v>
      </c>
      <c r="AH250" s="47"/>
      <c r="AI250" s="48"/>
      <c r="AK250" s="50"/>
    </row>
    <row r="251" spans="1:37" ht="15.75" thickBot="1" x14ac:dyDescent="0.3">
      <c r="A251" s="116" t="s">
        <v>237</v>
      </c>
      <c r="B251" s="130">
        <f t="shared" si="63"/>
        <v>0.64</v>
      </c>
      <c r="C251" s="130">
        <v>0.64</v>
      </c>
      <c r="D251" s="130">
        <f t="shared" si="64"/>
        <v>0.64</v>
      </c>
      <c r="E251" s="130">
        <f t="shared" si="64"/>
        <v>0.64</v>
      </c>
      <c r="F251" s="130">
        <f t="shared" si="64"/>
        <v>0.64</v>
      </c>
      <c r="G251" s="130">
        <f t="shared" si="64"/>
        <v>0.64</v>
      </c>
      <c r="H251" s="130">
        <f t="shared" si="64"/>
        <v>0.64</v>
      </c>
      <c r="I251" s="130">
        <f t="shared" si="64"/>
        <v>0.64</v>
      </c>
      <c r="J251" s="130">
        <f t="shared" si="64"/>
        <v>0.64</v>
      </c>
      <c r="K251" s="130">
        <f t="shared" si="64"/>
        <v>0.64</v>
      </c>
      <c r="L251" s="130">
        <f t="shared" si="64"/>
        <v>0.64</v>
      </c>
      <c r="M251" s="130">
        <f t="shared" si="64"/>
        <v>0.64</v>
      </c>
      <c r="N251" s="130">
        <f t="shared" si="64"/>
        <v>0.64</v>
      </c>
      <c r="O251" s="130">
        <f t="shared" si="64"/>
        <v>0.64</v>
      </c>
      <c r="P251" s="130">
        <f t="shared" si="64"/>
        <v>0.64</v>
      </c>
      <c r="Q251" s="130">
        <f t="shared" si="64"/>
        <v>0.64</v>
      </c>
      <c r="R251" s="130">
        <f t="shared" si="64"/>
        <v>0.64</v>
      </c>
      <c r="S251" s="130">
        <f t="shared" si="64"/>
        <v>0.64</v>
      </c>
      <c r="T251" s="130">
        <f t="shared" si="65"/>
        <v>0.64</v>
      </c>
      <c r="U251" s="130">
        <f t="shared" si="65"/>
        <v>0.64</v>
      </c>
      <c r="V251" s="130">
        <f t="shared" si="65"/>
        <v>0.64</v>
      </c>
      <c r="W251" s="130">
        <f t="shared" si="65"/>
        <v>0.64</v>
      </c>
      <c r="X251" s="130">
        <f t="shared" si="65"/>
        <v>0.64</v>
      </c>
      <c r="Y251" s="130">
        <f t="shared" si="65"/>
        <v>0.64</v>
      </c>
      <c r="Z251" s="130">
        <f t="shared" si="65"/>
        <v>0.64</v>
      </c>
      <c r="AA251" s="130">
        <f t="shared" si="65"/>
        <v>0.64</v>
      </c>
      <c r="AB251" s="130">
        <f t="shared" si="65"/>
        <v>0.64</v>
      </c>
      <c r="AC251" s="130">
        <f t="shared" si="65"/>
        <v>0.64</v>
      </c>
      <c r="AD251" s="130">
        <f t="shared" si="65"/>
        <v>0.64</v>
      </c>
      <c r="AE251" s="130">
        <f t="shared" si="65"/>
        <v>0.64</v>
      </c>
      <c r="AF251" s="130">
        <f t="shared" si="65"/>
        <v>0.64</v>
      </c>
      <c r="AG251" s="141">
        <v>0.66</v>
      </c>
      <c r="AH251" s="47"/>
      <c r="AI251" s="48"/>
    </row>
    <row r="252" spans="1:37" ht="15.75" thickBot="1" x14ac:dyDescent="0.3">
      <c r="A252" s="142" t="s">
        <v>75</v>
      </c>
      <c r="B252" s="134">
        <f t="shared" ref="B252:AG252" si="66">SUM(B246:B251)</f>
        <v>3.54</v>
      </c>
      <c r="C252" s="134">
        <f t="shared" si="66"/>
        <v>3.54</v>
      </c>
      <c r="D252" s="134">
        <f t="shared" si="66"/>
        <v>3.54</v>
      </c>
      <c r="E252" s="134">
        <f t="shared" si="66"/>
        <v>3.54</v>
      </c>
      <c r="F252" s="134">
        <f t="shared" si="66"/>
        <v>3.54</v>
      </c>
      <c r="G252" s="134">
        <f t="shared" si="66"/>
        <v>3.54</v>
      </c>
      <c r="H252" s="134">
        <f t="shared" si="66"/>
        <v>3.54</v>
      </c>
      <c r="I252" s="134">
        <f t="shared" si="66"/>
        <v>3.54</v>
      </c>
      <c r="J252" s="134">
        <f t="shared" si="66"/>
        <v>3.54</v>
      </c>
      <c r="K252" s="134">
        <f t="shared" si="66"/>
        <v>3.54</v>
      </c>
      <c r="L252" s="134">
        <f t="shared" si="66"/>
        <v>3.54</v>
      </c>
      <c r="M252" s="134">
        <f t="shared" si="66"/>
        <v>3.54</v>
      </c>
      <c r="N252" s="134">
        <f t="shared" si="66"/>
        <v>3.54</v>
      </c>
      <c r="O252" s="134">
        <f t="shared" si="66"/>
        <v>3.54</v>
      </c>
      <c r="P252" s="134">
        <f t="shared" si="66"/>
        <v>3.54</v>
      </c>
      <c r="Q252" s="134">
        <f t="shared" si="66"/>
        <v>3.54</v>
      </c>
      <c r="R252" s="134">
        <f t="shared" si="66"/>
        <v>3.54</v>
      </c>
      <c r="S252" s="134">
        <f t="shared" si="66"/>
        <v>3.54</v>
      </c>
      <c r="T252" s="134">
        <f t="shared" si="66"/>
        <v>3.54</v>
      </c>
      <c r="U252" s="134">
        <f t="shared" si="66"/>
        <v>3.54</v>
      </c>
      <c r="V252" s="134">
        <f t="shared" si="66"/>
        <v>3.54</v>
      </c>
      <c r="W252" s="134">
        <f t="shared" si="66"/>
        <v>3.54</v>
      </c>
      <c r="X252" s="134">
        <f t="shared" si="66"/>
        <v>3.54</v>
      </c>
      <c r="Y252" s="134">
        <f t="shared" si="66"/>
        <v>3.54</v>
      </c>
      <c r="Z252" s="134">
        <f t="shared" si="66"/>
        <v>3.54</v>
      </c>
      <c r="AA252" s="134">
        <f t="shared" si="66"/>
        <v>3.54</v>
      </c>
      <c r="AB252" s="134">
        <f t="shared" si="66"/>
        <v>3.54</v>
      </c>
      <c r="AC252" s="134">
        <f t="shared" si="66"/>
        <v>3.54</v>
      </c>
      <c r="AD252" s="134">
        <f t="shared" si="66"/>
        <v>3.54</v>
      </c>
      <c r="AE252" s="134">
        <f t="shared" si="66"/>
        <v>3.54</v>
      </c>
      <c r="AF252" s="134">
        <f t="shared" si="66"/>
        <v>3.54</v>
      </c>
      <c r="AG252" s="143">
        <f t="shared" si="66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37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54" t="s">
        <v>243</v>
      </c>
      <c r="B256" s="155">
        <f>MAX(G99:N99)</f>
        <v>1738.04</v>
      </c>
      <c r="C256" s="156">
        <f>INDEX(G9:N9,1,MATCH(MAX(G99:N99),G99:N99,0))</f>
        <v>0.3125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50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157" t="str">
        <f ca="1">MID(CELL("filename",C7),FIND("]",CELL("filename",C7))+1,600)</f>
        <v>19</v>
      </c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50" x14ac:dyDescent="0.25">
      <c r="A258" s="257" t="s">
        <v>244</v>
      </c>
      <c r="B258" s="257"/>
      <c r="C258" s="43"/>
      <c r="D258" s="157" t="str">
        <f ca="1">"Pie Chart of Daily Peak Demand(Inclusive of Export) of Nepal ("&amp;A4&amp;" "&amp;B4&amp;")"</f>
        <v>Pie Chart of Daily Peak Demand(Inclusive of Export) of Nepal (Nepali Date: 2080/10/19)</v>
      </c>
      <c r="E258" s="43"/>
      <c r="F258" s="43"/>
      <c r="G258" s="157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157" t="str">
        <f ca="1">"Daily Load Curve(Excluding of Export) of Nepal ("&amp;A4&amp;" "&amp;B4&amp;")"</f>
        <v>Daily Load Curve(Excluding of Export) of Nepal (Nepali Date: 2080/10/19)</v>
      </c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50" ht="12.75" customHeight="1" thickBot="1" x14ac:dyDescent="0.3">
      <c r="A259" s="158" t="s">
        <v>7</v>
      </c>
      <c r="B259" s="159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50" ht="15.75" thickTop="1" x14ac:dyDescent="0.25">
      <c r="A260" s="158" t="s">
        <v>245</v>
      </c>
      <c r="B260" s="15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160" t="s">
        <v>246</v>
      </c>
      <c r="T260" s="161">
        <v>0</v>
      </c>
      <c r="U260" s="162">
        <v>4.1666666666666664E-2</v>
      </c>
      <c r="V260" s="163">
        <v>8.3333333333333301E-2</v>
      </c>
      <c r="W260" s="163">
        <v>0.125</v>
      </c>
      <c r="X260" s="163">
        <v>0.16666666666666699</v>
      </c>
      <c r="Y260" s="163">
        <v>0.20833333333333301</v>
      </c>
      <c r="Z260" s="163">
        <v>0.22916666666666666</v>
      </c>
      <c r="AA260" s="163">
        <v>0.25</v>
      </c>
      <c r="AB260" s="163">
        <v>0.27083333333333331</v>
      </c>
      <c r="AC260" s="163">
        <v>0.29166666666666669</v>
      </c>
      <c r="AD260" s="163">
        <v>0.3125</v>
      </c>
      <c r="AE260" s="164">
        <v>0.33333333333333331</v>
      </c>
      <c r="AF260" s="164">
        <v>0.375</v>
      </c>
      <c r="AG260" s="164">
        <v>0.41666666666666702</v>
      </c>
      <c r="AH260" s="164">
        <v>0.45833333333333298</v>
      </c>
      <c r="AI260" s="164">
        <v>0.5</v>
      </c>
      <c r="AJ260" s="164">
        <v>0.54166666666666696</v>
      </c>
      <c r="AK260" s="164">
        <v>0.58333333333333304</v>
      </c>
      <c r="AL260" s="164">
        <v>0.625</v>
      </c>
      <c r="AM260" s="164">
        <v>0.66666666666666696</v>
      </c>
      <c r="AN260" s="164">
        <v>0.70833333333333304</v>
      </c>
      <c r="AO260" s="164">
        <v>0.72916666666666663</v>
      </c>
      <c r="AP260" s="164">
        <v>0.75</v>
      </c>
      <c r="AQ260" s="164">
        <v>0.77083333333333337</v>
      </c>
      <c r="AR260" s="164">
        <v>0.79166666666666663</v>
      </c>
      <c r="AS260" s="164">
        <v>0.8125</v>
      </c>
      <c r="AT260" s="163">
        <v>0.83333333333333337</v>
      </c>
      <c r="AU260" s="163">
        <v>0.85416666666666663</v>
      </c>
      <c r="AV260" s="163">
        <v>0.875</v>
      </c>
      <c r="AW260" s="163">
        <v>0.91666666666666696</v>
      </c>
      <c r="AX260" s="163">
        <v>0.95833333333333304</v>
      </c>
    </row>
    <row r="261" spans="1:50" x14ac:dyDescent="0.25">
      <c r="A261" s="158" t="s">
        <v>247</v>
      </c>
      <c r="B261" s="15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 t="s">
        <v>248</v>
      </c>
      <c r="T261" s="165">
        <f t="shared" ref="T261:AX261" si="67">B99</f>
        <v>1222.74</v>
      </c>
      <c r="U261" s="165">
        <f t="shared" si="67"/>
        <v>1181.3400000000001</v>
      </c>
      <c r="V261" s="165">
        <f t="shared" si="67"/>
        <v>1159.6400000000001</v>
      </c>
      <c r="W261" s="165">
        <f t="shared" si="67"/>
        <v>1134.8400000000001</v>
      </c>
      <c r="X261" s="165">
        <f t="shared" si="67"/>
        <v>1157.8400000000001</v>
      </c>
      <c r="Y261" s="165">
        <f t="shared" si="67"/>
        <v>1219.8400000000001</v>
      </c>
      <c r="Z261" s="165">
        <f t="shared" si="67"/>
        <v>1320.54</v>
      </c>
      <c r="AA261" s="165">
        <f t="shared" si="67"/>
        <v>1403.04</v>
      </c>
      <c r="AB261" s="165">
        <f t="shared" si="67"/>
        <v>1506.54</v>
      </c>
      <c r="AC261" s="165">
        <f t="shared" si="67"/>
        <v>1543.7400000000002</v>
      </c>
      <c r="AD261" s="165">
        <f t="shared" si="67"/>
        <v>1738.04</v>
      </c>
      <c r="AE261" s="165">
        <f t="shared" si="67"/>
        <v>1733.54</v>
      </c>
      <c r="AF261" s="165">
        <f t="shared" si="67"/>
        <v>1545.24</v>
      </c>
      <c r="AG261" s="165">
        <f t="shared" si="67"/>
        <v>1542.04</v>
      </c>
      <c r="AH261" s="165">
        <f t="shared" si="67"/>
        <v>1451.6399999999999</v>
      </c>
      <c r="AI261" s="165">
        <f t="shared" si="67"/>
        <v>1532.44</v>
      </c>
      <c r="AJ261" s="165">
        <f t="shared" si="67"/>
        <v>1526.84</v>
      </c>
      <c r="AK261" s="165">
        <f t="shared" si="67"/>
        <v>1485.1399999999999</v>
      </c>
      <c r="AL261" s="165">
        <f t="shared" si="67"/>
        <v>1485.6399999999999</v>
      </c>
      <c r="AM261" s="165">
        <f t="shared" si="67"/>
        <v>1519.24</v>
      </c>
      <c r="AN261" s="165">
        <f t="shared" si="67"/>
        <v>1378.8400000000001</v>
      </c>
      <c r="AO261" s="165">
        <f t="shared" si="67"/>
        <v>1586.54</v>
      </c>
      <c r="AP261" s="165">
        <f t="shared" si="67"/>
        <v>1778.3400000000001</v>
      </c>
      <c r="AQ261" s="165">
        <f t="shared" si="67"/>
        <v>1891.5</v>
      </c>
      <c r="AR261" s="165">
        <f t="shared" si="67"/>
        <v>1847.6</v>
      </c>
      <c r="AS261" s="165">
        <f t="shared" si="67"/>
        <v>1796.9400000000003</v>
      </c>
      <c r="AT261" s="165">
        <f t="shared" si="67"/>
        <v>1765.94</v>
      </c>
      <c r="AU261" s="165">
        <f t="shared" si="67"/>
        <v>1697.0400000000002</v>
      </c>
      <c r="AV261" s="165">
        <f t="shared" si="67"/>
        <v>1477.54</v>
      </c>
      <c r="AW261" s="165">
        <f t="shared" si="67"/>
        <v>1381.8400000000001</v>
      </c>
      <c r="AX261" s="165">
        <f t="shared" si="67"/>
        <v>1248.24</v>
      </c>
    </row>
    <row r="262" spans="1:50" x14ac:dyDescent="0.25">
      <c r="A262" s="158" t="s">
        <v>249</v>
      </c>
      <c r="B262" s="15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50" x14ac:dyDescent="0.25">
      <c r="A263" s="158" t="s">
        <v>250</v>
      </c>
      <c r="B263" s="15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50" x14ac:dyDescent="0.25">
      <c r="A264" s="158" t="s">
        <v>251</v>
      </c>
      <c r="B264" s="15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50" x14ac:dyDescent="0.25">
      <c r="A265" s="158" t="s">
        <v>252</v>
      </c>
      <c r="B265" s="166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50" x14ac:dyDescent="0.25">
      <c r="A266" s="158" t="s">
        <v>253</v>
      </c>
      <c r="B266" s="15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50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50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50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50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50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50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1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1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1:34" x14ac:dyDescent="0.25">
      <c r="A282" s="167" t="s">
        <v>238</v>
      </c>
      <c r="B282" s="168">
        <f t="shared" ref="B282:AE282" si="68">C251</f>
        <v>0.64</v>
      </c>
      <c r="C282" s="168">
        <f t="shared" si="68"/>
        <v>0.64</v>
      </c>
      <c r="D282" s="168">
        <f t="shared" si="68"/>
        <v>0.64</v>
      </c>
      <c r="E282" s="168">
        <f t="shared" si="68"/>
        <v>0.64</v>
      </c>
      <c r="F282" s="168">
        <f t="shared" si="68"/>
        <v>0.64</v>
      </c>
      <c r="G282" s="168">
        <f t="shared" si="68"/>
        <v>0.64</v>
      </c>
      <c r="H282" s="168">
        <f t="shared" si="68"/>
        <v>0.64</v>
      </c>
      <c r="I282" s="168">
        <f t="shared" si="68"/>
        <v>0.64</v>
      </c>
      <c r="J282" s="168">
        <f t="shared" si="68"/>
        <v>0.64</v>
      </c>
      <c r="K282" s="168">
        <f t="shared" si="68"/>
        <v>0.64</v>
      </c>
      <c r="L282" s="168">
        <f t="shared" si="68"/>
        <v>0.64</v>
      </c>
      <c r="M282" s="168">
        <f t="shared" si="68"/>
        <v>0.64</v>
      </c>
      <c r="N282" s="168">
        <f t="shared" si="68"/>
        <v>0.64</v>
      </c>
      <c r="O282" s="168">
        <f t="shared" si="68"/>
        <v>0.64</v>
      </c>
      <c r="P282" s="168">
        <f t="shared" si="68"/>
        <v>0.64</v>
      </c>
      <c r="Q282" s="168">
        <f t="shared" si="68"/>
        <v>0.64</v>
      </c>
      <c r="R282" s="168">
        <f t="shared" si="68"/>
        <v>0.64</v>
      </c>
      <c r="S282" s="168">
        <f t="shared" si="68"/>
        <v>0.64</v>
      </c>
      <c r="T282" s="168">
        <f t="shared" si="68"/>
        <v>0.64</v>
      </c>
      <c r="U282" s="168">
        <f t="shared" si="68"/>
        <v>0.64</v>
      </c>
      <c r="V282" s="168">
        <f t="shared" si="68"/>
        <v>0.64</v>
      </c>
      <c r="W282" s="168">
        <f t="shared" si="68"/>
        <v>0.64</v>
      </c>
      <c r="X282" s="168">
        <f t="shared" si="68"/>
        <v>0.64</v>
      </c>
      <c r="Y282" s="168">
        <f t="shared" si="68"/>
        <v>0.64</v>
      </c>
      <c r="Z282" s="168">
        <f t="shared" si="68"/>
        <v>0.64</v>
      </c>
      <c r="AA282" s="168">
        <f t="shared" si="68"/>
        <v>0.64</v>
      </c>
      <c r="AB282" s="168">
        <f t="shared" si="68"/>
        <v>0.64</v>
      </c>
      <c r="AC282" s="168">
        <f t="shared" si="68"/>
        <v>0.64</v>
      </c>
      <c r="AD282" s="168">
        <f t="shared" si="68"/>
        <v>0.64</v>
      </c>
      <c r="AE282" s="168">
        <f t="shared" si="68"/>
        <v>0.64</v>
      </c>
      <c r="AF282" s="168">
        <f>B251</f>
        <v>0.64</v>
      </c>
      <c r="AG282" s="43"/>
      <c r="AH282" s="43"/>
    </row>
    <row r="283" spans="1:34" x14ac:dyDescent="0.25">
      <c r="A283" s="169" t="e">
        <f>#REF!</f>
        <v>#REF!</v>
      </c>
      <c r="B283" s="169" t="e">
        <f>IF(#REF!&lt;100,"",#REF!-520)</f>
        <v>#REF!</v>
      </c>
      <c r="C283" s="169" t="e">
        <f>IF(#REF!&lt;100,"",#REF!-520)</f>
        <v>#REF!</v>
      </c>
      <c r="D283" s="169" t="e">
        <f>IF(#REF!&lt;100,"",#REF!-520)</f>
        <v>#REF!</v>
      </c>
      <c r="E283" s="169" t="e">
        <f>IF(#REF!&lt;100,"",#REF!-520)</f>
        <v>#REF!</v>
      </c>
      <c r="F283" s="169" t="e">
        <f>IF(#REF!&lt;100,"",#REF!-520)</f>
        <v>#REF!</v>
      </c>
      <c r="G283" s="169" t="e">
        <f>IF(#REF!&lt;100,"",#REF!-520)</f>
        <v>#REF!</v>
      </c>
      <c r="H283" s="169" t="e">
        <f>IF(#REF!&lt;100,"",#REF!-520)</f>
        <v>#REF!</v>
      </c>
      <c r="I283" s="169" t="e">
        <f>IF(#REF!&lt;100,"",#REF!-520)</f>
        <v>#REF!</v>
      </c>
      <c r="J283" s="169" t="e">
        <f>IF(#REF!&lt;100,"",#REF!-520)</f>
        <v>#REF!</v>
      </c>
      <c r="K283" s="169" t="e">
        <f>IF(#REF!&lt;100,"",#REF!-520)</f>
        <v>#REF!</v>
      </c>
      <c r="L283" s="169" t="e">
        <f>IF(#REF!&lt;100,"",#REF!-520)</f>
        <v>#REF!</v>
      </c>
      <c r="M283" s="169" t="e">
        <f>IF(#REF!&lt;100,"",#REF!-520)</f>
        <v>#REF!</v>
      </c>
      <c r="N283" s="169" t="e">
        <f>IF(#REF!&lt;100,"",#REF!-520)</f>
        <v>#REF!</v>
      </c>
      <c r="O283" s="169" t="e">
        <f>IF(#REF!&lt;100,"",#REF!-520)</f>
        <v>#REF!</v>
      </c>
      <c r="P283" s="169" t="e">
        <f>IF(#REF!&lt;100,"",#REF!-520)</f>
        <v>#REF!</v>
      </c>
      <c r="Q283" s="169" t="e">
        <f>IF(#REF!&lt;100,"",#REF!-520)</f>
        <v>#REF!</v>
      </c>
      <c r="R283" s="169" t="e">
        <f>IF(#REF!&lt;100,"",#REF!-520)</f>
        <v>#REF!</v>
      </c>
      <c r="S283" s="169" t="e">
        <f>IF(#REF!&lt;100,"",#REF!-520)</f>
        <v>#REF!</v>
      </c>
      <c r="T283" s="169" t="e">
        <f>IF(#REF!&lt;100,"",#REF!-520)</f>
        <v>#REF!</v>
      </c>
      <c r="U283" s="169" t="e">
        <f>IF(#REF!&lt;100,"",#REF!-520)</f>
        <v>#REF!</v>
      </c>
      <c r="V283" s="169" t="e">
        <f>IF(#REF!&lt;100,"",#REF!-520)</f>
        <v>#REF!</v>
      </c>
      <c r="W283" s="169" t="e">
        <f>IF(#REF!&lt;100,"",#REF!-520)</f>
        <v>#REF!</v>
      </c>
      <c r="X283" s="169" t="e">
        <f>IF(#REF!&lt;100,"",#REF!-520)</f>
        <v>#REF!</v>
      </c>
      <c r="Y283" s="169" t="e">
        <f>IF(#REF!&lt;100,"",#REF!-520)</f>
        <v>#REF!</v>
      </c>
      <c r="Z283" s="169" t="e">
        <f>IF(#REF!&lt;100,"",#REF!-520)</f>
        <v>#REF!</v>
      </c>
      <c r="AA283" s="169" t="e">
        <f>IF(#REF!&lt;100,"",#REF!-520)</f>
        <v>#REF!</v>
      </c>
      <c r="AB283" s="169" t="e">
        <f>IF(#REF!&lt;100,"",#REF!-520)</f>
        <v>#REF!</v>
      </c>
      <c r="AC283" s="169" t="e">
        <f>IF(#REF!&lt;100,"",#REF!-520)</f>
        <v>#REF!</v>
      </c>
      <c r="AD283" s="169" t="e">
        <f>IF(#REF!&lt;100,"",#REF!-520)</f>
        <v>#REF!</v>
      </c>
      <c r="AE283" s="169" t="e">
        <f>IF(#REF!&lt;100,"",#REF!-520)</f>
        <v>#REF!</v>
      </c>
      <c r="AF283" s="169" t="e">
        <f>IF(#REF!&lt;100,"",#REF!-520)</f>
        <v>#REF!</v>
      </c>
      <c r="AG283" s="43"/>
      <c r="AH283" s="43"/>
    </row>
    <row r="284" spans="1:34" x14ac:dyDescent="0.25">
      <c r="A284" s="169" t="e">
        <f>#REF!</f>
        <v>#REF!</v>
      </c>
      <c r="B284" s="169" t="e">
        <f>IF(#REF!&lt;100,"",#REF!-620)</f>
        <v>#REF!</v>
      </c>
      <c r="C284" s="169" t="e">
        <f>IF(#REF!&lt;100,"",#REF!-620)</f>
        <v>#REF!</v>
      </c>
      <c r="D284" s="169" t="e">
        <f>IF(#REF!&lt;100,"",#REF!-620)</f>
        <v>#REF!</v>
      </c>
      <c r="E284" s="169" t="e">
        <f>IF(#REF!&lt;100,"",#REF!-620)</f>
        <v>#REF!</v>
      </c>
      <c r="F284" s="169" t="e">
        <f>IF(#REF!&lt;100,"",#REF!-620)</f>
        <v>#REF!</v>
      </c>
      <c r="G284" s="169" t="e">
        <f>IF(#REF!&lt;100,"",#REF!-620)</f>
        <v>#REF!</v>
      </c>
      <c r="H284" s="169" t="e">
        <f>IF(#REF!&lt;100,"",#REF!-620)</f>
        <v>#REF!</v>
      </c>
      <c r="I284" s="169" t="e">
        <f>IF(#REF!&lt;100,"",#REF!-620)</f>
        <v>#REF!</v>
      </c>
      <c r="J284" s="169" t="e">
        <f>IF(#REF!&lt;100,"",#REF!-620)</f>
        <v>#REF!</v>
      </c>
      <c r="K284" s="169" t="e">
        <f>IF(#REF!&lt;100,"",#REF!-620)</f>
        <v>#REF!</v>
      </c>
      <c r="L284" s="169" t="e">
        <f>IF(#REF!&lt;100,"",#REF!-620)</f>
        <v>#REF!</v>
      </c>
      <c r="M284" s="169" t="e">
        <f>IF(#REF!&lt;100,"",#REF!-620)</f>
        <v>#REF!</v>
      </c>
      <c r="N284" s="169" t="e">
        <f>IF(#REF!&lt;100,"",#REF!-620)</f>
        <v>#REF!</v>
      </c>
      <c r="O284" s="169" t="e">
        <f>IF(#REF!&lt;100,"",#REF!-620)</f>
        <v>#REF!</v>
      </c>
      <c r="P284" s="169" t="e">
        <f>IF(#REF!&lt;100,"",#REF!-620)</f>
        <v>#REF!</v>
      </c>
      <c r="Q284" s="169" t="e">
        <f>IF(#REF!&lt;100,"",#REF!-620)</f>
        <v>#REF!</v>
      </c>
      <c r="R284" s="169" t="e">
        <f>IF(#REF!&lt;100,"",#REF!-620)</f>
        <v>#REF!</v>
      </c>
      <c r="S284" s="169" t="e">
        <f>IF(#REF!&lt;100,"",#REF!-620)</f>
        <v>#REF!</v>
      </c>
      <c r="T284" s="169" t="e">
        <f>IF(#REF!&lt;100,"",#REF!-620)</f>
        <v>#REF!</v>
      </c>
      <c r="U284" s="169" t="e">
        <f>IF(#REF!&lt;100,"",#REF!-620)</f>
        <v>#REF!</v>
      </c>
      <c r="V284" s="169" t="e">
        <f>IF(#REF!&lt;100,"",#REF!-620)</f>
        <v>#REF!</v>
      </c>
      <c r="W284" s="169" t="e">
        <f>IF(#REF!&lt;100,"",#REF!-620)</f>
        <v>#REF!</v>
      </c>
      <c r="X284" s="169" t="e">
        <f>IF(#REF!&lt;100,"",#REF!-620)</f>
        <v>#REF!</v>
      </c>
      <c r="Y284" s="169" t="e">
        <f>IF(#REF!&lt;100,"",#REF!-620)</f>
        <v>#REF!</v>
      </c>
      <c r="Z284" s="169" t="e">
        <f>IF(#REF!&lt;100,"",#REF!-620)</f>
        <v>#REF!</v>
      </c>
      <c r="AA284" s="169" t="e">
        <f>IF(#REF!&lt;100,"",#REF!-620)</f>
        <v>#REF!</v>
      </c>
      <c r="AB284" s="169" t="e">
        <f>IF(#REF!&lt;100,"",#REF!-620)</f>
        <v>#REF!</v>
      </c>
      <c r="AC284" s="169" t="e">
        <f>IF(#REF!&lt;100,"",#REF!-620)</f>
        <v>#REF!</v>
      </c>
      <c r="AD284" s="169" t="e">
        <f>IF(#REF!&lt;100,"",#REF!-620)</f>
        <v>#REF!</v>
      </c>
      <c r="AE284" s="169" t="e">
        <f>IF(#REF!&lt;100,"",#REF!-620)</f>
        <v>#REF!</v>
      </c>
      <c r="AF284" s="169" t="e">
        <f>IF(#REF!&lt;100,"",#REF!-620)</f>
        <v>#REF!</v>
      </c>
      <c r="AG284" s="43"/>
      <c r="AH284" s="43"/>
    </row>
    <row r="285" spans="1:34" x14ac:dyDescent="0.25">
      <c r="A285" s="169" t="e">
        <f>#REF!</f>
        <v>#REF!</v>
      </c>
      <c r="B285" s="169" t="e">
        <f>IF(#REF!&lt;100,"",#REF!-330)</f>
        <v>#REF!</v>
      </c>
      <c r="C285" s="169" t="e">
        <f>IF(#REF!&lt;100,"",#REF!-330)</f>
        <v>#REF!</v>
      </c>
      <c r="D285" s="169" t="e">
        <f>IF(#REF!&lt;100,"",#REF!-330)</f>
        <v>#REF!</v>
      </c>
      <c r="E285" s="169" t="e">
        <f>IF(#REF!&lt;100,"",#REF!-330)</f>
        <v>#REF!</v>
      </c>
      <c r="F285" s="169" t="e">
        <f>IF(#REF!&lt;100,"",#REF!-330)</f>
        <v>#REF!</v>
      </c>
      <c r="G285" s="169" t="e">
        <f>IF(#REF!&lt;100,"",#REF!-330)</f>
        <v>#REF!</v>
      </c>
      <c r="H285" s="169" t="e">
        <f>IF(#REF!&lt;100,"",#REF!-330)</f>
        <v>#REF!</v>
      </c>
      <c r="I285" s="169" t="e">
        <f>IF(#REF!&lt;100,"",#REF!-330)</f>
        <v>#REF!</v>
      </c>
      <c r="J285" s="169" t="e">
        <f>IF(#REF!&lt;100,"",#REF!-330)</f>
        <v>#REF!</v>
      </c>
      <c r="K285" s="169" t="e">
        <f>IF(#REF!&lt;100,"",#REF!-330)</f>
        <v>#REF!</v>
      </c>
      <c r="L285" s="169" t="e">
        <f>IF(#REF!&lt;100,"",#REF!-330)</f>
        <v>#REF!</v>
      </c>
      <c r="M285" s="169" t="e">
        <f>IF(#REF!&lt;100,"",#REF!-330)</f>
        <v>#REF!</v>
      </c>
      <c r="N285" s="169" t="e">
        <f>IF(#REF!&lt;100,"",#REF!-330)</f>
        <v>#REF!</v>
      </c>
      <c r="O285" s="169" t="e">
        <f>IF(#REF!&lt;100,"",#REF!-330)</f>
        <v>#REF!</v>
      </c>
      <c r="P285" s="169" t="e">
        <f>IF(#REF!&lt;100,"",#REF!-330)</f>
        <v>#REF!</v>
      </c>
      <c r="Q285" s="169" t="e">
        <f>IF(#REF!&lt;100,"",#REF!-330)</f>
        <v>#REF!</v>
      </c>
      <c r="R285" s="169" t="e">
        <f>IF(#REF!&lt;100,"",#REF!-330)</f>
        <v>#REF!</v>
      </c>
      <c r="S285" s="169" t="e">
        <f>IF(#REF!&lt;100,"",#REF!-330)</f>
        <v>#REF!</v>
      </c>
      <c r="T285" s="169" t="e">
        <f>IF(#REF!&lt;100,"",#REF!-330)</f>
        <v>#REF!</v>
      </c>
      <c r="U285" s="169" t="e">
        <f>IF(#REF!&lt;100,"",#REF!-330)</f>
        <v>#REF!</v>
      </c>
      <c r="V285" s="169" t="e">
        <f>IF(#REF!&lt;100,"",#REF!-330)</f>
        <v>#REF!</v>
      </c>
      <c r="W285" s="169" t="e">
        <f>IF(#REF!&lt;100,"",#REF!-330)</f>
        <v>#REF!</v>
      </c>
      <c r="X285" s="169" t="e">
        <f>IF(#REF!&lt;100,"",#REF!-330)</f>
        <v>#REF!</v>
      </c>
      <c r="Y285" s="169" t="e">
        <f>IF(#REF!&lt;100,"",#REF!-330)</f>
        <v>#REF!</v>
      </c>
      <c r="Z285" s="169" t="e">
        <f>IF(#REF!&lt;100,"",#REF!-330)</f>
        <v>#REF!</v>
      </c>
      <c r="AA285" s="169" t="e">
        <f>IF(#REF!&lt;100,"",#REF!-330)</f>
        <v>#REF!</v>
      </c>
      <c r="AB285" s="169" t="e">
        <f>IF(#REF!&lt;100,"",#REF!-330)</f>
        <v>#REF!</v>
      </c>
      <c r="AC285" s="169" t="e">
        <f>IF(#REF!&lt;100,"",#REF!-330)</f>
        <v>#REF!</v>
      </c>
      <c r="AD285" s="169" t="e">
        <f>IF(#REF!&lt;100,"",#REF!-330)</f>
        <v>#REF!</v>
      </c>
      <c r="AE285" s="169" t="e">
        <f>IF(#REF!&lt;100,"",#REF!-330)</f>
        <v>#REF!</v>
      </c>
      <c r="AF285" s="169" t="e">
        <f>IF(#REF!&lt;100,"",#REF!-330)</f>
        <v>#REF!</v>
      </c>
      <c r="AG285" s="43"/>
      <c r="AH285" s="43"/>
    </row>
    <row r="286" spans="1:34" x14ac:dyDescent="0.25">
      <c r="A286" s="169" t="e">
        <f>#REF!</f>
        <v>#REF!</v>
      </c>
      <c r="B286" s="169" t="e">
        <f>IF(#REF!&lt;100,"",#REF!-1500)</f>
        <v>#REF!</v>
      </c>
      <c r="C286" s="169" t="e">
        <f>IF(#REF!&lt;100,"",#REF!-1500)</f>
        <v>#REF!</v>
      </c>
      <c r="D286" s="169" t="e">
        <f>IF(#REF!&lt;100,"",#REF!-1500)</f>
        <v>#REF!</v>
      </c>
      <c r="E286" s="169" t="e">
        <f>IF(#REF!&lt;100,"",#REF!-1500)</f>
        <v>#REF!</v>
      </c>
      <c r="F286" s="169" t="e">
        <f>IF(#REF!&lt;100,"",#REF!-1500)</f>
        <v>#REF!</v>
      </c>
      <c r="G286" s="169" t="e">
        <f>IF(#REF!&lt;100,"",#REF!-1500)</f>
        <v>#REF!</v>
      </c>
      <c r="H286" s="169" t="e">
        <f>IF(#REF!&lt;100,"",#REF!-1500)</f>
        <v>#REF!</v>
      </c>
      <c r="I286" s="169" t="e">
        <f>IF(#REF!&lt;100,"",#REF!-1500)</f>
        <v>#REF!</v>
      </c>
      <c r="J286" s="169" t="e">
        <f>IF(#REF!&lt;100,"",#REF!-1500)</f>
        <v>#REF!</v>
      </c>
      <c r="K286" s="169" t="e">
        <f>IF(#REF!&lt;100,"",#REF!-1500)</f>
        <v>#REF!</v>
      </c>
      <c r="L286" s="169" t="e">
        <f>IF(#REF!&lt;100,"",#REF!-1500)</f>
        <v>#REF!</v>
      </c>
      <c r="M286" s="169" t="e">
        <f>IF(#REF!&lt;100,"",#REF!-1500)</f>
        <v>#REF!</v>
      </c>
      <c r="N286" s="169" t="e">
        <f>IF(#REF!&lt;100,"",#REF!-1500)</f>
        <v>#REF!</v>
      </c>
      <c r="O286" s="169" t="e">
        <f>IF(#REF!&lt;100,"",#REF!-1500)</f>
        <v>#REF!</v>
      </c>
      <c r="P286" s="169" t="e">
        <f>IF(#REF!&lt;100,"",#REF!-1500)</f>
        <v>#REF!</v>
      </c>
      <c r="Q286" s="169" t="e">
        <f>IF(#REF!&lt;100,"",#REF!-1500)</f>
        <v>#REF!</v>
      </c>
      <c r="R286" s="169" t="e">
        <f>IF(#REF!&lt;100,"",#REF!-1500)</f>
        <v>#REF!</v>
      </c>
      <c r="S286" s="169" t="e">
        <f>IF(#REF!&lt;100,"",#REF!-1500)</f>
        <v>#REF!</v>
      </c>
      <c r="T286" s="169" t="e">
        <f>IF(#REF!&lt;100,"",#REF!-1500)</f>
        <v>#REF!</v>
      </c>
      <c r="U286" s="169" t="e">
        <f>IF(#REF!&lt;100,"",#REF!-1500)</f>
        <v>#REF!</v>
      </c>
      <c r="V286" s="169" t="e">
        <f>IF(#REF!&lt;100,"",#REF!-1500)</f>
        <v>#REF!</v>
      </c>
      <c r="W286" s="169" t="e">
        <f>IF(#REF!&lt;100,"",#REF!-1500)</f>
        <v>#REF!</v>
      </c>
      <c r="X286" s="169" t="e">
        <f>IF(#REF!&lt;100,"",#REF!-1500)</f>
        <v>#REF!</v>
      </c>
      <c r="Y286" s="169" t="e">
        <f>IF(#REF!&lt;100,"",#REF!-1500)</f>
        <v>#REF!</v>
      </c>
      <c r="Z286" s="169" t="e">
        <f>IF(#REF!&lt;100,"",#REF!-1500)</f>
        <v>#REF!</v>
      </c>
      <c r="AA286" s="169" t="e">
        <f>IF(#REF!&lt;100,"",#REF!-1500)</f>
        <v>#REF!</v>
      </c>
      <c r="AB286" s="169" t="e">
        <f>IF(#REF!&lt;100,"",#REF!-1500)</f>
        <v>#REF!</v>
      </c>
      <c r="AC286" s="169" t="e">
        <f>IF(#REF!&lt;100,"",#REF!-1500)</f>
        <v>#REF!</v>
      </c>
      <c r="AD286" s="169" t="e">
        <f>IF(#REF!&lt;100,"",#REF!-1500)</f>
        <v>#REF!</v>
      </c>
      <c r="AE286" s="169" t="e">
        <f>IF(#REF!&lt;100,"",#REF!-1500)</f>
        <v>#REF!</v>
      </c>
      <c r="AF286" s="169" t="e">
        <f>IF(#REF!&lt;100,"",#REF!-1500)</f>
        <v>#REF!</v>
      </c>
      <c r="AG286" s="43"/>
      <c r="AH286" s="43"/>
    </row>
    <row r="287" spans="1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1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2:34" x14ac:dyDescent="0.25"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2:34" x14ac:dyDescent="0.25"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2:34" x14ac:dyDescent="0.25"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2:34" x14ac:dyDescent="0.25"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2:34" x14ac:dyDescent="0.25"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839" priority="36">
      <formula>$AH11=0</formula>
    </cfRule>
  </conditionalFormatting>
  <conditionalFormatting sqref="A132:A253">
    <cfRule type="expression" dxfId="838" priority="41">
      <formula>$AH132=0</formula>
    </cfRule>
  </conditionalFormatting>
  <conditionalFormatting sqref="B8 M8 S8 AB8">
    <cfRule type="expression" dxfId="837" priority="149">
      <formula>AND(C$9&gt;=14/24,C$9&lt;20/24)</formula>
    </cfRule>
    <cfRule type="expression" dxfId="836" priority="151">
      <formula>C$9&lt;8/24</formula>
    </cfRule>
    <cfRule type="expression" dxfId="835" priority="150">
      <formula>AND(C$9&gt;=8/24,C$9&lt;14/24)</formula>
    </cfRule>
  </conditionalFormatting>
  <conditionalFormatting sqref="B63:B75">
    <cfRule type="expression" dxfId="834" priority="26">
      <formula>B63&gt;$AG63</formula>
    </cfRule>
  </conditionalFormatting>
  <conditionalFormatting sqref="B63:E68">
    <cfRule type="expression" dxfId="833" priority="35">
      <formula>B$9&lt;8/24</formula>
    </cfRule>
    <cfRule type="expression" dxfId="832" priority="34">
      <formula>AND(B$9&gt;=8/24,B$9&lt;14/24)</formula>
    </cfRule>
    <cfRule type="expression" dxfId="831" priority="33">
      <formula>AND(B$9&gt;=14/24,B$9&lt;20/24)</formula>
    </cfRule>
    <cfRule type="expression" dxfId="830" priority="32">
      <formula>B$9&gt;=20/24</formula>
    </cfRule>
  </conditionalFormatting>
  <conditionalFormatting sqref="B69:X74">
    <cfRule type="expression" dxfId="829" priority="31">
      <formula>B$9&lt;8/24</formula>
    </cfRule>
    <cfRule type="expression" dxfId="828" priority="30">
      <formula>AND(B$9&gt;=8/24,B$9&lt;14/24)</formula>
    </cfRule>
    <cfRule type="expression" dxfId="827" priority="28">
      <formula>B$9&gt;=20/24</formula>
    </cfRule>
    <cfRule type="expression" dxfId="826" priority="29">
      <formula>AND(B$9&gt;=14/24,B$9&lt;20/24)</formula>
    </cfRule>
  </conditionalFormatting>
  <conditionalFormatting sqref="B9:AF52">
    <cfRule type="expression" dxfId="825" priority="63">
      <formula>AND(B$9&gt;=8/24,B$9&lt;14/24)</formula>
    </cfRule>
    <cfRule type="expression" dxfId="824" priority="64">
      <formula>B$9&lt;8/24</formula>
    </cfRule>
    <cfRule type="expression" dxfId="823" priority="61">
      <formula>B$9&gt;=20/24</formula>
    </cfRule>
    <cfRule type="expression" dxfId="822" priority="62">
      <formula>AND(B$9&gt;=14/24,B$9&lt;20/24)</formula>
    </cfRule>
  </conditionalFormatting>
  <conditionalFormatting sqref="B11:AF55">
    <cfRule type="expression" dxfId="821" priority="50">
      <formula>B11&gt;$AG11</formula>
    </cfRule>
  </conditionalFormatting>
  <conditionalFormatting sqref="B53:AF57">
    <cfRule type="expression" dxfId="820" priority="48">
      <formula>AND(B$9&gt;=8/24,B$9&lt;14/24)</formula>
    </cfRule>
    <cfRule type="expression" dxfId="819" priority="47">
      <formula>AND(B$9&gt;=14/24,B$9&lt;20/24)</formula>
    </cfRule>
    <cfRule type="expression" dxfId="818" priority="46">
      <formula>B$9&gt;=20/24</formula>
    </cfRule>
    <cfRule type="expression" dxfId="817" priority="49">
      <formula>B$9&lt;8/24</formula>
    </cfRule>
  </conditionalFormatting>
  <conditionalFormatting sqref="B56:AF61">
    <cfRule type="expression" dxfId="816" priority="20">
      <formula>B56&gt;$AG56</formula>
    </cfRule>
  </conditionalFormatting>
  <conditionalFormatting sqref="B59:AF61">
    <cfRule type="expression" dxfId="815" priority="21">
      <formula>B$9&gt;=20/24</formula>
    </cfRule>
    <cfRule type="expression" dxfId="814" priority="22">
      <formula>AND(B$9&gt;=14/24,B$9&lt;20/24)</formula>
    </cfRule>
    <cfRule type="expression" dxfId="813" priority="23">
      <formula>AND(B$9&gt;=8/24,B$9&lt;14/24)</formula>
    </cfRule>
    <cfRule type="expression" dxfId="812" priority="24">
      <formula>B$9&lt;8/24</formula>
    </cfRule>
  </conditionalFormatting>
  <conditionalFormatting sqref="B77:AF79">
    <cfRule type="expression" dxfId="811" priority="84">
      <formula>B$9&lt;8/24</formula>
    </cfRule>
    <cfRule type="expression" dxfId="810" priority="83">
      <formula>AND(B$9&gt;=8/24,B$9&lt;14/24)</formula>
    </cfRule>
    <cfRule type="expression" dxfId="809" priority="82">
      <formula>AND(B$9&gt;=14/24,B$9&lt;20/24)</formula>
    </cfRule>
    <cfRule type="expression" dxfId="808" priority="80">
      <formula>B77&gt;$AG77</formula>
    </cfRule>
    <cfRule type="expression" dxfId="807" priority="81">
      <formula>B$9&gt;=20/24</formula>
    </cfRule>
  </conditionalFormatting>
  <conditionalFormatting sqref="B81:AF99">
    <cfRule type="expression" dxfId="806" priority="5">
      <formula>B$9&gt;=20/24</formula>
    </cfRule>
    <cfRule type="expression" dxfId="805" priority="7">
      <formula>AND(B$9&gt;=8/24,B$9&lt;14/24)</formula>
    </cfRule>
    <cfRule type="expression" dxfId="804" priority="8">
      <formula>B$9&lt;8/24</formula>
    </cfRule>
    <cfRule type="expression" dxfId="803" priority="6">
      <formula>AND(B$9&gt;=14/24,B$9&lt;20/24)</formula>
    </cfRule>
  </conditionalFormatting>
  <conditionalFormatting sqref="B101:AF117">
    <cfRule type="expression" dxfId="802" priority="42">
      <formula>B$9&gt;=20/24</formula>
    </cfRule>
    <cfRule type="expression" dxfId="801" priority="43">
      <formula>AND(B$9&gt;=14/24,B$9&lt;20/24)</formula>
    </cfRule>
    <cfRule type="expression" dxfId="800" priority="44">
      <formula>AND(B$9&gt;=8/24,B$9&lt;14/24)</formula>
    </cfRule>
    <cfRule type="expression" dxfId="799" priority="45">
      <formula>B$9&lt;8/24</formula>
    </cfRule>
  </conditionalFormatting>
  <conditionalFormatting sqref="B119:AF137">
    <cfRule type="expression" dxfId="798" priority="4">
      <formula>B$9&lt;8/24</formula>
    </cfRule>
    <cfRule type="expression" dxfId="797" priority="3">
      <formula>AND(B$9&gt;=8/24,B$9&lt;14/24)</formula>
    </cfRule>
    <cfRule type="expression" dxfId="796" priority="2">
      <formula>AND(B$9&gt;=14/24,B$9&lt;20/24)</formula>
    </cfRule>
    <cfRule type="expression" dxfId="795" priority="1">
      <formula>B$9&gt;=20/24</formula>
    </cfRule>
  </conditionalFormatting>
  <conditionalFormatting sqref="B244:AF244 B246:B252 D246:AF252 U260:AF260">
    <cfRule type="expression" dxfId="794" priority="142">
      <formula>B$9&gt;=20/24</formula>
    </cfRule>
    <cfRule type="expression" dxfId="793" priority="143">
      <formula>AND(B$9&gt;=14/24,B$9&lt;20/24)</formula>
    </cfRule>
    <cfRule type="expression" dxfId="792" priority="144">
      <formula>AND(B$9&gt;=8/24,B$9&lt;14/24)</formula>
    </cfRule>
    <cfRule type="expression" dxfId="791" priority="145">
      <formula>B$9&lt;8/24</formula>
    </cfRule>
  </conditionalFormatting>
  <conditionalFormatting sqref="B62:AG62">
    <cfRule type="expression" dxfId="790" priority="89">
      <formula>B$9&lt;8/24</formula>
    </cfRule>
    <cfRule type="expression" dxfId="789" priority="85">
      <formula>B62&gt;$AG62</formula>
    </cfRule>
    <cfRule type="expression" dxfId="788" priority="86">
      <formula>B$9&gt;=20/24</formula>
    </cfRule>
    <cfRule type="expression" dxfId="787" priority="87">
      <formula>AND(B$9&gt;=14/24,B$9&lt;20/24)</formula>
    </cfRule>
    <cfRule type="expression" dxfId="786" priority="88">
      <formula>AND(B$9&gt;=8/24,B$9&lt;14/24)</formula>
    </cfRule>
  </conditionalFormatting>
  <conditionalFormatting sqref="B80:AG80">
    <cfRule type="expression" dxfId="785" priority="75">
      <formula>B$9&lt;8/24</formula>
    </cfRule>
    <cfRule type="expression" dxfId="784" priority="74">
      <formula>AND(B$9&gt;=8/24,B$9&lt;14/24)</formula>
    </cfRule>
    <cfRule type="expression" dxfId="783" priority="73">
      <formula>AND(B$9&gt;=14/24,B$9&lt;20/24)</formula>
    </cfRule>
    <cfRule type="expression" dxfId="782" priority="72">
      <formula>B$9&gt;=20/24</formula>
    </cfRule>
  </conditionalFormatting>
  <conditionalFormatting sqref="C75:AA75 AB75:AG76 B76:AA76 B80:AG80">
    <cfRule type="expression" dxfId="781" priority="71">
      <formula>B75&gt;$AG75</formula>
    </cfRule>
  </conditionalFormatting>
  <conditionalFormatting sqref="C63:AF74">
    <cfRule type="expression" dxfId="780" priority="10">
      <formula>C63&gt;$AG63</formula>
    </cfRule>
  </conditionalFormatting>
  <conditionalFormatting sqref="F63:I65 J64:J65 F66:M68">
    <cfRule type="expression" dxfId="779" priority="56">
      <formula>F$9&gt;=20/24</formula>
    </cfRule>
    <cfRule type="expression" dxfId="778" priority="57">
      <formula>AND(F$9&gt;=14/24,F$9&lt;20/24)</formula>
    </cfRule>
    <cfRule type="expression" dxfId="777" priority="58">
      <formula>AND(F$9&gt;=8/24,F$9&lt;14/24)</formula>
    </cfRule>
    <cfRule type="expression" dxfId="776" priority="59">
      <formula>F$9&lt;8/24</formula>
    </cfRule>
  </conditionalFormatting>
  <conditionalFormatting sqref="F63:M65">
    <cfRule type="expression" dxfId="775" priority="126">
      <formula>F$9&lt;8/24</formula>
    </cfRule>
    <cfRule type="expression" dxfId="774" priority="123">
      <formula>F$9&gt;=20/24</formula>
    </cfRule>
    <cfRule type="expression" dxfId="773" priority="124">
      <formula>AND(F$9&gt;=14/24,F$9&lt;20/24)</formula>
    </cfRule>
    <cfRule type="expression" dxfId="772" priority="125">
      <formula>AND(F$9&gt;=8/24,F$9&lt;14/24)</formula>
    </cfRule>
  </conditionalFormatting>
  <conditionalFormatting sqref="N63:AF68">
    <cfRule type="expression" dxfId="771" priority="15">
      <formula>N$9&gt;=20/24</formula>
    </cfRule>
    <cfRule type="expression" dxfId="770" priority="16">
      <formula>AND(N$9&gt;=14/24,N$9&lt;20/24)</formula>
    </cfRule>
    <cfRule type="expression" dxfId="769" priority="18">
      <formula>N$9&lt;8/24</formula>
    </cfRule>
    <cfRule type="expression" dxfId="768" priority="17">
      <formula>AND(N$9&gt;=8/24,N$9&lt;14/24)</formula>
    </cfRule>
  </conditionalFormatting>
  <conditionalFormatting sqref="O3:P3">
    <cfRule type="iconSet" priority="146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767" priority="148">
      <formula>C$9&gt;=20/24</formula>
    </cfRule>
  </conditionalFormatting>
  <conditionalFormatting sqref="S8">
    <cfRule type="expression" dxfId="766" priority="138">
      <formula>U$9&lt;8/24</formula>
    </cfRule>
    <cfRule type="expression" dxfId="765" priority="137">
      <formula>AND(U$9&gt;=8/24,U$9&lt;14/24)</formula>
    </cfRule>
    <cfRule type="expression" dxfId="764" priority="136">
      <formula>AND(U$9&gt;=14/24,U$9&lt;20/24)</formula>
    </cfRule>
    <cfRule type="expression" dxfId="763" priority="135">
      <formula>U$9&gt;=20/24</formula>
    </cfRule>
  </conditionalFormatting>
  <conditionalFormatting sqref="T260">
    <cfRule type="expression" dxfId="762" priority="160">
      <formula>AX$9&gt;=20/24</formula>
    </cfRule>
    <cfRule type="expression" dxfId="761" priority="161">
      <formula>AND(AX$9&gt;=14/24,AX$9&lt;20/24)</formula>
    </cfRule>
    <cfRule type="expression" dxfId="760" priority="162">
      <formula>AND(AX$9&gt;=8/24,AX$9&lt;14/24)</formula>
    </cfRule>
    <cfRule type="expression" dxfId="759" priority="163">
      <formula>AX$9&lt;8/24</formula>
    </cfRule>
  </conditionalFormatting>
  <conditionalFormatting sqref="V3 AB3">
    <cfRule type="iconSet" priority="147">
      <iconSet iconSet="3TrafficLights2" reverse="1">
        <cfvo type="percent" val="0"/>
        <cfvo type="num" val="1"/>
        <cfvo type="num" val="1"/>
      </iconSet>
    </cfRule>
  </conditionalFormatting>
  <conditionalFormatting sqref="Y69:AF74">
    <cfRule type="expression" dxfId="758" priority="11">
      <formula>Y$9&gt;=20/24</formula>
    </cfRule>
    <cfRule type="expression" dxfId="757" priority="12">
      <formula>AND(Y$9&gt;=14/24,Y$9&lt;20/24)</formula>
    </cfRule>
    <cfRule type="expression" dxfId="756" priority="13">
      <formula>AND(Y$9&gt;=8/24,Y$9&lt;14/24)</formula>
    </cfRule>
    <cfRule type="expression" dxfId="755" priority="14">
      <formula>Y$9&lt;8/24</formula>
    </cfRule>
  </conditionalFormatting>
  <conditionalFormatting sqref="AB8">
    <cfRule type="expression" dxfId="754" priority="134">
      <formula>AD$9&lt;8/24</formula>
    </cfRule>
    <cfRule type="expression" dxfId="753" priority="131">
      <formula>AD$9&gt;=20/24</formula>
    </cfRule>
    <cfRule type="expression" dxfId="752" priority="132">
      <formula>AND(AD$9&gt;=14/24,AD$9&lt;20/24)</formula>
    </cfRule>
    <cfRule type="expression" dxfId="751" priority="133">
      <formula>AND(AD$9&gt;=8/24,AD$9&lt;14/24)</formula>
    </cfRule>
  </conditionalFormatting>
  <conditionalFormatting sqref="AG58">
    <cfRule type="expression" dxfId="750" priority="118">
      <formula>AG58&gt;$AG58</formula>
    </cfRule>
  </conditionalFormatting>
  <conditionalFormatting sqref="AG97">
    <cfRule type="expression" dxfId="749" priority="122">
      <formula>AG$9&lt;8/24</formula>
    </cfRule>
    <cfRule type="expression" dxfId="748" priority="121">
      <formula>AND(AG$9&gt;=8/24,AG$9&lt;14/24)</formula>
    </cfRule>
    <cfRule type="expression" dxfId="747" priority="119">
      <formula>AG$9&gt;=20/24</formula>
    </cfRule>
    <cfRule type="expression" dxfId="746" priority="120">
      <formula>AND(AG$9&gt;=14/24,AG$9&lt;20/24)</formula>
    </cfRule>
  </conditionalFormatting>
  <conditionalFormatting sqref="AG260">
    <cfRule type="expression" dxfId="745" priority="155">
      <formula>B$9&lt;8/24</formula>
    </cfRule>
    <cfRule type="expression" dxfId="744" priority="154">
      <formula>AND(B$9&gt;=8/24,B$9&lt;14/24)</formula>
    </cfRule>
    <cfRule type="expression" dxfId="743" priority="153">
      <formula>AND(B$9&gt;=14/24,B$9&lt;20/24)</formula>
    </cfRule>
    <cfRule type="expression" dxfId="742" priority="152">
      <formula>B$9&gt;=20/24</formula>
    </cfRule>
  </conditionalFormatting>
  <conditionalFormatting sqref="AH260:AX260">
    <cfRule type="expression" dxfId="741" priority="156">
      <formula>AG$9&gt;=20/24</formula>
    </cfRule>
    <cfRule type="expression" dxfId="740" priority="157">
      <formula>AND(AG$9&gt;=14/24,AG$9&lt;20/24)</formula>
    </cfRule>
    <cfRule type="expression" dxfId="739" priority="158">
      <formula>AND(AG$9&gt;=8/24,AG$9&lt;14/24)</formula>
    </cfRule>
    <cfRule type="expression" dxfId="738" priority="159">
      <formula>AG$9&lt;8/24</formula>
    </cfRule>
  </conditionalFormatting>
  <conditionalFormatting sqref="AL4:AL6">
    <cfRule type="iconSet" priority="141">
      <iconSet iconSet="3TrafficLights2" reverse="1">
        <cfvo type="percent" val="0"/>
        <cfvo type="num" val="1"/>
        <cfvo type="num" val="1"/>
      </iconSet>
    </cfRule>
  </conditionalFormatting>
  <conditionalFormatting sqref="AL19:AL20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5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L48 AL45:AL46 AL21:AL24 AL7:AL18 AL26:AL37 AL39:AL43 AL54:AL55">
    <cfRule type="iconSet" priority="164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40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39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4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737" priority="168">
      <formula>AJ$9&lt;8/24</formula>
    </cfRule>
    <cfRule type="expression" dxfId="736" priority="165">
      <formula>AJ$9&gt;=20/24</formula>
    </cfRule>
    <cfRule type="expression" dxfId="735" priority="166">
      <formula>AND(AJ$9&gt;=14/24,AJ$9&lt;20/24)</formula>
    </cfRule>
    <cfRule type="expression" dxfId="734" priority="167">
      <formula>AND(AJ$9&gt;=8/24,AJ$9&lt;14/24)</formula>
    </cfRule>
  </conditionalFormatting>
  <conditionalFormatting sqref="AL88:AN88 AL94:AN94">
    <cfRule type="expression" dxfId="733" priority="113">
      <formula>AND(AL$9&gt;=8/24,AL$9&lt;14/24)</formula>
    </cfRule>
    <cfRule type="expression" dxfId="732" priority="114">
      <formula>AL$9&lt;8/24</formula>
    </cfRule>
    <cfRule type="expression" dxfId="731" priority="111">
      <formula>AL$9&gt;=20/24</formula>
    </cfRule>
    <cfRule type="expression" dxfId="730" priority="112">
      <formula>AND(AL$9&gt;=14/24,AL$9&lt;20/24)</formula>
    </cfRule>
  </conditionalFormatting>
  <conditionalFormatting sqref="AN89:AN92">
    <cfRule type="expression" dxfId="729" priority="107">
      <formula>AN$9&gt;=20/24</formula>
    </cfRule>
    <cfRule type="expression" dxfId="728" priority="110">
      <formula>AN$9&lt;8/24</formula>
    </cfRule>
    <cfRule type="expression" dxfId="727" priority="108">
      <formula>AND(AN$9&gt;=14/24,AN$9&lt;20/24)</formula>
    </cfRule>
    <cfRule type="expression" dxfId="726" priority="109">
      <formula>AND(AN$9&gt;=8/24,AN$9&lt;14/24)</formula>
    </cfRule>
  </conditionalFormatting>
  <pageMargins left="0.7" right="0.7" top="0.75" bottom="0.75" header="0.3" footer="0.3"/>
  <drawing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0DAA3-22C7-4E88-96F9-EFFD012A8EE7}">
  <sheetPr codeName="Sheet19"/>
  <dimension ref="A1:CJ293"/>
  <sheetViews>
    <sheetView zoomScale="106" workbookViewId="0">
      <pane xSplit="1" ySplit="10" topLeftCell="BL68" activePane="bottomRight" state="frozen"/>
      <selection activeCell="Z63" sqref="Z63"/>
      <selection pane="topRight" activeCell="Z63" sqref="Z63"/>
      <selection pane="bottomLeft" activeCell="Z63" sqref="Z63"/>
      <selection pane="bottomRight" activeCell="AY1" sqref="AY1:CG1048576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57" width="9.140625" style="1"/>
    <col min="58" max="58" width="22.28515625" style="1" bestFit="1" customWidth="1"/>
    <col min="59" max="16384" width="9.140625" style="1"/>
  </cols>
  <sheetData>
    <row r="1" spans="1:88" ht="36" hidden="1" customHeight="1" thickBot="1" x14ac:dyDescent="0.3">
      <c r="A1" s="275" t="s">
        <v>0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  <c r="AD1" s="275"/>
      <c r="AE1" s="275"/>
      <c r="AF1" s="275"/>
      <c r="AG1" s="276" t="s">
        <v>1</v>
      </c>
      <c r="AH1" s="276"/>
      <c r="AI1" s="276"/>
      <c r="AL1" s="2"/>
    </row>
    <row r="2" spans="1:88" ht="20.25" hidden="1" x14ac:dyDescent="0.25">
      <c r="A2" s="3"/>
      <c r="B2" s="277" t="s">
        <v>2</v>
      </c>
      <c r="C2" s="4"/>
      <c r="D2" s="279" t="s">
        <v>3</v>
      </c>
      <c r="E2" s="4"/>
      <c r="F2" s="279" t="s">
        <v>4</v>
      </c>
      <c r="G2" s="4"/>
      <c r="H2" s="279" t="s">
        <v>5</v>
      </c>
      <c r="I2" s="5"/>
      <c r="J2" s="281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78"/>
      <c r="C3" s="16"/>
      <c r="D3" s="280"/>
      <c r="E3" s="16"/>
      <c r="F3" s="280"/>
      <c r="G3" s="16"/>
      <c r="H3" s="280"/>
      <c r="I3" s="17"/>
      <c r="J3" s="281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70" t="str">
        <f ca="1">"2080/"&amp;"10/"&amp;INT(MID(CELL("filename",D6),FIND("]",CELL("filename",D6))+1,200))</f>
        <v>2080/10/20</v>
      </c>
      <c r="C4" s="270"/>
      <c r="D4" s="270"/>
      <c r="E4" s="271" t="str">
        <f ca="1">"2080/"&amp;"10/"&amp;INT(MID(CELL("filename",G6),FIND("]",CELL("filename",G6))+1,200))</f>
        <v>2080/10/20</v>
      </c>
      <c r="F4" s="271"/>
      <c r="G4" s="271"/>
      <c r="H4" s="271" t="str">
        <f ca="1">TEXT(E4,"dddd")</f>
        <v>Sunday</v>
      </c>
      <c r="I4" s="271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C92</f>
        <v>519</v>
      </c>
      <c r="C5" s="30">
        <f t="shared" si="0"/>
        <v>490</v>
      </c>
      <c r="D5" s="30">
        <f t="shared" si="0"/>
        <v>514.79999999999995</v>
      </c>
      <c r="E5" s="30">
        <f t="shared" si="0"/>
        <v>519</v>
      </c>
      <c r="F5" s="30">
        <f t="shared" si="0"/>
        <v>498.5</v>
      </c>
      <c r="G5" s="30">
        <f t="shared" si="0"/>
        <v>491.5</v>
      </c>
      <c r="H5" s="30">
        <f t="shared" si="0"/>
        <v>497.59999999999997</v>
      </c>
      <c r="I5" s="30">
        <f t="shared" si="0"/>
        <v>462.3</v>
      </c>
      <c r="J5" s="30">
        <f t="shared" si="0"/>
        <v>411</v>
      </c>
      <c r="K5" s="30">
        <f t="shared" si="0"/>
        <v>102</v>
      </c>
      <c r="L5" s="30">
        <f t="shared" si="0"/>
        <v>102.8</v>
      </c>
      <c r="M5" s="30">
        <f t="shared" si="0"/>
        <v>183</v>
      </c>
      <c r="N5" s="30">
        <f t="shared" si="0"/>
        <v>288.59999999999997</v>
      </c>
      <c r="O5" s="30">
        <f t="shared" si="0"/>
        <v>446</v>
      </c>
      <c r="P5" s="30">
        <f t="shared" si="0"/>
        <v>565</v>
      </c>
      <c r="Q5" s="30">
        <f t="shared" si="0"/>
        <v>538</v>
      </c>
      <c r="R5" s="30">
        <f t="shared" si="0"/>
        <v>566.09999999999991</v>
      </c>
      <c r="S5" s="30">
        <f t="shared" si="0"/>
        <v>538.70000000000005</v>
      </c>
      <c r="T5" s="30">
        <f t="shared" si="0"/>
        <v>582</v>
      </c>
      <c r="U5" s="30">
        <f t="shared" si="0"/>
        <v>432.09999999999997</v>
      </c>
      <c r="V5" s="30">
        <f t="shared" si="0"/>
        <v>439.6</v>
      </c>
      <c r="W5" s="30">
        <f t="shared" si="0"/>
        <v>405.9</v>
      </c>
      <c r="X5" s="30">
        <f t="shared" si="0"/>
        <v>452.1</v>
      </c>
      <c r="Y5" s="30">
        <f t="shared" si="0"/>
        <v>359</v>
      </c>
      <c r="Z5" s="30">
        <f t="shared" si="0"/>
        <v>340</v>
      </c>
      <c r="AA5" s="30">
        <f t="shared" si="0"/>
        <v>411.5</v>
      </c>
      <c r="AB5" s="30">
        <f t="shared" si="0"/>
        <v>548.6</v>
      </c>
      <c r="AC5" s="30">
        <f t="shared" si="0"/>
        <v>548.6</v>
      </c>
      <c r="AD5" s="30">
        <f t="shared" si="0"/>
        <v>551</v>
      </c>
      <c r="AE5" s="30">
        <f t="shared" si="0"/>
        <v>504.4</v>
      </c>
      <c r="AF5" s="30">
        <f>B92</f>
        <v>508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1637MW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Load=1116</v>
      </c>
      <c r="B7" s="35">
        <f>B100</f>
        <v>1133.94</v>
      </c>
      <c r="C7" s="35">
        <f t="shared" ref="C7:AF7" si="1">C100</f>
        <v>1144.94</v>
      </c>
      <c r="D7" s="35">
        <f t="shared" si="1"/>
        <v>1115.94</v>
      </c>
      <c r="E7" s="35">
        <f t="shared" si="1"/>
        <v>1137.8400000000001</v>
      </c>
      <c r="F7" s="35">
        <f t="shared" si="1"/>
        <v>1143.3400000000001</v>
      </c>
      <c r="G7" s="35">
        <f t="shared" si="1"/>
        <v>1203.74</v>
      </c>
      <c r="H7" s="35">
        <f t="shared" si="1"/>
        <v>1223.54</v>
      </c>
      <c r="I7" s="35">
        <f t="shared" si="1"/>
        <v>1285.1399999999999</v>
      </c>
      <c r="J7" s="35">
        <f t="shared" si="1"/>
        <v>1330.74</v>
      </c>
      <c r="K7" s="35">
        <f t="shared" si="1"/>
        <v>1411.1</v>
      </c>
      <c r="L7" s="35">
        <f t="shared" si="1"/>
        <v>1592.8300000000002</v>
      </c>
      <c r="M7" s="35">
        <f t="shared" si="1"/>
        <v>1636.3400000000001</v>
      </c>
      <c r="N7" s="35">
        <f t="shared" si="1"/>
        <v>1590.94</v>
      </c>
      <c r="O7" s="35">
        <f t="shared" si="1"/>
        <v>1513.54</v>
      </c>
      <c r="P7" s="35">
        <f t="shared" si="1"/>
        <v>1406.84</v>
      </c>
      <c r="Q7" s="35">
        <f t="shared" si="1"/>
        <v>1363.74</v>
      </c>
      <c r="R7" s="35">
        <f t="shared" si="1"/>
        <v>1353.1399999999999</v>
      </c>
      <c r="S7" s="35">
        <f t="shared" si="1"/>
        <v>1278.1399999999999</v>
      </c>
      <c r="T7" s="35">
        <f t="shared" si="1"/>
        <v>1231.24</v>
      </c>
      <c r="U7" s="35">
        <f t="shared" si="1"/>
        <v>1266.6399999999999</v>
      </c>
      <c r="V7" s="35">
        <f t="shared" si="1"/>
        <v>1269.4399999999998</v>
      </c>
      <c r="W7" s="35">
        <f t="shared" si="1"/>
        <v>1332.34</v>
      </c>
      <c r="X7" s="35">
        <f t="shared" si="1"/>
        <v>1643.04</v>
      </c>
      <c r="Y7" s="35">
        <f t="shared" si="1"/>
        <v>1829.1999999999998</v>
      </c>
      <c r="Z7" s="35">
        <f t="shared" si="1"/>
        <v>1750.1</v>
      </c>
      <c r="AA7" s="35">
        <f t="shared" si="1"/>
        <v>1719.1399999999999</v>
      </c>
      <c r="AB7" s="35">
        <f t="shared" si="1"/>
        <v>1635.24</v>
      </c>
      <c r="AC7" s="35">
        <f t="shared" si="1"/>
        <v>1638.6399999999999</v>
      </c>
      <c r="AD7" s="35">
        <f t="shared" si="1"/>
        <v>1488.6399999999999</v>
      </c>
      <c r="AE7" s="35">
        <f t="shared" si="1"/>
        <v>1322.1399999999999</v>
      </c>
      <c r="AF7" s="35">
        <f t="shared" si="1"/>
        <v>1197.04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72" t="s">
        <v>14</v>
      </c>
      <c r="C8" s="273"/>
      <c r="D8" s="273"/>
      <c r="E8" s="273"/>
      <c r="F8" s="273"/>
      <c r="G8" s="273"/>
      <c r="H8" s="273"/>
      <c r="I8" s="273"/>
      <c r="J8" s="273"/>
      <c r="K8" s="273"/>
      <c r="L8" s="274"/>
      <c r="M8" s="265" t="s">
        <v>15</v>
      </c>
      <c r="N8" s="266"/>
      <c r="O8" s="266"/>
      <c r="P8" s="266"/>
      <c r="Q8" s="266"/>
      <c r="R8" s="267"/>
      <c r="S8" s="265" t="s">
        <v>16</v>
      </c>
      <c r="T8" s="266"/>
      <c r="U8" s="266"/>
      <c r="V8" s="266"/>
      <c r="W8" s="266"/>
      <c r="X8" s="266"/>
      <c r="Y8" s="266"/>
      <c r="Z8" s="266"/>
      <c r="AA8" s="267"/>
      <c r="AB8" s="265" t="s">
        <v>17</v>
      </c>
      <c r="AC8" s="266"/>
      <c r="AD8" s="266"/>
      <c r="AE8" s="266"/>
      <c r="AF8" s="267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68" t="s">
        <v>18</v>
      </c>
      <c r="B9" s="264">
        <v>0</v>
      </c>
      <c r="C9" s="264">
        <v>4.1666666666666664E-2</v>
      </c>
      <c r="D9" s="264">
        <v>8.3333333333333301E-2</v>
      </c>
      <c r="E9" s="264">
        <v>0.125</v>
      </c>
      <c r="F9" s="264">
        <v>0.16666666666666699</v>
      </c>
      <c r="G9" s="264">
        <v>0.20833333333333301</v>
      </c>
      <c r="H9" s="264">
        <v>0.22916666666666666</v>
      </c>
      <c r="I9" s="264">
        <v>0.25</v>
      </c>
      <c r="J9" s="264">
        <v>0.27083333333333331</v>
      </c>
      <c r="K9" s="264">
        <v>0.29166666666666669</v>
      </c>
      <c r="L9" s="264">
        <v>0.3125</v>
      </c>
      <c r="M9" s="262">
        <v>0.33333333333333331</v>
      </c>
      <c r="N9" s="262">
        <v>0.375</v>
      </c>
      <c r="O9" s="262">
        <v>0.41666666666666702</v>
      </c>
      <c r="P9" s="262">
        <v>0.45833333333333298</v>
      </c>
      <c r="Q9" s="262">
        <v>0.5</v>
      </c>
      <c r="R9" s="262">
        <v>0.54166666666666696</v>
      </c>
      <c r="S9" s="258">
        <v>0.58333333333333304</v>
      </c>
      <c r="T9" s="258">
        <v>0.625</v>
      </c>
      <c r="U9" s="258">
        <v>0.66666666666666696</v>
      </c>
      <c r="V9" s="258">
        <v>0.70833333333333304</v>
      </c>
      <c r="W9" s="258">
        <v>0.72916666666666663</v>
      </c>
      <c r="X9" s="258">
        <v>0.75</v>
      </c>
      <c r="Y9" s="258">
        <v>0.77083333333333337</v>
      </c>
      <c r="Z9" s="258">
        <v>0.79166666666666663</v>
      </c>
      <c r="AA9" s="258">
        <v>0.8125</v>
      </c>
      <c r="AB9" s="258">
        <v>0.83333333333333337</v>
      </c>
      <c r="AC9" s="258">
        <v>0.85416666666666663</v>
      </c>
      <c r="AD9" s="258">
        <v>0.875</v>
      </c>
      <c r="AE9" s="258">
        <v>0.91666666666666696</v>
      </c>
      <c r="AF9" s="258">
        <v>0.95833333333333304</v>
      </c>
      <c r="AG9" s="260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69"/>
      <c r="B10" s="259"/>
      <c r="C10" s="259"/>
      <c r="D10" s="259"/>
      <c r="E10" s="259"/>
      <c r="F10" s="259"/>
      <c r="G10" s="259"/>
      <c r="H10" s="259"/>
      <c r="I10" s="259"/>
      <c r="J10" s="259"/>
      <c r="K10" s="259"/>
      <c r="L10" s="259"/>
      <c r="M10" s="263"/>
      <c r="N10" s="263"/>
      <c r="O10" s="263"/>
      <c r="P10" s="263"/>
      <c r="Q10" s="263"/>
      <c r="R10" s="263"/>
      <c r="S10" s="259"/>
      <c r="T10" s="259"/>
      <c r="U10" s="259"/>
      <c r="V10" s="259"/>
      <c r="W10" s="259"/>
      <c r="X10" s="259"/>
      <c r="Y10" s="259"/>
      <c r="Z10" s="259"/>
      <c r="AA10" s="259"/>
      <c r="AB10" s="259"/>
      <c r="AC10" s="259"/>
      <c r="AD10" s="259"/>
      <c r="AE10" s="259"/>
      <c r="AF10" s="259"/>
      <c r="AG10" s="261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30.6</v>
      </c>
      <c r="C11" s="45">
        <v>30.6</v>
      </c>
      <c r="D11" s="45">
        <v>30.6</v>
      </c>
      <c r="E11" s="45">
        <v>30.6</v>
      </c>
      <c r="F11" s="45">
        <v>30.6</v>
      </c>
      <c r="G11" s="45">
        <v>30.6</v>
      </c>
      <c r="H11" s="45">
        <v>30.6</v>
      </c>
      <c r="I11" s="45">
        <v>30.6</v>
      </c>
      <c r="J11" s="45">
        <v>30.6</v>
      </c>
      <c r="K11" s="45">
        <v>30.6</v>
      </c>
      <c r="L11" s="45">
        <v>30.6</v>
      </c>
      <c r="M11" s="45">
        <v>30.7</v>
      </c>
      <c r="N11" s="45">
        <v>30.6</v>
      </c>
      <c r="O11" s="45">
        <v>30.7</v>
      </c>
      <c r="P11" s="45">
        <v>30.6</v>
      </c>
      <c r="Q11" s="45">
        <v>30.6</v>
      </c>
      <c r="R11" s="45">
        <v>30.7</v>
      </c>
      <c r="S11" s="45">
        <v>30.7</v>
      </c>
      <c r="T11" s="45">
        <v>30.7</v>
      </c>
      <c r="U11" s="45">
        <v>30.7</v>
      </c>
      <c r="V11" s="45">
        <v>30.7</v>
      </c>
      <c r="W11" s="45">
        <v>30.7</v>
      </c>
      <c r="X11" s="45">
        <v>30.7</v>
      </c>
      <c r="Y11" s="45">
        <v>30.7</v>
      </c>
      <c r="Z11" s="45">
        <v>30.7</v>
      </c>
      <c r="AA11" s="45">
        <v>30.7</v>
      </c>
      <c r="AB11" s="45">
        <v>30.7</v>
      </c>
      <c r="AC11" s="45">
        <v>30.7</v>
      </c>
      <c r="AD11" s="45">
        <v>30.7</v>
      </c>
      <c r="AE11" s="45">
        <v>30.7</v>
      </c>
      <c r="AF11" s="45">
        <v>30.7</v>
      </c>
      <c r="AG11" s="46">
        <v>86</v>
      </c>
      <c r="AH11" s="47">
        <f t="shared" ref="AH11:AH84" si="2">MAX(B11:AF11)</f>
        <v>30.7</v>
      </c>
      <c r="AI11" s="48">
        <f t="shared" ref="AI11:AI84" si="3">MIN(B11:AF11)</f>
        <v>30.6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262</v>
      </c>
      <c r="B12" s="45">
        <v>10.5</v>
      </c>
      <c r="C12" s="45">
        <v>10.5</v>
      </c>
      <c r="D12" s="45">
        <v>10.5</v>
      </c>
      <c r="E12" s="45">
        <v>10.5</v>
      </c>
      <c r="F12" s="45">
        <v>10.5</v>
      </c>
      <c r="G12" s="45">
        <v>10.5</v>
      </c>
      <c r="H12" s="45">
        <v>10.5</v>
      </c>
      <c r="I12" s="45">
        <v>10.5</v>
      </c>
      <c r="J12" s="45">
        <v>10.5</v>
      </c>
      <c r="K12" s="45">
        <v>10.5</v>
      </c>
      <c r="L12" s="45">
        <v>10.5</v>
      </c>
      <c r="M12" s="45">
        <v>10.5</v>
      </c>
      <c r="N12" s="45">
        <v>10.5</v>
      </c>
      <c r="O12" s="45">
        <v>10.5</v>
      </c>
      <c r="P12" s="45">
        <v>10.5</v>
      </c>
      <c r="Q12" s="45">
        <v>10.5</v>
      </c>
      <c r="R12" s="45">
        <v>10.5</v>
      </c>
      <c r="S12" s="45">
        <v>10.5</v>
      </c>
      <c r="T12" s="45">
        <v>10.5</v>
      </c>
      <c r="U12" s="45">
        <v>10.5</v>
      </c>
      <c r="V12" s="45">
        <v>10.5</v>
      </c>
      <c r="W12" s="45">
        <v>10.5</v>
      </c>
      <c r="X12" s="45">
        <v>10.5</v>
      </c>
      <c r="Y12" s="45">
        <v>10.5</v>
      </c>
      <c r="Z12" s="45">
        <v>10.5</v>
      </c>
      <c r="AA12" s="45">
        <v>10.5</v>
      </c>
      <c r="AB12" s="45">
        <v>10.5</v>
      </c>
      <c r="AC12" s="45">
        <v>10.5</v>
      </c>
      <c r="AD12" s="45">
        <v>10.5</v>
      </c>
      <c r="AE12" s="45">
        <v>10.5</v>
      </c>
      <c r="AF12" s="45">
        <v>10.5</v>
      </c>
      <c r="AG12" s="49">
        <v>54</v>
      </c>
      <c r="AH12" s="47">
        <f t="shared" si="2"/>
        <v>10.5</v>
      </c>
      <c r="AI12" s="48">
        <f t="shared" si="3"/>
        <v>10.5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12</v>
      </c>
      <c r="C13" s="45">
        <v>12</v>
      </c>
      <c r="D13" s="45">
        <v>12</v>
      </c>
      <c r="E13" s="45">
        <v>12</v>
      </c>
      <c r="F13" s="45">
        <v>12</v>
      </c>
      <c r="G13" s="45">
        <v>12</v>
      </c>
      <c r="H13" s="45">
        <v>12</v>
      </c>
      <c r="I13" s="45">
        <v>12</v>
      </c>
      <c r="J13" s="45">
        <v>12</v>
      </c>
      <c r="K13" s="45">
        <v>12</v>
      </c>
      <c r="L13" s="45">
        <v>12</v>
      </c>
      <c r="M13" s="45">
        <v>12</v>
      </c>
      <c r="N13" s="45">
        <v>12</v>
      </c>
      <c r="O13" s="45">
        <v>12</v>
      </c>
      <c r="P13" s="45">
        <v>12</v>
      </c>
      <c r="Q13" s="45">
        <v>12</v>
      </c>
      <c r="R13" s="45">
        <v>12</v>
      </c>
      <c r="S13" s="45">
        <v>12</v>
      </c>
      <c r="T13" s="45">
        <v>12</v>
      </c>
      <c r="U13" s="45">
        <v>12</v>
      </c>
      <c r="V13" s="45">
        <v>12</v>
      </c>
      <c r="W13" s="45">
        <v>12</v>
      </c>
      <c r="X13" s="45">
        <v>12</v>
      </c>
      <c r="Y13" s="45">
        <v>12</v>
      </c>
      <c r="Z13" s="45">
        <v>12</v>
      </c>
      <c r="AA13" s="45">
        <v>12</v>
      </c>
      <c r="AB13" s="45">
        <v>12</v>
      </c>
      <c r="AC13" s="45">
        <v>12</v>
      </c>
      <c r="AD13" s="45">
        <v>12</v>
      </c>
      <c r="AE13" s="45">
        <v>12</v>
      </c>
      <c r="AF13" s="45">
        <v>12</v>
      </c>
      <c r="AG13" s="49">
        <v>54</v>
      </c>
      <c r="AH13" s="47">
        <f t="shared" si="2"/>
        <v>12</v>
      </c>
      <c r="AI13" s="48">
        <f t="shared" si="3"/>
        <v>12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13.5</v>
      </c>
      <c r="C14" s="45">
        <v>13.5</v>
      </c>
      <c r="D14" s="45">
        <v>13.5</v>
      </c>
      <c r="E14" s="45">
        <v>13.5</v>
      </c>
      <c r="F14" s="45">
        <v>14.1</v>
      </c>
      <c r="G14" s="45">
        <v>14.1</v>
      </c>
      <c r="H14" s="45">
        <v>14.1</v>
      </c>
      <c r="I14" s="45">
        <v>14.1</v>
      </c>
      <c r="J14" s="45">
        <v>14.1</v>
      </c>
      <c r="K14" s="45">
        <v>14.1</v>
      </c>
      <c r="L14" s="45">
        <v>14.1</v>
      </c>
      <c r="M14" s="45">
        <v>14.3</v>
      </c>
      <c r="N14" s="45">
        <v>14.3</v>
      </c>
      <c r="O14" s="45">
        <v>14.3</v>
      </c>
      <c r="P14" s="45">
        <v>14.3</v>
      </c>
      <c r="Q14" s="45">
        <v>14.3</v>
      </c>
      <c r="R14" s="45">
        <v>13</v>
      </c>
      <c r="S14" s="45">
        <v>13</v>
      </c>
      <c r="T14" s="45">
        <v>13</v>
      </c>
      <c r="U14" s="45">
        <v>13</v>
      </c>
      <c r="V14" s="45">
        <v>13</v>
      </c>
      <c r="W14" s="45">
        <v>13</v>
      </c>
      <c r="X14" s="45">
        <v>13</v>
      </c>
      <c r="Y14" s="45">
        <v>13</v>
      </c>
      <c r="Z14" s="45">
        <v>13</v>
      </c>
      <c r="AA14" s="45">
        <v>13</v>
      </c>
      <c r="AB14" s="45">
        <v>13</v>
      </c>
      <c r="AC14" s="45">
        <v>13</v>
      </c>
      <c r="AD14" s="45">
        <v>13</v>
      </c>
      <c r="AE14" s="45">
        <v>13</v>
      </c>
      <c r="AF14" s="45">
        <v>13</v>
      </c>
      <c r="AG14" s="46">
        <v>52.4</v>
      </c>
      <c r="AH14" s="47">
        <f t="shared" si="2"/>
        <v>14.3</v>
      </c>
      <c r="AI14" s="48">
        <f t="shared" si="3"/>
        <v>13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31.9</v>
      </c>
      <c r="C15" s="45">
        <v>31.9</v>
      </c>
      <c r="D15" s="45">
        <v>31.9</v>
      </c>
      <c r="E15" s="45">
        <v>31.9</v>
      </c>
      <c r="F15" s="45">
        <v>31.3</v>
      </c>
      <c r="G15" s="45">
        <v>31.3</v>
      </c>
      <c r="H15" s="45">
        <v>31.3</v>
      </c>
      <c r="I15" s="45">
        <v>31.3</v>
      </c>
      <c r="J15" s="45">
        <v>31.3</v>
      </c>
      <c r="K15" s="45">
        <v>31.3</v>
      </c>
      <c r="L15" s="45">
        <v>31.3</v>
      </c>
      <c r="M15" s="45">
        <v>31.3</v>
      </c>
      <c r="N15" s="45">
        <v>31.3</v>
      </c>
      <c r="O15" s="45">
        <v>31.3</v>
      </c>
      <c r="P15" s="45">
        <v>31.3</v>
      </c>
      <c r="Q15" s="45">
        <v>31.3</v>
      </c>
      <c r="R15" s="45">
        <v>31.2</v>
      </c>
      <c r="S15" s="45">
        <v>31.2</v>
      </c>
      <c r="T15" s="45">
        <v>31.2</v>
      </c>
      <c r="U15" s="45">
        <v>31.2</v>
      </c>
      <c r="V15" s="45">
        <v>31.2</v>
      </c>
      <c r="W15" s="45">
        <v>31.2</v>
      </c>
      <c r="X15" s="45">
        <v>31.2</v>
      </c>
      <c r="Y15" s="51">
        <v>31.2</v>
      </c>
      <c r="Z15" s="51">
        <v>31.2</v>
      </c>
      <c r="AA15" s="51">
        <v>31.2</v>
      </c>
      <c r="AB15" s="51">
        <v>31.2</v>
      </c>
      <c r="AC15" s="51">
        <v>31.2</v>
      </c>
      <c r="AD15" s="51">
        <v>31.2</v>
      </c>
      <c r="AE15" s="51">
        <v>31.2</v>
      </c>
      <c r="AF15" s="51">
        <v>31.2</v>
      </c>
      <c r="AG15" s="49">
        <v>50</v>
      </c>
      <c r="AH15" s="47">
        <f t="shared" si="2"/>
        <v>31.9</v>
      </c>
      <c r="AI15" s="48">
        <f t="shared" si="3"/>
        <v>31.2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15.4</v>
      </c>
      <c r="C16" s="45">
        <v>15.4</v>
      </c>
      <c r="D16" s="45">
        <v>15.4</v>
      </c>
      <c r="E16" s="45">
        <v>15.4</v>
      </c>
      <c r="F16" s="45">
        <v>16.7</v>
      </c>
      <c r="G16" s="45">
        <v>16.7</v>
      </c>
      <c r="H16" s="45">
        <v>16.7</v>
      </c>
      <c r="I16" s="45">
        <v>16.7</v>
      </c>
      <c r="J16" s="45">
        <v>16.7</v>
      </c>
      <c r="K16" s="45">
        <v>16.7</v>
      </c>
      <c r="L16" s="45">
        <v>16.7</v>
      </c>
      <c r="M16" s="45">
        <v>16.7</v>
      </c>
      <c r="N16" s="45">
        <v>16.7</v>
      </c>
      <c r="O16" s="45">
        <v>16.7</v>
      </c>
      <c r="P16" s="45">
        <v>16.7</v>
      </c>
      <c r="Q16" s="45">
        <v>16.7</v>
      </c>
      <c r="R16" s="45">
        <v>15.8</v>
      </c>
      <c r="S16" s="45">
        <v>15.8</v>
      </c>
      <c r="T16" s="45">
        <v>15.8</v>
      </c>
      <c r="U16" s="45">
        <v>15.8</v>
      </c>
      <c r="V16" s="45">
        <v>15.8</v>
      </c>
      <c r="W16" s="45">
        <v>15.8</v>
      </c>
      <c r="X16" s="45">
        <v>15.8</v>
      </c>
      <c r="Y16" s="45">
        <v>15.8</v>
      </c>
      <c r="Z16" s="45">
        <v>15.8</v>
      </c>
      <c r="AA16" s="45">
        <v>15.8</v>
      </c>
      <c r="AB16" s="45">
        <v>15.8</v>
      </c>
      <c r="AC16" s="45">
        <v>15.8</v>
      </c>
      <c r="AD16" s="45">
        <v>15.8</v>
      </c>
      <c r="AE16" s="45">
        <v>15.8</v>
      </c>
      <c r="AF16" s="45">
        <v>15.8</v>
      </c>
      <c r="AG16" s="49">
        <v>45</v>
      </c>
      <c r="AH16" s="47">
        <f t="shared" si="2"/>
        <v>16.7</v>
      </c>
      <c r="AI16" s="48">
        <f t="shared" si="3"/>
        <v>15.4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16.5</v>
      </c>
      <c r="C17" s="45">
        <v>16.5</v>
      </c>
      <c r="D17" s="45">
        <v>16.5</v>
      </c>
      <c r="E17" s="45">
        <v>16.5</v>
      </c>
      <c r="F17" s="45">
        <v>16.5</v>
      </c>
      <c r="G17" s="45">
        <v>16.5</v>
      </c>
      <c r="H17" s="45">
        <v>16.5</v>
      </c>
      <c r="I17" s="45">
        <v>16.5</v>
      </c>
      <c r="J17" s="45">
        <v>16.5</v>
      </c>
      <c r="K17" s="45">
        <v>16.5</v>
      </c>
      <c r="L17" s="45">
        <v>16.5</v>
      </c>
      <c r="M17" s="45">
        <v>16.5</v>
      </c>
      <c r="N17" s="45">
        <v>16.5</v>
      </c>
      <c r="O17" s="45">
        <v>16.5</v>
      </c>
      <c r="P17" s="45">
        <v>16.5</v>
      </c>
      <c r="Q17" s="45">
        <v>16.5</v>
      </c>
      <c r="R17" s="45">
        <v>16.5</v>
      </c>
      <c r="S17" s="45">
        <v>16.5</v>
      </c>
      <c r="T17" s="45">
        <v>16.5</v>
      </c>
      <c r="U17" s="45">
        <v>16.5</v>
      </c>
      <c r="V17" s="45">
        <v>16.5</v>
      </c>
      <c r="W17" s="45">
        <v>16.5</v>
      </c>
      <c r="X17" s="45">
        <v>16.5</v>
      </c>
      <c r="Y17" s="45">
        <v>16.5</v>
      </c>
      <c r="Z17" s="45">
        <v>16.5</v>
      </c>
      <c r="AA17" s="45">
        <v>16.5</v>
      </c>
      <c r="AB17" s="45">
        <v>16.5</v>
      </c>
      <c r="AC17" s="45">
        <v>16.5</v>
      </c>
      <c r="AD17" s="45">
        <v>16.5</v>
      </c>
      <c r="AE17" s="45">
        <v>16.5</v>
      </c>
      <c r="AF17" s="45">
        <v>16.5</v>
      </c>
      <c r="AG17" s="49">
        <v>44</v>
      </c>
      <c r="AH17" s="47">
        <f>MAX(B17:AG17)</f>
        <v>44</v>
      </c>
      <c r="AI17" s="48">
        <f>MIN(B17:AG17)</f>
        <v>16.5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8</v>
      </c>
      <c r="C18" s="45">
        <v>8</v>
      </c>
      <c r="D18" s="45">
        <v>8</v>
      </c>
      <c r="E18" s="45">
        <v>8</v>
      </c>
      <c r="F18" s="45">
        <v>8</v>
      </c>
      <c r="G18" s="45">
        <v>8</v>
      </c>
      <c r="H18" s="45">
        <v>8</v>
      </c>
      <c r="I18" s="45">
        <v>8</v>
      </c>
      <c r="J18" s="45">
        <v>8</v>
      </c>
      <c r="K18" s="45">
        <v>8</v>
      </c>
      <c r="L18" s="45">
        <v>8</v>
      </c>
      <c r="M18" s="45">
        <v>8</v>
      </c>
      <c r="N18" s="45">
        <v>8</v>
      </c>
      <c r="O18" s="45">
        <v>8</v>
      </c>
      <c r="P18" s="45">
        <v>8</v>
      </c>
      <c r="Q18" s="45">
        <v>8</v>
      </c>
      <c r="R18" s="45">
        <v>7.5</v>
      </c>
      <c r="S18" s="45">
        <v>7.5</v>
      </c>
      <c r="T18" s="45">
        <v>7.5</v>
      </c>
      <c r="U18" s="45">
        <v>7.5</v>
      </c>
      <c r="V18" s="45">
        <v>7.5</v>
      </c>
      <c r="W18" s="45">
        <v>7.5</v>
      </c>
      <c r="X18" s="45">
        <v>7.5</v>
      </c>
      <c r="Y18" s="45">
        <v>7.5</v>
      </c>
      <c r="Z18" s="45">
        <v>7.5</v>
      </c>
      <c r="AA18" s="45">
        <v>7.5</v>
      </c>
      <c r="AB18" s="45">
        <v>7.5</v>
      </c>
      <c r="AC18" s="45">
        <v>7.5</v>
      </c>
      <c r="AD18" s="45">
        <v>7.5</v>
      </c>
      <c r="AE18" s="45">
        <v>7.5</v>
      </c>
      <c r="AF18" s="45">
        <v>7.5</v>
      </c>
      <c r="AG18" s="49">
        <v>42</v>
      </c>
      <c r="AH18" s="47">
        <f t="shared" si="2"/>
        <v>8</v>
      </c>
      <c r="AI18" s="48">
        <f t="shared" si="3"/>
        <v>7.5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263</v>
      </c>
      <c r="B19" s="45">
        <v>15</v>
      </c>
      <c r="C19" s="45">
        <v>15</v>
      </c>
      <c r="D19" s="45">
        <v>15</v>
      </c>
      <c r="E19" s="45">
        <v>15</v>
      </c>
      <c r="F19" s="45">
        <v>15</v>
      </c>
      <c r="G19" s="45">
        <v>15</v>
      </c>
      <c r="H19" s="45">
        <v>15</v>
      </c>
      <c r="I19" s="45">
        <v>15</v>
      </c>
      <c r="J19" s="45">
        <v>15</v>
      </c>
      <c r="K19" s="45">
        <v>15</v>
      </c>
      <c r="L19" s="45">
        <v>15</v>
      </c>
      <c r="M19" s="45">
        <v>15</v>
      </c>
      <c r="N19" s="45">
        <v>15</v>
      </c>
      <c r="O19" s="45">
        <v>15</v>
      </c>
      <c r="P19" s="45">
        <v>15</v>
      </c>
      <c r="Q19" s="45">
        <v>15</v>
      </c>
      <c r="R19" s="45">
        <v>15</v>
      </c>
      <c r="S19" s="45">
        <v>15</v>
      </c>
      <c r="T19" s="45">
        <v>15</v>
      </c>
      <c r="U19" s="45">
        <v>15</v>
      </c>
      <c r="V19" s="45">
        <v>15</v>
      </c>
      <c r="W19" s="45">
        <v>15</v>
      </c>
      <c r="X19" s="45">
        <v>15</v>
      </c>
      <c r="Y19" s="45">
        <v>15</v>
      </c>
      <c r="Z19" s="45">
        <v>15</v>
      </c>
      <c r="AA19" s="45">
        <v>15</v>
      </c>
      <c r="AB19" s="45">
        <v>15</v>
      </c>
      <c r="AC19" s="45">
        <v>15</v>
      </c>
      <c r="AD19" s="45">
        <v>15</v>
      </c>
      <c r="AE19" s="45">
        <v>15</v>
      </c>
      <c r="AF19" s="45">
        <v>15</v>
      </c>
      <c r="AG19" s="49">
        <v>38.46</v>
      </c>
      <c r="AH19" s="47">
        <f t="shared" si="2"/>
        <v>15</v>
      </c>
      <c r="AI19" s="48">
        <f t="shared" si="3"/>
        <v>15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10</v>
      </c>
      <c r="C20" s="45">
        <v>10</v>
      </c>
      <c r="D20" s="45">
        <v>10</v>
      </c>
      <c r="E20" s="45">
        <v>10</v>
      </c>
      <c r="F20" s="45">
        <v>10</v>
      </c>
      <c r="G20" s="45">
        <v>10</v>
      </c>
      <c r="H20" s="45">
        <v>10</v>
      </c>
      <c r="I20" s="45">
        <v>10</v>
      </c>
      <c r="J20" s="45">
        <v>10</v>
      </c>
      <c r="K20" s="45">
        <v>10</v>
      </c>
      <c r="L20" s="45">
        <v>10</v>
      </c>
      <c r="M20" s="45">
        <v>10</v>
      </c>
      <c r="N20" s="45">
        <v>10</v>
      </c>
      <c r="O20" s="45">
        <v>10</v>
      </c>
      <c r="P20" s="45">
        <v>10</v>
      </c>
      <c r="Q20" s="45">
        <v>10</v>
      </c>
      <c r="R20" s="45">
        <v>10</v>
      </c>
      <c r="S20" s="45">
        <v>10</v>
      </c>
      <c r="T20" s="45">
        <v>10</v>
      </c>
      <c r="U20" s="45">
        <v>10</v>
      </c>
      <c r="V20" s="45">
        <v>10</v>
      </c>
      <c r="W20" s="45">
        <v>10</v>
      </c>
      <c r="X20" s="45">
        <v>10</v>
      </c>
      <c r="Y20" s="45">
        <v>10</v>
      </c>
      <c r="Z20" s="45">
        <v>10</v>
      </c>
      <c r="AA20" s="45">
        <v>10</v>
      </c>
      <c r="AB20" s="45">
        <v>10</v>
      </c>
      <c r="AC20" s="45">
        <v>10</v>
      </c>
      <c r="AD20" s="45">
        <v>10</v>
      </c>
      <c r="AE20" s="45">
        <v>10</v>
      </c>
      <c r="AF20" s="45">
        <v>10</v>
      </c>
      <c r="AG20" s="49">
        <v>38.46</v>
      </c>
      <c r="AH20" s="47">
        <f t="shared" si="2"/>
        <v>10</v>
      </c>
      <c r="AI20" s="48">
        <f t="shared" si="3"/>
        <v>10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</v>
      </c>
      <c r="C21" s="45">
        <v>13</v>
      </c>
      <c r="D21" s="45">
        <v>13</v>
      </c>
      <c r="E21" s="45">
        <v>13</v>
      </c>
      <c r="F21" s="45">
        <v>13</v>
      </c>
      <c r="G21" s="45">
        <v>13</v>
      </c>
      <c r="H21" s="45">
        <v>13</v>
      </c>
      <c r="I21" s="45">
        <v>13</v>
      </c>
      <c r="J21" s="45">
        <v>13</v>
      </c>
      <c r="K21" s="45">
        <v>13</v>
      </c>
      <c r="L21" s="45">
        <v>13</v>
      </c>
      <c r="M21" s="45">
        <v>13</v>
      </c>
      <c r="N21" s="45">
        <v>13</v>
      </c>
      <c r="O21" s="45">
        <v>13</v>
      </c>
      <c r="P21" s="45">
        <v>13</v>
      </c>
      <c r="Q21" s="45">
        <v>13</v>
      </c>
      <c r="R21" s="45">
        <v>13</v>
      </c>
      <c r="S21" s="45">
        <v>13</v>
      </c>
      <c r="T21" s="45">
        <v>13</v>
      </c>
      <c r="U21" s="45">
        <v>13</v>
      </c>
      <c r="V21" s="45">
        <v>13</v>
      </c>
      <c r="W21" s="45">
        <v>13</v>
      </c>
      <c r="X21" s="45">
        <v>13</v>
      </c>
      <c r="Y21" s="45">
        <v>13</v>
      </c>
      <c r="Z21" s="45">
        <v>13</v>
      </c>
      <c r="AA21" s="45">
        <v>13</v>
      </c>
      <c r="AB21" s="45">
        <v>13</v>
      </c>
      <c r="AC21" s="45">
        <v>13</v>
      </c>
      <c r="AD21" s="45">
        <v>13</v>
      </c>
      <c r="AE21" s="45">
        <v>13</v>
      </c>
      <c r="AF21" s="45">
        <v>13</v>
      </c>
      <c r="AG21" s="49">
        <v>36</v>
      </c>
      <c r="AH21" s="47">
        <f t="shared" si="2"/>
        <v>13</v>
      </c>
      <c r="AI21" s="48">
        <f t="shared" si="3"/>
        <v>13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8.1999999999999993</v>
      </c>
      <c r="C22" s="45">
        <v>8.1999999999999993</v>
      </c>
      <c r="D22" s="45">
        <v>8.1999999999999993</v>
      </c>
      <c r="E22" s="45">
        <v>8.1999999999999993</v>
      </c>
      <c r="F22" s="45">
        <v>8.1999999999999993</v>
      </c>
      <c r="G22" s="45">
        <v>8.1999999999999993</v>
      </c>
      <c r="H22" s="45">
        <v>8.1999999999999993</v>
      </c>
      <c r="I22" s="45">
        <v>8.1999999999999993</v>
      </c>
      <c r="J22" s="45">
        <v>8.1999999999999993</v>
      </c>
      <c r="K22" s="45">
        <v>8.1999999999999993</v>
      </c>
      <c r="L22" s="45">
        <v>8.1999999999999993</v>
      </c>
      <c r="M22" s="45">
        <v>8.1999999999999993</v>
      </c>
      <c r="N22" s="45">
        <v>8.1999999999999993</v>
      </c>
      <c r="O22" s="45">
        <v>8.1999999999999993</v>
      </c>
      <c r="P22" s="45">
        <v>8.1999999999999993</v>
      </c>
      <c r="Q22" s="45">
        <v>8.1999999999999993</v>
      </c>
      <c r="R22" s="45">
        <v>8.4</v>
      </c>
      <c r="S22" s="45">
        <v>8.4</v>
      </c>
      <c r="T22" s="45">
        <v>8.4</v>
      </c>
      <c r="U22" s="45">
        <v>8.4</v>
      </c>
      <c r="V22" s="45">
        <v>8.4</v>
      </c>
      <c r="W22" s="45">
        <v>8.4</v>
      </c>
      <c r="X22" s="45">
        <v>8.4</v>
      </c>
      <c r="Y22" s="45">
        <v>8.4</v>
      </c>
      <c r="Z22" s="45">
        <v>8.4</v>
      </c>
      <c r="AA22" s="45">
        <v>8.4</v>
      </c>
      <c r="AB22" s="45">
        <v>8.4</v>
      </c>
      <c r="AC22" s="45">
        <v>8.4</v>
      </c>
      <c r="AD22" s="45">
        <v>8.4</v>
      </c>
      <c r="AE22" s="45">
        <v>8.4</v>
      </c>
      <c r="AF22" s="45">
        <v>8.4</v>
      </c>
      <c r="AG22" s="52">
        <v>30</v>
      </c>
      <c r="AH22" s="47">
        <f t="shared" si="2"/>
        <v>8.4</v>
      </c>
      <c r="AI22" s="48">
        <f t="shared" si="3"/>
        <v>8.1999999999999993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9</v>
      </c>
      <c r="C23" s="45">
        <v>9</v>
      </c>
      <c r="D23" s="45">
        <v>9</v>
      </c>
      <c r="E23" s="45">
        <v>9</v>
      </c>
      <c r="F23" s="45">
        <v>9</v>
      </c>
      <c r="G23" s="45">
        <v>9</v>
      </c>
      <c r="H23" s="45">
        <v>9</v>
      </c>
      <c r="I23" s="45">
        <v>9</v>
      </c>
      <c r="J23" s="45">
        <v>9</v>
      </c>
      <c r="K23" s="45">
        <v>9</v>
      </c>
      <c r="L23" s="45">
        <v>9</v>
      </c>
      <c r="M23" s="45">
        <v>9</v>
      </c>
      <c r="N23" s="45">
        <v>9</v>
      </c>
      <c r="O23" s="45">
        <v>9</v>
      </c>
      <c r="P23" s="45">
        <v>9</v>
      </c>
      <c r="Q23" s="45">
        <v>9</v>
      </c>
      <c r="R23" s="45">
        <v>9</v>
      </c>
      <c r="S23" s="45">
        <v>9</v>
      </c>
      <c r="T23" s="45">
        <v>9</v>
      </c>
      <c r="U23" s="45">
        <v>9</v>
      </c>
      <c r="V23" s="45">
        <v>9</v>
      </c>
      <c r="W23" s="45">
        <v>9</v>
      </c>
      <c r="X23" s="45">
        <v>9</v>
      </c>
      <c r="Y23" s="45">
        <v>9</v>
      </c>
      <c r="Z23" s="45">
        <v>9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9</v>
      </c>
      <c r="AG23" s="49">
        <v>24.2</v>
      </c>
      <c r="AH23" s="47">
        <f t="shared" si="2"/>
        <v>9</v>
      </c>
      <c r="AI23" s="48">
        <f t="shared" si="3"/>
        <v>9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8.1999999999999993</v>
      </c>
      <c r="C24" s="45">
        <v>8.1999999999999993</v>
      </c>
      <c r="D24" s="45">
        <v>8.1999999999999993</v>
      </c>
      <c r="E24" s="45">
        <v>8.1999999999999993</v>
      </c>
      <c r="F24" s="45">
        <v>8.1999999999999993</v>
      </c>
      <c r="G24" s="45">
        <v>8.1999999999999993</v>
      </c>
      <c r="H24" s="45">
        <v>8.1999999999999993</v>
      </c>
      <c r="I24" s="45">
        <v>8.1999999999999993</v>
      </c>
      <c r="J24" s="45">
        <v>8.1999999999999993</v>
      </c>
      <c r="K24" s="45">
        <v>8.1999999999999993</v>
      </c>
      <c r="L24" s="45">
        <v>8.1999999999999993</v>
      </c>
      <c r="M24" s="45">
        <v>8.6</v>
      </c>
      <c r="N24" s="45">
        <v>8.6</v>
      </c>
      <c r="O24" s="45">
        <v>8.6</v>
      </c>
      <c r="P24" s="45">
        <v>8.6</v>
      </c>
      <c r="Q24" s="45">
        <v>8.6</v>
      </c>
      <c r="R24" s="45">
        <v>8.1999999999999993</v>
      </c>
      <c r="S24" s="45">
        <v>8.1999999999999993</v>
      </c>
      <c r="T24" s="45">
        <v>8.1999999999999993</v>
      </c>
      <c r="U24" s="45">
        <v>8.1999999999999993</v>
      </c>
      <c r="V24" s="45">
        <v>8.1999999999999993</v>
      </c>
      <c r="W24" s="45">
        <v>8.1999999999999993</v>
      </c>
      <c r="X24" s="45">
        <v>8.1999999999999993</v>
      </c>
      <c r="Y24" s="45">
        <v>8.1999999999999993</v>
      </c>
      <c r="Z24" s="45">
        <v>8.1999999999999993</v>
      </c>
      <c r="AA24" s="45">
        <v>8.1999999999999993</v>
      </c>
      <c r="AB24" s="45">
        <v>8.1999999999999993</v>
      </c>
      <c r="AC24" s="45">
        <v>8.1999999999999993</v>
      </c>
      <c r="AD24" s="45">
        <v>8.1999999999999993</v>
      </c>
      <c r="AE24" s="45">
        <v>8.1999999999999993</v>
      </c>
      <c r="AF24" s="45">
        <v>8.1999999999999993</v>
      </c>
      <c r="AG24" s="49">
        <v>28</v>
      </c>
      <c r="AH24" s="47">
        <f t="shared" si="2"/>
        <v>8.6</v>
      </c>
      <c r="AI24" s="48">
        <f t="shared" si="3"/>
        <v>8.1999999999999993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7.6</v>
      </c>
      <c r="C25" s="45">
        <v>7.6</v>
      </c>
      <c r="D25" s="45">
        <v>7.6</v>
      </c>
      <c r="E25" s="45">
        <v>7.6</v>
      </c>
      <c r="F25" s="45">
        <v>7.6</v>
      </c>
      <c r="G25" s="45">
        <v>7.6</v>
      </c>
      <c r="H25" s="45">
        <v>7.6</v>
      </c>
      <c r="I25" s="45">
        <v>7.6</v>
      </c>
      <c r="J25" s="45">
        <v>7.6</v>
      </c>
      <c r="K25" s="45">
        <v>7.6</v>
      </c>
      <c r="L25" s="45">
        <v>7.6</v>
      </c>
      <c r="M25" s="45">
        <v>7.6</v>
      </c>
      <c r="N25" s="45">
        <v>7.6</v>
      </c>
      <c r="O25" s="45">
        <v>7.6</v>
      </c>
      <c r="P25" s="45">
        <v>7.6</v>
      </c>
      <c r="Q25" s="45">
        <v>7.6</v>
      </c>
      <c r="R25" s="45">
        <v>7.3</v>
      </c>
      <c r="S25" s="45">
        <v>7.3</v>
      </c>
      <c r="T25" s="45">
        <v>7.3</v>
      </c>
      <c r="U25" s="45">
        <v>7.3</v>
      </c>
      <c r="V25" s="45">
        <v>7.3</v>
      </c>
      <c r="W25" s="45">
        <v>7.3</v>
      </c>
      <c r="X25" s="45">
        <v>7.3</v>
      </c>
      <c r="Y25" s="45">
        <v>7.3</v>
      </c>
      <c r="Z25" s="45">
        <v>7.3</v>
      </c>
      <c r="AA25" s="45">
        <v>7.3</v>
      </c>
      <c r="AB25" s="45">
        <v>7.3</v>
      </c>
      <c r="AC25" s="45">
        <v>7.3</v>
      </c>
      <c r="AD25" s="45">
        <v>7.3</v>
      </c>
      <c r="AE25" s="45">
        <v>7.3</v>
      </c>
      <c r="AF25" s="45">
        <v>7.3</v>
      </c>
      <c r="AG25" s="52">
        <v>30</v>
      </c>
      <c r="AH25" s="47">
        <f t="shared" si="2"/>
        <v>7.6</v>
      </c>
      <c r="AI25" s="48">
        <f t="shared" si="3"/>
        <v>7.3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8.5</v>
      </c>
      <c r="C26" s="45">
        <v>8.5</v>
      </c>
      <c r="D26" s="45">
        <v>8.5</v>
      </c>
      <c r="E26" s="45">
        <v>8.5</v>
      </c>
      <c r="F26" s="45">
        <v>8.5</v>
      </c>
      <c r="G26" s="45">
        <v>8.5</v>
      </c>
      <c r="H26" s="45">
        <v>8.5</v>
      </c>
      <c r="I26" s="45">
        <v>8.5</v>
      </c>
      <c r="J26" s="45">
        <v>8.5</v>
      </c>
      <c r="K26" s="45">
        <v>8.5</v>
      </c>
      <c r="L26" s="45">
        <v>8.5</v>
      </c>
      <c r="M26" s="45">
        <v>8.5</v>
      </c>
      <c r="N26" s="45">
        <v>8.5</v>
      </c>
      <c r="O26" s="45">
        <v>8.5</v>
      </c>
      <c r="P26" s="45">
        <v>8.5</v>
      </c>
      <c r="Q26" s="45">
        <v>8.5</v>
      </c>
      <c r="R26" s="45">
        <v>8.5</v>
      </c>
      <c r="S26" s="45">
        <v>8.5</v>
      </c>
      <c r="T26" s="45">
        <v>8.5</v>
      </c>
      <c r="U26" s="45">
        <v>8.5</v>
      </c>
      <c r="V26" s="45">
        <v>8.5</v>
      </c>
      <c r="W26" s="45">
        <v>8.5</v>
      </c>
      <c r="X26" s="45">
        <v>8.5</v>
      </c>
      <c r="Y26" s="45">
        <v>8.5</v>
      </c>
      <c r="Z26" s="45">
        <v>8.5</v>
      </c>
      <c r="AA26" s="45">
        <v>8.5</v>
      </c>
      <c r="AB26" s="45">
        <v>8.5</v>
      </c>
      <c r="AC26" s="45">
        <v>8.5</v>
      </c>
      <c r="AD26" s="45">
        <v>8.5</v>
      </c>
      <c r="AE26" s="45">
        <v>8.5</v>
      </c>
      <c r="AF26" s="45">
        <v>8.5</v>
      </c>
      <c r="AG26" s="49">
        <v>25</v>
      </c>
      <c r="AH26" s="47">
        <f t="shared" si="2"/>
        <v>8.5</v>
      </c>
      <c r="AI26" s="48">
        <f t="shared" si="3"/>
        <v>8.5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5</v>
      </c>
      <c r="C27" s="45">
        <v>5</v>
      </c>
      <c r="D27" s="45">
        <v>5</v>
      </c>
      <c r="E27" s="45">
        <v>5</v>
      </c>
      <c r="F27" s="45">
        <v>5</v>
      </c>
      <c r="G27" s="45">
        <v>5</v>
      </c>
      <c r="H27" s="45">
        <v>5</v>
      </c>
      <c r="I27" s="45">
        <v>5</v>
      </c>
      <c r="J27" s="45">
        <v>5</v>
      </c>
      <c r="K27" s="45">
        <v>5</v>
      </c>
      <c r="L27" s="45">
        <v>5</v>
      </c>
      <c r="M27" s="45">
        <v>5</v>
      </c>
      <c r="N27" s="45">
        <v>5</v>
      </c>
      <c r="O27" s="45">
        <v>5</v>
      </c>
      <c r="P27" s="45">
        <v>5</v>
      </c>
      <c r="Q27" s="45">
        <v>5</v>
      </c>
      <c r="R27" s="45">
        <v>5</v>
      </c>
      <c r="S27" s="45">
        <v>5</v>
      </c>
      <c r="T27" s="45">
        <v>5</v>
      </c>
      <c r="U27" s="45">
        <v>5</v>
      </c>
      <c r="V27" s="45">
        <v>5</v>
      </c>
      <c r="W27" s="45">
        <v>5</v>
      </c>
      <c r="X27" s="45">
        <v>5</v>
      </c>
      <c r="Y27" s="45">
        <v>5</v>
      </c>
      <c r="Z27" s="45">
        <v>5</v>
      </c>
      <c r="AA27" s="45">
        <v>5</v>
      </c>
      <c r="AB27" s="45">
        <v>5</v>
      </c>
      <c r="AC27" s="45">
        <v>5</v>
      </c>
      <c r="AD27" s="45">
        <v>5</v>
      </c>
      <c r="AE27" s="45">
        <v>5</v>
      </c>
      <c r="AF27" s="45">
        <v>5</v>
      </c>
      <c r="AG27" s="49">
        <v>25</v>
      </c>
      <c r="AH27" s="47">
        <f t="shared" si="2"/>
        <v>5</v>
      </c>
      <c r="AI27" s="48">
        <f t="shared" si="3"/>
        <v>5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6</v>
      </c>
      <c r="C28" s="45">
        <v>6</v>
      </c>
      <c r="D28" s="45">
        <v>6</v>
      </c>
      <c r="E28" s="45">
        <v>6</v>
      </c>
      <c r="F28" s="45">
        <v>6</v>
      </c>
      <c r="G28" s="45">
        <v>6</v>
      </c>
      <c r="H28" s="45">
        <v>6</v>
      </c>
      <c r="I28" s="45">
        <v>6</v>
      </c>
      <c r="J28" s="45">
        <v>6</v>
      </c>
      <c r="K28" s="45">
        <v>6</v>
      </c>
      <c r="L28" s="45">
        <v>6</v>
      </c>
      <c r="M28" s="45">
        <v>6</v>
      </c>
      <c r="N28" s="45">
        <v>6</v>
      </c>
      <c r="O28" s="45">
        <v>6</v>
      </c>
      <c r="P28" s="45">
        <v>6</v>
      </c>
      <c r="Q28" s="45">
        <v>6</v>
      </c>
      <c r="R28" s="45">
        <v>6</v>
      </c>
      <c r="S28" s="45">
        <v>6</v>
      </c>
      <c r="T28" s="45">
        <v>6</v>
      </c>
      <c r="U28" s="45">
        <v>6</v>
      </c>
      <c r="V28" s="45">
        <v>6</v>
      </c>
      <c r="W28" s="45">
        <v>6</v>
      </c>
      <c r="X28" s="45">
        <v>6</v>
      </c>
      <c r="Y28" s="45">
        <v>6</v>
      </c>
      <c r="Z28" s="45">
        <v>6</v>
      </c>
      <c r="AA28" s="45">
        <v>6</v>
      </c>
      <c r="AB28" s="45">
        <v>6</v>
      </c>
      <c r="AC28" s="45">
        <v>6</v>
      </c>
      <c r="AD28" s="45">
        <v>6</v>
      </c>
      <c r="AE28" s="45">
        <v>6</v>
      </c>
      <c r="AF28" s="45">
        <v>6</v>
      </c>
      <c r="AG28" s="49">
        <v>25</v>
      </c>
      <c r="AH28" s="47">
        <f t="shared" si="2"/>
        <v>6</v>
      </c>
      <c r="AI28" s="48">
        <f t="shared" si="3"/>
        <v>6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7.9</v>
      </c>
      <c r="C29" s="45">
        <v>7.9</v>
      </c>
      <c r="D29" s="45">
        <v>7.9</v>
      </c>
      <c r="E29" s="45">
        <v>7.9</v>
      </c>
      <c r="F29" s="45">
        <v>7.9</v>
      </c>
      <c r="G29" s="45">
        <v>7.9</v>
      </c>
      <c r="H29" s="45">
        <v>7.9</v>
      </c>
      <c r="I29" s="45">
        <v>7.9</v>
      </c>
      <c r="J29" s="45">
        <v>7.9</v>
      </c>
      <c r="K29" s="45">
        <v>7.9</v>
      </c>
      <c r="L29" s="45">
        <v>7.9</v>
      </c>
      <c r="M29" s="45">
        <v>8.1999999999999993</v>
      </c>
      <c r="N29" s="45">
        <v>8.1999999999999993</v>
      </c>
      <c r="O29" s="45">
        <v>8.1999999999999993</v>
      </c>
      <c r="P29" s="45">
        <v>8.1999999999999993</v>
      </c>
      <c r="Q29" s="45">
        <v>8.1999999999999993</v>
      </c>
      <c r="R29" s="45">
        <v>8.1</v>
      </c>
      <c r="S29" s="45">
        <v>8.1</v>
      </c>
      <c r="T29" s="45">
        <v>8.1</v>
      </c>
      <c r="U29" s="45">
        <v>8.1</v>
      </c>
      <c r="V29" s="45">
        <v>8.1</v>
      </c>
      <c r="W29" s="45">
        <v>8.1</v>
      </c>
      <c r="X29" s="45">
        <v>8.1</v>
      </c>
      <c r="Y29" s="45">
        <v>8.1</v>
      </c>
      <c r="Z29" s="45">
        <v>8.1</v>
      </c>
      <c r="AA29" s="45">
        <v>8.1</v>
      </c>
      <c r="AB29" s="45">
        <v>8.1</v>
      </c>
      <c r="AC29" s="45">
        <v>8.1</v>
      </c>
      <c r="AD29" s="45">
        <v>8.1</v>
      </c>
      <c r="AE29" s="45">
        <v>8.1</v>
      </c>
      <c r="AF29" s="45">
        <v>8.1</v>
      </c>
      <c r="AG29" s="49">
        <v>25</v>
      </c>
      <c r="AH29" s="47">
        <f t="shared" si="2"/>
        <v>8.1999999999999993</v>
      </c>
      <c r="AI29" s="48">
        <f t="shared" si="3"/>
        <v>7.9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7.6</v>
      </c>
      <c r="C30" s="45">
        <v>7.6</v>
      </c>
      <c r="D30" s="45">
        <v>7.6</v>
      </c>
      <c r="E30" s="45">
        <v>7.6</v>
      </c>
      <c r="F30" s="45">
        <v>7.6</v>
      </c>
      <c r="G30" s="45">
        <v>7.6</v>
      </c>
      <c r="H30" s="45">
        <v>7.6</v>
      </c>
      <c r="I30" s="45">
        <v>7.6</v>
      </c>
      <c r="J30" s="45">
        <v>7.6</v>
      </c>
      <c r="K30" s="45">
        <v>7.6</v>
      </c>
      <c r="L30" s="45">
        <v>7.6</v>
      </c>
      <c r="M30" s="45">
        <v>7.3</v>
      </c>
      <c r="N30" s="45">
        <v>7.3</v>
      </c>
      <c r="O30" s="45">
        <v>7.3</v>
      </c>
      <c r="P30" s="45">
        <v>7.3</v>
      </c>
      <c r="Q30" s="45">
        <v>7.3</v>
      </c>
      <c r="R30" s="45">
        <v>9.1</v>
      </c>
      <c r="S30" s="45">
        <v>9.1</v>
      </c>
      <c r="T30" s="45">
        <v>9.1</v>
      </c>
      <c r="U30" s="45">
        <v>9.1</v>
      </c>
      <c r="V30" s="45">
        <v>9.1</v>
      </c>
      <c r="W30" s="45">
        <v>9.1</v>
      </c>
      <c r="X30" s="45">
        <v>9.1</v>
      </c>
      <c r="Y30" s="45">
        <v>9.1</v>
      </c>
      <c r="Z30" s="45">
        <v>9.1</v>
      </c>
      <c r="AA30" s="45">
        <v>9.1</v>
      </c>
      <c r="AB30" s="45">
        <v>9.1</v>
      </c>
      <c r="AC30" s="45">
        <v>9.1</v>
      </c>
      <c r="AD30" s="45">
        <v>9.1</v>
      </c>
      <c r="AE30" s="45">
        <v>9.1</v>
      </c>
      <c r="AF30" s="45">
        <v>9.1</v>
      </c>
      <c r="AG30" s="49">
        <v>23.5</v>
      </c>
      <c r="AH30" s="47">
        <f t="shared" si="2"/>
        <v>9.1</v>
      </c>
      <c r="AI30" s="48">
        <f t="shared" si="3"/>
        <v>7.3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4.5</v>
      </c>
      <c r="C31" s="45">
        <v>4.5</v>
      </c>
      <c r="D31" s="45">
        <v>4.5</v>
      </c>
      <c r="E31" s="45">
        <v>4.5</v>
      </c>
      <c r="F31" s="45">
        <v>4.5</v>
      </c>
      <c r="G31" s="45">
        <v>4.5</v>
      </c>
      <c r="H31" s="45">
        <v>4.5</v>
      </c>
      <c r="I31" s="45">
        <v>4.5</v>
      </c>
      <c r="J31" s="45">
        <v>4.5</v>
      </c>
      <c r="K31" s="45">
        <v>4.5</v>
      </c>
      <c r="L31" s="45">
        <v>4.5</v>
      </c>
      <c r="M31" s="45">
        <v>4.5</v>
      </c>
      <c r="N31" s="45">
        <v>4.5</v>
      </c>
      <c r="O31" s="45">
        <v>4.5</v>
      </c>
      <c r="P31" s="45">
        <v>4.5</v>
      </c>
      <c r="Q31" s="45">
        <v>4.5</v>
      </c>
      <c r="R31" s="45">
        <v>4.5</v>
      </c>
      <c r="S31" s="45">
        <v>4.5</v>
      </c>
      <c r="T31" s="45">
        <v>4.5</v>
      </c>
      <c r="U31" s="45">
        <v>4.5</v>
      </c>
      <c r="V31" s="45">
        <v>4.5</v>
      </c>
      <c r="W31" s="45">
        <v>4.5</v>
      </c>
      <c r="X31" s="45">
        <v>4.5</v>
      </c>
      <c r="Y31" s="45">
        <v>4.5</v>
      </c>
      <c r="Z31" s="45">
        <v>4.5</v>
      </c>
      <c r="AA31" s="45">
        <v>4.5</v>
      </c>
      <c r="AB31" s="45">
        <v>4.5</v>
      </c>
      <c r="AC31" s="45">
        <v>4.5</v>
      </c>
      <c r="AD31" s="45">
        <v>4.5</v>
      </c>
      <c r="AE31" s="45">
        <v>4.5</v>
      </c>
      <c r="AF31" s="45">
        <v>4.5</v>
      </c>
      <c r="AG31" s="49">
        <v>22.2</v>
      </c>
      <c r="AH31" s="47">
        <f t="shared" si="2"/>
        <v>4.5</v>
      </c>
      <c r="AI31" s="48">
        <f t="shared" si="3"/>
        <v>4.5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>
        <v>5.5</v>
      </c>
      <c r="N32" s="45">
        <v>5.5</v>
      </c>
      <c r="O32" s="45">
        <v>5.5</v>
      </c>
      <c r="P32" s="45">
        <v>5.5</v>
      </c>
      <c r="Q32" s="45">
        <v>5.5</v>
      </c>
      <c r="R32" s="45">
        <v>5.5</v>
      </c>
      <c r="S32" s="45">
        <v>5.5</v>
      </c>
      <c r="T32" s="45">
        <v>5.5</v>
      </c>
      <c r="U32" s="45">
        <v>5.5</v>
      </c>
      <c r="V32" s="45">
        <v>5.5</v>
      </c>
      <c r="W32" s="45">
        <v>5.5</v>
      </c>
      <c r="X32" s="45">
        <v>5.5</v>
      </c>
      <c r="Y32" s="45">
        <v>5.5</v>
      </c>
      <c r="Z32" s="45">
        <v>5.5</v>
      </c>
      <c r="AA32" s="45">
        <v>5.5</v>
      </c>
      <c r="AB32" s="45">
        <v>5.5</v>
      </c>
      <c r="AC32" s="45">
        <v>5.5</v>
      </c>
      <c r="AD32" s="45">
        <v>5.5</v>
      </c>
      <c r="AE32" s="45">
        <v>5.5</v>
      </c>
      <c r="AF32" s="45">
        <v>5.5</v>
      </c>
      <c r="AG32" s="49">
        <v>22.1</v>
      </c>
      <c r="AH32" s="47">
        <f t="shared" si="2"/>
        <v>5.5</v>
      </c>
      <c r="AI32" s="48">
        <f t="shared" si="3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22</v>
      </c>
      <c r="AH33" s="47">
        <f t="shared" si="2"/>
        <v>6</v>
      </c>
      <c r="AI33" s="48">
        <f t="shared" si="3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9.5</v>
      </c>
      <c r="C34" s="45">
        <v>9.5</v>
      </c>
      <c r="D34" s="45">
        <v>9.5</v>
      </c>
      <c r="E34" s="45">
        <v>9.5</v>
      </c>
      <c r="F34" s="45">
        <v>9.5</v>
      </c>
      <c r="G34" s="45">
        <v>9.5</v>
      </c>
      <c r="H34" s="45">
        <v>9.5</v>
      </c>
      <c r="I34" s="45">
        <v>9.5</v>
      </c>
      <c r="J34" s="45">
        <v>9.5</v>
      </c>
      <c r="K34" s="45">
        <v>9.5</v>
      </c>
      <c r="L34" s="45">
        <v>9.5</v>
      </c>
      <c r="M34" s="45">
        <v>10.1</v>
      </c>
      <c r="N34" s="45">
        <v>10.1</v>
      </c>
      <c r="O34" s="45">
        <v>10.1</v>
      </c>
      <c r="P34" s="45">
        <v>10.1</v>
      </c>
      <c r="Q34" s="45">
        <v>10.1</v>
      </c>
      <c r="R34" s="45">
        <v>7.3</v>
      </c>
      <c r="S34" s="45">
        <v>7.3</v>
      </c>
      <c r="T34" s="45">
        <v>7.3</v>
      </c>
      <c r="U34" s="45">
        <v>7.3</v>
      </c>
      <c r="V34" s="45">
        <v>7.3</v>
      </c>
      <c r="W34" s="45">
        <v>7.3</v>
      </c>
      <c r="X34" s="45">
        <v>7.3</v>
      </c>
      <c r="Y34" s="45">
        <v>7.3</v>
      </c>
      <c r="Z34" s="45">
        <v>7.3</v>
      </c>
      <c r="AA34" s="45">
        <v>7.3</v>
      </c>
      <c r="AB34" s="45">
        <v>7.3</v>
      </c>
      <c r="AC34" s="45">
        <v>7.3</v>
      </c>
      <c r="AD34" s="45">
        <v>7.3</v>
      </c>
      <c r="AE34" s="45">
        <v>7.3</v>
      </c>
      <c r="AF34" s="45">
        <v>7.3</v>
      </c>
      <c r="AG34" s="49">
        <v>22</v>
      </c>
      <c r="AH34" s="47">
        <f t="shared" si="2"/>
        <v>10.1</v>
      </c>
      <c r="AI34" s="48">
        <f t="shared" si="3"/>
        <v>7.3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6.5</v>
      </c>
      <c r="C35" s="45">
        <v>6.5</v>
      </c>
      <c r="D35" s="45">
        <v>6.5</v>
      </c>
      <c r="E35" s="45">
        <v>6.5</v>
      </c>
      <c r="F35" s="45">
        <v>6.5</v>
      </c>
      <c r="G35" s="45">
        <v>6.5</v>
      </c>
      <c r="H35" s="45">
        <v>6.5</v>
      </c>
      <c r="I35" s="45">
        <v>6.5</v>
      </c>
      <c r="J35" s="45">
        <v>6.5</v>
      </c>
      <c r="K35" s="45">
        <v>6.5</v>
      </c>
      <c r="L35" s="45">
        <v>6.5</v>
      </c>
      <c r="M35" s="45">
        <v>6.5</v>
      </c>
      <c r="N35" s="45">
        <v>6.5</v>
      </c>
      <c r="O35" s="45">
        <v>6.5</v>
      </c>
      <c r="P35" s="45">
        <v>6.5</v>
      </c>
      <c r="Q35" s="45">
        <v>6.5</v>
      </c>
      <c r="R35" s="45">
        <v>6.5</v>
      </c>
      <c r="S35" s="45">
        <v>6.5</v>
      </c>
      <c r="T35" s="45">
        <v>6.5</v>
      </c>
      <c r="U35" s="45">
        <v>6.5</v>
      </c>
      <c r="V35" s="45">
        <v>6.5</v>
      </c>
      <c r="W35" s="45">
        <v>6.5</v>
      </c>
      <c r="X35" s="45">
        <v>6.5</v>
      </c>
      <c r="Y35" s="45">
        <v>6.5</v>
      </c>
      <c r="Z35" s="45">
        <v>6.5</v>
      </c>
      <c r="AA35" s="45">
        <v>6.5</v>
      </c>
      <c r="AB35" s="45">
        <v>6.5</v>
      </c>
      <c r="AC35" s="45">
        <v>6.5</v>
      </c>
      <c r="AD35" s="45">
        <v>6.5</v>
      </c>
      <c r="AE35" s="45">
        <v>6.5</v>
      </c>
      <c r="AF35" s="45">
        <v>6.5</v>
      </c>
      <c r="AG35" s="49">
        <v>20</v>
      </c>
      <c r="AH35" s="47">
        <f t="shared" si="2"/>
        <v>6.5</v>
      </c>
      <c r="AI35" s="48">
        <f t="shared" si="3"/>
        <v>6.5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264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2"/>
        <v>4</v>
      </c>
      <c r="AI36" s="48">
        <f t="shared" si="3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5.5</v>
      </c>
      <c r="C37" s="45">
        <v>5.5</v>
      </c>
      <c r="D37" s="45">
        <v>5.5</v>
      </c>
      <c r="E37" s="45">
        <v>5.5</v>
      </c>
      <c r="F37" s="45">
        <v>5.5</v>
      </c>
      <c r="G37" s="45">
        <v>5.5</v>
      </c>
      <c r="H37" s="45">
        <v>5.5</v>
      </c>
      <c r="I37" s="45">
        <v>5.5</v>
      </c>
      <c r="J37" s="45">
        <v>5.5</v>
      </c>
      <c r="K37" s="45">
        <v>5.5</v>
      </c>
      <c r="L37" s="45">
        <v>5.5</v>
      </c>
      <c r="M37" s="45">
        <v>5.5</v>
      </c>
      <c r="N37" s="45">
        <v>5.5</v>
      </c>
      <c r="O37" s="45">
        <v>5.5</v>
      </c>
      <c r="P37" s="45">
        <v>5.5</v>
      </c>
      <c r="Q37" s="45">
        <v>5.5</v>
      </c>
      <c r="R37" s="45">
        <v>5.5</v>
      </c>
      <c r="S37" s="45">
        <v>5.5</v>
      </c>
      <c r="T37" s="45">
        <v>5.5</v>
      </c>
      <c r="U37" s="45">
        <v>5.5</v>
      </c>
      <c r="V37" s="45">
        <v>5.5</v>
      </c>
      <c r="W37" s="45">
        <v>5.5</v>
      </c>
      <c r="X37" s="45">
        <v>5.5</v>
      </c>
      <c r="Y37" s="45">
        <v>5.5</v>
      </c>
      <c r="Z37" s="45">
        <v>5.5</v>
      </c>
      <c r="AA37" s="45">
        <v>5.5</v>
      </c>
      <c r="AB37" s="45">
        <v>5.5</v>
      </c>
      <c r="AC37" s="45">
        <v>5.5</v>
      </c>
      <c r="AD37" s="45">
        <v>5.5</v>
      </c>
      <c r="AE37" s="45">
        <v>5.5</v>
      </c>
      <c r="AF37" s="45">
        <v>5.5</v>
      </c>
      <c r="AG37" s="49">
        <v>18</v>
      </c>
      <c r="AH37" s="47">
        <f t="shared" si="2"/>
        <v>5.5</v>
      </c>
      <c r="AI37" s="48">
        <f t="shared" si="3"/>
        <v>5.5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>
        <v>7.2</v>
      </c>
      <c r="N38" s="45">
        <v>7.2</v>
      </c>
      <c r="O38" s="45">
        <v>7.2</v>
      </c>
      <c r="P38" s="45">
        <v>7.2</v>
      </c>
      <c r="Q38" s="45">
        <v>7.2</v>
      </c>
      <c r="R38" s="45">
        <v>7.2</v>
      </c>
      <c r="S38" s="45">
        <v>7.2</v>
      </c>
      <c r="T38" s="45">
        <v>7.2</v>
      </c>
      <c r="U38" s="45">
        <v>7.2</v>
      </c>
      <c r="V38" s="45">
        <v>7.2</v>
      </c>
      <c r="W38" s="45">
        <v>7.2</v>
      </c>
      <c r="X38" s="45">
        <v>7.2</v>
      </c>
      <c r="Y38" s="45">
        <v>7.2</v>
      </c>
      <c r="Z38" s="45">
        <v>7.2</v>
      </c>
      <c r="AA38" s="45">
        <v>7.2</v>
      </c>
      <c r="AB38" s="45">
        <v>7.2</v>
      </c>
      <c r="AC38" s="45">
        <v>7.2</v>
      </c>
      <c r="AD38" s="45">
        <v>7.2</v>
      </c>
      <c r="AE38" s="45">
        <v>7.2</v>
      </c>
      <c r="AF38" s="45">
        <v>7.2</v>
      </c>
      <c r="AG38" s="49">
        <v>14.9</v>
      </c>
      <c r="AH38" s="47">
        <f t="shared" si="2"/>
        <v>7.2</v>
      </c>
      <c r="AI38" s="48">
        <f t="shared" si="3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265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2"/>
        <v>5</v>
      </c>
      <c r="AI40" s="48">
        <f t="shared" si="3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266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>
        <v>4</v>
      </c>
      <c r="N41" s="45">
        <v>4</v>
      </c>
      <c r="O41" s="45">
        <v>4</v>
      </c>
      <c r="P41" s="45">
        <v>4</v>
      </c>
      <c r="Q41" s="45">
        <v>4</v>
      </c>
      <c r="R41" s="45">
        <v>4</v>
      </c>
      <c r="S41" s="45">
        <v>4</v>
      </c>
      <c r="T41" s="45">
        <v>4</v>
      </c>
      <c r="U41" s="45">
        <v>4</v>
      </c>
      <c r="V41" s="45">
        <v>4</v>
      </c>
      <c r="W41" s="45">
        <v>4</v>
      </c>
      <c r="X41" s="45">
        <v>4</v>
      </c>
      <c r="Y41" s="45">
        <v>4</v>
      </c>
      <c r="Z41" s="45">
        <v>4</v>
      </c>
      <c r="AA41" s="45">
        <v>4</v>
      </c>
      <c r="AB41" s="45">
        <v>4</v>
      </c>
      <c r="AC41" s="45">
        <v>4</v>
      </c>
      <c r="AD41" s="45">
        <v>4</v>
      </c>
      <c r="AE41" s="45">
        <v>4</v>
      </c>
      <c r="AF41" s="45">
        <v>4</v>
      </c>
      <c r="AG41" s="49">
        <v>14.9</v>
      </c>
      <c r="AH41" s="47">
        <f t="shared" si="2"/>
        <v>4</v>
      </c>
      <c r="AI41" s="48">
        <f t="shared" si="3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2"/>
        <v>1.8</v>
      </c>
      <c r="AI42" s="48">
        <f t="shared" si="3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2"/>
        <v>3.8</v>
      </c>
      <c r="AI43" s="48">
        <f t="shared" si="3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4</v>
      </c>
      <c r="C44" s="45">
        <v>4</v>
      </c>
      <c r="D44" s="45">
        <v>4</v>
      </c>
      <c r="E44" s="45">
        <v>4</v>
      </c>
      <c r="F44" s="45">
        <v>4</v>
      </c>
      <c r="G44" s="45">
        <v>4</v>
      </c>
      <c r="H44" s="45">
        <v>4</v>
      </c>
      <c r="I44" s="45">
        <v>4</v>
      </c>
      <c r="J44" s="45">
        <v>4</v>
      </c>
      <c r="K44" s="45">
        <v>4</v>
      </c>
      <c r="L44" s="45">
        <v>4</v>
      </c>
      <c r="M44" s="45">
        <v>4</v>
      </c>
      <c r="N44" s="45">
        <v>4</v>
      </c>
      <c r="O44" s="45">
        <v>4</v>
      </c>
      <c r="P44" s="45">
        <v>4</v>
      </c>
      <c r="Q44" s="45">
        <v>4</v>
      </c>
      <c r="R44" s="45">
        <v>4</v>
      </c>
      <c r="S44" s="45">
        <v>4</v>
      </c>
      <c r="T44" s="45">
        <v>4</v>
      </c>
      <c r="U44" s="45">
        <v>4</v>
      </c>
      <c r="V44" s="45">
        <v>4</v>
      </c>
      <c r="W44" s="45">
        <v>4</v>
      </c>
      <c r="X44" s="45">
        <v>4</v>
      </c>
      <c r="Y44" s="45">
        <v>4</v>
      </c>
      <c r="Z44" s="45">
        <v>4</v>
      </c>
      <c r="AA44" s="45">
        <v>4</v>
      </c>
      <c r="AB44" s="45">
        <v>4</v>
      </c>
      <c r="AC44" s="45">
        <v>4</v>
      </c>
      <c r="AD44" s="45">
        <v>4</v>
      </c>
      <c r="AE44" s="45">
        <v>4</v>
      </c>
      <c r="AF44" s="45">
        <v>4</v>
      </c>
      <c r="AG44" s="49">
        <v>12</v>
      </c>
      <c r="AH44" s="47">
        <f t="shared" si="2"/>
        <v>4</v>
      </c>
      <c r="AI44" s="48">
        <f t="shared" si="3"/>
        <v>4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49">
        <v>12</v>
      </c>
      <c r="AH45" s="47">
        <f t="shared" si="2"/>
        <v>9</v>
      </c>
      <c r="AI45" s="48">
        <f t="shared" si="3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2"/>
        <v>3</v>
      </c>
      <c r="AI46" s="48">
        <f t="shared" si="3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2"/>
        <v>3.5</v>
      </c>
      <c r="AI47" s="48">
        <f t="shared" si="3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>
        <v>5</v>
      </c>
      <c r="N48" s="45">
        <v>5</v>
      </c>
      <c r="O48" s="45">
        <v>5</v>
      </c>
      <c r="P48" s="45">
        <v>5</v>
      </c>
      <c r="Q48" s="45">
        <v>5</v>
      </c>
      <c r="R48" s="45">
        <v>5</v>
      </c>
      <c r="S48" s="45">
        <v>5</v>
      </c>
      <c r="T48" s="45">
        <v>5</v>
      </c>
      <c r="U48" s="45">
        <v>5</v>
      </c>
      <c r="V48" s="45">
        <v>5</v>
      </c>
      <c r="W48" s="45">
        <v>5</v>
      </c>
      <c r="X48" s="45">
        <v>5</v>
      </c>
      <c r="Y48" s="45">
        <v>5</v>
      </c>
      <c r="Z48" s="45">
        <v>5</v>
      </c>
      <c r="AA48" s="45">
        <v>5</v>
      </c>
      <c r="AB48" s="45">
        <v>5</v>
      </c>
      <c r="AC48" s="45">
        <v>5</v>
      </c>
      <c r="AD48" s="45">
        <v>5</v>
      </c>
      <c r="AE48" s="45">
        <v>5</v>
      </c>
      <c r="AF48" s="45">
        <v>5</v>
      </c>
      <c r="AG48" s="52">
        <v>11.88</v>
      </c>
      <c r="AH48" s="47">
        <f t="shared" si="2"/>
        <v>5</v>
      </c>
      <c r="AI48" s="48">
        <f t="shared" si="3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>
        <v>3</v>
      </c>
      <c r="N49" s="45">
        <v>3</v>
      </c>
      <c r="O49" s="45">
        <v>3</v>
      </c>
      <c r="P49" s="45">
        <v>3</v>
      </c>
      <c r="Q49" s="45">
        <v>3</v>
      </c>
      <c r="R49" s="45">
        <v>3</v>
      </c>
      <c r="S49" s="45">
        <v>3</v>
      </c>
      <c r="T49" s="45">
        <v>3</v>
      </c>
      <c r="U49" s="45">
        <v>3</v>
      </c>
      <c r="V49" s="45">
        <v>3</v>
      </c>
      <c r="W49" s="45">
        <v>3</v>
      </c>
      <c r="X49" s="45">
        <v>3</v>
      </c>
      <c r="Y49" s="45">
        <v>3</v>
      </c>
      <c r="Z49" s="45">
        <v>3</v>
      </c>
      <c r="AA49" s="45">
        <v>3</v>
      </c>
      <c r="AB49" s="45">
        <v>3</v>
      </c>
      <c r="AC49" s="45">
        <v>3</v>
      </c>
      <c r="AD49" s="45">
        <v>3</v>
      </c>
      <c r="AE49" s="45">
        <v>3</v>
      </c>
      <c r="AF49" s="45">
        <v>3</v>
      </c>
      <c r="AG49" s="55">
        <v>11</v>
      </c>
      <c r="AH49" s="47">
        <f t="shared" si="2"/>
        <v>3</v>
      </c>
      <c r="AI49" s="48">
        <f t="shared" si="3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267</v>
      </c>
      <c r="B50" s="45">
        <v>3.3</v>
      </c>
      <c r="C50" s="45">
        <v>3.3</v>
      </c>
      <c r="D50" s="45">
        <v>3.3</v>
      </c>
      <c r="E50" s="45">
        <v>3.3</v>
      </c>
      <c r="F50" s="45">
        <v>3.3</v>
      </c>
      <c r="G50" s="45">
        <v>3.3</v>
      </c>
      <c r="H50" s="45">
        <v>3.3</v>
      </c>
      <c r="I50" s="45">
        <v>3.3</v>
      </c>
      <c r="J50" s="45">
        <v>3.3</v>
      </c>
      <c r="K50" s="45">
        <v>3.3</v>
      </c>
      <c r="L50" s="45">
        <v>3.3</v>
      </c>
      <c r="M50" s="45">
        <v>3.3</v>
      </c>
      <c r="N50" s="45">
        <v>3.3</v>
      </c>
      <c r="O50" s="45">
        <v>3.3</v>
      </c>
      <c r="P50" s="45">
        <v>3.3</v>
      </c>
      <c r="Q50" s="45">
        <v>3.3</v>
      </c>
      <c r="R50" s="45">
        <v>3.3</v>
      </c>
      <c r="S50" s="45">
        <v>3.3</v>
      </c>
      <c r="T50" s="45">
        <v>3.3</v>
      </c>
      <c r="U50" s="45">
        <v>3.3</v>
      </c>
      <c r="V50" s="45">
        <v>3.3</v>
      </c>
      <c r="W50" s="45">
        <v>3.3</v>
      </c>
      <c r="X50" s="45">
        <v>3.3</v>
      </c>
      <c r="Y50" s="45">
        <v>3.3</v>
      </c>
      <c r="Z50" s="45">
        <v>3.3</v>
      </c>
      <c r="AA50" s="45">
        <v>3.3</v>
      </c>
      <c r="AB50" s="45">
        <v>3.3</v>
      </c>
      <c r="AC50" s="45">
        <v>3.3</v>
      </c>
      <c r="AD50" s="45">
        <v>3.3</v>
      </c>
      <c r="AE50" s="45">
        <v>3.3</v>
      </c>
      <c r="AF50" s="45">
        <v>3.3</v>
      </c>
      <c r="AG50" s="55">
        <v>11</v>
      </c>
      <c r="AH50" s="47">
        <f t="shared" si="2"/>
        <v>3.3</v>
      </c>
      <c r="AI50" s="48">
        <f t="shared" si="3"/>
        <v>3.3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268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"/>
        <v>3</v>
      </c>
      <c r="AI51" s="48">
        <f t="shared" si="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2"/>
        <v>4</v>
      </c>
      <c r="AI52" s="48">
        <f t="shared" si="3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"/>
        <v>4.5</v>
      </c>
      <c r="AI53" s="48">
        <f t="shared" si="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269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"/>
        <v>0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150</v>
      </c>
      <c r="C56" s="57">
        <v>150</v>
      </c>
      <c r="D56" s="57">
        <v>150</v>
      </c>
      <c r="E56" s="57">
        <v>150</v>
      </c>
      <c r="F56" s="57">
        <v>150</v>
      </c>
      <c r="G56" s="57">
        <v>150</v>
      </c>
      <c r="H56" s="57">
        <v>150</v>
      </c>
      <c r="I56" s="57">
        <v>150</v>
      </c>
      <c r="J56" s="57">
        <v>150</v>
      </c>
      <c r="K56" s="57">
        <v>150</v>
      </c>
      <c r="L56" s="57">
        <v>150</v>
      </c>
      <c r="M56" s="57">
        <v>150</v>
      </c>
      <c r="N56" s="57">
        <v>150</v>
      </c>
      <c r="O56" s="57">
        <v>150</v>
      </c>
      <c r="P56" s="57">
        <v>150</v>
      </c>
      <c r="Q56" s="57">
        <v>150</v>
      </c>
      <c r="R56" s="57">
        <v>150</v>
      </c>
      <c r="S56" s="57">
        <v>150</v>
      </c>
      <c r="T56" s="57">
        <v>150</v>
      </c>
      <c r="U56" s="57">
        <v>150</v>
      </c>
      <c r="V56" s="57">
        <v>150</v>
      </c>
      <c r="W56" s="57">
        <v>150</v>
      </c>
      <c r="X56" s="57">
        <v>150</v>
      </c>
      <c r="Y56" s="57">
        <v>150</v>
      </c>
      <c r="Z56" s="57">
        <v>150</v>
      </c>
      <c r="AA56" s="57">
        <v>150</v>
      </c>
      <c r="AB56" s="57">
        <v>150</v>
      </c>
      <c r="AC56" s="57">
        <v>150</v>
      </c>
      <c r="AD56" s="57">
        <v>150</v>
      </c>
      <c r="AE56" s="57">
        <v>150</v>
      </c>
      <c r="AF56" s="57">
        <v>150</v>
      </c>
      <c r="AG56" s="55">
        <v>85</v>
      </c>
      <c r="AH56" s="47">
        <f t="shared" si="2"/>
        <v>150</v>
      </c>
      <c r="AI56" s="48">
        <f t="shared" si="3"/>
        <v>150</v>
      </c>
      <c r="AK56" s="50"/>
    </row>
    <row r="57" spans="1:88" ht="15.75" thickBot="1" x14ac:dyDescent="0.3">
      <c r="A57" s="58" t="s">
        <v>57</v>
      </c>
      <c r="B57" s="57">
        <v>27.8</v>
      </c>
      <c r="C57" s="57">
        <v>27.8</v>
      </c>
      <c r="D57" s="57">
        <v>27.8</v>
      </c>
      <c r="E57" s="57">
        <v>28.8</v>
      </c>
      <c r="F57" s="57">
        <v>29.8</v>
      </c>
      <c r="G57" s="57">
        <v>29.8</v>
      </c>
      <c r="H57" s="57">
        <v>29.8</v>
      </c>
      <c r="I57" s="57">
        <v>27.7</v>
      </c>
      <c r="J57" s="57">
        <v>27.7</v>
      </c>
      <c r="K57" s="57">
        <v>27.7</v>
      </c>
      <c r="L57" s="57">
        <v>27.7</v>
      </c>
      <c r="M57" s="57">
        <f>8+17.5</f>
        <v>25.5</v>
      </c>
      <c r="N57" s="51">
        <f>18+8.4</f>
        <v>26.4</v>
      </c>
      <c r="O57" s="51">
        <f>19.8+8.7</f>
        <v>28.5</v>
      </c>
      <c r="P57" s="51">
        <f>19+8.7</f>
        <v>27.7</v>
      </c>
      <c r="Q57" s="51">
        <f>20.1+9.6</f>
        <v>29.700000000000003</v>
      </c>
      <c r="R57" s="51">
        <f>9.9+20.5</f>
        <v>30.4</v>
      </c>
      <c r="S57" s="51">
        <f>9.9+20.5</f>
        <v>30.4</v>
      </c>
      <c r="T57" s="51">
        <f>9.9+20.5</f>
        <v>30.4</v>
      </c>
      <c r="U57" s="51">
        <f>9.9+20.5</f>
        <v>30.4</v>
      </c>
      <c r="V57" s="51">
        <f>9.9+20.5</f>
        <v>30.4</v>
      </c>
      <c r="W57" s="51">
        <v>28.3</v>
      </c>
      <c r="X57" s="51">
        <v>25.8</v>
      </c>
      <c r="Y57" s="57">
        <v>25.1</v>
      </c>
      <c r="Z57" s="57">
        <v>25.1</v>
      </c>
      <c r="AA57" s="57">
        <v>25.1</v>
      </c>
      <c r="AB57" s="57">
        <v>25.1</v>
      </c>
      <c r="AC57" s="57">
        <v>25.1</v>
      </c>
      <c r="AD57" s="57">
        <v>25.1</v>
      </c>
      <c r="AE57" s="57">
        <v>25.1</v>
      </c>
      <c r="AF57" s="57">
        <v>25.1</v>
      </c>
      <c r="AG57" s="55">
        <v>240</v>
      </c>
      <c r="AH57" s="47">
        <f t="shared" si="2"/>
        <v>30.4</v>
      </c>
      <c r="AI57" s="48">
        <f t="shared" si="3"/>
        <v>25.1</v>
      </c>
      <c r="AK57" s="50"/>
    </row>
    <row r="58" spans="1:88" ht="15.75" thickBot="1" x14ac:dyDescent="0.3">
      <c r="A58" s="59" t="s">
        <v>58</v>
      </c>
      <c r="B58" s="60">
        <f>SUM(B11:B56)</f>
        <v>500</v>
      </c>
      <c r="C58" s="60">
        <f>SUM(C11:C56)</f>
        <v>500</v>
      </c>
      <c r="D58" s="60">
        <f t="shared" ref="D58:AA58" si="4">SUM(D11:D56)</f>
        <v>500</v>
      </c>
      <c r="E58" s="60">
        <f t="shared" si="4"/>
        <v>500</v>
      </c>
      <c r="F58" s="60">
        <f t="shared" si="4"/>
        <v>501.29999999999995</v>
      </c>
      <c r="G58" s="60">
        <f t="shared" ref="G58:H58" si="5">SUM(G11:G56)</f>
        <v>501.29999999999995</v>
      </c>
      <c r="H58" s="60">
        <f t="shared" si="5"/>
        <v>501.29999999999995</v>
      </c>
      <c r="I58" s="60">
        <f t="shared" si="4"/>
        <v>501.29999999999995</v>
      </c>
      <c r="J58" s="60">
        <f t="shared" si="4"/>
        <v>501.29999999999995</v>
      </c>
      <c r="K58" s="60">
        <f t="shared" ref="K58" si="6">SUM(K11:K56)</f>
        <v>501.29999999999995</v>
      </c>
      <c r="L58" s="60">
        <f t="shared" si="4"/>
        <v>501.29999999999995</v>
      </c>
      <c r="M58" s="60">
        <f t="shared" ref="M58" si="7">SUM(M11:M56)</f>
        <v>502.6</v>
      </c>
      <c r="N58" s="60">
        <f t="shared" si="4"/>
        <v>502.5</v>
      </c>
      <c r="O58" s="60">
        <f t="shared" si="4"/>
        <v>502.6</v>
      </c>
      <c r="P58" s="60">
        <f t="shared" si="4"/>
        <v>502.5</v>
      </c>
      <c r="Q58" s="60">
        <f t="shared" si="4"/>
        <v>502.5</v>
      </c>
      <c r="R58" s="60">
        <f t="shared" ref="R58" si="8">SUM(R11:R56)</f>
        <v>498.2</v>
      </c>
      <c r="S58" s="60">
        <f t="shared" si="4"/>
        <v>498.2</v>
      </c>
      <c r="T58" s="60">
        <f t="shared" si="4"/>
        <v>498.2</v>
      </c>
      <c r="U58" s="60">
        <f t="shared" ref="U58" si="9">SUM(U11:U56)</f>
        <v>498.2</v>
      </c>
      <c r="V58" s="60">
        <f t="shared" si="4"/>
        <v>498.2</v>
      </c>
      <c r="W58" s="60">
        <f t="shared" si="4"/>
        <v>498.2</v>
      </c>
      <c r="X58" s="60">
        <f t="shared" si="4"/>
        <v>498.2</v>
      </c>
      <c r="Y58" s="60">
        <f>SUM(Y11:Y56)</f>
        <v>498.2</v>
      </c>
      <c r="Z58" s="60">
        <f>SUM(Z11:Z56)</f>
        <v>498.2</v>
      </c>
      <c r="AA58" s="60">
        <f t="shared" si="4"/>
        <v>498.2</v>
      </c>
      <c r="AB58" s="60">
        <f t="shared" ref="AB58:AC58" si="10">SUM(AB11:AB56)</f>
        <v>498.2</v>
      </c>
      <c r="AC58" s="60">
        <f t="shared" si="10"/>
        <v>498.2</v>
      </c>
      <c r="AD58" s="60">
        <f t="shared" ref="AD58:AE58" si="11">SUM(AD11:AD56)</f>
        <v>498.2</v>
      </c>
      <c r="AE58" s="60">
        <f t="shared" si="11"/>
        <v>498.2</v>
      </c>
      <c r="AF58" s="60">
        <f t="shared" ref="AF58" si="12">SUM(AF11:AF56)</f>
        <v>498.2</v>
      </c>
      <c r="AG58" s="61">
        <f>SUM(AG14:AG56)</f>
        <v>1042.4000000000001</v>
      </c>
      <c r="AH58" s="47">
        <f t="shared" si="2"/>
        <v>502.6</v>
      </c>
      <c r="AI58" s="48">
        <f t="shared" si="3"/>
        <v>498.2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15</v>
      </c>
      <c r="J59" s="45">
        <v>50</v>
      </c>
      <c r="K59" s="45">
        <v>130</v>
      </c>
      <c r="L59" s="45">
        <v>370</v>
      </c>
      <c r="M59" s="45">
        <v>405</v>
      </c>
      <c r="N59" s="63">
        <v>270</v>
      </c>
      <c r="O59" s="63">
        <v>100</v>
      </c>
      <c r="P59" s="63">
        <v>0</v>
      </c>
      <c r="Q59" s="63">
        <v>0</v>
      </c>
      <c r="R59" s="63">
        <v>0</v>
      </c>
      <c r="S59" s="63">
        <v>0</v>
      </c>
      <c r="T59" s="63">
        <v>0</v>
      </c>
      <c r="U59" s="63">
        <v>0</v>
      </c>
      <c r="V59" s="63">
        <v>30</v>
      </c>
      <c r="W59" s="63">
        <v>50</v>
      </c>
      <c r="X59" s="45">
        <v>220</v>
      </c>
      <c r="Y59" s="45">
        <v>250</v>
      </c>
      <c r="Z59" s="45">
        <v>250</v>
      </c>
      <c r="AA59" s="45">
        <v>250</v>
      </c>
      <c r="AB59" s="45">
        <v>180</v>
      </c>
      <c r="AC59" s="45">
        <v>90</v>
      </c>
      <c r="AD59" s="45">
        <v>90</v>
      </c>
      <c r="AE59" s="45">
        <v>50</v>
      </c>
      <c r="AF59" s="45">
        <v>0</v>
      </c>
      <c r="AG59" s="52">
        <v>456</v>
      </c>
      <c r="AH59" s="47">
        <f t="shared" si="2"/>
        <v>405</v>
      </c>
      <c r="AI59" s="48">
        <f t="shared" si="3"/>
        <v>0</v>
      </c>
      <c r="AK59" s="50"/>
    </row>
    <row r="60" spans="1:88" x14ac:dyDescent="0.25">
      <c r="A60" s="64" t="s">
        <v>60</v>
      </c>
      <c r="B60" s="65">
        <v>30</v>
      </c>
      <c r="C60" s="65">
        <v>30</v>
      </c>
      <c r="D60" s="65">
        <v>30</v>
      </c>
      <c r="E60" s="65">
        <v>30</v>
      </c>
      <c r="F60" s="65">
        <v>30</v>
      </c>
      <c r="G60" s="65">
        <v>30</v>
      </c>
      <c r="H60" s="65">
        <v>30</v>
      </c>
      <c r="I60" s="65">
        <v>30</v>
      </c>
      <c r="J60" s="65">
        <v>30</v>
      </c>
      <c r="K60" s="65">
        <v>30</v>
      </c>
      <c r="L60" s="65">
        <v>30</v>
      </c>
      <c r="M60" s="65">
        <v>30</v>
      </c>
      <c r="N60" s="65">
        <v>30</v>
      </c>
      <c r="O60" s="65">
        <v>30</v>
      </c>
      <c r="P60" s="65">
        <v>30</v>
      </c>
      <c r="Q60" s="65">
        <v>30</v>
      </c>
      <c r="R60" s="65">
        <v>30</v>
      </c>
      <c r="S60" s="65">
        <v>30</v>
      </c>
      <c r="T60" s="65">
        <v>30</v>
      </c>
      <c r="U60" s="65">
        <v>30</v>
      </c>
      <c r="V60" s="65">
        <v>30</v>
      </c>
      <c r="W60" s="65">
        <v>30</v>
      </c>
      <c r="X60" s="65">
        <v>30</v>
      </c>
      <c r="Y60" s="65">
        <v>30</v>
      </c>
      <c r="Z60" s="65">
        <v>30</v>
      </c>
      <c r="AA60" s="65">
        <v>30</v>
      </c>
      <c r="AB60" s="65">
        <v>30</v>
      </c>
      <c r="AC60" s="65">
        <v>30</v>
      </c>
      <c r="AD60" s="65">
        <v>30</v>
      </c>
      <c r="AE60" s="65">
        <v>30</v>
      </c>
      <c r="AF60" s="65">
        <v>30</v>
      </c>
      <c r="AG60" s="55">
        <v>60</v>
      </c>
      <c r="AH60" s="47">
        <f t="shared" si="2"/>
        <v>30</v>
      </c>
      <c r="AI60" s="48">
        <f t="shared" si="3"/>
        <v>30</v>
      </c>
      <c r="AK60" s="50"/>
    </row>
    <row r="61" spans="1:88" ht="15.75" thickBot="1" x14ac:dyDescent="0.3">
      <c r="A61" s="66" t="s">
        <v>61</v>
      </c>
      <c r="B61" s="67">
        <v>10.199999999999999</v>
      </c>
      <c r="C61" s="67">
        <v>10.199999999999999</v>
      </c>
      <c r="D61" s="67">
        <v>10.199999999999999</v>
      </c>
      <c r="E61" s="67">
        <v>10.199999999999999</v>
      </c>
      <c r="F61" s="67">
        <v>10.199999999999999</v>
      </c>
      <c r="G61" s="67">
        <v>10.199999999999999</v>
      </c>
      <c r="H61" s="67">
        <v>10.199999999999999</v>
      </c>
      <c r="I61" s="67">
        <v>10.199999999999999</v>
      </c>
      <c r="J61" s="67">
        <v>10.199999999999999</v>
      </c>
      <c r="K61" s="67">
        <v>10.199999999999999</v>
      </c>
      <c r="L61" s="67">
        <v>10.199999999999999</v>
      </c>
      <c r="M61" s="67">
        <v>9.3000000000000007</v>
      </c>
      <c r="N61" s="67">
        <v>9.1999999999999993</v>
      </c>
      <c r="O61" s="67">
        <v>9.1999999999999993</v>
      </c>
      <c r="P61" s="67">
        <v>9.3000000000000007</v>
      </c>
      <c r="Q61" s="67">
        <v>9.1999999999999993</v>
      </c>
      <c r="R61" s="67">
        <v>10.1</v>
      </c>
      <c r="S61" s="67">
        <v>10.1</v>
      </c>
      <c r="T61" s="67">
        <v>10.1</v>
      </c>
      <c r="U61" s="67">
        <v>10.1</v>
      </c>
      <c r="V61" s="67">
        <v>10.1</v>
      </c>
      <c r="W61" s="67">
        <v>10.1</v>
      </c>
      <c r="X61" s="67">
        <v>10.1</v>
      </c>
      <c r="Y61" s="67">
        <v>10.1</v>
      </c>
      <c r="Z61" s="67">
        <v>10.1</v>
      </c>
      <c r="AA61" s="67">
        <v>10.1</v>
      </c>
      <c r="AB61" s="67">
        <v>10.1</v>
      </c>
      <c r="AC61" s="67">
        <v>10.1</v>
      </c>
      <c r="AD61" s="67">
        <v>10.1</v>
      </c>
      <c r="AE61" s="67">
        <v>10.1</v>
      </c>
      <c r="AF61" s="67">
        <v>10.1</v>
      </c>
      <c r="AG61" s="68">
        <v>22.1</v>
      </c>
      <c r="AH61" s="47">
        <f t="shared" si="2"/>
        <v>10.199999999999999</v>
      </c>
      <c r="AI61" s="48">
        <f t="shared" si="3"/>
        <v>9.1999999999999993</v>
      </c>
      <c r="AK61" s="50"/>
    </row>
    <row r="62" spans="1:88" ht="15.75" thickBot="1" x14ac:dyDescent="0.3">
      <c r="A62" s="69" t="s">
        <v>62</v>
      </c>
      <c r="B62" s="60">
        <f t="shared" ref="B62:AG62" si="13">SUM(B59:B61)</f>
        <v>40.200000000000003</v>
      </c>
      <c r="C62" s="60">
        <f t="shared" si="13"/>
        <v>40.200000000000003</v>
      </c>
      <c r="D62" s="60">
        <f t="shared" si="13"/>
        <v>40.200000000000003</v>
      </c>
      <c r="E62" s="60">
        <f t="shared" si="13"/>
        <v>40.200000000000003</v>
      </c>
      <c r="F62" s="60">
        <f t="shared" si="13"/>
        <v>40.200000000000003</v>
      </c>
      <c r="G62" s="60">
        <f t="shared" ref="G62:H62" si="14">SUM(G59:G61)</f>
        <v>40.200000000000003</v>
      </c>
      <c r="H62" s="60">
        <f t="shared" si="14"/>
        <v>40.200000000000003</v>
      </c>
      <c r="I62" s="60">
        <f t="shared" si="13"/>
        <v>55.2</v>
      </c>
      <c r="J62" s="60">
        <f t="shared" si="13"/>
        <v>90.2</v>
      </c>
      <c r="K62" s="60">
        <f t="shared" ref="K62" si="15">SUM(K59:K61)</f>
        <v>170.2</v>
      </c>
      <c r="L62" s="60">
        <f t="shared" si="13"/>
        <v>410.2</v>
      </c>
      <c r="M62" s="60">
        <f t="shared" ref="M62" si="16">SUM(M59:M61)</f>
        <v>444.3</v>
      </c>
      <c r="N62" s="60">
        <f t="shared" si="13"/>
        <v>309.2</v>
      </c>
      <c r="O62" s="60">
        <f t="shared" si="13"/>
        <v>139.19999999999999</v>
      </c>
      <c r="P62" s="60">
        <f t="shared" si="13"/>
        <v>39.299999999999997</v>
      </c>
      <c r="Q62" s="60">
        <f t="shared" si="13"/>
        <v>39.200000000000003</v>
      </c>
      <c r="R62" s="60">
        <f t="shared" ref="R62" si="17">SUM(R59:R61)</f>
        <v>40.1</v>
      </c>
      <c r="S62" s="60">
        <f t="shared" si="13"/>
        <v>40.1</v>
      </c>
      <c r="T62" s="60">
        <f t="shared" si="13"/>
        <v>40.1</v>
      </c>
      <c r="U62" s="60">
        <f t="shared" ref="U62" si="18">SUM(U59:U61)</f>
        <v>40.1</v>
      </c>
      <c r="V62" s="60">
        <f t="shared" si="13"/>
        <v>70.099999999999994</v>
      </c>
      <c r="W62" s="60">
        <f t="shared" si="13"/>
        <v>90.1</v>
      </c>
      <c r="X62" s="60">
        <f t="shared" si="13"/>
        <v>260.10000000000002</v>
      </c>
      <c r="Y62" s="60">
        <f>SUM(Y59:Y61)</f>
        <v>290.10000000000002</v>
      </c>
      <c r="Z62" s="60">
        <f>SUM(Z59:Z61)</f>
        <v>290.10000000000002</v>
      </c>
      <c r="AA62" s="60">
        <f t="shared" si="13"/>
        <v>290.10000000000002</v>
      </c>
      <c r="AB62" s="60">
        <f t="shared" ref="AB62:AC62" si="19">SUM(AB59:AB61)</f>
        <v>220.1</v>
      </c>
      <c r="AC62" s="60">
        <f t="shared" si="19"/>
        <v>130.1</v>
      </c>
      <c r="AD62" s="60">
        <f t="shared" ref="AD62:AE62" si="20">SUM(AD59:AD61)</f>
        <v>130.1</v>
      </c>
      <c r="AE62" s="60">
        <f t="shared" si="20"/>
        <v>90.1</v>
      </c>
      <c r="AF62" s="60">
        <f t="shared" ref="AF62" si="21">SUM(AF59:AF61)</f>
        <v>40.1</v>
      </c>
      <c r="AG62" s="61">
        <f t="shared" si="13"/>
        <v>538.1</v>
      </c>
      <c r="AH62" s="47">
        <f t="shared" si="2"/>
        <v>444.3</v>
      </c>
      <c r="AI62" s="48">
        <f t="shared" si="3"/>
        <v>39.200000000000003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30</v>
      </c>
      <c r="H63" s="45">
        <v>48.4</v>
      </c>
      <c r="I63" s="45">
        <v>61.2</v>
      </c>
      <c r="J63" s="45">
        <v>97.2</v>
      </c>
      <c r="K63" s="45">
        <v>97.2</v>
      </c>
      <c r="L63" s="45">
        <v>140</v>
      </c>
      <c r="M63" s="45">
        <v>145.6</v>
      </c>
      <c r="N63" s="45">
        <v>143.4</v>
      </c>
      <c r="O63" s="45">
        <v>142.4</v>
      </c>
      <c r="P63" s="45">
        <v>103.1</v>
      </c>
      <c r="Q63" s="45">
        <v>61.8</v>
      </c>
      <c r="R63" s="45">
        <v>61.5</v>
      </c>
      <c r="S63" s="45">
        <v>40.299999999999997</v>
      </c>
      <c r="T63" s="45">
        <v>28.1</v>
      </c>
      <c r="U63" s="45">
        <v>28.1</v>
      </c>
      <c r="V63" s="45">
        <v>28.1</v>
      </c>
      <c r="W63" s="45">
        <v>47.8</v>
      </c>
      <c r="X63" s="45">
        <v>61</v>
      </c>
      <c r="Y63" s="45">
        <v>110</v>
      </c>
      <c r="Z63" s="45">
        <v>122</v>
      </c>
      <c r="AA63" s="45">
        <v>113</v>
      </c>
      <c r="AB63" s="45">
        <v>88.8</v>
      </c>
      <c r="AC63" s="45">
        <v>60.1</v>
      </c>
      <c r="AD63" s="45">
        <v>60.1</v>
      </c>
      <c r="AE63" s="45">
        <v>30</v>
      </c>
      <c r="AF63" s="45">
        <v>30</v>
      </c>
      <c r="AG63" s="52">
        <v>144</v>
      </c>
      <c r="AH63" s="47">
        <f t="shared" si="2"/>
        <v>145.6</v>
      </c>
      <c r="AI63" s="48">
        <f t="shared" si="3"/>
        <v>0</v>
      </c>
      <c r="AK63" s="50"/>
    </row>
    <row r="64" spans="1:88" x14ac:dyDescent="0.25">
      <c r="A64" s="54" t="s">
        <v>64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25</v>
      </c>
      <c r="H64" s="65">
        <v>25</v>
      </c>
      <c r="I64" s="65">
        <v>35</v>
      </c>
      <c r="J64" s="65">
        <v>50</v>
      </c>
      <c r="K64" s="65">
        <v>60</v>
      </c>
      <c r="L64" s="65">
        <v>60</v>
      </c>
      <c r="M64" s="65">
        <v>70</v>
      </c>
      <c r="N64" s="65">
        <v>70</v>
      </c>
      <c r="O64" s="65">
        <v>50</v>
      </c>
      <c r="P64" s="65">
        <v>50</v>
      </c>
      <c r="Q64" s="65">
        <v>50</v>
      </c>
      <c r="R64" s="65">
        <v>70</v>
      </c>
      <c r="S64" s="65">
        <v>0</v>
      </c>
      <c r="T64" s="65">
        <v>0</v>
      </c>
      <c r="U64" s="65">
        <v>0</v>
      </c>
      <c r="V64" s="65">
        <v>25</v>
      </c>
      <c r="W64" s="65">
        <v>25</v>
      </c>
      <c r="X64" s="65">
        <v>50</v>
      </c>
      <c r="Y64" s="45">
        <v>70</v>
      </c>
      <c r="Z64" s="45">
        <v>70</v>
      </c>
      <c r="AA64" s="45">
        <v>70</v>
      </c>
      <c r="AB64" s="45">
        <v>50</v>
      </c>
      <c r="AC64" s="45">
        <v>35</v>
      </c>
      <c r="AD64" s="45">
        <v>35</v>
      </c>
      <c r="AE64" s="45">
        <v>35</v>
      </c>
      <c r="AF64" s="45">
        <v>25</v>
      </c>
      <c r="AG64" s="55">
        <v>70</v>
      </c>
      <c r="AH64" s="47">
        <f t="shared" si="2"/>
        <v>70</v>
      </c>
      <c r="AI64" s="48">
        <f t="shared" si="3"/>
        <v>0</v>
      </c>
      <c r="AK64" s="50"/>
    </row>
    <row r="65" spans="1:75" x14ac:dyDescent="0.25">
      <c r="A65" s="54" t="s">
        <v>65</v>
      </c>
      <c r="B65" s="65">
        <v>0</v>
      </c>
      <c r="C65" s="65">
        <v>0</v>
      </c>
      <c r="D65" s="65">
        <v>0</v>
      </c>
      <c r="E65" s="65">
        <v>0</v>
      </c>
      <c r="F65" s="65">
        <v>0</v>
      </c>
      <c r="G65" s="65">
        <v>15.9</v>
      </c>
      <c r="H65" s="65">
        <v>24.3</v>
      </c>
      <c r="I65" s="65">
        <v>40</v>
      </c>
      <c r="J65" s="65">
        <v>32.6</v>
      </c>
      <c r="K65" s="65">
        <v>60.96</v>
      </c>
      <c r="L65" s="65">
        <v>67.989999999999995</v>
      </c>
      <c r="M65" s="65">
        <v>61.7</v>
      </c>
      <c r="N65" s="65">
        <v>61.7</v>
      </c>
      <c r="O65" s="65">
        <v>61.8</v>
      </c>
      <c r="P65" s="65">
        <v>36</v>
      </c>
      <c r="Q65" s="65">
        <v>36</v>
      </c>
      <c r="R65" s="65">
        <v>36.4</v>
      </c>
      <c r="S65" s="65">
        <v>36.4</v>
      </c>
      <c r="T65" s="65">
        <v>32</v>
      </c>
      <c r="U65" s="65">
        <v>32</v>
      </c>
      <c r="V65" s="65">
        <v>32</v>
      </c>
      <c r="W65" s="65">
        <v>33.200000000000003</v>
      </c>
      <c r="X65" s="65">
        <v>69</v>
      </c>
      <c r="Y65" s="45">
        <v>65</v>
      </c>
      <c r="Z65" s="45">
        <v>65</v>
      </c>
      <c r="AA65" s="45">
        <v>65</v>
      </c>
      <c r="AB65" s="45">
        <v>55.8</v>
      </c>
      <c r="AC65" s="45">
        <v>55.8</v>
      </c>
      <c r="AD65" s="45">
        <v>55.8</v>
      </c>
      <c r="AE65" s="45">
        <v>20</v>
      </c>
      <c r="AF65" s="45">
        <v>16.5</v>
      </c>
      <c r="AG65" s="55">
        <v>69</v>
      </c>
      <c r="AH65" s="47">
        <f t="shared" si="2"/>
        <v>69</v>
      </c>
      <c r="AI65" s="48">
        <f t="shared" si="3"/>
        <v>0</v>
      </c>
      <c r="AK65" s="50"/>
    </row>
    <row r="66" spans="1:75" x14ac:dyDescent="0.25">
      <c r="A66" s="54" t="s">
        <v>66</v>
      </c>
      <c r="B66" s="65">
        <v>44</v>
      </c>
      <c r="C66" s="65">
        <v>44</v>
      </c>
      <c r="D66" s="65">
        <v>44</v>
      </c>
      <c r="E66" s="65">
        <v>41.1</v>
      </c>
      <c r="F66" s="65">
        <v>41.1</v>
      </c>
      <c r="G66" s="65">
        <v>41.1</v>
      </c>
      <c r="H66" s="65">
        <v>41.1</v>
      </c>
      <c r="I66" s="65">
        <v>43.1</v>
      </c>
      <c r="J66" s="65">
        <v>40.799999999999997</v>
      </c>
      <c r="K66" s="65">
        <v>41.1</v>
      </c>
      <c r="L66" s="57">
        <v>41.3</v>
      </c>
      <c r="M66" s="57">
        <v>42.3</v>
      </c>
      <c r="N66" s="57">
        <v>42.3</v>
      </c>
      <c r="O66" s="65">
        <v>44.3</v>
      </c>
      <c r="P66" s="65">
        <v>41.8</v>
      </c>
      <c r="Q66" s="65">
        <v>41.1</v>
      </c>
      <c r="R66" s="65">
        <v>39.799999999999997</v>
      </c>
      <c r="S66" s="65">
        <v>39.799999999999997</v>
      </c>
      <c r="T66" s="65">
        <v>39.799999999999997</v>
      </c>
      <c r="U66" s="65">
        <v>39.799999999999997</v>
      </c>
      <c r="V66" s="65">
        <v>39.799999999999997</v>
      </c>
      <c r="W66" s="65">
        <v>40</v>
      </c>
      <c r="X66" s="65">
        <v>40</v>
      </c>
      <c r="Y66" s="45">
        <v>40</v>
      </c>
      <c r="Z66" s="45">
        <v>40</v>
      </c>
      <c r="AA66" s="45">
        <v>40</v>
      </c>
      <c r="AB66" s="45">
        <v>39</v>
      </c>
      <c r="AC66" s="45">
        <v>39</v>
      </c>
      <c r="AD66" s="45">
        <v>39</v>
      </c>
      <c r="AE66" s="45">
        <v>39</v>
      </c>
      <c r="AF66" s="45">
        <v>39</v>
      </c>
      <c r="AG66" s="55">
        <v>60</v>
      </c>
      <c r="AH66" s="47">
        <f t="shared" si="2"/>
        <v>44.3</v>
      </c>
      <c r="AI66" s="48">
        <f t="shared" si="3"/>
        <v>39</v>
      </c>
      <c r="AK66" s="50"/>
    </row>
    <row r="67" spans="1:75" x14ac:dyDescent="0.25">
      <c r="A67" s="54" t="s">
        <v>67</v>
      </c>
      <c r="B67" s="65">
        <v>0</v>
      </c>
      <c r="C67" s="65">
        <v>0</v>
      </c>
      <c r="D67" s="65">
        <v>0</v>
      </c>
      <c r="E67" s="65">
        <v>0</v>
      </c>
      <c r="F67" s="65">
        <v>0</v>
      </c>
      <c r="G67" s="65">
        <v>10</v>
      </c>
      <c r="H67" s="65">
        <v>10</v>
      </c>
      <c r="I67" s="65">
        <v>10</v>
      </c>
      <c r="J67" s="65">
        <v>15</v>
      </c>
      <c r="K67" s="65">
        <v>28</v>
      </c>
      <c r="L67" s="57">
        <v>28</v>
      </c>
      <c r="M67" s="57">
        <v>23</v>
      </c>
      <c r="N67" s="57">
        <v>23</v>
      </c>
      <c r="O67" s="65">
        <v>10</v>
      </c>
      <c r="P67" s="65">
        <v>10</v>
      </c>
      <c r="Q67" s="65">
        <v>10</v>
      </c>
      <c r="R67" s="65">
        <v>10</v>
      </c>
      <c r="S67" s="65">
        <v>0</v>
      </c>
      <c r="T67" s="65">
        <v>0</v>
      </c>
      <c r="U67" s="65">
        <v>0</v>
      </c>
      <c r="V67" s="65">
        <v>0</v>
      </c>
      <c r="W67" s="65">
        <v>15</v>
      </c>
      <c r="X67" s="65">
        <v>15</v>
      </c>
      <c r="Y67" s="45">
        <v>30</v>
      </c>
      <c r="Z67" s="45">
        <v>30</v>
      </c>
      <c r="AA67" s="45">
        <v>29</v>
      </c>
      <c r="AB67" s="45">
        <v>28</v>
      </c>
      <c r="AC67" s="45">
        <v>28</v>
      </c>
      <c r="AD67" s="45">
        <v>28</v>
      </c>
      <c r="AE67" s="45">
        <v>15</v>
      </c>
      <c r="AF67" s="45">
        <v>0</v>
      </c>
      <c r="AG67" s="55">
        <v>30</v>
      </c>
      <c r="AH67" s="47">
        <f t="shared" si="2"/>
        <v>30</v>
      </c>
      <c r="AI67" s="48">
        <f t="shared" si="3"/>
        <v>0</v>
      </c>
      <c r="AK67" s="50"/>
      <c r="AZ67" s="251">
        <v>1</v>
      </c>
      <c r="BA67" s="251">
        <v>2</v>
      </c>
      <c r="BB67" s="251">
        <v>3</v>
      </c>
      <c r="BC67" s="251">
        <v>4</v>
      </c>
      <c r="BD67" s="251">
        <v>5</v>
      </c>
      <c r="BE67" s="251">
        <v>6</v>
      </c>
      <c r="BF67" s="251">
        <v>7</v>
      </c>
      <c r="BG67" s="251">
        <v>8</v>
      </c>
      <c r="BH67" s="251">
        <v>9</v>
      </c>
      <c r="BI67" s="251">
        <v>10</v>
      </c>
      <c r="BJ67" s="251">
        <v>11</v>
      </c>
      <c r="BK67" s="251">
        <v>12</v>
      </c>
      <c r="BL67" s="251">
        <v>13</v>
      </c>
      <c r="BM67" s="251">
        <v>14</v>
      </c>
      <c r="BN67" s="251">
        <v>15</v>
      </c>
      <c r="BO67" s="251">
        <v>16</v>
      </c>
      <c r="BP67" s="251">
        <v>17</v>
      </c>
      <c r="BQ67" s="251">
        <v>18</v>
      </c>
      <c r="BR67" s="251">
        <v>19</v>
      </c>
      <c r="BS67" s="251">
        <v>20</v>
      </c>
      <c r="BT67" s="251">
        <v>21</v>
      </c>
      <c r="BU67" s="251">
        <v>22</v>
      </c>
      <c r="BV67" s="251">
        <v>23</v>
      </c>
      <c r="BW67" s="251">
        <v>24</v>
      </c>
    </row>
    <row r="68" spans="1:75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65">
        <v>1.1000000000000001</v>
      </c>
      <c r="M68" s="65">
        <v>3.5</v>
      </c>
      <c r="N68" s="65">
        <v>4.3</v>
      </c>
      <c r="O68" s="65">
        <v>13.1</v>
      </c>
      <c r="P68" s="65">
        <v>16.600000000000001</v>
      </c>
      <c r="Q68" s="65">
        <v>16.600000000000001</v>
      </c>
      <c r="R68" s="65">
        <v>16.7</v>
      </c>
      <c r="S68" s="65">
        <v>13.8</v>
      </c>
      <c r="T68" s="65">
        <v>10.9</v>
      </c>
      <c r="U68" s="65">
        <v>3</v>
      </c>
      <c r="V68" s="65">
        <v>0.7</v>
      </c>
      <c r="W68" s="65">
        <v>0</v>
      </c>
      <c r="X68" s="65">
        <v>0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55">
        <v>25</v>
      </c>
      <c r="AH68" s="47">
        <f t="shared" si="2"/>
        <v>16.7</v>
      </c>
      <c r="AI68" s="48">
        <f t="shared" si="3"/>
        <v>0</v>
      </c>
      <c r="AK68" s="50"/>
      <c r="AY68" s="1" t="s">
        <v>381</v>
      </c>
      <c r="AZ68" s="252">
        <f>ROUND(C81,0)</f>
        <v>70</v>
      </c>
      <c r="BA68" s="251">
        <f t="shared" ref="BA68:BD72" si="22">D81</f>
        <v>64</v>
      </c>
      <c r="BB68" s="251">
        <f t="shared" si="22"/>
        <v>66.8</v>
      </c>
      <c r="BC68" s="251">
        <f t="shared" si="22"/>
        <v>67</v>
      </c>
      <c r="BD68" s="251">
        <f t="shared" si="22"/>
        <v>58</v>
      </c>
      <c r="BE68" s="252">
        <f>I81</f>
        <v>63.9</v>
      </c>
      <c r="BF68" s="252">
        <f>K81</f>
        <v>47</v>
      </c>
      <c r="BG68" s="252">
        <f t="shared" ref="BG68:BP68" si="23">M81</f>
        <v>37</v>
      </c>
      <c r="BH68" s="252">
        <f t="shared" si="23"/>
        <v>24</v>
      </c>
      <c r="BI68" s="252">
        <f t="shared" si="23"/>
        <v>33.6</v>
      </c>
      <c r="BJ68" s="252">
        <f t="shared" si="23"/>
        <v>53.2</v>
      </c>
      <c r="BK68" s="252">
        <f t="shared" si="23"/>
        <v>56.2</v>
      </c>
      <c r="BL68" s="252">
        <f t="shared" si="23"/>
        <v>65.900000000000006</v>
      </c>
      <c r="BM68" s="252">
        <f t="shared" si="23"/>
        <v>65.7</v>
      </c>
      <c r="BN68" s="252">
        <f t="shared" si="23"/>
        <v>64.7</v>
      </c>
      <c r="BO68" s="252">
        <f t="shared" si="23"/>
        <v>64</v>
      </c>
      <c r="BP68" s="252">
        <f t="shared" si="23"/>
        <v>52.7</v>
      </c>
      <c r="BQ68" s="252">
        <f>X81</f>
        <v>63.2</v>
      </c>
      <c r="BR68" s="252">
        <f>Z81</f>
        <v>74</v>
      </c>
      <c r="BS68" s="251">
        <f>AB81</f>
        <v>61.2</v>
      </c>
      <c r="BT68" s="251">
        <f>AD81</f>
        <v>59.1</v>
      </c>
      <c r="BU68" s="251">
        <f>AE81</f>
        <v>63.8</v>
      </c>
      <c r="BV68" s="251">
        <f>AF81</f>
        <v>67.400000000000006</v>
      </c>
      <c r="BW68" s="251">
        <f>B81</f>
        <v>63</v>
      </c>
    </row>
    <row r="69" spans="1:75" x14ac:dyDescent="0.25">
      <c r="A69" s="54" t="s">
        <v>69</v>
      </c>
      <c r="B69" s="65">
        <v>15</v>
      </c>
      <c r="C69" s="65">
        <v>15</v>
      </c>
      <c r="D69" s="65">
        <v>15</v>
      </c>
      <c r="E69" s="65">
        <v>15</v>
      </c>
      <c r="F69" s="65">
        <v>15</v>
      </c>
      <c r="G69" s="65">
        <v>15</v>
      </c>
      <c r="H69" s="65">
        <v>15</v>
      </c>
      <c r="I69" s="65">
        <v>15</v>
      </c>
      <c r="J69" s="65">
        <v>15</v>
      </c>
      <c r="K69" s="65">
        <v>15</v>
      </c>
      <c r="L69" s="65">
        <v>15</v>
      </c>
      <c r="M69" s="65">
        <v>15</v>
      </c>
      <c r="N69" s="65">
        <v>15</v>
      </c>
      <c r="O69" s="65">
        <v>15</v>
      </c>
      <c r="P69" s="65">
        <v>15</v>
      </c>
      <c r="Q69" s="65">
        <v>15</v>
      </c>
      <c r="R69" s="65">
        <v>15</v>
      </c>
      <c r="S69" s="65">
        <v>15</v>
      </c>
      <c r="T69" s="65">
        <v>15</v>
      </c>
      <c r="U69" s="65">
        <v>15</v>
      </c>
      <c r="V69" s="65">
        <v>15</v>
      </c>
      <c r="W69" s="65">
        <v>15</v>
      </c>
      <c r="X69" s="65">
        <v>15</v>
      </c>
      <c r="Y69" s="65">
        <v>15</v>
      </c>
      <c r="Z69" s="65">
        <v>15</v>
      </c>
      <c r="AA69" s="65">
        <v>15</v>
      </c>
      <c r="AB69" s="65">
        <v>15</v>
      </c>
      <c r="AC69" s="65">
        <v>15</v>
      </c>
      <c r="AD69" s="65">
        <v>15</v>
      </c>
      <c r="AE69" s="65">
        <v>15</v>
      </c>
      <c r="AF69" s="65">
        <v>15</v>
      </c>
      <c r="AG69" s="55">
        <v>24</v>
      </c>
      <c r="AH69" s="47">
        <f t="shared" si="2"/>
        <v>15</v>
      </c>
      <c r="AI69" s="48">
        <f t="shared" si="3"/>
        <v>15</v>
      </c>
      <c r="AK69" s="50"/>
      <c r="AY69" s="1" t="s">
        <v>631</v>
      </c>
      <c r="AZ69" s="252">
        <f>ROUND(C82,0)</f>
        <v>0</v>
      </c>
      <c r="BA69" s="251">
        <f t="shared" si="22"/>
        <v>0</v>
      </c>
      <c r="BB69" s="251">
        <f t="shared" si="22"/>
        <v>0</v>
      </c>
      <c r="BC69" s="251">
        <f t="shared" si="22"/>
        <v>0</v>
      </c>
      <c r="BD69" s="251">
        <f t="shared" si="22"/>
        <v>0</v>
      </c>
      <c r="BE69" s="252">
        <f t="shared" ref="BE69:BE72" si="24">I82</f>
        <v>0</v>
      </c>
      <c r="BF69" s="252">
        <f t="shared" ref="BF69:BF72" si="25">K82</f>
        <v>0</v>
      </c>
      <c r="BG69" s="252">
        <f t="shared" ref="BG69:BG72" si="26">M82</f>
        <v>0</v>
      </c>
      <c r="BH69" s="252">
        <f t="shared" ref="BH69:BP72" si="27">N82</f>
        <v>0</v>
      </c>
      <c r="BI69" s="252">
        <f t="shared" si="27"/>
        <v>0</v>
      </c>
      <c r="BJ69" s="252">
        <f t="shared" si="27"/>
        <v>0</v>
      </c>
      <c r="BK69" s="252">
        <f t="shared" si="27"/>
        <v>0</v>
      </c>
      <c r="BL69" s="252">
        <f t="shared" si="27"/>
        <v>0</v>
      </c>
      <c r="BM69" s="252">
        <f t="shared" si="27"/>
        <v>0</v>
      </c>
      <c r="BN69" s="252">
        <f t="shared" si="27"/>
        <v>0</v>
      </c>
      <c r="BO69" s="252">
        <f t="shared" si="27"/>
        <v>0</v>
      </c>
      <c r="BP69" s="252">
        <f t="shared" si="27"/>
        <v>0</v>
      </c>
      <c r="BQ69" s="252">
        <f t="shared" ref="BQ69:BQ72" si="28">X82</f>
        <v>0</v>
      </c>
      <c r="BR69" s="252">
        <f t="shared" ref="BR69:BR72" si="29">Z82</f>
        <v>0</v>
      </c>
      <c r="BS69" s="251">
        <f t="shared" ref="BS69:BS72" si="30">AB82</f>
        <v>0</v>
      </c>
      <c r="BT69" s="251">
        <f t="shared" ref="BT69:BT72" si="31">AD82</f>
        <v>0</v>
      </c>
      <c r="BU69" s="251">
        <f t="shared" ref="BU69:BV72" si="32">AE82</f>
        <v>0</v>
      </c>
      <c r="BV69" s="251">
        <f t="shared" si="32"/>
        <v>0</v>
      </c>
      <c r="BW69" s="251">
        <f t="shared" ref="BW69:BW72" si="33">B82</f>
        <v>0</v>
      </c>
    </row>
    <row r="70" spans="1:75" x14ac:dyDescent="0.25">
      <c r="A70" s="54" t="s">
        <v>70</v>
      </c>
      <c r="B70" s="65">
        <v>3.6</v>
      </c>
      <c r="C70" s="65">
        <v>3.6</v>
      </c>
      <c r="D70" s="65">
        <v>3.6</v>
      </c>
      <c r="E70" s="65">
        <v>3.6</v>
      </c>
      <c r="F70" s="65">
        <v>3.6</v>
      </c>
      <c r="G70" s="65">
        <v>3.6</v>
      </c>
      <c r="H70" s="65">
        <v>3.6</v>
      </c>
      <c r="I70" s="65">
        <v>3.6</v>
      </c>
      <c r="J70" s="65">
        <v>3.6</v>
      </c>
      <c r="K70" s="65">
        <v>3.6</v>
      </c>
      <c r="L70" s="65">
        <v>3.6</v>
      </c>
      <c r="M70" s="65">
        <v>3.6</v>
      </c>
      <c r="N70" s="65">
        <v>3.6</v>
      </c>
      <c r="O70" s="65">
        <v>3.6</v>
      </c>
      <c r="P70" s="65">
        <v>3.6</v>
      </c>
      <c r="Q70" s="65">
        <v>3.6</v>
      </c>
      <c r="R70" s="65">
        <v>3.6</v>
      </c>
      <c r="S70" s="65">
        <v>3.6</v>
      </c>
      <c r="T70" s="65">
        <v>3.6</v>
      </c>
      <c r="U70" s="65">
        <v>3.6</v>
      </c>
      <c r="V70" s="65">
        <v>3.6</v>
      </c>
      <c r="W70" s="65">
        <v>3.6</v>
      </c>
      <c r="X70" s="65">
        <v>4</v>
      </c>
      <c r="Y70" s="65">
        <v>4</v>
      </c>
      <c r="Z70" s="65">
        <v>4</v>
      </c>
      <c r="AA70" s="65">
        <v>4</v>
      </c>
      <c r="AB70" s="65">
        <v>4</v>
      </c>
      <c r="AC70" s="65">
        <v>4</v>
      </c>
      <c r="AD70" s="65">
        <v>4</v>
      </c>
      <c r="AE70" s="65">
        <v>4</v>
      </c>
      <c r="AF70" s="65">
        <v>4</v>
      </c>
      <c r="AG70" s="55">
        <v>15</v>
      </c>
      <c r="AH70" s="47">
        <f t="shared" si="2"/>
        <v>4</v>
      </c>
      <c r="AI70" s="48">
        <f t="shared" si="3"/>
        <v>3.6</v>
      </c>
      <c r="AK70" s="50"/>
      <c r="AL70" s="70"/>
      <c r="AO70" s="70"/>
      <c r="AY70" s="1" t="s">
        <v>632</v>
      </c>
      <c r="AZ70" s="252">
        <f>ROUND(C83,0)</f>
        <v>382</v>
      </c>
      <c r="BA70" s="251">
        <f t="shared" si="22"/>
        <v>360</v>
      </c>
      <c r="BB70" s="251">
        <f t="shared" si="22"/>
        <v>406</v>
      </c>
      <c r="BC70" s="251">
        <f t="shared" si="22"/>
        <v>412</v>
      </c>
      <c r="BD70" s="251">
        <f t="shared" si="22"/>
        <v>401</v>
      </c>
      <c r="BE70" s="252">
        <f t="shared" si="24"/>
        <v>391</v>
      </c>
      <c r="BF70" s="252">
        <f t="shared" si="25"/>
        <v>300</v>
      </c>
      <c r="BG70" s="252">
        <f t="shared" si="26"/>
        <v>2.2999999999999998</v>
      </c>
      <c r="BH70" s="252">
        <f t="shared" si="27"/>
        <v>86.9</v>
      </c>
      <c r="BI70" s="252">
        <f t="shared" si="27"/>
        <v>189.7</v>
      </c>
      <c r="BJ70" s="252">
        <f t="shared" si="27"/>
        <v>327</v>
      </c>
      <c r="BK70" s="252">
        <f t="shared" si="27"/>
        <v>445.7</v>
      </c>
      <c r="BL70" s="252">
        <f t="shared" si="27"/>
        <v>412</v>
      </c>
      <c r="BM70" s="252">
        <f t="shared" si="27"/>
        <v>425.4</v>
      </c>
      <c r="BN70" s="252">
        <f t="shared" si="27"/>
        <v>391</v>
      </c>
      <c r="BO70" s="252">
        <f t="shared" si="27"/>
        <v>430</v>
      </c>
      <c r="BP70" s="252">
        <f t="shared" si="27"/>
        <v>293</v>
      </c>
      <c r="BQ70" s="252">
        <f t="shared" si="28"/>
        <v>242</v>
      </c>
      <c r="BR70" s="252">
        <f t="shared" si="29"/>
        <v>185</v>
      </c>
      <c r="BS70" s="251">
        <f t="shared" si="30"/>
        <v>253</v>
      </c>
      <c r="BT70" s="251">
        <f t="shared" si="31"/>
        <v>387.2</v>
      </c>
      <c r="BU70" s="251">
        <f t="shared" si="32"/>
        <v>387.4</v>
      </c>
      <c r="BV70" s="251">
        <f t="shared" si="32"/>
        <v>384.1</v>
      </c>
      <c r="BW70" s="251">
        <f t="shared" si="33"/>
        <v>380</v>
      </c>
    </row>
    <row r="71" spans="1:75" s="70" customFormat="1" x14ac:dyDescent="0.25">
      <c r="A71" s="54" t="s">
        <v>71</v>
      </c>
      <c r="B71" s="65">
        <v>9.3000000000000007</v>
      </c>
      <c r="C71" s="65">
        <v>9.3000000000000007</v>
      </c>
      <c r="D71" s="65">
        <v>9.3000000000000007</v>
      </c>
      <c r="E71" s="65">
        <v>9.3000000000000007</v>
      </c>
      <c r="F71" s="65">
        <v>9.3000000000000007</v>
      </c>
      <c r="G71" s="65">
        <v>9.3000000000000007</v>
      </c>
      <c r="H71" s="65">
        <v>9.3000000000000007</v>
      </c>
      <c r="I71" s="65">
        <v>9.3000000000000007</v>
      </c>
      <c r="J71" s="65">
        <v>8.9</v>
      </c>
      <c r="K71" s="65">
        <v>8.9</v>
      </c>
      <c r="L71" s="65">
        <v>8.5</v>
      </c>
      <c r="M71" s="65">
        <v>9</v>
      </c>
      <c r="N71" s="65">
        <v>9</v>
      </c>
      <c r="O71" s="65">
        <v>9</v>
      </c>
      <c r="P71" s="65">
        <v>9</v>
      </c>
      <c r="Q71" s="65">
        <v>9</v>
      </c>
      <c r="R71" s="65">
        <v>11.2</v>
      </c>
      <c r="S71" s="65">
        <v>11.2</v>
      </c>
      <c r="T71" s="65">
        <v>11.2</v>
      </c>
      <c r="U71" s="65">
        <v>11.2</v>
      </c>
      <c r="V71" s="65">
        <v>11.2</v>
      </c>
      <c r="W71" s="65">
        <v>11.2</v>
      </c>
      <c r="X71" s="65">
        <v>11.2</v>
      </c>
      <c r="Y71" s="65">
        <v>11.2</v>
      </c>
      <c r="Z71" s="65">
        <v>11.2</v>
      </c>
      <c r="AA71" s="65">
        <v>11.2</v>
      </c>
      <c r="AB71" s="65">
        <v>11.2</v>
      </c>
      <c r="AC71" s="65">
        <v>11.2</v>
      </c>
      <c r="AD71" s="65">
        <v>11.2</v>
      </c>
      <c r="AE71" s="65">
        <v>11.2</v>
      </c>
      <c r="AF71" s="65">
        <v>11.2</v>
      </c>
      <c r="AG71" s="55">
        <v>14.1</v>
      </c>
      <c r="AH71" s="47">
        <f t="shared" si="2"/>
        <v>11.2</v>
      </c>
      <c r="AI71" s="48">
        <f t="shared" si="3"/>
        <v>8.5</v>
      </c>
      <c r="AJ71" s="1"/>
      <c r="AK71" s="50"/>
      <c r="AL71" s="1"/>
      <c r="AM71" s="1"/>
      <c r="AN71" s="1"/>
      <c r="AO71" s="1"/>
      <c r="AY71" s="70" t="s">
        <v>633</v>
      </c>
      <c r="AZ71" s="252">
        <f>ROUND(C84,0)</f>
        <v>43</v>
      </c>
      <c r="BA71" s="251">
        <f t="shared" si="22"/>
        <v>44</v>
      </c>
      <c r="BB71" s="251">
        <f t="shared" si="22"/>
        <v>42</v>
      </c>
      <c r="BC71" s="251">
        <f t="shared" si="22"/>
        <v>40</v>
      </c>
      <c r="BD71" s="251">
        <f t="shared" si="22"/>
        <v>39.5</v>
      </c>
      <c r="BE71" s="252">
        <f t="shared" si="24"/>
        <v>42.7</v>
      </c>
      <c r="BF71" s="252">
        <f t="shared" si="25"/>
        <v>10</v>
      </c>
      <c r="BG71" s="252">
        <f t="shared" si="26"/>
        <v>0</v>
      </c>
      <c r="BH71" s="252">
        <f t="shared" si="27"/>
        <v>8</v>
      </c>
      <c r="BI71" s="252">
        <f t="shared" si="27"/>
        <v>5</v>
      </c>
      <c r="BJ71" s="252">
        <f t="shared" si="27"/>
        <v>7</v>
      </c>
      <c r="BK71" s="252">
        <f t="shared" si="27"/>
        <v>7</v>
      </c>
      <c r="BL71" s="252">
        <f t="shared" si="27"/>
        <v>7</v>
      </c>
      <c r="BM71" s="252">
        <f t="shared" si="27"/>
        <v>7</v>
      </c>
      <c r="BN71" s="252">
        <f t="shared" si="27"/>
        <v>7</v>
      </c>
      <c r="BO71" s="252">
        <f t="shared" si="27"/>
        <v>7</v>
      </c>
      <c r="BP71" s="252">
        <f t="shared" si="27"/>
        <v>7</v>
      </c>
      <c r="BQ71" s="252">
        <f t="shared" si="28"/>
        <v>6.5</v>
      </c>
      <c r="BR71" s="252">
        <f t="shared" si="29"/>
        <v>7</v>
      </c>
      <c r="BS71" s="251">
        <f t="shared" si="30"/>
        <v>7</v>
      </c>
      <c r="BT71" s="251">
        <f t="shared" si="31"/>
        <v>7</v>
      </c>
      <c r="BU71" s="251">
        <f t="shared" si="32"/>
        <v>7</v>
      </c>
      <c r="BV71" s="251">
        <f t="shared" si="32"/>
        <v>7</v>
      </c>
      <c r="BW71" s="251">
        <f t="shared" si="33"/>
        <v>41</v>
      </c>
    </row>
    <row r="72" spans="1:75" x14ac:dyDescent="0.25">
      <c r="A72" s="71" t="s">
        <v>72</v>
      </c>
      <c r="B72" s="65">
        <v>3.3</v>
      </c>
      <c r="C72" s="65">
        <v>3.3</v>
      </c>
      <c r="D72" s="65">
        <v>3.3</v>
      </c>
      <c r="E72" s="65">
        <v>3.3</v>
      </c>
      <c r="F72" s="65">
        <v>3.3</v>
      </c>
      <c r="G72" s="65">
        <v>3.3</v>
      </c>
      <c r="H72" s="65">
        <v>3.3</v>
      </c>
      <c r="I72" s="65">
        <v>3.3</v>
      </c>
      <c r="J72" s="65">
        <v>3.3</v>
      </c>
      <c r="K72" s="65">
        <v>3.3</v>
      </c>
      <c r="L72" s="65">
        <v>3.3</v>
      </c>
      <c r="M72" s="65">
        <v>3.4</v>
      </c>
      <c r="N72" s="65">
        <v>3.4</v>
      </c>
      <c r="O72" s="65">
        <v>3.4</v>
      </c>
      <c r="P72" s="65">
        <v>3.4</v>
      </c>
      <c r="Q72" s="65">
        <v>3.4</v>
      </c>
      <c r="R72" s="65">
        <v>3.1</v>
      </c>
      <c r="S72" s="65">
        <v>3.1</v>
      </c>
      <c r="T72" s="65">
        <v>3.1</v>
      </c>
      <c r="U72" s="65">
        <v>3.1</v>
      </c>
      <c r="V72" s="65">
        <v>3.1</v>
      </c>
      <c r="W72" s="65">
        <v>3.1</v>
      </c>
      <c r="X72" s="65">
        <v>3.1</v>
      </c>
      <c r="Y72" s="65">
        <v>3.1</v>
      </c>
      <c r="Z72" s="65">
        <v>3.1</v>
      </c>
      <c r="AA72" s="65">
        <v>3.1</v>
      </c>
      <c r="AB72" s="65">
        <v>3.1</v>
      </c>
      <c r="AC72" s="65">
        <v>3.1</v>
      </c>
      <c r="AD72" s="65">
        <v>3.1</v>
      </c>
      <c r="AE72" s="65">
        <v>3.1</v>
      </c>
      <c r="AF72" s="65">
        <v>3.1</v>
      </c>
      <c r="AG72" s="55">
        <v>14</v>
      </c>
      <c r="AH72" s="47">
        <f t="shared" si="2"/>
        <v>3.4</v>
      </c>
      <c r="AI72" s="48">
        <f t="shared" si="3"/>
        <v>3.1</v>
      </c>
      <c r="AK72" s="50"/>
      <c r="AY72" s="1" t="s">
        <v>634</v>
      </c>
      <c r="AZ72" s="252">
        <f>ROUND(C85,0)</f>
        <v>0</v>
      </c>
      <c r="BA72" s="251">
        <f t="shared" si="22"/>
        <v>0</v>
      </c>
      <c r="BB72" s="251">
        <f t="shared" si="22"/>
        <v>0</v>
      </c>
      <c r="BC72" s="251">
        <f t="shared" si="22"/>
        <v>0</v>
      </c>
      <c r="BD72" s="251">
        <f t="shared" si="22"/>
        <v>0</v>
      </c>
      <c r="BE72" s="252">
        <f t="shared" si="24"/>
        <v>0</v>
      </c>
      <c r="BF72" s="252">
        <f t="shared" si="25"/>
        <v>0</v>
      </c>
      <c r="BG72" s="252">
        <f t="shared" si="26"/>
        <v>0</v>
      </c>
      <c r="BH72" s="252">
        <f t="shared" si="27"/>
        <v>0</v>
      </c>
      <c r="BI72" s="252">
        <f t="shared" si="27"/>
        <v>0</v>
      </c>
      <c r="BJ72" s="252">
        <f t="shared" si="27"/>
        <v>0</v>
      </c>
      <c r="BK72" s="252">
        <f t="shared" si="27"/>
        <v>0</v>
      </c>
      <c r="BL72" s="252">
        <f t="shared" si="27"/>
        <v>0</v>
      </c>
      <c r="BM72" s="252">
        <f t="shared" si="27"/>
        <v>0</v>
      </c>
      <c r="BN72" s="252">
        <f t="shared" si="27"/>
        <v>12</v>
      </c>
      <c r="BO72" s="252">
        <f t="shared" si="27"/>
        <v>18</v>
      </c>
      <c r="BP72" s="252">
        <f t="shared" si="27"/>
        <v>20</v>
      </c>
      <c r="BQ72" s="252">
        <f t="shared" si="28"/>
        <v>22</v>
      </c>
      <c r="BR72" s="252">
        <f t="shared" si="29"/>
        <v>12</v>
      </c>
      <c r="BS72" s="251">
        <f t="shared" si="30"/>
        <v>22.6</v>
      </c>
      <c r="BT72" s="251">
        <f t="shared" si="31"/>
        <v>21.6</v>
      </c>
      <c r="BU72" s="251">
        <f t="shared" si="32"/>
        <v>22</v>
      </c>
      <c r="BV72" s="251">
        <f t="shared" si="32"/>
        <v>0</v>
      </c>
      <c r="BW72" s="251">
        <f t="shared" si="33"/>
        <v>0</v>
      </c>
    </row>
    <row r="73" spans="1:75" x14ac:dyDescent="0.25">
      <c r="A73" s="54" t="s">
        <v>73</v>
      </c>
      <c r="B73" s="65">
        <v>5</v>
      </c>
      <c r="C73" s="65">
        <v>5</v>
      </c>
      <c r="D73" s="65">
        <v>5</v>
      </c>
      <c r="E73" s="65">
        <v>5</v>
      </c>
      <c r="F73" s="65">
        <v>5</v>
      </c>
      <c r="G73" s="65">
        <v>5</v>
      </c>
      <c r="H73" s="65">
        <v>5</v>
      </c>
      <c r="I73" s="65">
        <v>5</v>
      </c>
      <c r="J73" s="65">
        <v>5</v>
      </c>
      <c r="K73" s="65">
        <v>5</v>
      </c>
      <c r="L73" s="65">
        <v>5</v>
      </c>
      <c r="M73" s="65">
        <v>5</v>
      </c>
      <c r="N73" s="65">
        <v>5</v>
      </c>
      <c r="O73" s="65">
        <v>5</v>
      </c>
      <c r="P73" s="65">
        <v>5</v>
      </c>
      <c r="Q73" s="65">
        <v>5</v>
      </c>
      <c r="R73" s="65">
        <v>5</v>
      </c>
      <c r="S73" s="65">
        <v>5</v>
      </c>
      <c r="T73" s="65">
        <v>5</v>
      </c>
      <c r="U73" s="65">
        <v>5</v>
      </c>
      <c r="V73" s="65">
        <v>5</v>
      </c>
      <c r="W73" s="65">
        <v>5</v>
      </c>
      <c r="X73" s="65">
        <v>5</v>
      </c>
      <c r="Y73" s="65">
        <v>5</v>
      </c>
      <c r="Z73" s="65">
        <v>5</v>
      </c>
      <c r="AA73" s="65">
        <v>5</v>
      </c>
      <c r="AB73" s="65">
        <v>5</v>
      </c>
      <c r="AC73" s="65">
        <v>5</v>
      </c>
      <c r="AD73" s="65">
        <v>5</v>
      </c>
      <c r="AE73" s="65">
        <v>5</v>
      </c>
      <c r="AF73" s="65">
        <v>5</v>
      </c>
      <c r="AG73" s="55">
        <v>10.050000000000001</v>
      </c>
      <c r="AH73" s="47">
        <f t="shared" si="2"/>
        <v>5</v>
      </c>
      <c r="AI73" s="48">
        <f t="shared" si="3"/>
        <v>5</v>
      </c>
      <c r="AK73" s="50"/>
      <c r="AY73" s="1" t="s">
        <v>635</v>
      </c>
      <c r="AZ73" s="252">
        <f>ROUND(C91,0)</f>
        <v>0</v>
      </c>
      <c r="BA73" s="252">
        <f>D91</f>
        <v>0</v>
      </c>
      <c r="BB73" s="252">
        <f>E91</f>
        <v>0</v>
      </c>
      <c r="BC73" s="252">
        <f>F91</f>
        <v>0</v>
      </c>
      <c r="BD73" s="252">
        <f>G91</f>
        <v>0</v>
      </c>
      <c r="BE73" s="252">
        <f>I91</f>
        <v>0</v>
      </c>
      <c r="BF73" s="252">
        <f>K91</f>
        <v>54</v>
      </c>
      <c r="BG73" s="252">
        <f t="shared" ref="BG73:BP73" si="34">M91</f>
        <v>63.5</v>
      </c>
      <c r="BH73" s="252">
        <f t="shared" si="34"/>
        <v>64.099999999999994</v>
      </c>
      <c r="BI73" s="252">
        <f t="shared" si="34"/>
        <v>60.3</v>
      </c>
      <c r="BJ73" s="252">
        <f t="shared" si="34"/>
        <v>58.8</v>
      </c>
      <c r="BK73" s="252">
        <f t="shared" si="34"/>
        <v>56.1</v>
      </c>
      <c r="BL73" s="252">
        <f t="shared" si="34"/>
        <v>53.1</v>
      </c>
      <c r="BM73" s="252">
        <f t="shared" si="34"/>
        <v>68</v>
      </c>
      <c r="BN73" s="252">
        <f t="shared" si="34"/>
        <v>64</v>
      </c>
      <c r="BO73" s="252">
        <f t="shared" si="34"/>
        <v>63</v>
      </c>
      <c r="BP73" s="252">
        <f t="shared" si="34"/>
        <v>59.4</v>
      </c>
      <c r="BQ73" s="252">
        <f>X91</f>
        <v>72.2</v>
      </c>
      <c r="BR73" s="252">
        <f>Z91</f>
        <v>81</v>
      </c>
      <c r="BS73" s="252">
        <f>AB91</f>
        <v>67.7</v>
      </c>
      <c r="BT73" s="252">
        <f>AD91</f>
        <v>73.7</v>
      </c>
      <c r="BU73" s="252">
        <f>AE91</f>
        <v>70.8</v>
      </c>
      <c r="BV73" s="252">
        <f>AF91</f>
        <v>45.9</v>
      </c>
      <c r="BW73" s="252">
        <f>B91</f>
        <v>0</v>
      </c>
    </row>
    <row r="74" spans="1:75" x14ac:dyDescent="0.25">
      <c r="A74" s="54" t="s">
        <v>74</v>
      </c>
      <c r="B74" s="65">
        <v>2</v>
      </c>
      <c r="C74" s="65">
        <v>2</v>
      </c>
      <c r="D74" s="65">
        <v>2</v>
      </c>
      <c r="E74" s="65">
        <v>2</v>
      </c>
      <c r="F74" s="65">
        <v>2</v>
      </c>
      <c r="G74" s="65">
        <v>2</v>
      </c>
      <c r="H74" s="65">
        <v>2</v>
      </c>
      <c r="I74" s="65">
        <v>2</v>
      </c>
      <c r="J74" s="65">
        <v>2</v>
      </c>
      <c r="K74" s="65">
        <v>2</v>
      </c>
      <c r="L74" s="65">
        <v>2</v>
      </c>
      <c r="M74" s="65">
        <v>2</v>
      </c>
      <c r="N74" s="65">
        <v>2</v>
      </c>
      <c r="O74" s="65">
        <v>2</v>
      </c>
      <c r="P74" s="65">
        <v>2</v>
      </c>
      <c r="Q74" s="65">
        <v>2</v>
      </c>
      <c r="R74" s="65">
        <v>2</v>
      </c>
      <c r="S74" s="65">
        <v>2</v>
      </c>
      <c r="T74" s="65">
        <v>2</v>
      </c>
      <c r="U74" s="65">
        <v>2</v>
      </c>
      <c r="V74" s="65">
        <v>2</v>
      </c>
      <c r="W74" s="65">
        <v>2</v>
      </c>
      <c r="X74" s="65">
        <v>2</v>
      </c>
      <c r="Y74" s="65">
        <v>2</v>
      </c>
      <c r="Z74" s="65">
        <v>2</v>
      </c>
      <c r="AA74" s="65">
        <v>2</v>
      </c>
      <c r="AB74" s="65">
        <v>2</v>
      </c>
      <c r="AC74" s="65">
        <v>2</v>
      </c>
      <c r="AD74" s="65">
        <v>2</v>
      </c>
      <c r="AE74" s="65">
        <v>2</v>
      </c>
      <c r="AF74" s="65">
        <v>2</v>
      </c>
      <c r="AG74" s="55">
        <v>6.2</v>
      </c>
      <c r="AH74" s="47">
        <f t="shared" si="2"/>
        <v>2</v>
      </c>
      <c r="AI74" s="48">
        <f t="shared" si="3"/>
        <v>2</v>
      </c>
      <c r="AK74" s="50"/>
      <c r="AZ74" s="252"/>
      <c r="BA74" s="251"/>
      <c r="BB74" s="251"/>
      <c r="BC74" s="251"/>
      <c r="BD74" s="251"/>
      <c r="BE74" s="252"/>
      <c r="BF74" s="252"/>
      <c r="BG74" s="252"/>
      <c r="BH74" s="252"/>
      <c r="BI74" s="252"/>
      <c r="BJ74" s="252"/>
      <c r="BK74" s="252"/>
      <c r="BL74" s="252"/>
      <c r="BM74" s="252"/>
      <c r="BN74" s="252"/>
      <c r="BO74" s="252"/>
      <c r="BP74" s="252"/>
      <c r="BQ74" s="252"/>
      <c r="BR74" s="252"/>
      <c r="BS74" s="251"/>
      <c r="BT74" s="251"/>
      <c r="BU74" s="251"/>
      <c r="BV74" s="251"/>
      <c r="BW74" s="251"/>
    </row>
    <row r="75" spans="1:75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</v>
      </c>
      <c r="Z75" s="72">
        <v>5.5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2"/>
        <v>5.5</v>
      </c>
      <c r="AI75" s="48">
        <f t="shared" si="3"/>
        <v>3.5</v>
      </c>
      <c r="AK75" s="50"/>
      <c r="AZ75" s="252">
        <f>VALUE(AZ68)</f>
        <v>70</v>
      </c>
      <c r="BA75" s="252">
        <f t="shared" ref="BA75:BW75" si="35">VALUE(BA68)</f>
        <v>64</v>
      </c>
      <c r="BB75" s="252">
        <f t="shared" si="35"/>
        <v>66.8</v>
      </c>
      <c r="BC75" s="252">
        <f t="shared" si="35"/>
        <v>67</v>
      </c>
      <c r="BD75" s="252">
        <f t="shared" si="35"/>
        <v>58</v>
      </c>
      <c r="BE75" s="252">
        <f t="shared" si="35"/>
        <v>63.9</v>
      </c>
      <c r="BF75" s="252">
        <f t="shared" si="35"/>
        <v>47</v>
      </c>
      <c r="BG75" s="252">
        <f t="shared" si="35"/>
        <v>37</v>
      </c>
      <c r="BH75" s="252">
        <f t="shared" si="35"/>
        <v>24</v>
      </c>
      <c r="BI75" s="252">
        <f t="shared" si="35"/>
        <v>33.6</v>
      </c>
      <c r="BJ75" s="252">
        <f t="shared" si="35"/>
        <v>53.2</v>
      </c>
      <c r="BK75" s="252">
        <f t="shared" si="35"/>
        <v>56.2</v>
      </c>
      <c r="BL75" s="252">
        <f t="shared" si="35"/>
        <v>65.900000000000006</v>
      </c>
      <c r="BM75" s="252">
        <f t="shared" si="35"/>
        <v>65.7</v>
      </c>
      <c r="BN75" s="252">
        <f t="shared" si="35"/>
        <v>64.7</v>
      </c>
      <c r="BO75" s="252">
        <f t="shared" si="35"/>
        <v>64</v>
      </c>
      <c r="BP75" s="252">
        <f t="shared" si="35"/>
        <v>52.7</v>
      </c>
      <c r="BQ75" s="252">
        <f t="shared" si="35"/>
        <v>63.2</v>
      </c>
      <c r="BR75" s="252">
        <f t="shared" si="35"/>
        <v>74</v>
      </c>
      <c r="BS75" s="252">
        <f t="shared" si="35"/>
        <v>61.2</v>
      </c>
      <c r="BT75" s="252">
        <f t="shared" si="35"/>
        <v>59.1</v>
      </c>
      <c r="BU75" s="252">
        <f t="shared" si="35"/>
        <v>63.8</v>
      </c>
      <c r="BV75" s="252">
        <f t="shared" si="35"/>
        <v>67.400000000000006</v>
      </c>
      <c r="BW75" s="252">
        <f t="shared" si="35"/>
        <v>63</v>
      </c>
    </row>
    <row r="76" spans="1:75" ht="15.75" thickBot="1" x14ac:dyDescent="0.3">
      <c r="A76" s="74" t="s">
        <v>76</v>
      </c>
      <c r="B76" s="60">
        <f t="shared" ref="B76:AG76" si="36">SUM(B63:B75)</f>
        <v>85.740000000000009</v>
      </c>
      <c r="C76" s="60">
        <f t="shared" si="36"/>
        <v>85.740000000000009</v>
      </c>
      <c r="D76" s="60">
        <f t="shared" si="36"/>
        <v>85.740000000000009</v>
      </c>
      <c r="E76" s="60">
        <f t="shared" si="36"/>
        <v>82.84</v>
      </c>
      <c r="F76" s="60">
        <f t="shared" si="36"/>
        <v>82.84</v>
      </c>
      <c r="G76" s="60">
        <f t="shared" si="36"/>
        <v>163.74</v>
      </c>
      <c r="H76" s="60">
        <f t="shared" ref="H76" si="37">SUM(H63:H75)</f>
        <v>190.54000000000002</v>
      </c>
      <c r="I76" s="60">
        <f t="shared" si="36"/>
        <v>231.04</v>
      </c>
      <c r="J76" s="60">
        <f t="shared" si="36"/>
        <v>276.94</v>
      </c>
      <c r="K76" s="60">
        <f t="shared" si="36"/>
        <v>328.6</v>
      </c>
      <c r="L76" s="60">
        <f t="shared" si="36"/>
        <v>379.3300000000001</v>
      </c>
      <c r="M76" s="60">
        <f t="shared" ref="M76" si="38">SUM(M63:M75)</f>
        <v>387.64000000000004</v>
      </c>
      <c r="N76" s="60">
        <f t="shared" si="36"/>
        <v>386.24000000000007</v>
      </c>
      <c r="O76" s="60">
        <f t="shared" si="36"/>
        <v>363.14000000000004</v>
      </c>
      <c r="P76" s="60">
        <f t="shared" si="36"/>
        <v>299.04000000000002</v>
      </c>
      <c r="Q76" s="60">
        <f t="shared" si="36"/>
        <v>257.04000000000002</v>
      </c>
      <c r="R76" s="60">
        <f t="shared" ref="R76" si="39">SUM(R63:R75)</f>
        <v>277.84000000000003</v>
      </c>
      <c r="S76" s="60">
        <f t="shared" si="36"/>
        <v>173.73999999999995</v>
      </c>
      <c r="T76" s="60">
        <f t="shared" si="36"/>
        <v>154.23999999999998</v>
      </c>
      <c r="U76" s="60">
        <f t="shared" si="36"/>
        <v>146.33999999999997</v>
      </c>
      <c r="V76" s="60">
        <f t="shared" si="36"/>
        <v>169.03999999999996</v>
      </c>
      <c r="W76" s="60">
        <f t="shared" si="36"/>
        <v>204.43999999999997</v>
      </c>
      <c r="X76" s="60">
        <f t="shared" si="36"/>
        <v>278.84000000000003</v>
      </c>
      <c r="Y76" s="60">
        <f>SUM(Y63:Y75)</f>
        <v>358.8</v>
      </c>
      <c r="Z76" s="60">
        <f>SUM(Z63:Z75)</f>
        <v>372.8</v>
      </c>
      <c r="AA76" s="60">
        <f t="shared" si="36"/>
        <v>360.84000000000003</v>
      </c>
      <c r="AB76" s="60">
        <f t="shared" ref="AB76:AC76" si="40">SUM(AB63:AB75)</f>
        <v>305.44000000000005</v>
      </c>
      <c r="AC76" s="60">
        <f t="shared" si="40"/>
        <v>261.73999999999995</v>
      </c>
      <c r="AD76" s="60">
        <f t="shared" ref="AD76:AE76" si="41">SUM(AD63:AD75)</f>
        <v>261.73999999999995</v>
      </c>
      <c r="AE76" s="60">
        <f t="shared" si="41"/>
        <v>182.83999999999997</v>
      </c>
      <c r="AF76" s="60">
        <f t="shared" ref="AF76" si="42">SUM(AF63:AF75)</f>
        <v>154.33999999999997</v>
      </c>
      <c r="AG76" s="61">
        <f t="shared" si="36"/>
        <v>489.91</v>
      </c>
      <c r="AH76" s="47">
        <f t="shared" si="2"/>
        <v>387.64000000000004</v>
      </c>
      <c r="AI76" s="48">
        <f t="shared" si="3"/>
        <v>82.84</v>
      </c>
      <c r="AK76" s="50"/>
      <c r="AZ76" s="252">
        <f t="shared" ref="AZ76:BW80" si="43">VALUE(AZ69)</f>
        <v>0</v>
      </c>
      <c r="BA76" s="252">
        <f t="shared" si="43"/>
        <v>0</v>
      </c>
      <c r="BB76" s="252">
        <f t="shared" si="43"/>
        <v>0</v>
      </c>
      <c r="BC76" s="252">
        <f t="shared" si="43"/>
        <v>0</v>
      </c>
      <c r="BD76" s="252">
        <f t="shared" si="43"/>
        <v>0</v>
      </c>
      <c r="BE76" s="252">
        <f t="shared" si="43"/>
        <v>0</v>
      </c>
      <c r="BF76" s="252">
        <f t="shared" si="43"/>
        <v>0</v>
      </c>
      <c r="BG76" s="252">
        <f t="shared" si="43"/>
        <v>0</v>
      </c>
      <c r="BH76" s="252">
        <f t="shared" si="43"/>
        <v>0</v>
      </c>
      <c r="BI76" s="252">
        <f t="shared" si="43"/>
        <v>0</v>
      </c>
      <c r="BJ76" s="252">
        <f t="shared" si="43"/>
        <v>0</v>
      </c>
      <c r="BK76" s="252">
        <f t="shared" si="43"/>
        <v>0</v>
      </c>
      <c r="BL76" s="252">
        <f t="shared" si="43"/>
        <v>0</v>
      </c>
      <c r="BM76" s="252">
        <f t="shared" si="43"/>
        <v>0</v>
      </c>
      <c r="BN76" s="252">
        <f t="shared" si="43"/>
        <v>0</v>
      </c>
      <c r="BO76" s="252">
        <f t="shared" si="43"/>
        <v>0</v>
      </c>
      <c r="BP76" s="252">
        <f t="shared" si="43"/>
        <v>0</v>
      </c>
      <c r="BQ76" s="252">
        <f t="shared" si="43"/>
        <v>0</v>
      </c>
      <c r="BR76" s="252">
        <f t="shared" si="43"/>
        <v>0</v>
      </c>
      <c r="BS76" s="252">
        <f t="shared" si="43"/>
        <v>0</v>
      </c>
      <c r="BT76" s="252">
        <f t="shared" si="43"/>
        <v>0</v>
      </c>
      <c r="BU76" s="252">
        <f t="shared" si="43"/>
        <v>0</v>
      </c>
      <c r="BV76" s="252">
        <f t="shared" si="43"/>
        <v>0</v>
      </c>
      <c r="BW76" s="252">
        <f t="shared" si="43"/>
        <v>0</v>
      </c>
    </row>
    <row r="77" spans="1:75" x14ac:dyDescent="0.25">
      <c r="A77" s="44" t="s">
        <v>77</v>
      </c>
      <c r="B77" s="45"/>
      <c r="C77" s="45"/>
      <c r="D77" s="45"/>
      <c r="E77" s="45"/>
      <c r="F77" s="45"/>
      <c r="G77" s="45">
        <v>0</v>
      </c>
      <c r="H77" s="45">
        <v>0</v>
      </c>
      <c r="I77" s="45"/>
      <c r="J77" s="45">
        <v>0</v>
      </c>
      <c r="K77" s="45"/>
      <c r="L77" s="45"/>
      <c r="M77" s="45">
        <v>0</v>
      </c>
      <c r="N77" s="45"/>
      <c r="O77" s="45"/>
      <c r="P77" s="45">
        <v>0</v>
      </c>
      <c r="Q77" s="45"/>
      <c r="R77" s="45">
        <v>0</v>
      </c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>
        <v>0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52">
        <v>60</v>
      </c>
      <c r="AH77" s="47">
        <f t="shared" si="2"/>
        <v>0</v>
      </c>
      <c r="AI77" s="48">
        <f t="shared" si="3"/>
        <v>0</v>
      </c>
      <c r="AK77" s="50"/>
      <c r="AZ77" s="252">
        <f t="shared" si="43"/>
        <v>382</v>
      </c>
      <c r="BA77" s="252">
        <f t="shared" si="43"/>
        <v>360</v>
      </c>
      <c r="BB77" s="252">
        <f t="shared" si="43"/>
        <v>406</v>
      </c>
      <c r="BC77" s="252">
        <f t="shared" si="43"/>
        <v>412</v>
      </c>
      <c r="BD77" s="252">
        <f t="shared" si="43"/>
        <v>401</v>
      </c>
      <c r="BE77" s="252">
        <f t="shared" si="43"/>
        <v>391</v>
      </c>
      <c r="BF77" s="252">
        <f t="shared" si="43"/>
        <v>300</v>
      </c>
      <c r="BG77" s="252">
        <f t="shared" si="43"/>
        <v>2.2999999999999998</v>
      </c>
      <c r="BH77" s="252">
        <f t="shared" si="43"/>
        <v>86.9</v>
      </c>
      <c r="BI77" s="252">
        <f t="shared" si="43"/>
        <v>189.7</v>
      </c>
      <c r="BJ77" s="252">
        <f t="shared" si="43"/>
        <v>327</v>
      </c>
      <c r="BK77" s="252">
        <f t="shared" si="43"/>
        <v>445.7</v>
      </c>
      <c r="BL77" s="252">
        <f t="shared" si="43"/>
        <v>412</v>
      </c>
      <c r="BM77" s="252">
        <f t="shared" si="43"/>
        <v>425.4</v>
      </c>
      <c r="BN77" s="252">
        <f t="shared" si="43"/>
        <v>391</v>
      </c>
      <c r="BO77" s="252">
        <f t="shared" si="43"/>
        <v>430</v>
      </c>
      <c r="BP77" s="252">
        <f t="shared" si="43"/>
        <v>293</v>
      </c>
      <c r="BQ77" s="252">
        <f t="shared" si="43"/>
        <v>242</v>
      </c>
      <c r="BR77" s="252">
        <f t="shared" si="43"/>
        <v>185</v>
      </c>
      <c r="BS77" s="252">
        <f t="shared" si="43"/>
        <v>253</v>
      </c>
      <c r="BT77" s="252">
        <f t="shared" si="43"/>
        <v>387.2</v>
      </c>
      <c r="BU77" s="252">
        <f t="shared" si="43"/>
        <v>387.4</v>
      </c>
      <c r="BV77" s="252">
        <f t="shared" si="43"/>
        <v>384.1</v>
      </c>
      <c r="BW77" s="252">
        <f t="shared" si="43"/>
        <v>380</v>
      </c>
    </row>
    <row r="78" spans="1:75" x14ac:dyDescent="0.25">
      <c r="A78" s="54" t="s">
        <v>78</v>
      </c>
      <c r="B78" s="65"/>
      <c r="C78" s="65"/>
      <c r="D78" s="65"/>
      <c r="E78" s="65"/>
      <c r="F78" s="65"/>
      <c r="G78" s="65">
        <v>0</v>
      </c>
      <c r="H78" s="65">
        <v>0</v>
      </c>
      <c r="I78" s="65"/>
      <c r="J78" s="65">
        <v>0</v>
      </c>
      <c r="K78" s="65"/>
      <c r="L78" s="65"/>
      <c r="M78" s="65">
        <v>0</v>
      </c>
      <c r="N78" s="65"/>
      <c r="O78" s="65"/>
      <c r="P78" s="65">
        <v>0</v>
      </c>
      <c r="Q78" s="65"/>
      <c r="R78" s="65">
        <v>0</v>
      </c>
      <c r="S78" s="65">
        <v>0</v>
      </c>
      <c r="T78" s="65">
        <v>0</v>
      </c>
      <c r="U78" s="65">
        <v>0</v>
      </c>
      <c r="V78" s="65">
        <v>0</v>
      </c>
      <c r="W78" s="65">
        <v>0</v>
      </c>
      <c r="X78" s="65">
        <v>0</v>
      </c>
      <c r="Y78" s="65">
        <v>0</v>
      </c>
      <c r="Z78" s="65">
        <v>0</v>
      </c>
      <c r="AA78" s="65">
        <v>0</v>
      </c>
      <c r="AB78" s="65">
        <v>0</v>
      </c>
      <c r="AC78" s="65">
        <v>0</v>
      </c>
      <c r="AD78" s="65">
        <v>0</v>
      </c>
      <c r="AE78" s="65">
        <v>0</v>
      </c>
      <c r="AF78" s="65">
        <v>0</v>
      </c>
      <c r="AG78" s="55">
        <v>32</v>
      </c>
      <c r="AH78" s="47">
        <f t="shared" si="2"/>
        <v>0</v>
      </c>
      <c r="AI78" s="48">
        <f t="shared" si="3"/>
        <v>0</v>
      </c>
      <c r="AK78" s="50"/>
      <c r="AZ78" s="252">
        <f t="shared" si="43"/>
        <v>43</v>
      </c>
      <c r="BA78" s="252">
        <f t="shared" si="43"/>
        <v>44</v>
      </c>
      <c r="BB78" s="252">
        <f t="shared" si="43"/>
        <v>42</v>
      </c>
      <c r="BC78" s="252">
        <f t="shared" si="43"/>
        <v>40</v>
      </c>
      <c r="BD78" s="252">
        <f t="shared" si="43"/>
        <v>39.5</v>
      </c>
      <c r="BE78" s="252">
        <f t="shared" si="43"/>
        <v>42.7</v>
      </c>
      <c r="BF78" s="252">
        <f t="shared" si="43"/>
        <v>10</v>
      </c>
      <c r="BG78" s="252">
        <f t="shared" si="43"/>
        <v>0</v>
      </c>
      <c r="BH78" s="252">
        <f t="shared" si="43"/>
        <v>8</v>
      </c>
      <c r="BI78" s="252">
        <f t="shared" si="43"/>
        <v>5</v>
      </c>
      <c r="BJ78" s="252">
        <f t="shared" si="43"/>
        <v>7</v>
      </c>
      <c r="BK78" s="252">
        <f t="shared" si="43"/>
        <v>7</v>
      </c>
      <c r="BL78" s="252">
        <f t="shared" si="43"/>
        <v>7</v>
      </c>
      <c r="BM78" s="252">
        <f t="shared" si="43"/>
        <v>7</v>
      </c>
      <c r="BN78" s="252">
        <f t="shared" si="43"/>
        <v>7</v>
      </c>
      <c r="BO78" s="252">
        <f t="shared" si="43"/>
        <v>7</v>
      </c>
      <c r="BP78" s="252">
        <f t="shared" si="43"/>
        <v>7</v>
      </c>
      <c r="BQ78" s="252">
        <f t="shared" si="43"/>
        <v>6.5</v>
      </c>
      <c r="BR78" s="252">
        <f t="shared" si="43"/>
        <v>7</v>
      </c>
      <c r="BS78" s="252">
        <f t="shared" si="43"/>
        <v>7</v>
      </c>
      <c r="BT78" s="252">
        <f t="shared" si="43"/>
        <v>7</v>
      </c>
      <c r="BU78" s="252">
        <f t="shared" si="43"/>
        <v>7</v>
      </c>
      <c r="BV78" s="252">
        <f t="shared" si="43"/>
        <v>7</v>
      </c>
      <c r="BW78" s="252">
        <f t="shared" si="43"/>
        <v>41</v>
      </c>
    </row>
    <row r="79" spans="1:75" ht="15.75" thickBot="1" x14ac:dyDescent="0.3">
      <c r="A79" s="71" t="s">
        <v>79</v>
      </c>
      <c r="B79" s="67"/>
      <c r="C79" s="67"/>
      <c r="D79" s="67"/>
      <c r="E79" s="67"/>
      <c r="F79" s="67"/>
      <c r="G79" s="67">
        <v>0</v>
      </c>
      <c r="H79" s="67">
        <v>0</v>
      </c>
      <c r="I79" s="67"/>
      <c r="J79" s="67">
        <v>0</v>
      </c>
      <c r="K79" s="67"/>
      <c r="L79" s="67"/>
      <c r="M79" s="67">
        <v>0</v>
      </c>
      <c r="N79" s="67"/>
      <c r="O79" s="67"/>
      <c r="P79" s="67">
        <v>0</v>
      </c>
      <c r="Q79" s="67"/>
      <c r="R79" s="67">
        <v>0</v>
      </c>
      <c r="S79" s="67">
        <v>0</v>
      </c>
      <c r="T79" s="67">
        <v>0</v>
      </c>
      <c r="U79" s="67">
        <v>0</v>
      </c>
      <c r="V79" s="67">
        <v>0</v>
      </c>
      <c r="W79" s="67">
        <v>0</v>
      </c>
      <c r="X79" s="67">
        <v>0</v>
      </c>
      <c r="Y79" s="67">
        <v>0</v>
      </c>
      <c r="Z79" s="67">
        <v>0</v>
      </c>
      <c r="AA79" s="67">
        <v>0</v>
      </c>
      <c r="AB79" s="67">
        <v>0</v>
      </c>
      <c r="AC79" s="67">
        <v>0</v>
      </c>
      <c r="AD79" s="67">
        <v>0</v>
      </c>
      <c r="AE79" s="67">
        <v>0</v>
      </c>
      <c r="AF79" s="67">
        <v>0</v>
      </c>
      <c r="AG79" s="68">
        <v>14</v>
      </c>
      <c r="AH79" s="47">
        <f t="shared" si="2"/>
        <v>0</v>
      </c>
      <c r="AI79" s="48">
        <f t="shared" si="3"/>
        <v>0</v>
      </c>
      <c r="AK79" s="50"/>
      <c r="AZ79" s="252">
        <f t="shared" si="43"/>
        <v>0</v>
      </c>
      <c r="BA79" s="252">
        <f t="shared" si="43"/>
        <v>0</v>
      </c>
      <c r="BB79" s="252">
        <f t="shared" si="43"/>
        <v>0</v>
      </c>
      <c r="BC79" s="252">
        <f t="shared" si="43"/>
        <v>0</v>
      </c>
      <c r="BD79" s="252">
        <f t="shared" si="43"/>
        <v>0</v>
      </c>
      <c r="BE79" s="252">
        <f t="shared" si="43"/>
        <v>0</v>
      </c>
      <c r="BF79" s="252">
        <f t="shared" si="43"/>
        <v>0</v>
      </c>
      <c r="BG79" s="252">
        <f t="shared" si="43"/>
        <v>0</v>
      </c>
      <c r="BH79" s="252">
        <f t="shared" si="43"/>
        <v>0</v>
      </c>
      <c r="BI79" s="252">
        <f t="shared" si="43"/>
        <v>0</v>
      </c>
      <c r="BJ79" s="252">
        <f t="shared" si="43"/>
        <v>0</v>
      </c>
      <c r="BK79" s="252">
        <f t="shared" si="43"/>
        <v>0</v>
      </c>
      <c r="BL79" s="252">
        <f t="shared" si="43"/>
        <v>0</v>
      </c>
      <c r="BM79" s="252">
        <f t="shared" si="43"/>
        <v>0</v>
      </c>
      <c r="BN79" s="252">
        <f t="shared" si="43"/>
        <v>12</v>
      </c>
      <c r="BO79" s="252">
        <f t="shared" si="43"/>
        <v>18</v>
      </c>
      <c r="BP79" s="252">
        <f t="shared" si="43"/>
        <v>20</v>
      </c>
      <c r="BQ79" s="252">
        <f t="shared" si="43"/>
        <v>22</v>
      </c>
      <c r="BR79" s="252">
        <f t="shared" si="43"/>
        <v>12</v>
      </c>
      <c r="BS79" s="252">
        <f t="shared" si="43"/>
        <v>22.6</v>
      </c>
      <c r="BT79" s="252">
        <f t="shared" si="43"/>
        <v>21.6</v>
      </c>
      <c r="BU79" s="252">
        <f t="shared" si="43"/>
        <v>22</v>
      </c>
      <c r="BV79" s="252">
        <f t="shared" si="43"/>
        <v>0</v>
      </c>
      <c r="BW79" s="252">
        <f t="shared" si="43"/>
        <v>0</v>
      </c>
    </row>
    <row r="80" spans="1:75" ht="15.75" thickBot="1" x14ac:dyDescent="0.3">
      <c r="A80" s="74" t="s">
        <v>80</v>
      </c>
      <c r="B80" s="60">
        <f t="shared" ref="B80:AA80" si="44">B77+B78+B79</f>
        <v>0</v>
      </c>
      <c r="C80" s="60">
        <f t="shared" si="44"/>
        <v>0</v>
      </c>
      <c r="D80" s="60">
        <f t="shared" si="44"/>
        <v>0</v>
      </c>
      <c r="E80" s="60">
        <f t="shared" si="44"/>
        <v>0</v>
      </c>
      <c r="F80" s="60">
        <f t="shared" si="44"/>
        <v>0</v>
      </c>
      <c r="G80" s="60">
        <f t="shared" si="44"/>
        <v>0</v>
      </c>
      <c r="H80" s="60">
        <f t="shared" si="44"/>
        <v>0</v>
      </c>
      <c r="I80" s="60">
        <f t="shared" si="44"/>
        <v>0</v>
      </c>
      <c r="J80" s="60">
        <f t="shared" si="44"/>
        <v>0</v>
      </c>
      <c r="K80" s="60">
        <f t="shared" si="44"/>
        <v>0</v>
      </c>
      <c r="L80" s="60">
        <f t="shared" si="44"/>
        <v>0</v>
      </c>
      <c r="M80" s="60">
        <f t="shared" ref="M80" si="45">M77+M78+M79</f>
        <v>0</v>
      </c>
      <c r="N80" s="60">
        <f t="shared" si="44"/>
        <v>0</v>
      </c>
      <c r="O80" s="60">
        <f t="shared" si="44"/>
        <v>0</v>
      </c>
      <c r="P80" s="60">
        <f t="shared" si="44"/>
        <v>0</v>
      </c>
      <c r="Q80" s="60">
        <f t="shared" si="44"/>
        <v>0</v>
      </c>
      <c r="R80" s="60">
        <f t="shared" ref="R80" si="46">R77+R78+R79</f>
        <v>0</v>
      </c>
      <c r="S80" s="60">
        <f t="shared" si="44"/>
        <v>0</v>
      </c>
      <c r="T80" s="60">
        <f t="shared" si="44"/>
        <v>0</v>
      </c>
      <c r="U80" s="60">
        <f t="shared" ref="U80" si="47">U77+U78+U79</f>
        <v>0</v>
      </c>
      <c r="V80" s="60">
        <f t="shared" si="44"/>
        <v>0</v>
      </c>
      <c r="W80" s="60">
        <f t="shared" si="44"/>
        <v>0</v>
      </c>
      <c r="X80" s="60">
        <f t="shared" si="44"/>
        <v>0</v>
      </c>
      <c r="Y80" s="60">
        <f>Y77+Y78+Y79</f>
        <v>0</v>
      </c>
      <c r="Z80" s="60">
        <f>Z77+Z78+Z79</f>
        <v>0</v>
      </c>
      <c r="AA80" s="60">
        <f t="shared" si="44"/>
        <v>0</v>
      </c>
      <c r="AB80" s="60">
        <f t="shared" ref="AB80:AC80" si="48">AB77+AB78+AB79</f>
        <v>0</v>
      </c>
      <c r="AC80" s="60">
        <f t="shared" si="48"/>
        <v>0</v>
      </c>
      <c r="AD80" s="60">
        <f t="shared" ref="AD80:AE80" si="49">AD77+AD78+AD79</f>
        <v>0</v>
      </c>
      <c r="AE80" s="60">
        <f t="shared" si="49"/>
        <v>0</v>
      </c>
      <c r="AF80" s="60">
        <f t="shared" ref="AF80" si="50">AF77+AF78+AF79</f>
        <v>0</v>
      </c>
      <c r="AG80" s="61">
        <f>SUM(AG77:AG79)</f>
        <v>106</v>
      </c>
      <c r="AH80" s="47">
        <f t="shared" si="2"/>
        <v>0</v>
      </c>
      <c r="AI80" s="48">
        <f t="shared" si="3"/>
        <v>0</v>
      </c>
      <c r="AK80" s="50"/>
      <c r="AZ80" s="252">
        <f t="shared" si="43"/>
        <v>0</v>
      </c>
      <c r="BA80" s="252">
        <f t="shared" si="43"/>
        <v>0</v>
      </c>
      <c r="BB80" s="252">
        <f t="shared" si="43"/>
        <v>0</v>
      </c>
      <c r="BC80" s="252">
        <f t="shared" si="43"/>
        <v>0</v>
      </c>
      <c r="BD80" s="252">
        <f t="shared" si="43"/>
        <v>0</v>
      </c>
      <c r="BE80" s="252">
        <f t="shared" si="43"/>
        <v>0</v>
      </c>
      <c r="BF80" s="252">
        <f t="shared" si="43"/>
        <v>54</v>
      </c>
      <c r="BG80" s="252">
        <f t="shared" si="43"/>
        <v>63.5</v>
      </c>
      <c r="BH80" s="252">
        <f t="shared" si="43"/>
        <v>64.099999999999994</v>
      </c>
      <c r="BI80" s="252">
        <f t="shared" si="43"/>
        <v>60.3</v>
      </c>
      <c r="BJ80" s="252">
        <f t="shared" si="43"/>
        <v>58.8</v>
      </c>
      <c r="BK80" s="252">
        <f t="shared" si="43"/>
        <v>56.1</v>
      </c>
      <c r="BL80" s="252">
        <f t="shared" si="43"/>
        <v>53.1</v>
      </c>
      <c r="BM80" s="252">
        <f t="shared" si="43"/>
        <v>68</v>
      </c>
      <c r="BN80" s="252">
        <f t="shared" si="43"/>
        <v>64</v>
      </c>
      <c r="BO80" s="252">
        <f t="shared" si="43"/>
        <v>63</v>
      </c>
      <c r="BP80" s="252">
        <f t="shared" si="43"/>
        <v>59.4</v>
      </c>
      <c r="BQ80" s="252">
        <f t="shared" si="43"/>
        <v>72.2</v>
      </c>
      <c r="BR80" s="252">
        <f t="shared" si="43"/>
        <v>81</v>
      </c>
      <c r="BS80" s="252">
        <f t="shared" si="43"/>
        <v>67.7</v>
      </c>
      <c r="BT80" s="252">
        <f t="shared" si="43"/>
        <v>73.7</v>
      </c>
      <c r="BU80" s="252">
        <f t="shared" si="43"/>
        <v>70.8</v>
      </c>
      <c r="BV80" s="252">
        <f t="shared" si="43"/>
        <v>45.9</v>
      </c>
      <c r="BW80" s="252">
        <f t="shared" si="43"/>
        <v>0</v>
      </c>
    </row>
    <row r="81" spans="1:64" x14ac:dyDescent="0.25">
      <c r="A81" s="44" t="s">
        <v>81</v>
      </c>
      <c r="B81" s="45">
        <v>63</v>
      </c>
      <c r="C81" s="45">
        <v>70</v>
      </c>
      <c r="D81" s="45">
        <v>64</v>
      </c>
      <c r="E81" s="45">
        <v>66.8</v>
      </c>
      <c r="F81" s="45">
        <v>67</v>
      </c>
      <c r="G81" s="45">
        <v>58</v>
      </c>
      <c r="H81" s="45">
        <v>56</v>
      </c>
      <c r="I81" s="45">
        <v>63.9</v>
      </c>
      <c r="J81" s="45">
        <v>65.3</v>
      </c>
      <c r="K81" s="45">
        <v>47</v>
      </c>
      <c r="L81" s="45">
        <v>28</v>
      </c>
      <c r="M81" s="45">
        <v>37</v>
      </c>
      <c r="N81" s="45">
        <v>24</v>
      </c>
      <c r="O81" s="45">
        <v>33.6</v>
      </c>
      <c r="P81" s="45">
        <v>53.2</v>
      </c>
      <c r="Q81" s="45">
        <v>56.2</v>
      </c>
      <c r="R81" s="45">
        <v>65.900000000000006</v>
      </c>
      <c r="S81" s="45">
        <v>65.7</v>
      </c>
      <c r="T81" s="45">
        <v>64.7</v>
      </c>
      <c r="U81" s="45">
        <v>64</v>
      </c>
      <c r="V81" s="45">
        <v>52.7</v>
      </c>
      <c r="W81" s="45">
        <v>45.6</v>
      </c>
      <c r="X81" s="45">
        <v>63.2</v>
      </c>
      <c r="Y81" s="45">
        <v>71</v>
      </c>
      <c r="Z81" s="45">
        <v>74</v>
      </c>
      <c r="AA81" s="45">
        <v>67</v>
      </c>
      <c r="AB81" s="45">
        <v>61.2</v>
      </c>
      <c r="AC81" s="45">
        <v>59.1</v>
      </c>
      <c r="AD81" s="45">
        <v>59.1</v>
      </c>
      <c r="AE81" s="45">
        <v>63.8</v>
      </c>
      <c r="AF81" s="45">
        <v>67.400000000000006</v>
      </c>
      <c r="AG81" s="52"/>
      <c r="AH81" s="47">
        <f t="shared" si="2"/>
        <v>74</v>
      </c>
      <c r="AI81" s="48">
        <f t="shared" si="3"/>
        <v>24</v>
      </c>
      <c r="AK81" s="50"/>
      <c r="AY81" s="252"/>
    </row>
    <row r="82" spans="1:64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55"/>
      <c r="AH82" s="47">
        <f t="shared" si="2"/>
        <v>0</v>
      </c>
      <c r="AI82" s="48">
        <f t="shared" si="3"/>
        <v>0</v>
      </c>
      <c r="AK82" s="50"/>
      <c r="AY82" s="252"/>
      <c r="BF82" s="252"/>
      <c r="BG82" s="252"/>
      <c r="BH82" s="252"/>
      <c r="BI82" s="252"/>
      <c r="BJ82" s="252"/>
      <c r="BK82" s="252"/>
    </row>
    <row r="83" spans="1:64" x14ac:dyDescent="0.25">
      <c r="A83" s="54" t="s">
        <v>83</v>
      </c>
      <c r="B83" s="65">
        <v>380</v>
      </c>
      <c r="C83" s="65">
        <v>382</v>
      </c>
      <c r="D83" s="65">
        <v>360</v>
      </c>
      <c r="E83" s="65">
        <v>406</v>
      </c>
      <c r="F83" s="65">
        <v>412</v>
      </c>
      <c r="G83" s="65">
        <v>401</v>
      </c>
      <c r="H83" s="65">
        <v>395</v>
      </c>
      <c r="I83" s="65">
        <v>391</v>
      </c>
      <c r="J83" s="65">
        <v>385</v>
      </c>
      <c r="K83" s="65">
        <v>300</v>
      </c>
      <c r="L83" s="65">
        <v>5.6</v>
      </c>
      <c r="M83" s="65">
        <v>2.2999999999999998</v>
      </c>
      <c r="N83" s="65">
        <v>86.9</v>
      </c>
      <c r="O83" s="65">
        <v>189.7</v>
      </c>
      <c r="P83" s="65">
        <v>327</v>
      </c>
      <c r="Q83" s="65">
        <v>445.7</v>
      </c>
      <c r="R83" s="65">
        <v>412</v>
      </c>
      <c r="S83" s="65">
        <v>425.4</v>
      </c>
      <c r="T83" s="65">
        <v>391</v>
      </c>
      <c r="U83" s="65">
        <v>430</v>
      </c>
      <c r="V83" s="65">
        <v>293</v>
      </c>
      <c r="W83" s="65">
        <v>300</v>
      </c>
      <c r="X83" s="65">
        <v>242</v>
      </c>
      <c r="Y83" s="65">
        <v>270</v>
      </c>
      <c r="Z83" s="65">
        <v>185</v>
      </c>
      <c r="AA83" s="65">
        <v>171</v>
      </c>
      <c r="AB83" s="65">
        <v>253</v>
      </c>
      <c r="AC83" s="65">
        <v>387.2</v>
      </c>
      <c r="AD83" s="65">
        <v>387.2</v>
      </c>
      <c r="AE83" s="65">
        <v>387.4</v>
      </c>
      <c r="AF83" s="65">
        <v>384.1</v>
      </c>
      <c r="AG83" s="75"/>
      <c r="AH83" s="47">
        <f t="shared" si="2"/>
        <v>445.7</v>
      </c>
      <c r="AI83" s="48">
        <f t="shared" si="3"/>
        <v>2.2999999999999998</v>
      </c>
      <c r="AK83" s="50"/>
      <c r="AY83" s="252"/>
      <c r="BF83" s="251"/>
      <c r="BG83" s="251"/>
      <c r="BH83" s="251"/>
      <c r="BI83" s="251"/>
      <c r="BJ83" s="251"/>
      <c r="BK83" s="252"/>
    </row>
    <row r="84" spans="1:64" x14ac:dyDescent="0.25">
      <c r="A84" s="54" t="s">
        <v>84</v>
      </c>
      <c r="B84" s="65">
        <v>41</v>
      </c>
      <c r="C84" s="65">
        <v>43</v>
      </c>
      <c r="D84" s="65">
        <v>44</v>
      </c>
      <c r="E84" s="76">
        <v>42</v>
      </c>
      <c r="F84" s="76">
        <v>40</v>
      </c>
      <c r="G84" s="76">
        <v>39.5</v>
      </c>
      <c r="H84" s="76">
        <v>40.5</v>
      </c>
      <c r="I84" s="76">
        <v>42.7</v>
      </c>
      <c r="J84" s="76">
        <v>12</v>
      </c>
      <c r="K84" s="76">
        <v>10</v>
      </c>
      <c r="L84" s="76">
        <v>8</v>
      </c>
      <c r="M84" s="76">
        <v>0</v>
      </c>
      <c r="N84" s="76">
        <v>8</v>
      </c>
      <c r="O84" s="76">
        <v>5</v>
      </c>
      <c r="P84" s="76">
        <v>7</v>
      </c>
      <c r="Q84" s="76">
        <v>7</v>
      </c>
      <c r="R84" s="76">
        <v>7</v>
      </c>
      <c r="S84" s="76">
        <v>7</v>
      </c>
      <c r="T84" s="76">
        <v>7</v>
      </c>
      <c r="U84" s="76">
        <v>7</v>
      </c>
      <c r="V84" s="76">
        <v>7</v>
      </c>
      <c r="W84" s="76">
        <v>7</v>
      </c>
      <c r="X84" s="76">
        <v>6.5</v>
      </c>
      <c r="Y84" s="76">
        <v>7</v>
      </c>
      <c r="Z84" s="76">
        <v>7</v>
      </c>
      <c r="AA84" s="76">
        <v>7</v>
      </c>
      <c r="AB84" s="76">
        <v>7</v>
      </c>
      <c r="AC84" s="76">
        <v>7</v>
      </c>
      <c r="AD84" s="76">
        <v>7</v>
      </c>
      <c r="AE84" s="76">
        <v>7</v>
      </c>
      <c r="AF84" s="76">
        <v>7</v>
      </c>
      <c r="AG84" s="75"/>
      <c r="AH84" s="47">
        <f t="shared" si="2"/>
        <v>44</v>
      </c>
      <c r="AI84" s="48">
        <f t="shared" si="3"/>
        <v>0</v>
      </c>
      <c r="AK84" s="50"/>
      <c r="AY84" s="252"/>
      <c r="BF84" s="251"/>
      <c r="BG84" s="252">
        <f t="array" ref="BG84:BL107">TRANSPOSE(AZ68:BW73)</f>
        <v>70</v>
      </c>
      <c r="BH84" s="252">
        <v>0</v>
      </c>
      <c r="BI84" s="252">
        <v>382</v>
      </c>
      <c r="BJ84" s="252">
        <v>43</v>
      </c>
      <c r="BK84" s="252">
        <v>0</v>
      </c>
      <c r="BL84" s="252">
        <v>0</v>
      </c>
    </row>
    <row r="85" spans="1:64" x14ac:dyDescent="0.25">
      <c r="A85" s="54" t="s">
        <v>85</v>
      </c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>
        <v>12</v>
      </c>
      <c r="U85" s="45">
        <v>18</v>
      </c>
      <c r="V85" s="45">
        <v>20</v>
      </c>
      <c r="W85" s="45">
        <v>21</v>
      </c>
      <c r="X85" s="45">
        <v>22</v>
      </c>
      <c r="Y85" s="45">
        <v>22</v>
      </c>
      <c r="Z85" s="45">
        <v>12</v>
      </c>
      <c r="AA85" s="45">
        <v>24</v>
      </c>
      <c r="AB85" s="45">
        <v>22.6</v>
      </c>
      <c r="AC85" s="45">
        <v>21.6</v>
      </c>
      <c r="AD85" s="45">
        <v>21.6</v>
      </c>
      <c r="AE85" s="45">
        <v>22</v>
      </c>
      <c r="AF85" s="45">
        <v>0</v>
      </c>
      <c r="AG85" s="75"/>
      <c r="AH85" s="47">
        <f t="shared" ref="AH85:AH130" si="51">MAX(B85:AF85)</f>
        <v>24</v>
      </c>
      <c r="AI85" s="48">
        <f t="shared" ref="AI85:AI130" si="52">MIN(B85:AF85)</f>
        <v>0</v>
      </c>
      <c r="AK85" s="50"/>
      <c r="AY85" s="252"/>
      <c r="BF85" s="251"/>
      <c r="BG85" s="252">
        <v>64</v>
      </c>
      <c r="BH85" s="252">
        <v>0</v>
      </c>
      <c r="BI85" s="252">
        <v>360</v>
      </c>
      <c r="BJ85" s="252">
        <v>44</v>
      </c>
      <c r="BK85" s="252">
        <v>0</v>
      </c>
      <c r="BL85" s="252">
        <v>0</v>
      </c>
    </row>
    <row r="86" spans="1:64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5"/>
      <c r="AH86" s="47">
        <f t="shared" si="51"/>
        <v>0</v>
      </c>
      <c r="AI86" s="48">
        <f t="shared" si="52"/>
        <v>0</v>
      </c>
      <c r="AK86" s="50"/>
      <c r="AY86" s="252"/>
      <c r="BF86" s="251"/>
      <c r="BG86" s="252">
        <v>66.8</v>
      </c>
      <c r="BH86" s="252">
        <v>0</v>
      </c>
      <c r="BI86" s="252">
        <v>406</v>
      </c>
      <c r="BJ86" s="252">
        <v>42</v>
      </c>
      <c r="BK86" s="252">
        <v>0</v>
      </c>
      <c r="BL86" s="252">
        <v>0</v>
      </c>
    </row>
    <row r="87" spans="1:64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5"/>
      <c r="AH87" s="47">
        <f t="shared" si="51"/>
        <v>0</v>
      </c>
      <c r="AI87" s="48">
        <f t="shared" si="52"/>
        <v>0</v>
      </c>
      <c r="AK87" s="50"/>
      <c r="AL87" s="78" t="s">
        <v>88</v>
      </c>
      <c r="AM87" s="78"/>
      <c r="AY87" s="252"/>
      <c r="BF87" s="252"/>
      <c r="BG87" s="252">
        <v>67</v>
      </c>
      <c r="BH87" s="252">
        <v>0</v>
      </c>
      <c r="BI87" s="252">
        <v>412</v>
      </c>
      <c r="BJ87" s="252">
        <v>40</v>
      </c>
      <c r="BK87" s="252">
        <v>0</v>
      </c>
      <c r="BL87" s="252">
        <v>0</v>
      </c>
    </row>
    <row r="88" spans="1:64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5"/>
      <c r="AH88" s="47">
        <f t="shared" si="51"/>
        <v>0</v>
      </c>
      <c r="AI88" s="48">
        <f t="shared" si="52"/>
        <v>0</v>
      </c>
      <c r="AK88" s="79"/>
      <c r="AL88" s="80"/>
      <c r="AM88" s="80"/>
      <c r="AN88" s="81"/>
      <c r="AY88" s="252"/>
      <c r="BF88" s="252"/>
      <c r="BG88" s="252">
        <v>58</v>
      </c>
      <c r="BH88" s="252">
        <v>0</v>
      </c>
      <c r="BI88" s="252">
        <v>401</v>
      </c>
      <c r="BJ88" s="252">
        <v>39.5</v>
      </c>
      <c r="BK88" s="252">
        <v>0</v>
      </c>
      <c r="BL88" s="252">
        <v>0</v>
      </c>
    </row>
    <row r="89" spans="1:64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5"/>
      <c r="AH89" s="47">
        <f t="shared" si="51"/>
        <v>0</v>
      </c>
      <c r="AI89" s="48">
        <f t="shared" si="52"/>
        <v>0</v>
      </c>
      <c r="AK89" s="82" t="s">
        <v>91</v>
      </c>
      <c r="AL89" s="65"/>
      <c r="AM89" s="76"/>
      <c r="AN89" s="83"/>
      <c r="AY89" s="252"/>
      <c r="BF89" s="252"/>
      <c r="BG89" s="252">
        <v>63.9</v>
      </c>
      <c r="BH89" s="252">
        <v>0</v>
      </c>
      <c r="BI89" s="252">
        <v>391</v>
      </c>
      <c r="BJ89" s="252">
        <v>42.7</v>
      </c>
      <c r="BK89" s="252">
        <v>0</v>
      </c>
      <c r="BL89" s="252">
        <v>0</v>
      </c>
    </row>
    <row r="90" spans="1:64" x14ac:dyDescent="0.25">
      <c r="A90" s="84" t="s">
        <v>92</v>
      </c>
      <c r="B90" s="77">
        <v>24</v>
      </c>
      <c r="C90" s="77">
        <v>24</v>
      </c>
      <c r="D90" s="77">
        <v>22</v>
      </c>
      <c r="E90" s="77">
        <v>0</v>
      </c>
      <c r="F90" s="77">
        <v>0</v>
      </c>
      <c r="G90" s="77">
        <v>0</v>
      </c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85"/>
      <c r="AH90" s="47">
        <f t="shared" si="51"/>
        <v>24</v>
      </c>
      <c r="AI90" s="48">
        <f t="shared" si="52"/>
        <v>0</v>
      </c>
      <c r="AK90" s="82" t="s">
        <v>93</v>
      </c>
      <c r="AL90" s="76"/>
      <c r="AM90" s="76"/>
      <c r="AN90" s="83"/>
      <c r="AY90" s="252"/>
      <c r="BF90" s="252"/>
      <c r="BG90" s="252">
        <v>47</v>
      </c>
      <c r="BH90" s="252">
        <v>0</v>
      </c>
      <c r="BI90" s="252">
        <v>300</v>
      </c>
      <c r="BJ90" s="252">
        <v>10</v>
      </c>
      <c r="BK90" s="252">
        <v>0</v>
      </c>
      <c r="BL90" s="252">
        <v>54</v>
      </c>
    </row>
    <row r="91" spans="1:64" ht="15.75" thickBot="1" x14ac:dyDescent="0.3">
      <c r="A91" s="84" t="s">
        <v>421</v>
      </c>
      <c r="B91" s="77"/>
      <c r="C91" s="77"/>
      <c r="D91" s="77"/>
      <c r="E91" s="77"/>
      <c r="F91" s="77"/>
      <c r="G91" s="77"/>
      <c r="H91" s="77"/>
      <c r="I91" s="77"/>
      <c r="J91" s="77"/>
      <c r="K91" s="77">
        <v>54</v>
      </c>
      <c r="L91" s="77">
        <v>60.4</v>
      </c>
      <c r="M91" s="77">
        <v>63.5</v>
      </c>
      <c r="N91" s="77">
        <v>64.099999999999994</v>
      </c>
      <c r="O91" s="77">
        <v>60.3</v>
      </c>
      <c r="P91" s="77">
        <v>58.8</v>
      </c>
      <c r="Q91" s="77">
        <v>56.1</v>
      </c>
      <c r="R91" s="77">
        <v>53.1</v>
      </c>
      <c r="S91" s="77">
        <v>68</v>
      </c>
      <c r="T91" s="77">
        <v>64</v>
      </c>
      <c r="U91" s="77">
        <v>63</v>
      </c>
      <c r="V91" s="77">
        <v>59.4</v>
      </c>
      <c r="W91" s="77">
        <v>66</v>
      </c>
      <c r="X91" s="77">
        <v>72.2</v>
      </c>
      <c r="Y91" s="77">
        <v>82.1</v>
      </c>
      <c r="Z91" s="77">
        <v>81</v>
      </c>
      <c r="AA91" s="77">
        <v>71</v>
      </c>
      <c r="AB91" s="77">
        <v>67.7</v>
      </c>
      <c r="AC91" s="77">
        <v>73.7</v>
      </c>
      <c r="AD91" s="77">
        <v>73.7</v>
      </c>
      <c r="AE91" s="77">
        <v>70.8</v>
      </c>
      <c r="AF91" s="77">
        <v>45.9</v>
      </c>
      <c r="AG91" s="85"/>
      <c r="AH91" s="47">
        <f t="shared" si="51"/>
        <v>82.1</v>
      </c>
      <c r="AI91" s="48">
        <f t="shared" si="52"/>
        <v>45.9</v>
      </c>
      <c r="AK91" s="86"/>
      <c r="AL91" s="45"/>
      <c r="AM91" s="45"/>
      <c r="AN91" s="87"/>
      <c r="AY91" s="252"/>
      <c r="BF91" s="252"/>
      <c r="BG91" s="252">
        <v>37</v>
      </c>
      <c r="BH91" s="252">
        <v>0</v>
      </c>
      <c r="BI91" s="252">
        <v>2.2999999999999998</v>
      </c>
      <c r="BJ91" s="252">
        <v>0</v>
      </c>
      <c r="BK91" s="252">
        <v>0</v>
      </c>
      <c r="BL91" s="252">
        <v>63.5</v>
      </c>
    </row>
    <row r="92" spans="1:64" ht="15.75" thickBot="1" x14ac:dyDescent="0.3">
      <c r="A92" s="74" t="s">
        <v>95</v>
      </c>
      <c r="B92" s="60">
        <f t="shared" ref="B92:AA92" si="53">SUMIF(B81:B91,"&gt;0")</f>
        <v>508</v>
      </c>
      <c r="C92" s="60">
        <f t="shared" si="53"/>
        <v>519</v>
      </c>
      <c r="D92" s="60">
        <f t="shared" si="53"/>
        <v>490</v>
      </c>
      <c r="E92" s="60">
        <f t="shared" si="53"/>
        <v>514.79999999999995</v>
      </c>
      <c r="F92" s="60">
        <f t="shared" si="53"/>
        <v>519</v>
      </c>
      <c r="G92" s="60">
        <f t="shared" si="53"/>
        <v>498.5</v>
      </c>
      <c r="H92" s="60">
        <f t="shared" si="53"/>
        <v>491.5</v>
      </c>
      <c r="I92" s="60">
        <f t="shared" si="53"/>
        <v>497.59999999999997</v>
      </c>
      <c r="J92" s="60">
        <f t="shared" si="53"/>
        <v>462.3</v>
      </c>
      <c r="K92" s="60">
        <f t="shared" si="53"/>
        <v>411</v>
      </c>
      <c r="L92" s="60">
        <f t="shared" si="53"/>
        <v>102</v>
      </c>
      <c r="M92" s="60">
        <f t="shared" ref="M92" si="54">SUMIF(M81:M91,"&gt;0")</f>
        <v>102.8</v>
      </c>
      <c r="N92" s="60">
        <f t="shared" si="53"/>
        <v>183</v>
      </c>
      <c r="O92" s="60">
        <f t="shared" si="53"/>
        <v>288.59999999999997</v>
      </c>
      <c r="P92" s="60">
        <f t="shared" si="53"/>
        <v>446</v>
      </c>
      <c r="Q92" s="60">
        <f t="shared" si="53"/>
        <v>565</v>
      </c>
      <c r="R92" s="60">
        <f t="shared" ref="R92" si="55">SUMIF(R81:R91,"&gt;0")</f>
        <v>538</v>
      </c>
      <c r="S92" s="60">
        <f t="shared" si="53"/>
        <v>566.09999999999991</v>
      </c>
      <c r="T92" s="60">
        <f t="shared" si="53"/>
        <v>538.70000000000005</v>
      </c>
      <c r="U92" s="60">
        <f t="shared" si="53"/>
        <v>582</v>
      </c>
      <c r="V92" s="60">
        <f t="shared" si="53"/>
        <v>432.09999999999997</v>
      </c>
      <c r="W92" s="60">
        <f t="shared" si="53"/>
        <v>439.6</v>
      </c>
      <c r="X92" s="60">
        <f t="shared" si="53"/>
        <v>405.9</v>
      </c>
      <c r="Y92" s="60">
        <f>SUMIF(Y81:Y91,"&gt;0")</f>
        <v>452.1</v>
      </c>
      <c r="Z92" s="60">
        <f>SUMIF(Z81:Z91,"&gt;0")</f>
        <v>359</v>
      </c>
      <c r="AA92" s="60">
        <f t="shared" si="53"/>
        <v>340</v>
      </c>
      <c r="AB92" s="60">
        <f t="shared" ref="AB92:AC92" si="56">SUMIF(AB81:AB91,"&gt;0")</f>
        <v>411.5</v>
      </c>
      <c r="AC92" s="60">
        <f t="shared" si="56"/>
        <v>548.6</v>
      </c>
      <c r="AD92" s="60">
        <f t="shared" ref="AD92:AE92" si="57">SUMIF(AD81:AD91,"&gt;0")</f>
        <v>548.6</v>
      </c>
      <c r="AE92" s="60">
        <f t="shared" si="57"/>
        <v>551</v>
      </c>
      <c r="AF92" s="60">
        <f t="shared" ref="AF92" si="58">SUMIF(AF81:AF91,"&gt;0")</f>
        <v>504.4</v>
      </c>
      <c r="AG92" s="88">
        <f>SUM(AG81:AG91)</f>
        <v>0</v>
      </c>
      <c r="AH92" s="47">
        <f t="shared" si="51"/>
        <v>582</v>
      </c>
      <c r="AI92" s="48">
        <f t="shared" si="52"/>
        <v>102</v>
      </c>
      <c r="AK92" s="86"/>
      <c r="AL92" s="77"/>
      <c r="AM92" s="89"/>
      <c r="AN92" s="255"/>
      <c r="AY92" s="252"/>
      <c r="BF92" s="252"/>
      <c r="BG92" s="252">
        <v>24</v>
      </c>
      <c r="BH92" s="252">
        <v>0</v>
      </c>
      <c r="BI92" s="252">
        <v>86.9</v>
      </c>
      <c r="BJ92" s="252">
        <v>8</v>
      </c>
      <c r="BK92" s="252">
        <v>0</v>
      </c>
      <c r="BL92" s="252">
        <v>64.099999999999994</v>
      </c>
    </row>
    <row r="93" spans="1:64" x14ac:dyDescent="0.25">
      <c r="A93" s="44" t="s">
        <v>96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51"/>
        <v>0</v>
      </c>
      <c r="AI93" s="48">
        <f t="shared" si="52"/>
        <v>0</v>
      </c>
      <c r="AK93" s="86"/>
      <c r="AL93" s="77"/>
      <c r="AM93" s="77"/>
      <c r="AN93" s="256"/>
      <c r="BF93" s="252"/>
      <c r="BG93" s="252">
        <v>33.6</v>
      </c>
      <c r="BH93" s="252">
        <v>0</v>
      </c>
      <c r="BI93" s="252">
        <v>189.7</v>
      </c>
      <c r="BJ93" s="252">
        <v>5</v>
      </c>
      <c r="BK93" s="252">
        <v>0</v>
      </c>
      <c r="BL93" s="252">
        <v>60.3</v>
      </c>
    </row>
    <row r="94" spans="1:64" ht="15.75" thickBot="1" x14ac:dyDescent="0.3">
      <c r="A94" s="54" t="s">
        <v>97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51"/>
        <v>0</v>
      </c>
      <c r="AI94" s="48">
        <f t="shared" si="52"/>
        <v>0</v>
      </c>
      <c r="AK94" s="91"/>
      <c r="AL94" s="92"/>
      <c r="AM94" s="92"/>
      <c r="AN94" s="93"/>
      <c r="BF94" s="252"/>
      <c r="BG94" s="252">
        <v>53.2</v>
      </c>
      <c r="BH94" s="252">
        <v>0</v>
      </c>
      <c r="BI94" s="252">
        <v>327</v>
      </c>
      <c r="BJ94" s="252">
        <v>7</v>
      </c>
      <c r="BK94" s="252">
        <v>0</v>
      </c>
      <c r="BL94" s="252">
        <v>58.8</v>
      </c>
    </row>
    <row r="95" spans="1:64" ht="15.75" thickBot="1" x14ac:dyDescent="0.3">
      <c r="A95" s="84" t="s">
        <v>98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51"/>
        <v>0</v>
      </c>
      <c r="AI95" s="48">
        <f t="shared" si="52"/>
        <v>0</v>
      </c>
      <c r="BF95" s="252"/>
      <c r="BG95" s="252">
        <v>56.2</v>
      </c>
      <c r="BH95" s="252">
        <v>0</v>
      </c>
      <c r="BI95" s="252">
        <v>445.7</v>
      </c>
      <c r="BJ95" s="252">
        <v>7</v>
      </c>
      <c r="BK95" s="252">
        <v>0</v>
      </c>
      <c r="BL95" s="252">
        <v>56.1</v>
      </c>
    </row>
    <row r="96" spans="1:64" ht="15.75" thickBot="1" x14ac:dyDescent="0.3">
      <c r="A96" s="74" t="s">
        <v>99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>
        <v>0</v>
      </c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51"/>
        <v>0</v>
      </c>
      <c r="AI96" s="48">
        <f t="shared" si="52"/>
        <v>0</v>
      </c>
      <c r="BF96" s="252"/>
      <c r="BG96" s="252">
        <v>65.900000000000006</v>
      </c>
      <c r="BH96" s="252">
        <v>0</v>
      </c>
      <c r="BI96" s="252">
        <v>412</v>
      </c>
      <c r="BJ96" s="252">
        <v>7</v>
      </c>
      <c r="BK96" s="252">
        <v>0</v>
      </c>
      <c r="BL96" s="252">
        <v>53.1</v>
      </c>
    </row>
    <row r="97" spans="1:64" ht="15.75" thickBot="1" x14ac:dyDescent="0.3">
      <c r="A97" s="74" t="s">
        <v>100</v>
      </c>
      <c r="B97" s="95">
        <f t="shared" ref="B97:AG97" si="59">B58+B62+B80+B76+B92+B96</f>
        <v>1133.94</v>
      </c>
      <c r="C97" s="95">
        <f t="shared" si="59"/>
        <v>1144.94</v>
      </c>
      <c r="D97" s="95">
        <f t="shared" si="59"/>
        <v>1115.94</v>
      </c>
      <c r="E97" s="95">
        <f t="shared" si="59"/>
        <v>1137.8400000000001</v>
      </c>
      <c r="F97" s="95">
        <f t="shared" si="59"/>
        <v>1143.3400000000001</v>
      </c>
      <c r="G97" s="95">
        <f t="shared" si="59"/>
        <v>1203.74</v>
      </c>
      <c r="H97" s="95">
        <f t="shared" si="59"/>
        <v>1223.54</v>
      </c>
      <c r="I97" s="95">
        <f t="shared" si="59"/>
        <v>1285.1399999999999</v>
      </c>
      <c r="J97" s="95">
        <f t="shared" si="59"/>
        <v>1330.74</v>
      </c>
      <c r="K97" s="95">
        <f t="shared" si="59"/>
        <v>1411.1</v>
      </c>
      <c r="L97" s="95">
        <f>L58+L62+L80+L76+L92+L96</f>
        <v>1392.8300000000002</v>
      </c>
      <c r="M97" s="95">
        <f>M58+M62+M80+M76+M92+M96</f>
        <v>1437.3400000000001</v>
      </c>
      <c r="N97" s="95">
        <f t="shared" si="59"/>
        <v>1380.94</v>
      </c>
      <c r="O97" s="95">
        <f t="shared" si="59"/>
        <v>1293.54</v>
      </c>
      <c r="P97" s="95">
        <f t="shared" si="59"/>
        <v>1286.8399999999999</v>
      </c>
      <c r="Q97" s="95">
        <f t="shared" si="59"/>
        <v>1363.74</v>
      </c>
      <c r="R97" s="95">
        <f t="shared" ref="R97" si="60">R58+R62+R80+R76+R92+R96</f>
        <v>1354.1399999999999</v>
      </c>
      <c r="S97" s="95">
        <f t="shared" si="59"/>
        <v>1278.1399999999999</v>
      </c>
      <c r="T97" s="95">
        <f t="shared" si="59"/>
        <v>1231.24</v>
      </c>
      <c r="U97" s="95">
        <f t="shared" si="59"/>
        <v>1266.6399999999999</v>
      </c>
      <c r="V97" s="95">
        <f t="shared" si="59"/>
        <v>1169.4399999999998</v>
      </c>
      <c r="W97" s="95">
        <f t="shared" si="59"/>
        <v>1232.3399999999999</v>
      </c>
      <c r="X97" s="95">
        <f t="shared" si="59"/>
        <v>1443.04</v>
      </c>
      <c r="Y97" s="95">
        <f>Y58+Y62+Y80+Y76+Y92+Y96</f>
        <v>1599.1999999999998</v>
      </c>
      <c r="Z97" s="95">
        <f>Z58+Z62+Z80+Z76+Z92+Z96</f>
        <v>1520.1</v>
      </c>
      <c r="AA97" s="95">
        <f t="shared" si="59"/>
        <v>1489.1399999999999</v>
      </c>
      <c r="AB97" s="95">
        <f t="shared" ref="AB97:AC97" si="61">AB58+AB62+AB80+AB76+AB92+AB96</f>
        <v>1435.24</v>
      </c>
      <c r="AC97" s="95">
        <f t="shared" si="61"/>
        <v>1438.6399999999999</v>
      </c>
      <c r="AD97" s="95">
        <f t="shared" ref="AD97:AE97" si="62">AD58+AD62+AD80+AD76+AD92+AD96</f>
        <v>1438.6399999999999</v>
      </c>
      <c r="AE97" s="95">
        <f t="shared" si="62"/>
        <v>1322.1399999999999</v>
      </c>
      <c r="AF97" s="95">
        <f t="shared" ref="AF97" si="63">AF58+AF62+AF80+AF76+AF92+AF96</f>
        <v>1197.04</v>
      </c>
      <c r="AG97" s="61">
        <f t="shared" si="59"/>
        <v>2231.81</v>
      </c>
      <c r="AH97" s="47">
        <f t="shared" si="51"/>
        <v>1599.1999999999998</v>
      </c>
      <c r="AI97" s="48">
        <f t="shared" si="52"/>
        <v>1115.94</v>
      </c>
      <c r="BF97" s="252"/>
      <c r="BG97" s="252">
        <v>65.7</v>
      </c>
      <c r="BH97" s="252">
        <v>0</v>
      </c>
      <c r="BI97" s="252">
        <v>425.4</v>
      </c>
      <c r="BJ97" s="252">
        <v>7</v>
      </c>
      <c r="BK97" s="252">
        <v>0</v>
      </c>
      <c r="BL97" s="252">
        <v>68</v>
      </c>
    </row>
    <row r="98" spans="1:64" ht="15.75" thickBot="1" x14ac:dyDescent="0.3">
      <c r="A98" s="96" t="s">
        <v>101</v>
      </c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>
        <v>200</v>
      </c>
      <c r="M98" s="97">
        <v>200</v>
      </c>
      <c r="N98" s="97">
        <v>210</v>
      </c>
      <c r="O98" s="97">
        <v>220</v>
      </c>
      <c r="P98" s="97">
        <v>120</v>
      </c>
      <c r="Q98" s="97"/>
      <c r="R98" s="97"/>
      <c r="S98" s="97"/>
      <c r="T98" s="97"/>
      <c r="U98" s="97"/>
      <c r="V98" s="97">
        <v>100</v>
      </c>
      <c r="W98" s="97">
        <v>100</v>
      </c>
      <c r="X98" s="97">
        <v>200</v>
      </c>
      <c r="Y98" s="97">
        <v>230</v>
      </c>
      <c r="Z98" s="97">
        <v>230</v>
      </c>
      <c r="AA98" s="97">
        <v>230</v>
      </c>
      <c r="AB98" s="97">
        <v>200</v>
      </c>
      <c r="AC98" s="97">
        <v>200</v>
      </c>
      <c r="AD98" s="97">
        <v>50</v>
      </c>
      <c r="AE98" s="97">
        <v>0</v>
      </c>
      <c r="AF98" s="97">
        <v>0</v>
      </c>
      <c r="AG98" s="88"/>
      <c r="AH98" s="47">
        <f t="shared" si="51"/>
        <v>230</v>
      </c>
      <c r="AI98" s="48">
        <f t="shared" si="52"/>
        <v>0</v>
      </c>
      <c r="BF98" s="252"/>
      <c r="BG98" s="252">
        <v>64.7</v>
      </c>
      <c r="BH98" s="252">
        <v>0</v>
      </c>
      <c r="BI98" s="252">
        <v>391</v>
      </c>
      <c r="BJ98" s="252">
        <v>7</v>
      </c>
      <c r="BK98" s="252">
        <v>12</v>
      </c>
      <c r="BL98" s="252">
        <v>64</v>
      </c>
    </row>
    <row r="99" spans="1:64" ht="15.75" thickBot="1" x14ac:dyDescent="0.3">
      <c r="A99" s="74" t="s">
        <v>102</v>
      </c>
      <c r="B99" s="95">
        <f t="shared" ref="B99:AA99" si="64">B97+B98</f>
        <v>1133.94</v>
      </c>
      <c r="C99" s="95">
        <f t="shared" si="64"/>
        <v>1144.94</v>
      </c>
      <c r="D99" s="95">
        <f t="shared" si="64"/>
        <v>1115.94</v>
      </c>
      <c r="E99" s="95">
        <f t="shared" si="64"/>
        <v>1137.8400000000001</v>
      </c>
      <c r="F99" s="95">
        <f t="shared" si="64"/>
        <v>1143.3400000000001</v>
      </c>
      <c r="G99" s="95">
        <f t="shared" si="64"/>
        <v>1203.74</v>
      </c>
      <c r="H99" s="95">
        <f t="shared" si="64"/>
        <v>1223.54</v>
      </c>
      <c r="I99" s="95">
        <f t="shared" si="64"/>
        <v>1285.1399999999999</v>
      </c>
      <c r="J99" s="95">
        <f t="shared" si="64"/>
        <v>1330.74</v>
      </c>
      <c r="K99" s="95">
        <f t="shared" si="64"/>
        <v>1411.1</v>
      </c>
      <c r="L99" s="95">
        <f t="shared" si="64"/>
        <v>1592.8300000000002</v>
      </c>
      <c r="M99" s="95">
        <f t="shared" ref="M99" si="65">M97+M98</f>
        <v>1637.3400000000001</v>
      </c>
      <c r="N99" s="95">
        <f t="shared" si="64"/>
        <v>1590.94</v>
      </c>
      <c r="O99" s="95">
        <f t="shared" si="64"/>
        <v>1513.54</v>
      </c>
      <c r="P99" s="95">
        <f t="shared" si="64"/>
        <v>1406.84</v>
      </c>
      <c r="Q99" s="95">
        <f t="shared" si="64"/>
        <v>1363.74</v>
      </c>
      <c r="R99" s="95">
        <f t="shared" ref="R99" si="66">R97+R98</f>
        <v>1354.1399999999999</v>
      </c>
      <c r="S99" s="95">
        <f t="shared" si="64"/>
        <v>1278.1399999999999</v>
      </c>
      <c r="T99" s="95">
        <f t="shared" si="64"/>
        <v>1231.24</v>
      </c>
      <c r="U99" s="95">
        <f t="shared" si="64"/>
        <v>1266.6399999999999</v>
      </c>
      <c r="V99" s="95">
        <f t="shared" si="64"/>
        <v>1269.4399999999998</v>
      </c>
      <c r="W99" s="95">
        <f t="shared" si="64"/>
        <v>1332.34</v>
      </c>
      <c r="X99" s="95">
        <f t="shared" si="64"/>
        <v>1643.04</v>
      </c>
      <c r="Y99" s="95">
        <f>Y97+Y98</f>
        <v>1829.1999999999998</v>
      </c>
      <c r="Z99" s="95">
        <f>Z97+Z98</f>
        <v>1750.1</v>
      </c>
      <c r="AA99" s="95">
        <f t="shared" si="64"/>
        <v>1719.1399999999999</v>
      </c>
      <c r="AB99" s="95">
        <f t="shared" ref="AB99:AC99" si="67">AB97+AB98</f>
        <v>1635.24</v>
      </c>
      <c r="AC99" s="95">
        <f t="shared" si="67"/>
        <v>1638.6399999999999</v>
      </c>
      <c r="AD99" s="95">
        <f t="shared" ref="AD99:AE99" si="68">AD97+AD98</f>
        <v>1488.6399999999999</v>
      </c>
      <c r="AE99" s="95">
        <f t="shared" si="68"/>
        <v>1322.1399999999999</v>
      </c>
      <c r="AF99" s="95">
        <f t="shared" ref="AF99" si="69">AF97+AF98</f>
        <v>1197.04</v>
      </c>
      <c r="AG99" s="88">
        <f>AG96+AG92+AG80+AG76+AG58+AG98</f>
        <v>1693.71</v>
      </c>
      <c r="AH99" s="47">
        <f t="shared" si="51"/>
        <v>1829.1999999999998</v>
      </c>
      <c r="AI99" s="48">
        <f t="shared" si="52"/>
        <v>1115.94</v>
      </c>
      <c r="BF99" s="252"/>
      <c r="BG99" s="252">
        <v>64</v>
      </c>
      <c r="BH99" s="252">
        <v>0</v>
      </c>
      <c r="BI99" s="252">
        <v>430</v>
      </c>
      <c r="BJ99" s="252">
        <v>7</v>
      </c>
      <c r="BK99" s="252">
        <v>18</v>
      </c>
      <c r="BL99" s="252">
        <v>63</v>
      </c>
    </row>
    <row r="100" spans="1:64" ht="15.75" thickBot="1" x14ac:dyDescent="0.3">
      <c r="A100" s="74" t="s">
        <v>103</v>
      </c>
      <c r="B100" s="95">
        <f t="shared" ref="B100:L100" si="70">B99-(B107)</f>
        <v>1133.94</v>
      </c>
      <c r="C100" s="95">
        <f t="shared" si="70"/>
        <v>1144.94</v>
      </c>
      <c r="D100" s="95">
        <f t="shared" si="70"/>
        <v>1115.94</v>
      </c>
      <c r="E100" s="95">
        <f t="shared" si="70"/>
        <v>1137.8400000000001</v>
      </c>
      <c r="F100" s="95">
        <f t="shared" si="70"/>
        <v>1143.3400000000001</v>
      </c>
      <c r="G100" s="95">
        <f t="shared" si="70"/>
        <v>1203.74</v>
      </c>
      <c r="H100" s="95">
        <f t="shared" si="70"/>
        <v>1223.54</v>
      </c>
      <c r="I100" s="95">
        <f t="shared" si="70"/>
        <v>1285.1399999999999</v>
      </c>
      <c r="J100" s="95">
        <f t="shared" si="70"/>
        <v>1330.74</v>
      </c>
      <c r="K100" s="95">
        <f t="shared" si="70"/>
        <v>1411.1</v>
      </c>
      <c r="L100" s="95">
        <f t="shared" si="70"/>
        <v>1592.8300000000002</v>
      </c>
      <c r="M100" s="95">
        <f t="shared" ref="M100" si="71">M99-(M107)</f>
        <v>1636.3400000000001</v>
      </c>
      <c r="N100" s="95">
        <f>N99-(N107)</f>
        <v>1590.94</v>
      </c>
      <c r="O100" s="95">
        <f t="shared" ref="O100:AA100" si="72">O99-(O107)</f>
        <v>1513.54</v>
      </c>
      <c r="P100" s="95">
        <f t="shared" si="72"/>
        <v>1406.84</v>
      </c>
      <c r="Q100" s="95">
        <f t="shared" si="72"/>
        <v>1363.74</v>
      </c>
      <c r="R100" s="95">
        <f t="shared" ref="R100" si="73">R99-(R107)</f>
        <v>1353.1399999999999</v>
      </c>
      <c r="S100" s="95">
        <f t="shared" si="72"/>
        <v>1278.1399999999999</v>
      </c>
      <c r="T100" s="95">
        <f t="shared" si="72"/>
        <v>1231.24</v>
      </c>
      <c r="U100" s="95">
        <f t="shared" si="72"/>
        <v>1266.6399999999999</v>
      </c>
      <c r="V100" s="95">
        <f t="shared" si="72"/>
        <v>1269.4399999999998</v>
      </c>
      <c r="W100" s="95">
        <f t="shared" si="72"/>
        <v>1332.34</v>
      </c>
      <c r="X100" s="95">
        <f t="shared" si="72"/>
        <v>1643.04</v>
      </c>
      <c r="Y100" s="95">
        <f t="shared" si="72"/>
        <v>1829.1999999999998</v>
      </c>
      <c r="Z100" s="95">
        <f t="shared" si="72"/>
        <v>1750.1</v>
      </c>
      <c r="AA100" s="95">
        <f t="shared" si="72"/>
        <v>1719.1399999999999</v>
      </c>
      <c r="AB100" s="95">
        <f t="shared" ref="AB100:AC100" si="74">AB99-(AB107)</f>
        <v>1635.24</v>
      </c>
      <c r="AC100" s="95">
        <f t="shared" si="74"/>
        <v>1638.6399999999999</v>
      </c>
      <c r="AD100" s="95">
        <f t="shared" ref="AD100:AE100" si="75">AD99-(AD107)</f>
        <v>1488.6399999999999</v>
      </c>
      <c r="AE100" s="95">
        <f t="shared" si="75"/>
        <v>1322.1399999999999</v>
      </c>
      <c r="AF100" s="95">
        <f t="shared" ref="AF100" si="76">AF99-(AF107)</f>
        <v>1197.04</v>
      </c>
      <c r="AG100" s="88"/>
      <c r="AH100" s="47">
        <f t="shared" si="51"/>
        <v>1829.1999999999998</v>
      </c>
      <c r="AI100" s="48">
        <f t="shared" si="52"/>
        <v>1115.94</v>
      </c>
      <c r="BF100" s="252"/>
      <c r="BG100" s="252">
        <v>52.7</v>
      </c>
      <c r="BH100" s="252">
        <v>0</v>
      </c>
      <c r="BI100" s="252">
        <v>293</v>
      </c>
      <c r="BJ100" s="252">
        <v>7</v>
      </c>
      <c r="BK100" s="252">
        <v>20</v>
      </c>
      <c r="BL100" s="252">
        <v>59.4</v>
      </c>
    </row>
    <row r="101" spans="1:64" x14ac:dyDescent="0.25">
      <c r="A101" s="44" t="s">
        <v>84</v>
      </c>
      <c r="B101" s="76">
        <f>IF(B84&lt;0,B84*-1,0)</f>
        <v>0</v>
      </c>
      <c r="C101" s="76">
        <f t="shared" ref="C101:AA101" si="77">IF(C84&lt;0,C84*-1,0)</f>
        <v>0</v>
      </c>
      <c r="D101" s="76">
        <f t="shared" si="77"/>
        <v>0</v>
      </c>
      <c r="E101" s="76">
        <f t="shared" si="77"/>
        <v>0</v>
      </c>
      <c r="F101" s="76">
        <f t="shared" si="77"/>
        <v>0</v>
      </c>
      <c r="G101" s="76">
        <f t="shared" si="77"/>
        <v>0</v>
      </c>
      <c r="H101" s="76">
        <f t="shared" si="77"/>
        <v>0</v>
      </c>
      <c r="I101" s="76">
        <f t="shared" si="77"/>
        <v>0</v>
      </c>
      <c r="J101" s="76">
        <f t="shared" si="77"/>
        <v>0</v>
      </c>
      <c r="K101" s="76">
        <f t="shared" si="77"/>
        <v>0</v>
      </c>
      <c r="L101" s="76">
        <f t="shared" si="77"/>
        <v>0</v>
      </c>
      <c r="M101" s="76">
        <f t="shared" ref="M101" si="78">IF(M84&lt;0,M84*-1,0)</f>
        <v>0</v>
      </c>
      <c r="N101" s="76">
        <f t="shared" si="77"/>
        <v>0</v>
      </c>
      <c r="O101" s="76">
        <f t="shared" si="77"/>
        <v>0</v>
      </c>
      <c r="P101" s="76">
        <f t="shared" si="77"/>
        <v>0</v>
      </c>
      <c r="Q101" s="76">
        <f t="shared" si="77"/>
        <v>0</v>
      </c>
      <c r="R101" s="76">
        <f t="shared" ref="R101" si="79">IF(R84&lt;0,R84*-1,0)</f>
        <v>0</v>
      </c>
      <c r="S101" s="76">
        <f t="shared" si="77"/>
        <v>0</v>
      </c>
      <c r="T101" s="76">
        <f t="shared" si="77"/>
        <v>0</v>
      </c>
      <c r="U101" s="76">
        <f t="shared" si="77"/>
        <v>0</v>
      </c>
      <c r="V101" s="76">
        <f t="shared" si="77"/>
        <v>0</v>
      </c>
      <c r="W101" s="76">
        <f t="shared" si="77"/>
        <v>0</v>
      </c>
      <c r="X101" s="76">
        <f t="shared" si="77"/>
        <v>0</v>
      </c>
      <c r="Y101" s="76">
        <f t="shared" si="77"/>
        <v>0</v>
      </c>
      <c r="Z101" s="76">
        <f t="shared" si="77"/>
        <v>0</v>
      </c>
      <c r="AA101" s="76">
        <f t="shared" si="77"/>
        <v>0</v>
      </c>
      <c r="AB101" s="76">
        <f t="shared" ref="AB101:AC101" si="80">IF(AB84&lt;0,AB84*-1,0)</f>
        <v>0</v>
      </c>
      <c r="AC101" s="76">
        <f t="shared" si="80"/>
        <v>0</v>
      </c>
      <c r="AD101" s="76">
        <f t="shared" ref="AD101:AE101" si="81">IF(AD84&lt;0,AD84*-1,0)</f>
        <v>0</v>
      </c>
      <c r="AE101" s="76">
        <f t="shared" si="81"/>
        <v>0</v>
      </c>
      <c r="AF101" s="76">
        <f t="shared" ref="AF101" si="82">IF(AF84&lt;0,AF84*-1,0)</f>
        <v>0</v>
      </c>
      <c r="AG101" s="52"/>
      <c r="AH101" s="47">
        <f t="shared" si="51"/>
        <v>0</v>
      </c>
      <c r="AI101" s="48">
        <f t="shared" si="52"/>
        <v>0</v>
      </c>
      <c r="BF101" s="251"/>
      <c r="BG101" s="252">
        <v>63.2</v>
      </c>
      <c r="BH101" s="252">
        <v>0</v>
      </c>
      <c r="BI101" s="252">
        <v>242</v>
      </c>
      <c r="BJ101" s="252">
        <v>6.5</v>
      </c>
      <c r="BK101" s="252">
        <v>22</v>
      </c>
      <c r="BL101" s="252">
        <v>72.2</v>
      </c>
    </row>
    <row r="102" spans="1:64" x14ac:dyDescent="0.25">
      <c r="A102" s="54" t="s">
        <v>82</v>
      </c>
      <c r="B102" s="76">
        <f>IF(B82&lt;0,B82*-1,0)</f>
        <v>0</v>
      </c>
      <c r="C102" s="76">
        <f t="shared" ref="C102:AA102" si="83">IF(C82&lt;0,C82*-1,0)</f>
        <v>0</v>
      </c>
      <c r="D102" s="76">
        <f t="shared" si="83"/>
        <v>0</v>
      </c>
      <c r="E102" s="76">
        <f t="shared" si="83"/>
        <v>0</v>
      </c>
      <c r="F102" s="76">
        <f t="shared" si="83"/>
        <v>0</v>
      </c>
      <c r="G102" s="76">
        <f t="shared" si="83"/>
        <v>0</v>
      </c>
      <c r="H102" s="76">
        <f t="shared" si="83"/>
        <v>0</v>
      </c>
      <c r="I102" s="76">
        <f t="shared" si="83"/>
        <v>0</v>
      </c>
      <c r="J102" s="76">
        <f t="shared" si="83"/>
        <v>0</v>
      </c>
      <c r="K102" s="76">
        <f t="shared" si="83"/>
        <v>0</v>
      </c>
      <c r="L102" s="76">
        <f t="shared" si="83"/>
        <v>0</v>
      </c>
      <c r="M102" s="76">
        <f t="shared" ref="M102" si="84">IF(M82&lt;0,M82*-1,0)</f>
        <v>0</v>
      </c>
      <c r="N102" s="76">
        <f t="shared" si="83"/>
        <v>0</v>
      </c>
      <c r="O102" s="76">
        <f t="shared" si="83"/>
        <v>0</v>
      </c>
      <c r="P102" s="76">
        <f t="shared" si="83"/>
        <v>0</v>
      </c>
      <c r="Q102" s="76">
        <f t="shared" si="83"/>
        <v>0</v>
      </c>
      <c r="R102" s="76">
        <f t="shared" ref="R102" si="85">IF(R82&lt;0,R82*-1,0)</f>
        <v>0</v>
      </c>
      <c r="S102" s="76">
        <f t="shared" si="83"/>
        <v>0</v>
      </c>
      <c r="T102" s="76">
        <f t="shared" si="83"/>
        <v>0</v>
      </c>
      <c r="U102" s="76">
        <f t="shared" si="83"/>
        <v>0</v>
      </c>
      <c r="V102" s="76">
        <f t="shared" si="83"/>
        <v>0</v>
      </c>
      <c r="W102" s="76">
        <f t="shared" si="83"/>
        <v>0</v>
      </c>
      <c r="X102" s="76">
        <f t="shared" si="83"/>
        <v>0</v>
      </c>
      <c r="Y102" s="76">
        <f t="shared" si="83"/>
        <v>0</v>
      </c>
      <c r="Z102" s="76">
        <f t="shared" si="83"/>
        <v>0</v>
      </c>
      <c r="AA102" s="76">
        <f t="shared" si="83"/>
        <v>0</v>
      </c>
      <c r="AB102" s="76">
        <f t="shared" ref="AB102:AC102" si="86">IF(AB82&lt;0,AB82*-1,0)</f>
        <v>0</v>
      </c>
      <c r="AC102" s="76">
        <f t="shared" si="86"/>
        <v>0</v>
      </c>
      <c r="AD102" s="76">
        <f t="shared" ref="AD102:AE102" si="87">IF(AD82&lt;0,AD82*-1,0)</f>
        <v>0</v>
      </c>
      <c r="AE102" s="76">
        <f t="shared" si="87"/>
        <v>0</v>
      </c>
      <c r="AF102" s="76">
        <f t="shared" ref="AF102" si="88">IF(AF82&lt;0,AF82*-1,0)</f>
        <v>0</v>
      </c>
      <c r="AG102" s="55"/>
      <c r="AH102" s="47">
        <f t="shared" si="51"/>
        <v>0</v>
      </c>
      <c r="AI102" s="48">
        <f t="shared" si="52"/>
        <v>0</v>
      </c>
      <c r="BF102" s="251"/>
      <c r="BG102" s="252">
        <v>74</v>
      </c>
      <c r="BH102" s="252">
        <v>0</v>
      </c>
      <c r="BI102" s="252">
        <v>185</v>
      </c>
      <c r="BJ102" s="252">
        <v>7</v>
      </c>
      <c r="BK102" s="252">
        <v>12</v>
      </c>
      <c r="BL102" s="252">
        <v>81</v>
      </c>
    </row>
    <row r="103" spans="1:64" x14ac:dyDescent="0.25">
      <c r="A103" s="84" t="s">
        <v>104</v>
      </c>
      <c r="B103" s="76">
        <f>IF(B85&lt;0,B85*-1,0)</f>
        <v>0</v>
      </c>
      <c r="C103" s="76">
        <f t="shared" ref="C103:AA103" si="89">IF(C85&lt;0,C85*-1,0)</f>
        <v>0</v>
      </c>
      <c r="D103" s="76">
        <f t="shared" si="89"/>
        <v>0</v>
      </c>
      <c r="E103" s="76">
        <f t="shared" si="89"/>
        <v>0</v>
      </c>
      <c r="F103" s="76">
        <f t="shared" si="89"/>
        <v>0</v>
      </c>
      <c r="G103" s="76">
        <f t="shared" si="89"/>
        <v>0</v>
      </c>
      <c r="H103" s="76">
        <f t="shared" si="89"/>
        <v>0</v>
      </c>
      <c r="I103" s="76">
        <f t="shared" si="89"/>
        <v>0</v>
      </c>
      <c r="J103" s="76">
        <f t="shared" si="89"/>
        <v>0</v>
      </c>
      <c r="K103" s="76">
        <f t="shared" si="89"/>
        <v>0</v>
      </c>
      <c r="L103" s="76">
        <f t="shared" si="89"/>
        <v>0</v>
      </c>
      <c r="M103" s="76">
        <f t="shared" ref="M103" si="90">IF(M85&lt;0,M85*-1,0)</f>
        <v>0</v>
      </c>
      <c r="N103" s="76">
        <f t="shared" si="89"/>
        <v>0</v>
      </c>
      <c r="O103" s="76">
        <f t="shared" si="89"/>
        <v>0</v>
      </c>
      <c r="P103" s="76">
        <f t="shared" si="89"/>
        <v>0</v>
      </c>
      <c r="Q103" s="76">
        <f t="shared" si="89"/>
        <v>0</v>
      </c>
      <c r="R103" s="76">
        <f t="shared" ref="R103" si="91">IF(R85&lt;0,R85*-1,0)</f>
        <v>0</v>
      </c>
      <c r="S103" s="76">
        <f t="shared" si="89"/>
        <v>0</v>
      </c>
      <c r="T103" s="76">
        <f t="shared" si="89"/>
        <v>0</v>
      </c>
      <c r="U103" s="76">
        <f t="shared" si="89"/>
        <v>0</v>
      </c>
      <c r="V103" s="76">
        <f t="shared" si="89"/>
        <v>0</v>
      </c>
      <c r="W103" s="76">
        <f t="shared" si="89"/>
        <v>0</v>
      </c>
      <c r="X103" s="76">
        <f t="shared" si="89"/>
        <v>0</v>
      </c>
      <c r="Y103" s="76">
        <f t="shared" si="89"/>
        <v>0</v>
      </c>
      <c r="Z103" s="76">
        <f t="shared" si="89"/>
        <v>0</v>
      </c>
      <c r="AA103" s="76">
        <f t="shared" si="89"/>
        <v>0</v>
      </c>
      <c r="AB103" s="76">
        <f t="shared" ref="AB103:AC103" si="92">IF(AB85&lt;0,AB85*-1,0)</f>
        <v>0</v>
      </c>
      <c r="AC103" s="76">
        <f t="shared" si="92"/>
        <v>0</v>
      </c>
      <c r="AD103" s="76">
        <f t="shared" ref="AD103:AE103" si="93">IF(AD85&lt;0,AD85*-1,0)</f>
        <v>0</v>
      </c>
      <c r="AE103" s="76">
        <f t="shared" si="93"/>
        <v>0</v>
      </c>
      <c r="AF103" s="76">
        <f t="shared" ref="AF103" si="94">IF(AF85&lt;0,AF85*-1,0)</f>
        <v>0</v>
      </c>
      <c r="AG103" s="98"/>
      <c r="AH103" s="47">
        <f t="shared" si="51"/>
        <v>0</v>
      </c>
      <c r="AI103" s="48">
        <f t="shared" si="52"/>
        <v>0</v>
      </c>
      <c r="BF103" s="251"/>
      <c r="BG103" s="252">
        <v>61.2</v>
      </c>
      <c r="BH103" s="252">
        <v>0</v>
      </c>
      <c r="BI103" s="252">
        <v>253</v>
      </c>
      <c r="BJ103" s="252">
        <v>7</v>
      </c>
      <c r="BK103" s="252">
        <v>22.6</v>
      </c>
      <c r="BL103" s="252">
        <v>67.7</v>
      </c>
    </row>
    <row r="104" spans="1:64" x14ac:dyDescent="0.25">
      <c r="A104" s="84" t="s">
        <v>105</v>
      </c>
      <c r="B104" s="76">
        <f>IF(B83&lt;0,B83*-1,0)</f>
        <v>0</v>
      </c>
      <c r="C104" s="76">
        <f t="shared" ref="C104:AA104" si="95">IF(C83&lt;0,C83*-1,0)</f>
        <v>0</v>
      </c>
      <c r="D104" s="76">
        <f t="shared" si="95"/>
        <v>0</v>
      </c>
      <c r="E104" s="76">
        <f t="shared" si="95"/>
        <v>0</v>
      </c>
      <c r="F104" s="76">
        <f t="shared" si="95"/>
        <v>0</v>
      </c>
      <c r="G104" s="76">
        <f t="shared" si="95"/>
        <v>0</v>
      </c>
      <c r="H104" s="76">
        <f t="shared" si="95"/>
        <v>0</v>
      </c>
      <c r="I104" s="76">
        <f t="shared" si="95"/>
        <v>0</v>
      </c>
      <c r="J104" s="76">
        <f t="shared" si="95"/>
        <v>0</v>
      </c>
      <c r="K104" s="76">
        <f t="shared" si="95"/>
        <v>0</v>
      </c>
      <c r="L104" s="76">
        <f t="shared" si="95"/>
        <v>0</v>
      </c>
      <c r="M104" s="76">
        <f t="shared" ref="M104" si="96">IF(M83&lt;0,M83*-1,0)</f>
        <v>0</v>
      </c>
      <c r="N104" s="76">
        <f t="shared" si="95"/>
        <v>0</v>
      </c>
      <c r="O104" s="76">
        <f t="shared" si="95"/>
        <v>0</v>
      </c>
      <c r="P104" s="76">
        <f t="shared" si="95"/>
        <v>0</v>
      </c>
      <c r="Q104" s="76">
        <f t="shared" si="95"/>
        <v>0</v>
      </c>
      <c r="R104" s="76">
        <f t="shared" ref="R104" si="97">IF(R83&lt;0,R83*-1,0)</f>
        <v>0</v>
      </c>
      <c r="S104" s="76">
        <f t="shared" si="95"/>
        <v>0</v>
      </c>
      <c r="T104" s="76">
        <f t="shared" si="95"/>
        <v>0</v>
      </c>
      <c r="U104" s="76">
        <f t="shared" si="95"/>
        <v>0</v>
      </c>
      <c r="V104" s="76">
        <f t="shared" si="95"/>
        <v>0</v>
      </c>
      <c r="W104" s="76">
        <f t="shared" si="95"/>
        <v>0</v>
      </c>
      <c r="X104" s="76">
        <f t="shared" si="95"/>
        <v>0</v>
      </c>
      <c r="Y104" s="76">
        <f t="shared" si="95"/>
        <v>0</v>
      </c>
      <c r="Z104" s="76">
        <f t="shared" si="95"/>
        <v>0</v>
      </c>
      <c r="AA104" s="76">
        <f t="shared" si="95"/>
        <v>0</v>
      </c>
      <c r="AB104" s="76">
        <f t="shared" ref="AB104:AC104" si="98">IF(AB83&lt;0,AB83*-1,0)</f>
        <v>0</v>
      </c>
      <c r="AC104" s="76">
        <f t="shared" si="98"/>
        <v>0</v>
      </c>
      <c r="AD104" s="76">
        <f t="shared" ref="AD104:AE104" si="99">IF(AD83&lt;0,AD83*-1,0)</f>
        <v>0</v>
      </c>
      <c r="AE104" s="76">
        <f t="shared" si="99"/>
        <v>0</v>
      </c>
      <c r="AF104" s="76">
        <f t="shared" ref="AF104" si="100">IF(AF83&lt;0,AF83*-1,0)</f>
        <v>0</v>
      </c>
      <c r="AG104" s="98"/>
      <c r="AH104" s="47">
        <f t="shared" si="51"/>
        <v>0</v>
      </c>
      <c r="AI104" s="48">
        <f t="shared" si="52"/>
        <v>0</v>
      </c>
      <c r="BF104" s="251"/>
      <c r="BG104" s="252">
        <v>59.1</v>
      </c>
      <c r="BH104" s="252">
        <v>0</v>
      </c>
      <c r="BI104" s="252">
        <v>387.2</v>
      </c>
      <c r="BJ104" s="252">
        <v>7</v>
      </c>
      <c r="BK104" s="252">
        <v>21.6</v>
      </c>
      <c r="BL104" s="252">
        <v>73.7</v>
      </c>
    </row>
    <row r="105" spans="1:64" x14ac:dyDescent="0.25">
      <c r="A105" s="84" t="s">
        <v>81</v>
      </c>
      <c r="B105" s="76">
        <f>IF(B81&lt;0,B81*-1,0)</f>
        <v>0</v>
      </c>
      <c r="C105" s="76">
        <f t="shared" ref="C105:AA105" si="101">IF(C81&lt;0,C81*-1,0)</f>
        <v>0</v>
      </c>
      <c r="D105" s="76">
        <f t="shared" si="101"/>
        <v>0</v>
      </c>
      <c r="E105" s="76">
        <f t="shared" si="101"/>
        <v>0</v>
      </c>
      <c r="F105" s="76">
        <f t="shared" si="101"/>
        <v>0</v>
      </c>
      <c r="G105" s="76">
        <f t="shared" si="101"/>
        <v>0</v>
      </c>
      <c r="H105" s="76">
        <f t="shared" si="101"/>
        <v>0</v>
      </c>
      <c r="I105" s="76">
        <f t="shared" si="101"/>
        <v>0</v>
      </c>
      <c r="J105" s="76">
        <f t="shared" si="101"/>
        <v>0</v>
      </c>
      <c r="K105" s="76">
        <f t="shared" si="101"/>
        <v>0</v>
      </c>
      <c r="L105" s="76">
        <f t="shared" si="101"/>
        <v>0</v>
      </c>
      <c r="M105" s="76">
        <f t="shared" ref="M105" si="102">IF(M81&lt;0,M81*-1,0)</f>
        <v>0</v>
      </c>
      <c r="N105" s="76">
        <f t="shared" si="101"/>
        <v>0</v>
      </c>
      <c r="O105" s="76">
        <f t="shared" si="101"/>
        <v>0</v>
      </c>
      <c r="P105" s="76">
        <f t="shared" si="101"/>
        <v>0</v>
      </c>
      <c r="Q105" s="76">
        <f t="shared" si="101"/>
        <v>0</v>
      </c>
      <c r="R105" s="76">
        <f t="shared" ref="R105" si="103">IF(R81&lt;0,R81*-1,0)</f>
        <v>0</v>
      </c>
      <c r="S105" s="76">
        <f t="shared" si="101"/>
        <v>0</v>
      </c>
      <c r="T105" s="76">
        <f t="shared" si="101"/>
        <v>0</v>
      </c>
      <c r="U105" s="76">
        <f t="shared" si="101"/>
        <v>0</v>
      </c>
      <c r="V105" s="76">
        <f t="shared" si="101"/>
        <v>0</v>
      </c>
      <c r="W105" s="76">
        <f t="shared" si="101"/>
        <v>0</v>
      </c>
      <c r="X105" s="76">
        <f t="shared" si="101"/>
        <v>0</v>
      </c>
      <c r="Y105" s="76">
        <f t="shared" si="101"/>
        <v>0</v>
      </c>
      <c r="Z105" s="76">
        <f t="shared" si="101"/>
        <v>0</v>
      </c>
      <c r="AA105" s="76">
        <f t="shared" si="101"/>
        <v>0</v>
      </c>
      <c r="AB105" s="76">
        <f t="shared" ref="AB105:AC105" si="104">IF(AB81&lt;0,AB81*-1,0)</f>
        <v>0</v>
      </c>
      <c r="AC105" s="76">
        <f t="shared" si="104"/>
        <v>0</v>
      </c>
      <c r="AD105" s="76">
        <f t="shared" ref="AD105:AE105" si="105">IF(AD81&lt;0,AD81*-1,0)</f>
        <v>0</v>
      </c>
      <c r="AE105" s="76">
        <f t="shared" si="105"/>
        <v>0</v>
      </c>
      <c r="AF105" s="76">
        <f t="shared" ref="AF105" si="106">IF(AF81&lt;0,AF81*-1,0)</f>
        <v>0</v>
      </c>
      <c r="AG105" s="98"/>
      <c r="AH105" s="47">
        <f t="shared" si="51"/>
        <v>0</v>
      </c>
      <c r="AI105" s="48">
        <f t="shared" si="52"/>
        <v>0</v>
      </c>
      <c r="BF105" s="251"/>
      <c r="BG105" s="252">
        <v>63.8</v>
      </c>
      <c r="BH105" s="252">
        <v>0</v>
      </c>
      <c r="BI105" s="252">
        <v>387.4</v>
      </c>
      <c r="BJ105" s="252">
        <v>7</v>
      </c>
      <c r="BK105" s="252">
        <v>22</v>
      </c>
      <c r="BL105" s="252">
        <v>70.8</v>
      </c>
    </row>
    <row r="106" spans="1:64" ht="15.75" thickBot="1" x14ac:dyDescent="0.3">
      <c r="A106" s="84" t="s">
        <v>106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1</v>
      </c>
      <c r="N106" s="94">
        <v>0</v>
      </c>
      <c r="O106" s="94">
        <v>0</v>
      </c>
      <c r="P106" s="94">
        <v>0</v>
      </c>
      <c r="Q106" s="94">
        <v>0</v>
      </c>
      <c r="R106" s="94">
        <v>1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0</v>
      </c>
      <c r="AB106" s="94">
        <v>0</v>
      </c>
      <c r="AC106" s="94">
        <v>0</v>
      </c>
      <c r="AD106" s="94">
        <v>0</v>
      </c>
      <c r="AE106" s="94">
        <v>0</v>
      </c>
      <c r="AF106" s="94">
        <v>0</v>
      </c>
      <c r="AG106" s="85"/>
      <c r="AH106" s="47">
        <f t="shared" si="51"/>
        <v>1</v>
      </c>
      <c r="AI106" s="48">
        <f t="shared" si="52"/>
        <v>0</v>
      </c>
      <c r="BG106" s="252">
        <v>67.400000000000006</v>
      </c>
      <c r="BH106" s="252">
        <v>0</v>
      </c>
      <c r="BI106" s="252">
        <v>384.1</v>
      </c>
      <c r="BJ106" s="252">
        <v>7</v>
      </c>
      <c r="BK106" s="252">
        <v>0</v>
      </c>
      <c r="BL106" s="252">
        <v>45.9</v>
      </c>
    </row>
    <row r="107" spans="1:64" ht="15.75" thickBot="1" x14ac:dyDescent="0.3">
      <c r="A107" s="99" t="s">
        <v>107</v>
      </c>
      <c r="B107" s="60">
        <f>SUM(B101:B106)</f>
        <v>0</v>
      </c>
      <c r="C107" s="60">
        <f t="shared" ref="C107:AA107" si="107">SUM(C101:C106)</f>
        <v>0</v>
      </c>
      <c r="D107" s="60">
        <f t="shared" si="107"/>
        <v>0</v>
      </c>
      <c r="E107" s="60">
        <f t="shared" si="107"/>
        <v>0</v>
      </c>
      <c r="F107" s="60">
        <f t="shared" si="107"/>
        <v>0</v>
      </c>
      <c r="G107" s="60">
        <f t="shared" si="107"/>
        <v>0</v>
      </c>
      <c r="H107" s="60">
        <f t="shared" si="107"/>
        <v>0</v>
      </c>
      <c r="I107" s="60">
        <f t="shared" si="107"/>
        <v>0</v>
      </c>
      <c r="J107" s="60">
        <f t="shared" si="107"/>
        <v>0</v>
      </c>
      <c r="K107" s="60">
        <f t="shared" si="107"/>
        <v>0</v>
      </c>
      <c r="L107" s="60">
        <f t="shared" si="107"/>
        <v>0</v>
      </c>
      <c r="M107" s="60">
        <f t="shared" ref="M107" si="108">SUM(M101:M106)</f>
        <v>1</v>
      </c>
      <c r="N107" s="60">
        <f t="shared" si="107"/>
        <v>0</v>
      </c>
      <c r="O107" s="60">
        <f t="shared" si="107"/>
        <v>0</v>
      </c>
      <c r="P107" s="60">
        <f t="shared" si="107"/>
        <v>0</v>
      </c>
      <c r="Q107" s="60">
        <f t="shared" si="107"/>
        <v>0</v>
      </c>
      <c r="R107" s="60">
        <f t="shared" ref="R107" si="109">SUM(R101:R106)</f>
        <v>1</v>
      </c>
      <c r="S107" s="60">
        <f t="shared" si="107"/>
        <v>0</v>
      </c>
      <c r="T107" s="60">
        <f t="shared" si="107"/>
        <v>0</v>
      </c>
      <c r="U107" s="60">
        <f t="shared" si="107"/>
        <v>0</v>
      </c>
      <c r="V107" s="60">
        <f t="shared" si="107"/>
        <v>0</v>
      </c>
      <c r="W107" s="60">
        <f t="shared" si="107"/>
        <v>0</v>
      </c>
      <c r="X107" s="60">
        <f t="shared" si="107"/>
        <v>0</v>
      </c>
      <c r="Y107" s="60">
        <f t="shared" si="107"/>
        <v>0</v>
      </c>
      <c r="Z107" s="60">
        <f t="shared" si="107"/>
        <v>0</v>
      </c>
      <c r="AA107" s="60">
        <f t="shared" si="107"/>
        <v>0</v>
      </c>
      <c r="AB107" s="60">
        <f t="shared" ref="AB107:AC107" si="110">SUM(AB101:AB106)</f>
        <v>0</v>
      </c>
      <c r="AC107" s="60">
        <f t="shared" si="110"/>
        <v>0</v>
      </c>
      <c r="AD107" s="60">
        <f t="shared" ref="AD107:AE107" si="111">SUM(AD101:AD106)</f>
        <v>0</v>
      </c>
      <c r="AE107" s="60">
        <f t="shared" si="111"/>
        <v>0</v>
      </c>
      <c r="AF107" s="60">
        <f t="shared" ref="AF107" si="112">SUM(AF101:AF106)</f>
        <v>0</v>
      </c>
      <c r="AG107" s="88"/>
      <c r="AH107" s="47">
        <f t="shared" si="51"/>
        <v>1</v>
      </c>
      <c r="AI107" s="48">
        <f t="shared" si="52"/>
        <v>0</v>
      </c>
      <c r="AK107" s="50"/>
      <c r="BG107" s="252">
        <v>63</v>
      </c>
      <c r="BH107" s="252">
        <v>0</v>
      </c>
      <c r="BI107" s="252">
        <v>380</v>
      </c>
      <c r="BJ107" s="252">
        <v>41</v>
      </c>
      <c r="BK107" s="252">
        <v>0</v>
      </c>
      <c r="BL107" s="252">
        <v>0</v>
      </c>
    </row>
    <row r="108" spans="1:64" ht="15.75" thickBot="1" x14ac:dyDescent="0.3">
      <c r="A108" s="74" t="s">
        <v>108</v>
      </c>
      <c r="B108" s="60">
        <f t="shared" ref="B108:AA108" si="113">B92-B107</f>
        <v>508</v>
      </c>
      <c r="C108" s="60">
        <f t="shared" si="113"/>
        <v>519</v>
      </c>
      <c r="D108" s="60">
        <f t="shared" si="113"/>
        <v>490</v>
      </c>
      <c r="E108" s="60">
        <f t="shared" si="113"/>
        <v>514.79999999999995</v>
      </c>
      <c r="F108" s="60">
        <f t="shared" si="113"/>
        <v>519</v>
      </c>
      <c r="G108" s="60">
        <f t="shared" si="113"/>
        <v>498.5</v>
      </c>
      <c r="H108" s="60">
        <f t="shared" si="113"/>
        <v>491.5</v>
      </c>
      <c r="I108" s="60">
        <f t="shared" si="113"/>
        <v>497.59999999999997</v>
      </c>
      <c r="J108" s="60">
        <f t="shared" si="113"/>
        <v>462.3</v>
      </c>
      <c r="K108" s="60">
        <f t="shared" si="113"/>
        <v>411</v>
      </c>
      <c r="L108" s="60">
        <f t="shared" si="113"/>
        <v>102</v>
      </c>
      <c r="M108" s="60">
        <f t="shared" ref="M108" si="114">M92-M107</f>
        <v>101.8</v>
      </c>
      <c r="N108" s="60">
        <f t="shared" si="113"/>
        <v>183</v>
      </c>
      <c r="O108" s="60">
        <f t="shared" si="113"/>
        <v>288.59999999999997</v>
      </c>
      <c r="P108" s="60">
        <f t="shared" si="113"/>
        <v>446</v>
      </c>
      <c r="Q108" s="60">
        <f t="shared" si="113"/>
        <v>565</v>
      </c>
      <c r="R108" s="60">
        <f t="shared" ref="R108" si="115">R92-R107</f>
        <v>537</v>
      </c>
      <c r="S108" s="60">
        <f t="shared" si="113"/>
        <v>566.09999999999991</v>
      </c>
      <c r="T108" s="60">
        <f t="shared" si="113"/>
        <v>538.70000000000005</v>
      </c>
      <c r="U108" s="60">
        <f t="shared" si="113"/>
        <v>582</v>
      </c>
      <c r="V108" s="60">
        <f t="shared" si="113"/>
        <v>432.09999999999997</v>
      </c>
      <c r="W108" s="60">
        <f t="shared" si="113"/>
        <v>439.6</v>
      </c>
      <c r="X108" s="60">
        <f t="shared" si="113"/>
        <v>405.9</v>
      </c>
      <c r="Y108" s="60">
        <f>Y92-Y107</f>
        <v>452.1</v>
      </c>
      <c r="Z108" s="60">
        <f>Z92-Z107</f>
        <v>359</v>
      </c>
      <c r="AA108" s="60">
        <f t="shared" si="113"/>
        <v>340</v>
      </c>
      <c r="AB108" s="60">
        <f t="shared" ref="AB108:AC108" si="116">AB92-AB107</f>
        <v>411.5</v>
      </c>
      <c r="AC108" s="60">
        <f t="shared" si="116"/>
        <v>548.6</v>
      </c>
      <c r="AD108" s="60">
        <f t="shared" ref="AD108:AE108" si="117">AD92-AD107</f>
        <v>548.6</v>
      </c>
      <c r="AE108" s="60">
        <f t="shared" si="117"/>
        <v>551</v>
      </c>
      <c r="AF108" s="60">
        <f t="shared" ref="AF108" si="118">AF92-AF107</f>
        <v>504.4</v>
      </c>
      <c r="AG108" s="88"/>
      <c r="AH108" s="47">
        <f t="shared" si="51"/>
        <v>582</v>
      </c>
      <c r="AI108" s="48">
        <f t="shared" si="52"/>
        <v>101.8</v>
      </c>
    </row>
    <row r="109" spans="1:64" x14ac:dyDescent="0.25">
      <c r="A109" s="100" t="s">
        <v>109</v>
      </c>
      <c r="B109" s="101">
        <v>49.99</v>
      </c>
      <c r="C109" s="101">
        <v>49.87</v>
      </c>
      <c r="D109" s="101">
        <v>50.01</v>
      </c>
      <c r="E109" s="101">
        <v>50.026000000000003</v>
      </c>
      <c r="F109" s="101">
        <v>50.143999999999998</v>
      </c>
      <c r="G109" s="101">
        <v>49.942999999999998</v>
      </c>
      <c r="H109" s="101">
        <v>50.055</v>
      </c>
      <c r="I109" s="101">
        <v>50.000999999999998</v>
      </c>
      <c r="J109" s="101">
        <v>50.027000000000001</v>
      </c>
      <c r="K109" s="101">
        <v>50.027000000000001</v>
      </c>
      <c r="L109" s="101">
        <v>49.985999999999997</v>
      </c>
      <c r="M109" s="101">
        <v>50.064999999999998</v>
      </c>
      <c r="N109" s="101">
        <v>50.003</v>
      </c>
      <c r="O109" s="101">
        <v>49.89</v>
      </c>
      <c r="P109" s="101">
        <v>50.061999999999998</v>
      </c>
      <c r="Q109" s="101">
        <v>50.011000000000003</v>
      </c>
      <c r="R109" s="101">
        <v>50.04</v>
      </c>
      <c r="S109" s="101">
        <v>50.07</v>
      </c>
      <c r="T109" s="101">
        <v>50.064</v>
      </c>
      <c r="U109" s="101">
        <v>49.966000000000001</v>
      </c>
      <c r="V109" s="101">
        <v>49.99</v>
      </c>
      <c r="W109" s="101">
        <v>49.973999999999997</v>
      </c>
      <c r="X109" s="101">
        <v>49.994999999999997</v>
      </c>
      <c r="Y109" s="101">
        <v>50.003</v>
      </c>
      <c r="Z109" s="101">
        <v>49.945999999999998</v>
      </c>
      <c r="AA109" s="101">
        <v>49.945999999999998</v>
      </c>
      <c r="AB109" s="101">
        <v>50.05</v>
      </c>
      <c r="AC109" s="101">
        <v>49.96</v>
      </c>
      <c r="AD109" s="101">
        <v>49.96</v>
      </c>
      <c r="AE109" s="101">
        <v>49.96</v>
      </c>
      <c r="AF109" s="101">
        <v>49.95</v>
      </c>
      <c r="AG109" s="102"/>
      <c r="AH109" s="47">
        <f t="shared" si="51"/>
        <v>50.143999999999998</v>
      </c>
      <c r="AI109" s="48">
        <f t="shared" si="52"/>
        <v>49.87</v>
      </c>
    </row>
    <row r="110" spans="1:64" x14ac:dyDescent="0.25">
      <c r="A110" s="103" t="s">
        <v>110</v>
      </c>
      <c r="B110" s="65">
        <v>127.8</v>
      </c>
      <c r="C110" s="65">
        <v>126.7</v>
      </c>
      <c r="D110" s="65">
        <v>126.4</v>
      </c>
      <c r="E110" s="65">
        <v>128.5</v>
      </c>
      <c r="F110" s="65">
        <v>128.9</v>
      </c>
      <c r="G110" s="65">
        <v>128.5</v>
      </c>
      <c r="H110" s="65">
        <v>128</v>
      </c>
      <c r="I110" s="65">
        <v>127.4</v>
      </c>
      <c r="J110" s="65">
        <v>126.9</v>
      </c>
      <c r="K110" s="65">
        <v>126.9</v>
      </c>
      <c r="L110" s="65">
        <v>126.1</v>
      </c>
      <c r="M110" s="65">
        <v>127.7</v>
      </c>
      <c r="N110" s="65">
        <v>127.3</v>
      </c>
      <c r="O110" s="65">
        <v>128.1</v>
      </c>
      <c r="P110" s="65">
        <v>128.5</v>
      </c>
      <c r="Q110" s="65">
        <v>123.7</v>
      </c>
      <c r="R110" s="65">
        <v>125</v>
      </c>
      <c r="S110" s="65">
        <v>126.1</v>
      </c>
      <c r="T110" s="65">
        <v>126.2</v>
      </c>
      <c r="U110" s="65">
        <v>125</v>
      </c>
      <c r="V110" s="65">
        <v>130.19999999999999</v>
      </c>
      <c r="W110" s="65">
        <v>129</v>
      </c>
      <c r="X110" s="65">
        <v>127</v>
      </c>
      <c r="Y110" s="65">
        <v>126</v>
      </c>
      <c r="Z110" s="65">
        <v>126.7</v>
      </c>
      <c r="AA110" s="65">
        <v>126.7</v>
      </c>
      <c r="AB110" s="65">
        <v>127.8</v>
      </c>
      <c r="AC110" s="65">
        <v>127.8</v>
      </c>
      <c r="AD110" s="65">
        <v>127.8</v>
      </c>
      <c r="AE110" s="65">
        <v>127.6</v>
      </c>
      <c r="AF110" s="65">
        <v>127.7</v>
      </c>
      <c r="AG110" s="104"/>
      <c r="AH110" s="47">
        <f t="shared" si="51"/>
        <v>130.19999999999999</v>
      </c>
      <c r="AI110" s="48">
        <f t="shared" si="52"/>
        <v>123.7</v>
      </c>
    </row>
    <row r="111" spans="1:64" x14ac:dyDescent="0.25">
      <c r="A111" s="103" t="s">
        <v>111</v>
      </c>
      <c r="B111" s="65">
        <v>131.69999999999999</v>
      </c>
      <c r="C111" s="65">
        <v>131.4</v>
      </c>
      <c r="D111" s="65">
        <v>131.69999999999999</v>
      </c>
      <c r="E111" s="65">
        <v>132.9</v>
      </c>
      <c r="F111" s="65">
        <v>132.80000000000001</v>
      </c>
      <c r="G111" s="65">
        <v>132.19999999999999</v>
      </c>
      <c r="H111" s="65">
        <v>132.1</v>
      </c>
      <c r="I111" s="65">
        <v>131.4</v>
      </c>
      <c r="J111" s="65">
        <v>130</v>
      </c>
      <c r="K111" s="65">
        <v>130</v>
      </c>
      <c r="L111" s="65">
        <v>127.8</v>
      </c>
      <c r="M111" s="65">
        <v>130.4</v>
      </c>
      <c r="N111" s="65">
        <v>129.6</v>
      </c>
      <c r="O111" s="65">
        <v>130.30000000000001</v>
      </c>
      <c r="P111" s="65">
        <v>128.5</v>
      </c>
      <c r="Q111" s="65">
        <v>126.7</v>
      </c>
      <c r="R111" s="65">
        <v>128.69999999999999</v>
      </c>
      <c r="S111" s="65">
        <v>129.4</v>
      </c>
      <c r="T111" s="65">
        <v>129.4</v>
      </c>
      <c r="U111" s="65">
        <v>128</v>
      </c>
      <c r="V111" s="65">
        <v>132.5</v>
      </c>
      <c r="W111" s="65">
        <v>131</v>
      </c>
      <c r="X111" s="65">
        <v>128.30000000000001</v>
      </c>
      <c r="Y111" s="65">
        <v>127</v>
      </c>
      <c r="Z111" s="65">
        <v>127.3</v>
      </c>
      <c r="AA111" s="65">
        <v>127.3</v>
      </c>
      <c r="AB111" s="65">
        <v>128.80000000000001</v>
      </c>
      <c r="AC111" s="65">
        <v>128.80000000000001</v>
      </c>
      <c r="AD111" s="65">
        <v>128.80000000000001</v>
      </c>
      <c r="AE111" s="65">
        <v>130.19999999999999</v>
      </c>
      <c r="AF111" s="65">
        <v>131.19999999999999</v>
      </c>
      <c r="AG111" s="104"/>
      <c r="AH111" s="47">
        <f t="shared" si="51"/>
        <v>132.9</v>
      </c>
      <c r="AI111" s="48">
        <f t="shared" si="52"/>
        <v>126.7</v>
      </c>
    </row>
    <row r="112" spans="1:64" x14ac:dyDescent="0.25">
      <c r="A112" s="103" t="s">
        <v>112</v>
      </c>
      <c r="B112" s="65">
        <v>131.9</v>
      </c>
      <c r="C112" s="65">
        <v>129.1</v>
      </c>
      <c r="D112" s="65">
        <v>131.80000000000001</v>
      </c>
      <c r="E112" s="65">
        <v>129.6</v>
      </c>
      <c r="F112" s="65">
        <v>129.1</v>
      </c>
      <c r="G112" s="65">
        <v>128.80000000000001</v>
      </c>
      <c r="H112" s="65">
        <v>128.1</v>
      </c>
      <c r="I112" s="65">
        <v>127</v>
      </c>
      <c r="J112" s="65">
        <v>126.4</v>
      </c>
      <c r="K112" s="65">
        <v>126.4</v>
      </c>
      <c r="L112" s="65">
        <v>128.4</v>
      </c>
      <c r="M112" s="65">
        <v>132</v>
      </c>
      <c r="N112" s="65">
        <v>131.1</v>
      </c>
      <c r="O112" s="65">
        <v>132.19999999999999</v>
      </c>
      <c r="P112" s="65">
        <v>128.80000000000001</v>
      </c>
      <c r="Q112" s="65">
        <v>126.9</v>
      </c>
      <c r="R112" s="65">
        <v>130</v>
      </c>
      <c r="S112" s="65">
        <v>127.8</v>
      </c>
      <c r="T112" s="65">
        <v>128.5</v>
      </c>
      <c r="U112" s="65">
        <v>130</v>
      </c>
      <c r="V112" s="65">
        <v>131.6</v>
      </c>
      <c r="W112" s="65">
        <v>131.5</v>
      </c>
      <c r="X112" s="65">
        <v>126.7</v>
      </c>
      <c r="Y112" s="65">
        <v>129</v>
      </c>
      <c r="Z112" s="65">
        <v>131</v>
      </c>
      <c r="AA112" s="65">
        <v>131</v>
      </c>
      <c r="AB112" s="65">
        <v>133.22</v>
      </c>
      <c r="AC112" s="65">
        <v>133.22</v>
      </c>
      <c r="AD112" s="65">
        <v>133.22</v>
      </c>
      <c r="AE112" s="65">
        <v>131.4</v>
      </c>
      <c r="AF112" s="65">
        <v>131.19999999999999</v>
      </c>
      <c r="AG112" s="104"/>
      <c r="AH112" s="47">
        <f t="shared" si="51"/>
        <v>133.22</v>
      </c>
      <c r="AI112" s="48">
        <f t="shared" si="52"/>
        <v>126.4</v>
      </c>
    </row>
    <row r="113" spans="1:35" x14ac:dyDescent="0.25">
      <c r="A113" s="105" t="s">
        <v>113</v>
      </c>
      <c r="B113" s="65">
        <v>134</v>
      </c>
      <c r="C113" s="65">
        <v>131.19999999999999</v>
      </c>
      <c r="D113" s="65">
        <v>133.4</v>
      </c>
      <c r="E113" s="65">
        <v>132.9</v>
      </c>
      <c r="F113" s="65">
        <v>132.80000000000001</v>
      </c>
      <c r="G113" s="65">
        <v>131.9</v>
      </c>
      <c r="H113" s="65">
        <v>131.1</v>
      </c>
      <c r="I113" s="65">
        <v>130.30000000000001</v>
      </c>
      <c r="J113" s="65">
        <v>130.4</v>
      </c>
      <c r="K113" s="65">
        <v>130.4</v>
      </c>
      <c r="L113" s="65">
        <v>130.9</v>
      </c>
      <c r="M113" s="65">
        <v>133.5</v>
      </c>
      <c r="N113" s="65">
        <v>131.80000000000001</v>
      </c>
      <c r="O113" s="65">
        <v>133.1</v>
      </c>
      <c r="P113" s="65">
        <v>130.1</v>
      </c>
      <c r="Q113" s="65">
        <v>129.19999999999999</v>
      </c>
      <c r="R113" s="65">
        <v>131.6</v>
      </c>
      <c r="S113" s="65">
        <v>130</v>
      </c>
      <c r="T113" s="65">
        <v>129.80000000000001</v>
      </c>
      <c r="U113" s="65">
        <v>131</v>
      </c>
      <c r="V113" s="65">
        <v>132</v>
      </c>
      <c r="W113" s="65">
        <v>133</v>
      </c>
      <c r="X113" s="65">
        <v>127.7</v>
      </c>
      <c r="Y113" s="65">
        <v>131</v>
      </c>
      <c r="Z113" s="65">
        <v>133</v>
      </c>
      <c r="AA113" s="65">
        <v>133</v>
      </c>
      <c r="AB113" s="65">
        <v>135.30000000000001</v>
      </c>
      <c r="AC113" s="65">
        <v>135.30000000000001</v>
      </c>
      <c r="AD113" s="65">
        <v>135.30000000000001</v>
      </c>
      <c r="AE113" s="65">
        <v>134.80000000000001</v>
      </c>
      <c r="AF113" s="65">
        <v>132.80000000000001</v>
      </c>
      <c r="AG113" s="104"/>
      <c r="AH113" s="47">
        <f t="shared" si="51"/>
        <v>135.30000000000001</v>
      </c>
      <c r="AI113" s="48">
        <f t="shared" si="52"/>
        <v>127.7</v>
      </c>
    </row>
    <row r="114" spans="1:35" x14ac:dyDescent="0.25">
      <c r="A114" s="105" t="s">
        <v>114</v>
      </c>
      <c r="B114" s="106">
        <v>130.30000000000001</v>
      </c>
      <c r="C114" s="106">
        <v>129.9</v>
      </c>
      <c r="D114" s="106">
        <v>129.4</v>
      </c>
      <c r="E114" s="106">
        <v>134</v>
      </c>
      <c r="F114" s="106">
        <v>134.5</v>
      </c>
      <c r="G114" s="106">
        <v>133.4</v>
      </c>
      <c r="H114" s="106">
        <v>133.9</v>
      </c>
      <c r="I114" s="106">
        <v>132.30000000000001</v>
      </c>
      <c r="J114" s="106">
        <v>132.4</v>
      </c>
      <c r="K114" s="106">
        <v>132.4</v>
      </c>
      <c r="L114" s="106">
        <v>131.5</v>
      </c>
      <c r="M114" s="106">
        <v>134.4</v>
      </c>
      <c r="N114" s="106">
        <v>133.1</v>
      </c>
      <c r="O114" s="106">
        <v>133.5</v>
      </c>
      <c r="P114" s="106">
        <v>132.80000000000001</v>
      </c>
      <c r="Q114" s="106">
        <v>128.80000000000001</v>
      </c>
      <c r="R114" s="106">
        <v>130.69999999999999</v>
      </c>
      <c r="S114" s="106">
        <v>130.4</v>
      </c>
      <c r="T114" s="106">
        <v>130.9</v>
      </c>
      <c r="U114" s="106">
        <v>130</v>
      </c>
      <c r="V114" s="106">
        <v>135.19999999999999</v>
      </c>
      <c r="W114" s="106">
        <v>134.80000000000001</v>
      </c>
      <c r="X114" s="106">
        <v>135.19999999999999</v>
      </c>
      <c r="Y114" s="106">
        <v>135.4</v>
      </c>
      <c r="Z114" s="106">
        <v>135.5</v>
      </c>
      <c r="AA114" s="106">
        <v>135.5</v>
      </c>
      <c r="AB114" s="106">
        <v>134.30000000000001</v>
      </c>
      <c r="AC114" s="106">
        <v>134.30000000000001</v>
      </c>
      <c r="AD114" s="106">
        <v>134.30000000000001</v>
      </c>
      <c r="AE114" s="106">
        <v>133.6</v>
      </c>
      <c r="AF114" s="106">
        <v>132.4</v>
      </c>
      <c r="AG114" s="107"/>
      <c r="AH114" s="47">
        <f t="shared" si="51"/>
        <v>135.5</v>
      </c>
      <c r="AI114" s="48">
        <f t="shared" si="52"/>
        <v>128.80000000000001</v>
      </c>
    </row>
    <row r="115" spans="1:35" x14ac:dyDescent="0.25">
      <c r="A115" s="103" t="s">
        <v>115</v>
      </c>
      <c r="B115" s="65">
        <v>134</v>
      </c>
      <c r="C115" s="65">
        <v>130</v>
      </c>
      <c r="D115" s="65">
        <v>130.1</v>
      </c>
      <c r="E115" s="65">
        <v>129.5</v>
      </c>
      <c r="F115" s="65">
        <v>125.9</v>
      </c>
      <c r="G115" s="65">
        <v>131.19999999999999</v>
      </c>
      <c r="H115" s="65">
        <v>129.4</v>
      </c>
      <c r="I115" s="65">
        <v>131.1</v>
      </c>
      <c r="J115" s="65">
        <v>127</v>
      </c>
      <c r="K115" s="65">
        <v>127</v>
      </c>
      <c r="L115" s="65">
        <v>130.9</v>
      </c>
      <c r="M115" s="65">
        <v>131.19999999999999</v>
      </c>
      <c r="N115" s="65">
        <v>128.30000000000001</v>
      </c>
      <c r="O115" s="65">
        <v>130.4</v>
      </c>
      <c r="P115" s="65">
        <v>139</v>
      </c>
      <c r="Q115" s="65">
        <v>130.9</v>
      </c>
      <c r="R115" s="65">
        <v>135.30000000000001</v>
      </c>
      <c r="S115" s="65">
        <v>130</v>
      </c>
      <c r="T115" s="65">
        <v>132.4</v>
      </c>
      <c r="U115" s="65">
        <v>132.80000000000001</v>
      </c>
      <c r="V115" s="65">
        <v>130.5</v>
      </c>
      <c r="W115" s="65">
        <v>129</v>
      </c>
      <c r="X115" s="65">
        <v>126</v>
      </c>
      <c r="Y115" s="65">
        <v>135</v>
      </c>
      <c r="Z115" s="65">
        <v>134</v>
      </c>
      <c r="AA115" s="65">
        <v>134</v>
      </c>
      <c r="AB115" s="65">
        <v>132.1</v>
      </c>
      <c r="AC115" s="65">
        <v>132.1</v>
      </c>
      <c r="AD115" s="65">
        <v>132.1</v>
      </c>
      <c r="AE115" s="65">
        <v>132.69999999999999</v>
      </c>
      <c r="AF115" s="65">
        <v>128.69999999999999</v>
      </c>
      <c r="AG115" s="104"/>
      <c r="AH115" s="47">
        <f t="shared" si="51"/>
        <v>139</v>
      </c>
      <c r="AI115" s="48">
        <f t="shared" si="52"/>
        <v>125.9</v>
      </c>
    </row>
    <row r="116" spans="1:35" ht="15.75" thickBot="1" x14ac:dyDescent="0.3">
      <c r="A116" s="103" t="s">
        <v>116</v>
      </c>
      <c r="B116" s="92">
        <v>66.2</v>
      </c>
      <c r="C116" s="92">
        <v>65.8</v>
      </c>
      <c r="D116" s="92">
        <v>65.7</v>
      </c>
      <c r="E116" s="92">
        <v>67.099999999999994</v>
      </c>
      <c r="F116" s="92">
        <v>67</v>
      </c>
      <c r="G116" s="92">
        <v>66.8</v>
      </c>
      <c r="H116" s="92">
        <v>66.5</v>
      </c>
      <c r="I116" s="92">
        <v>65.8</v>
      </c>
      <c r="J116" s="92">
        <v>65.2</v>
      </c>
      <c r="K116" s="92">
        <v>65.2</v>
      </c>
      <c r="L116" s="92">
        <v>64.2</v>
      </c>
      <c r="M116" s="92">
        <v>65.5</v>
      </c>
      <c r="N116" s="92">
        <v>64.8</v>
      </c>
      <c r="O116" s="92">
        <v>65.3</v>
      </c>
      <c r="P116" s="92">
        <v>65.8</v>
      </c>
      <c r="Q116" s="92">
        <v>63.7</v>
      </c>
      <c r="R116" s="92">
        <v>64.5</v>
      </c>
      <c r="S116" s="92">
        <v>65.099999999999994</v>
      </c>
      <c r="T116" s="92">
        <v>64.599999999999994</v>
      </c>
      <c r="U116" s="92">
        <v>64.3</v>
      </c>
      <c r="V116" s="92">
        <v>66.599999999999994</v>
      </c>
      <c r="W116" s="92">
        <v>65.8</v>
      </c>
      <c r="X116" s="92">
        <v>64.7</v>
      </c>
      <c r="Y116" s="92">
        <v>63.7</v>
      </c>
      <c r="Z116" s="92">
        <v>64</v>
      </c>
      <c r="AA116" s="92">
        <v>64</v>
      </c>
      <c r="AB116" s="92">
        <v>64.8</v>
      </c>
      <c r="AC116" s="92">
        <v>64.8</v>
      </c>
      <c r="AD116" s="92">
        <v>64.8</v>
      </c>
      <c r="AE116" s="92">
        <v>65.599999999999994</v>
      </c>
      <c r="AF116" s="92">
        <v>66.3</v>
      </c>
      <c r="AG116" s="108"/>
      <c r="AH116" s="47">
        <f t="shared" si="51"/>
        <v>67.099999999999994</v>
      </c>
      <c r="AI116" s="48">
        <f t="shared" si="52"/>
        <v>63.7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 t="s">
        <v>117</v>
      </c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51"/>
        <v>0</v>
      </c>
      <c r="AI117" s="48">
        <f t="shared" si="52"/>
        <v>0</v>
      </c>
    </row>
    <row r="118" spans="1:35" ht="15.75" thickBot="1" x14ac:dyDescent="0.3">
      <c r="A118" s="110" t="s">
        <v>118</v>
      </c>
      <c r="B118" s="111">
        <f t="shared" ref="B118:O118" si="119">SUM(B22,B28,B31:B32,B66,B68:B69,B71,B73,B119:B123,B155,B161,B167,B176,B178,B190,B197,B200:B201,B208,B210,B212,B216:B218,B220:B222,B227,B233:B234,B236:B238,B246,B251)</f>
        <v>162.13999999999999</v>
      </c>
      <c r="C118" s="111">
        <f t="shared" si="119"/>
        <v>196.33999999999997</v>
      </c>
      <c r="D118" s="111">
        <f t="shared" si="119"/>
        <v>142.44</v>
      </c>
      <c r="E118" s="111">
        <f t="shared" si="119"/>
        <v>144.22999999999999</v>
      </c>
      <c r="F118" s="111">
        <f t="shared" si="119"/>
        <v>153.64399999999998</v>
      </c>
      <c r="G118" s="111">
        <f t="shared" si="119"/>
        <v>175.16299999999998</v>
      </c>
      <c r="H118" s="111">
        <f t="shared" si="119"/>
        <v>198.18499999999997</v>
      </c>
      <c r="I118" s="111">
        <f t="shared" si="119"/>
        <v>226.45</v>
      </c>
      <c r="J118" s="111">
        <f t="shared" si="119"/>
        <v>292.24000000000007</v>
      </c>
      <c r="K118" s="111">
        <f t="shared" si="119"/>
        <v>319.07</v>
      </c>
      <c r="L118" s="111">
        <f t="shared" si="119"/>
        <v>361.49099999999999</v>
      </c>
      <c r="M118" s="111">
        <f t="shared" ref="M118" si="120">SUM(M22,M28,M31:M32,M66,M68:M69,M71,M73,M119:M123,M155,M161,M167,M176,M178,M190,M197,M200:M201,M208,M210,M212,M216:M218,M220:M222,M227,M233:M234,M236:M238,M246,M251)</f>
        <v>394.62</v>
      </c>
      <c r="N118" s="111">
        <f t="shared" si="119"/>
        <v>396.0247</v>
      </c>
      <c r="O118" s="111">
        <f t="shared" si="119"/>
        <v>380.22500000000002</v>
      </c>
      <c r="P118" s="111">
        <v>42</v>
      </c>
      <c r="Q118" s="111">
        <f t="shared" ref="Q118:AA118" si="121">SUM(Q22,Q28,Q31:Q32,Q66,Q68:Q69,Q71,Q73,Q119:Q123,Q155,Q161,Q167,Q176,Q178,Q190,Q197,Q200:Q201,Q208,Q210,Q212,Q216:Q218,Q220:Q222,Q227,Q233:Q234,Q236:Q238,Q246,Q251)</f>
        <v>312.28399999999999</v>
      </c>
      <c r="R118" s="111">
        <f t="shared" ref="R118" si="122">SUM(R22,R28,R31:R32,R66,R68:R69,R71,R73,R119:R123,R155,R161,R167,R176,R178,R190,R197,R200:R201,R208,R210,R212,R216:R218,R220:R222,R227,R233:R234,R236:R238,R246,R251)</f>
        <v>272.32</v>
      </c>
      <c r="S118" s="111">
        <f t="shared" si="121"/>
        <v>265.14</v>
      </c>
      <c r="T118" s="111">
        <f t="shared" si="121"/>
        <v>267.90000000000003</v>
      </c>
      <c r="U118" s="111">
        <f t="shared" si="121"/>
        <v>260.33999999999997</v>
      </c>
      <c r="V118" s="111">
        <f t="shared" si="121"/>
        <v>295.74</v>
      </c>
      <c r="W118" s="111">
        <f t="shared" si="121"/>
        <v>329.94</v>
      </c>
      <c r="X118" s="111">
        <f t="shared" si="121"/>
        <v>395.54</v>
      </c>
      <c r="Y118" s="111">
        <f t="shared" ref="Y118:Z118" si="123">SUM(Y20,Y26,Y37:Y38,Y66,Y68:Y69,Y71,Y73,Y119:Y123,Y148,Y154,Y160,Y169,Y171,Y183,Y190,Y193:Y194,Y201,Y203,Y205,Y209:Y211,Y213:Y215,Y220,Y226:Y227,Y229:Y231,Y239,Y244)</f>
        <v>447.3</v>
      </c>
      <c r="Z118" s="111">
        <f t="shared" si="123"/>
        <v>452</v>
      </c>
      <c r="AA118" s="111">
        <f t="shared" si="121"/>
        <v>446.14000000000004</v>
      </c>
      <c r="AB118" s="111">
        <f t="shared" ref="AB118:AC118" si="124">SUM(AB22,AB28,AB31:AB32,AB66,AB68:AB69,AB71,AB73,AB119:AB123,AB155,AB161,AB167,AB176,AB178,AB190,AB197,AB200:AB201,AB208,AB210,AB212,AB216:AB218,AB220:AB222,AB227,AB233:AB234,AB236:AB238,AB246,AB251)</f>
        <v>419.74000000000007</v>
      </c>
      <c r="AC118" s="111">
        <f t="shared" si="124"/>
        <v>362.36</v>
      </c>
      <c r="AD118" s="111">
        <f t="shared" ref="AD118:AE118" si="125">SUM(AD22,AD28,AD31:AD32,AD66,AD68:AD69,AD71,AD73,AD119:AD123,AD155,AD161,AD167,AD176,AD178,AD190,AD197,AD200:AD201,AD208,AD210,AD212,AD216:AD218,AD220:AD222,AD227,AD233:AD234,AD236:AD238,AD246,AD251)</f>
        <v>362.36</v>
      </c>
      <c r="AE118" s="111">
        <f t="shared" si="125"/>
        <v>268.04000000000002</v>
      </c>
      <c r="AF118" s="111">
        <f t="shared" ref="AF118" si="126">SUM(AF22,AF28,AF31:AF32,AF66,AF68:AF69,AF71,AF73,AF119:AF123,AF155,AF161,AF167,AF176,AF178,AF190,AF197,AF200:AF201,AF208,AF210,AF212,AF216:AF218,AF220:AF222,AF227,AF233:AF234,AF236:AF238,AF246,AF251)</f>
        <v>197.14000000000001</v>
      </c>
      <c r="AG118" s="112"/>
      <c r="AH118" s="47">
        <f t="shared" si="51"/>
        <v>452</v>
      </c>
      <c r="AI118" s="48">
        <f t="shared" si="52"/>
        <v>42</v>
      </c>
    </row>
    <row r="119" spans="1:35" x14ac:dyDescent="0.25">
      <c r="A119" s="172" t="s">
        <v>119</v>
      </c>
      <c r="B119" s="113">
        <v>-1</v>
      </c>
      <c r="C119" s="113">
        <v>-1</v>
      </c>
      <c r="D119" s="113">
        <v>-1</v>
      </c>
      <c r="E119" s="113">
        <v>-1.6</v>
      </c>
      <c r="F119" s="113">
        <v>-2.9</v>
      </c>
      <c r="G119" s="113">
        <v>8.9</v>
      </c>
      <c r="H119" s="113">
        <v>12.8</v>
      </c>
      <c r="I119" s="113">
        <v>17.5</v>
      </c>
      <c r="J119" s="113">
        <v>35.200000000000003</v>
      </c>
      <c r="K119" s="113">
        <v>45.5</v>
      </c>
      <c r="L119" s="113">
        <v>45.9</v>
      </c>
      <c r="M119" s="113">
        <v>43</v>
      </c>
      <c r="N119" s="113">
        <v>47.4</v>
      </c>
      <c r="O119" s="113">
        <v>46.6</v>
      </c>
      <c r="P119" s="113">
        <v>41.8</v>
      </c>
      <c r="Q119" s="113">
        <v>26.6</v>
      </c>
      <c r="R119" s="113">
        <v>23.1</v>
      </c>
      <c r="S119" s="113">
        <v>15</v>
      </c>
      <c r="T119" s="113">
        <v>16</v>
      </c>
      <c r="U119" s="113">
        <v>22</v>
      </c>
      <c r="V119" s="113">
        <v>25.5</v>
      </c>
      <c r="W119" s="113">
        <v>30</v>
      </c>
      <c r="X119" s="113">
        <v>39</v>
      </c>
      <c r="Y119" s="113">
        <v>46.1</v>
      </c>
      <c r="Z119" s="113">
        <v>58</v>
      </c>
      <c r="AA119" s="113">
        <v>58</v>
      </c>
      <c r="AB119" s="113">
        <v>47.1</v>
      </c>
      <c r="AC119" s="113">
        <v>36.6</v>
      </c>
      <c r="AD119" s="113">
        <v>36.6</v>
      </c>
      <c r="AE119" s="113">
        <v>19</v>
      </c>
      <c r="AF119" s="113">
        <v>12.3</v>
      </c>
      <c r="AG119" s="114">
        <v>75</v>
      </c>
      <c r="AH119" s="47">
        <f t="shared" si="51"/>
        <v>58</v>
      </c>
      <c r="AI119" s="48">
        <f t="shared" si="52"/>
        <v>-2.9</v>
      </c>
    </row>
    <row r="120" spans="1:35" x14ac:dyDescent="0.25">
      <c r="A120" s="173" t="s">
        <v>120</v>
      </c>
      <c r="B120" s="115">
        <v>-1.8</v>
      </c>
      <c r="C120" s="115">
        <v>0.1</v>
      </c>
      <c r="D120" s="115">
        <v>0</v>
      </c>
      <c r="E120" s="115">
        <v>-2.5</v>
      </c>
      <c r="F120" s="115">
        <v>-5.2</v>
      </c>
      <c r="G120" s="115">
        <v>12.3</v>
      </c>
      <c r="H120" s="115">
        <v>16.3</v>
      </c>
      <c r="I120" s="115">
        <v>20.5</v>
      </c>
      <c r="J120" s="115">
        <v>36.9</v>
      </c>
      <c r="K120" s="115">
        <v>61.1</v>
      </c>
      <c r="L120" s="115">
        <v>61.3</v>
      </c>
      <c r="M120" s="115">
        <v>58.3</v>
      </c>
      <c r="N120" s="115">
        <v>66.3</v>
      </c>
      <c r="O120" s="115">
        <v>65.5</v>
      </c>
      <c r="P120" s="115">
        <v>55.4</v>
      </c>
      <c r="Q120" s="115">
        <v>36.5</v>
      </c>
      <c r="R120" s="115">
        <v>36</v>
      </c>
      <c r="S120" s="115">
        <v>20</v>
      </c>
      <c r="T120" s="115">
        <v>19</v>
      </c>
      <c r="U120" s="115">
        <v>18</v>
      </c>
      <c r="V120" s="115">
        <v>36</v>
      </c>
      <c r="W120" s="115">
        <v>41</v>
      </c>
      <c r="X120" s="115">
        <v>50</v>
      </c>
      <c r="Y120" s="115">
        <v>61</v>
      </c>
      <c r="Z120" s="115">
        <v>75.2</v>
      </c>
      <c r="AA120" s="115">
        <v>75.2</v>
      </c>
      <c r="AB120" s="115">
        <v>61.8</v>
      </c>
      <c r="AC120" s="115">
        <v>49.1</v>
      </c>
      <c r="AD120" s="115">
        <v>49.1</v>
      </c>
      <c r="AE120" s="115">
        <v>30</v>
      </c>
      <c r="AF120" s="115">
        <v>19.899999999999999</v>
      </c>
      <c r="AG120" s="114">
        <v>240</v>
      </c>
      <c r="AH120" s="47">
        <f t="shared" si="51"/>
        <v>75.2</v>
      </c>
      <c r="AI120" s="48">
        <f t="shared" si="52"/>
        <v>-5.2</v>
      </c>
    </row>
    <row r="121" spans="1:35" x14ac:dyDescent="0.25">
      <c r="A121" s="173" t="s">
        <v>121</v>
      </c>
      <c r="B121" s="115">
        <v>-6.5</v>
      </c>
      <c r="C121" s="115">
        <v>-30</v>
      </c>
      <c r="D121" s="115">
        <v>-40</v>
      </c>
      <c r="E121" s="115">
        <v>-44.6</v>
      </c>
      <c r="F121" s="115">
        <v>-40.1</v>
      </c>
      <c r="G121" s="115">
        <v>-41.2</v>
      </c>
      <c r="H121" s="115">
        <v>-36</v>
      </c>
      <c r="I121" s="115">
        <v>-26.8</v>
      </c>
      <c r="J121" s="115">
        <v>-10</v>
      </c>
      <c r="K121" s="115">
        <v>4.9000000000000004</v>
      </c>
      <c r="L121" s="115">
        <v>14.1</v>
      </c>
      <c r="M121" s="115">
        <f>9.8+10.4</f>
        <v>20.200000000000003</v>
      </c>
      <c r="N121" s="115">
        <f>2.1+2.3</f>
        <v>4.4000000000000004</v>
      </c>
      <c r="O121" s="115">
        <f>-0.5-0.7</f>
        <v>-1.2</v>
      </c>
      <c r="P121" s="115">
        <f>2.9+3.8</f>
        <v>6.6999999999999993</v>
      </c>
      <c r="Q121" s="115">
        <f>0.5+0.8</f>
        <v>1.3</v>
      </c>
      <c r="R121" s="115">
        <f>-6.2-7</f>
        <v>-13.2</v>
      </c>
      <c r="S121" s="115">
        <v>-7</v>
      </c>
      <c r="T121" s="115">
        <v>3</v>
      </c>
      <c r="U121" s="115">
        <v>-2</v>
      </c>
      <c r="V121" s="115">
        <v>21</v>
      </c>
      <c r="W121" s="115">
        <v>32</v>
      </c>
      <c r="X121" s="115">
        <v>43</v>
      </c>
      <c r="Y121" s="115">
        <v>55</v>
      </c>
      <c r="Z121" s="115">
        <v>54</v>
      </c>
      <c r="AA121" s="115">
        <v>54</v>
      </c>
      <c r="AB121" s="115">
        <v>50</v>
      </c>
      <c r="AC121" s="115">
        <v>24</v>
      </c>
      <c r="AD121" s="115">
        <v>24</v>
      </c>
      <c r="AE121" s="115">
        <v>-5</v>
      </c>
      <c r="AF121" s="115">
        <v>-32</v>
      </c>
      <c r="AG121" s="114">
        <v>240</v>
      </c>
      <c r="AH121" s="47">
        <f t="shared" si="51"/>
        <v>55</v>
      </c>
      <c r="AI121" s="48">
        <f t="shared" si="52"/>
        <v>-44.6</v>
      </c>
    </row>
    <row r="122" spans="1:35" ht="15.75" thickBot="1" x14ac:dyDescent="0.3">
      <c r="A122" s="173" t="s">
        <v>122</v>
      </c>
      <c r="B122" s="115">
        <v>-27</v>
      </c>
      <c r="C122" s="115">
        <v>8.8000000000000007</v>
      </c>
      <c r="D122" s="115">
        <v>-10</v>
      </c>
      <c r="E122" s="115">
        <v>-14.5</v>
      </c>
      <c r="F122" s="115">
        <v>-12.6</v>
      </c>
      <c r="G122" s="115">
        <v>-12.1</v>
      </c>
      <c r="H122" s="115">
        <v>-13.2</v>
      </c>
      <c r="I122" s="115">
        <v>-4.2</v>
      </c>
      <c r="J122" s="115">
        <v>5.3</v>
      </c>
      <c r="K122" s="115">
        <v>13.9</v>
      </c>
      <c r="L122" s="115">
        <v>18.399999999999999</v>
      </c>
      <c r="M122" s="115">
        <v>19.899999999999999</v>
      </c>
      <c r="N122" s="115">
        <v>18.5</v>
      </c>
      <c r="O122" s="115">
        <v>18.3</v>
      </c>
      <c r="P122" s="115">
        <v>18.2</v>
      </c>
      <c r="Q122" s="115">
        <v>1.4</v>
      </c>
      <c r="R122" s="115">
        <v>-1.5</v>
      </c>
      <c r="S122" s="115">
        <v>-1</v>
      </c>
      <c r="T122" s="115">
        <v>2.5</v>
      </c>
      <c r="U122" s="115">
        <v>-2</v>
      </c>
      <c r="V122" s="115">
        <v>17</v>
      </c>
      <c r="W122" s="115">
        <v>20</v>
      </c>
      <c r="X122" s="115">
        <v>23</v>
      </c>
      <c r="Y122" s="115">
        <v>26</v>
      </c>
      <c r="Z122" s="115">
        <v>28</v>
      </c>
      <c r="AA122" s="115">
        <v>28</v>
      </c>
      <c r="AB122" s="115">
        <v>26.1</v>
      </c>
      <c r="AC122" s="115">
        <v>15.2</v>
      </c>
      <c r="AD122" s="115">
        <v>15.2</v>
      </c>
      <c r="AE122" s="115">
        <v>4.9800000000000004</v>
      </c>
      <c r="AF122" s="115">
        <v>-5</v>
      </c>
      <c r="AG122" s="114">
        <v>60</v>
      </c>
      <c r="AH122" s="47">
        <f t="shared" si="51"/>
        <v>28</v>
      </c>
      <c r="AI122" s="48">
        <f t="shared" si="52"/>
        <v>-27</v>
      </c>
    </row>
    <row r="123" spans="1:35" x14ac:dyDescent="0.25">
      <c r="A123" s="172" t="s">
        <v>260</v>
      </c>
      <c r="B123" s="117">
        <v>100</v>
      </c>
      <c r="C123" s="117">
        <v>120</v>
      </c>
      <c r="D123" s="117">
        <v>95</v>
      </c>
      <c r="E123" s="117">
        <f>1.67*67</f>
        <v>111.89</v>
      </c>
      <c r="F123" s="117">
        <f>1.67*71.2</f>
        <v>118.904</v>
      </c>
      <c r="G123" s="117">
        <f>1.67*66.9</f>
        <v>111.723</v>
      </c>
      <c r="H123" s="117">
        <f>1.67*73.5</f>
        <v>122.74499999999999</v>
      </c>
      <c r="I123" s="117">
        <f>1.67*73</f>
        <v>121.91</v>
      </c>
      <c r="J123" s="117">
        <v>130</v>
      </c>
      <c r="K123" s="117">
        <f>1.67*59</f>
        <v>98.53</v>
      </c>
      <c r="L123" s="117">
        <f>1.67*75.3</f>
        <v>125.75099999999999</v>
      </c>
      <c r="M123" s="117">
        <f>95.8*1.6</f>
        <v>153.28</v>
      </c>
      <c r="N123" s="117">
        <f>96.7*1.641</f>
        <v>158.68469999999999</v>
      </c>
      <c r="O123" s="117">
        <f>85*1.641</f>
        <v>139.48500000000001</v>
      </c>
      <c r="P123" s="117">
        <f>74*1.641</f>
        <v>121.434</v>
      </c>
      <c r="Q123" s="117">
        <f>82.1*1.64</f>
        <v>134.64399999999998</v>
      </c>
      <c r="R123" s="117">
        <f>71.8*1.6</f>
        <v>114.88</v>
      </c>
      <c r="S123" s="117">
        <f>80*1.6</f>
        <v>128</v>
      </c>
      <c r="T123" s="117">
        <f>75.1*1.6</f>
        <v>120.16</v>
      </c>
      <c r="U123" s="117">
        <v>125</v>
      </c>
      <c r="V123" s="117">
        <f>62*1.6</f>
        <v>99.2</v>
      </c>
      <c r="W123" s="117">
        <f>69*1.6</f>
        <v>110.4</v>
      </c>
      <c r="X123" s="117">
        <f>90*1.6</f>
        <v>144</v>
      </c>
      <c r="Y123" s="117">
        <v>156.80000000000001</v>
      </c>
      <c r="Z123" s="117">
        <f>84*1.6</f>
        <v>134.4</v>
      </c>
      <c r="AA123" s="117">
        <f>84*1.6</f>
        <v>134.4</v>
      </c>
      <c r="AB123" s="117">
        <f>87*1.6</f>
        <v>139.20000000000002</v>
      </c>
      <c r="AC123" s="117">
        <f>88.7*1.6</f>
        <v>141.92000000000002</v>
      </c>
      <c r="AD123" s="117">
        <f t="shared" ref="AD123" si="127">88.7*1.6</f>
        <v>141.92000000000002</v>
      </c>
      <c r="AE123" s="117">
        <f>77.2*1.6</f>
        <v>123.52000000000001</v>
      </c>
      <c r="AF123" s="117">
        <f>66.5*1.6</f>
        <v>106.4</v>
      </c>
      <c r="AG123" s="118">
        <v>120</v>
      </c>
      <c r="AH123" s="47">
        <f t="shared" si="51"/>
        <v>158.68469999999999</v>
      </c>
      <c r="AI123" s="48">
        <f t="shared" si="52"/>
        <v>95</v>
      </c>
    </row>
    <row r="124" spans="1:35" x14ac:dyDescent="0.25">
      <c r="A124" s="173" t="s">
        <v>259</v>
      </c>
      <c r="B124" s="117">
        <v>81</v>
      </c>
      <c r="C124" s="117">
        <v>79</v>
      </c>
      <c r="D124" s="117">
        <v>75</v>
      </c>
      <c r="E124" s="117">
        <v>81.7</v>
      </c>
      <c r="F124" s="117">
        <v>84.6</v>
      </c>
      <c r="G124" s="117">
        <v>81.8</v>
      </c>
      <c r="H124" s="117">
        <v>86.2</v>
      </c>
      <c r="I124" s="117">
        <v>86.1</v>
      </c>
      <c r="J124" s="117">
        <v>80</v>
      </c>
      <c r="K124" s="117">
        <v>72.400000000000006</v>
      </c>
      <c r="L124" s="117">
        <v>87.1</v>
      </c>
      <c r="M124" s="117">
        <v>103.2</v>
      </c>
      <c r="N124" s="117">
        <v>103.6</v>
      </c>
      <c r="O124" s="117">
        <v>94.6</v>
      </c>
      <c r="P124" s="117">
        <v>85.2</v>
      </c>
      <c r="Q124" s="117">
        <v>92.7</v>
      </c>
      <c r="R124" s="117">
        <v>86.5</v>
      </c>
      <c r="S124" s="117">
        <v>90</v>
      </c>
      <c r="T124" s="117">
        <v>89</v>
      </c>
      <c r="U124" s="117">
        <v>92.5</v>
      </c>
      <c r="V124" s="117">
        <v>77</v>
      </c>
      <c r="W124" s="117">
        <v>83</v>
      </c>
      <c r="X124" s="117">
        <v>100</v>
      </c>
      <c r="Y124" s="117">
        <v>106</v>
      </c>
      <c r="Z124" s="117">
        <v>94</v>
      </c>
      <c r="AA124" s="117">
        <v>94</v>
      </c>
      <c r="AB124" s="117">
        <v>96.3</v>
      </c>
      <c r="AC124" s="117">
        <v>97.7</v>
      </c>
      <c r="AD124" s="117">
        <v>97.7</v>
      </c>
      <c r="AE124" s="117">
        <v>88.5</v>
      </c>
      <c r="AF124" s="117">
        <v>80.099999999999994</v>
      </c>
      <c r="AG124" s="118"/>
      <c r="AH124" s="47">
        <f t="shared" si="51"/>
        <v>106</v>
      </c>
      <c r="AI124" s="48">
        <f t="shared" si="52"/>
        <v>72.400000000000006</v>
      </c>
    </row>
    <row r="125" spans="1:35" x14ac:dyDescent="0.25">
      <c r="A125" s="173" t="s">
        <v>256</v>
      </c>
      <c r="B125" s="117">
        <v>60</v>
      </c>
      <c r="C125" s="117">
        <v>65</v>
      </c>
      <c r="D125" s="117">
        <v>69</v>
      </c>
      <c r="E125" s="117">
        <v>59.1</v>
      </c>
      <c r="F125" s="117">
        <v>59.4</v>
      </c>
      <c r="G125" s="117">
        <v>34</v>
      </c>
      <c r="H125" s="117">
        <v>29.4</v>
      </c>
      <c r="I125" s="117">
        <v>38.9</v>
      </c>
      <c r="J125" s="117">
        <v>22</v>
      </c>
      <c r="K125" s="117">
        <v>-41.4</v>
      </c>
      <c r="L125" s="117">
        <v>-40</v>
      </c>
      <c r="M125" s="117">
        <v>-24.5</v>
      </c>
      <c r="N125" s="117">
        <v>-24.2</v>
      </c>
      <c r="O125" s="117">
        <v>-22.6</v>
      </c>
      <c r="P125" s="117">
        <v>-19.600000000000001</v>
      </c>
      <c r="Q125" s="117">
        <v>13.5</v>
      </c>
      <c r="R125" s="117">
        <v>20.100000000000001</v>
      </c>
      <c r="S125" s="117">
        <v>29</v>
      </c>
      <c r="T125" s="117">
        <v>25</v>
      </c>
      <c r="U125" s="117">
        <v>28</v>
      </c>
      <c r="V125" s="117">
        <v>-24</v>
      </c>
      <c r="W125" s="117">
        <v>-34</v>
      </c>
      <c r="X125" s="117">
        <v>-44</v>
      </c>
      <c r="Y125" s="117">
        <v>-58</v>
      </c>
      <c r="Z125" s="117">
        <v>-51</v>
      </c>
      <c r="AA125" s="117">
        <v>-51</v>
      </c>
      <c r="AB125" s="117">
        <v>-55.8</v>
      </c>
      <c r="AC125" s="117">
        <v>-19.8</v>
      </c>
      <c r="AD125" s="117">
        <v>-19.8</v>
      </c>
      <c r="AE125" s="117">
        <v>16.5</v>
      </c>
      <c r="AF125" s="117">
        <v>42.3</v>
      </c>
      <c r="AG125" s="118"/>
      <c r="AH125" s="47">
        <f t="shared" si="51"/>
        <v>69</v>
      </c>
      <c r="AI125" s="48">
        <f t="shared" si="52"/>
        <v>-58</v>
      </c>
    </row>
    <row r="126" spans="1:35" ht="15.75" thickBot="1" x14ac:dyDescent="0.3">
      <c r="A126" s="173" t="s">
        <v>255</v>
      </c>
      <c r="B126" s="117">
        <v>87</v>
      </c>
      <c r="C126" s="117">
        <v>90</v>
      </c>
      <c r="D126" s="117">
        <v>90</v>
      </c>
      <c r="E126" s="117">
        <v>101.1</v>
      </c>
      <c r="F126" s="117">
        <v>107.4</v>
      </c>
      <c r="G126" s="117">
        <v>99.1</v>
      </c>
      <c r="H126" s="117">
        <v>104.2</v>
      </c>
      <c r="I126" s="117">
        <v>103.1</v>
      </c>
      <c r="J126" s="117">
        <v>96.9</v>
      </c>
      <c r="K126" s="117">
        <v>55.9</v>
      </c>
      <c r="L126" s="117">
        <v>70.3</v>
      </c>
      <c r="M126" s="117">
        <v>71.2</v>
      </c>
      <c r="N126" s="117">
        <v>52.5</v>
      </c>
      <c r="O126" s="117">
        <v>41.2</v>
      </c>
      <c r="P126" s="117">
        <v>50.5</v>
      </c>
      <c r="Q126" s="117">
        <v>104.2</v>
      </c>
      <c r="R126" s="117">
        <v>99.7</v>
      </c>
      <c r="S126" s="117">
        <v>99</v>
      </c>
      <c r="T126" s="117">
        <v>85</v>
      </c>
      <c r="U126" s="117">
        <v>103</v>
      </c>
      <c r="V126" s="117">
        <v>69</v>
      </c>
      <c r="W126" s="117">
        <v>69</v>
      </c>
      <c r="X126" s="117">
        <v>82</v>
      </c>
      <c r="Y126" s="117">
        <v>88</v>
      </c>
      <c r="Z126" s="117">
        <v>69.099999999999994</v>
      </c>
      <c r="AA126" s="117">
        <v>69.099999999999994</v>
      </c>
      <c r="AB126" s="117">
        <v>83.9</v>
      </c>
      <c r="AC126" s="117">
        <v>95.6</v>
      </c>
      <c r="AD126" s="117">
        <v>95.6</v>
      </c>
      <c r="AE126" s="117">
        <v>94.4</v>
      </c>
      <c r="AF126" s="117">
        <v>95.1</v>
      </c>
      <c r="AG126" s="114"/>
      <c r="AH126" s="47">
        <f t="shared" si="51"/>
        <v>107.4</v>
      </c>
      <c r="AI126" s="48">
        <f t="shared" si="52"/>
        <v>41.2</v>
      </c>
    </row>
    <row r="127" spans="1:35" x14ac:dyDescent="0.25">
      <c r="A127" s="172" t="s">
        <v>257</v>
      </c>
      <c r="B127" s="117">
        <v>15</v>
      </c>
      <c r="C127" s="117">
        <v>15</v>
      </c>
      <c r="D127" s="117">
        <v>-9.8000000000000007</v>
      </c>
      <c r="E127" s="117">
        <v>14.8</v>
      </c>
      <c r="F127" s="117">
        <v>15.9</v>
      </c>
      <c r="G127" s="117">
        <v>12</v>
      </c>
      <c r="H127" s="117">
        <v>9.1999999999999993</v>
      </c>
      <c r="I127" s="117">
        <v>9.3000000000000007</v>
      </c>
      <c r="J127" s="117">
        <v>2.1</v>
      </c>
      <c r="K127" s="117">
        <v>0</v>
      </c>
      <c r="L127" s="117">
        <v>1</v>
      </c>
      <c r="M127" s="117">
        <v>0</v>
      </c>
      <c r="N127" s="117">
        <v>0</v>
      </c>
      <c r="O127" s="117">
        <v>-4.3</v>
      </c>
      <c r="P127" s="117">
        <v>-1.7</v>
      </c>
      <c r="Q127" s="117">
        <v>13.9</v>
      </c>
      <c r="R127" s="117">
        <v>6.3</v>
      </c>
      <c r="S127" s="117">
        <v>13</v>
      </c>
      <c r="T127" s="117">
        <v>14</v>
      </c>
      <c r="U127" s="117">
        <v>14</v>
      </c>
      <c r="V127" s="117">
        <v>7</v>
      </c>
      <c r="W127" s="117">
        <v>0</v>
      </c>
      <c r="X127" s="117">
        <v>4</v>
      </c>
      <c r="Y127" s="117">
        <v>-5</v>
      </c>
      <c r="Z127" s="117">
        <v>-23</v>
      </c>
      <c r="AA127" s="117">
        <v>-23</v>
      </c>
      <c r="AB127" s="117">
        <v>-9.6</v>
      </c>
      <c r="AC127" s="117">
        <v>-1.6</v>
      </c>
      <c r="AD127" s="117">
        <v>-1.6</v>
      </c>
      <c r="AE127" s="117">
        <v>10.74</v>
      </c>
      <c r="AF127" s="117">
        <v>15</v>
      </c>
      <c r="AG127" s="114"/>
      <c r="AH127" s="47">
        <f t="shared" si="51"/>
        <v>15.9</v>
      </c>
      <c r="AI127" s="48">
        <f t="shared" si="52"/>
        <v>-23</v>
      </c>
    </row>
    <row r="128" spans="1:35" x14ac:dyDescent="0.25">
      <c r="A128" s="173" t="s">
        <v>124</v>
      </c>
      <c r="B128" s="106">
        <v>-1.5</v>
      </c>
      <c r="C128" s="106">
        <v>-0.6</v>
      </c>
      <c r="D128" s="106">
        <v>0</v>
      </c>
      <c r="E128" s="106">
        <v>1.1000000000000001</v>
      </c>
      <c r="F128" s="106">
        <v>0.5</v>
      </c>
      <c r="G128" s="106">
        <v>-4.5999999999999996</v>
      </c>
      <c r="H128" s="106">
        <v>-7.5</v>
      </c>
      <c r="I128" s="106">
        <v>-12.1</v>
      </c>
      <c r="J128" s="106">
        <v>-16.3</v>
      </c>
      <c r="K128" s="106">
        <v>-28</v>
      </c>
      <c r="L128" s="106">
        <v>-30.3</v>
      </c>
      <c r="M128" s="106">
        <v>-24.5</v>
      </c>
      <c r="N128" s="106">
        <v>-20.6</v>
      </c>
      <c r="O128" s="106">
        <v>-15.1</v>
      </c>
      <c r="P128" s="106">
        <v>-12.9</v>
      </c>
      <c r="Q128" s="106">
        <v>-7.2</v>
      </c>
      <c r="R128" s="106">
        <v>-5.7</v>
      </c>
      <c r="S128" s="106">
        <v>-12</v>
      </c>
      <c r="T128" s="106">
        <v>-15</v>
      </c>
      <c r="U128" s="106">
        <v>-15</v>
      </c>
      <c r="V128" s="106">
        <v>-24</v>
      </c>
      <c r="W128" s="106">
        <v>-24</v>
      </c>
      <c r="X128" s="106">
        <v>-41</v>
      </c>
      <c r="Y128" s="106">
        <v>-37</v>
      </c>
      <c r="Z128" s="106">
        <v>-33</v>
      </c>
      <c r="AA128" s="106">
        <v>-33</v>
      </c>
      <c r="AB128" s="106">
        <v>-24.3</v>
      </c>
      <c r="AC128" s="106">
        <v>-15</v>
      </c>
      <c r="AD128" s="106">
        <v>-15</v>
      </c>
      <c r="AE128" s="106">
        <v>-6.3</v>
      </c>
      <c r="AF128" s="106">
        <v>-1.7</v>
      </c>
      <c r="AG128" s="114"/>
      <c r="AH128" s="47">
        <f t="shared" si="51"/>
        <v>1.1000000000000001</v>
      </c>
      <c r="AI128" s="48">
        <f t="shared" si="52"/>
        <v>-41</v>
      </c>
    </row>
    <row r="129" spans="1:37" x14ac:dyDescent="0.25">
      <c r="A129" s="173" t="s">
        <v>261</v>
      </c>
      <c r="B129" s="106">
        <v>25</v>
      </c>
      <c r="C129" s="106">
        <v>26</v>
      </c>
      <c r="D129" s="106">
        <v>25</v>
      </c>
      <c r="E129" s="106">
        <v>26.4</v>
      </c>
      <c r="F129" s="106">
        <v>26</v>
      </c>
      <c r="G129" s="106">
        <v>27.5</v>
      </c>
      <c r="H129" s="106">
        <v>27.7</v>
      </c>
      <c r="I129" s="106">
        <v>27.9</v>
      </c>
      <c r="J129" s="106">
        <v>10</v>
      </c>
      <c r="K129" s="106">
        <v>9.8000000000000007</v>
      </c>
      <c r="L129" s="106">
        <v>10</v>
      </c>
      <c r="M129" s="106">
        <v>10.1</v>
      </c>
      <c r="N129" s="106">
        <v>9</v>
      </c>
      <c r="O129" s="106">
        <v>9.6</v>
      </c>
      <c r="P129" s="106">
        <v>11.7</v>
      </c>
      <c r="Q129" s="106">
        <v>15</v>
      </c>
      <c r="R129" s="106">
        <v>21.8</v>
      </c>
      <c r="S129" s="106">
        <v>22</v>
      </c>
      <c r="T129" s="106">
        <v>21</v>
      </c>
      <c r="U129" s="106">
        <v>21</v>
      </c>
      <c r="V129" s="106">
        <v>7</v>
      </c>
      <c r="W129" s="106">
        <v>9</v>
      </c>
      <c r="X129" s="106">
        <v>10</v>
      </c>
      <c r="Y129" s="106">
        <v>10</v>
      </c>
      <c r="Z129" s="106">
        <v>9</v>
      </c>
      <c r="AA129" s="106">
        <v>9</v>
      </c>
      <c r="AB129" s="106">
        <v>7.6</v>
      </c>
      <c r="AC129" s="106">
        <v>15.9</v>
      </c>
      <c r="AD129" s="106">
        <v>15.9</v>
      </c>
      <c r="AE129" s="106">
        <v>-25</v>
      </c>
      <c r="AF129" s="106">
        <v>24.4</v>
      </c>
      <c r="AG129" s="114"/>
      <c r="AH129" s="47">
        <f t="shared" si="51"/>
        <v>27.9</v>
      </c>
      <c r="AI129" s="48">
        <f t="shared" si="52"/>
        <v>-25</v>
      </c>
    </row>
    <row r="130" spans="1:37" ht="15.75" thickBot="1" x14ac:dyDescent="0.3">
      <c r="A130" s="173" t="s">
        <v>258</v>
      </c>
      <c r="B130" s="106">
        <v>84</v>
      </c>
      <c r="C130" s="106">
        <v>88</v>
      </c>
      <c r="D130" s="106">
        <v>82</v>
      </c>
      <c r="E130" s="106">
        <v>83.8</v>
      </c>
      <c r="F130" s="106">
        <v>82.8</v>
      </c>
      <c r="G130" s="106">
        <v>82.9</v>
      </c>
      <c r="H130" s="106">
        <v>86.3</v>
      </c>
      <c r="I130" s="106">
        <v>88.2</v>
      </c>
      <c r="J130" s="106">
        <v>90.3</v>
      </c>
      <c r="K130" s="106">
        <v>92.7</v>
      </c>
      <c r="L130" s="106">
        <v>88</v>
      </c>
      <c r="M130" s="106">
        <v>78.5</v>
      </c>
      <c r="N130" s="106">
        <v>75</v>
      </c>
      <c r="O130" s="106">
        <v>67.900000000000006</v>
      </c>
      <c r="P130" s="106">
        <v>85.9</v>
      </c>
      <c r="Q130" s="106">
        <v>74.900000000000006</v>
      </c>
      <c r="R130" s="106">
        <v>80.3</v>
      </c>
      <c r="S130" s="106">
        <v>84</v>
      </c>
      <c r="T130" s="106">
        <v>86</v>
      </c>
      <c r="U130" s="106">
        <v>81.5</v>
      </c>
      <c r="V130" s="106">
        <v>70</v>
      </c>
      <c r="W130" s="106">
        <v>79</v>
      </c>
      <c r="X130" s="106">
        <v>107</v>
      </c>
      <c r="Y130" s="106">
        <v>101</v>
      </c>
      <c r="Z130" s="106">
        <v>97</v>
      </c>
      <c r="AA130" s="106">
        <v>97</v>
      </c>
      <c r="AB130" s="106">
        <v>89.4</v>
      </c>
      <c r="AC130" s="106">
        <v>103.1</v>
      </c>
      <c r="AD130" s="106">
        <v>103.1</v>
      </c>
      <c r="AE130" s="106">
        <v>92.7</v>
      </c>
      <c r="AF130" s="106">
        <v>79.400000000000006</v>
      </c>
      <c r="AG130" s="114"/>
      <c r="AH130" s="47">
        <f t="shared" si="51"/>
        <v>107</v>
      </c>
      <c r="AI130" s="48">
        <f t="shared" si="52"/>
        <v>67.900000000000006</v>
      </c>
    </row>
    <row r="131" spans="1:37" x14ac:dyDescent="0.25">
      <c r="A131" s="144" t="s">
        <v>238</v>
      </c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6"/>
      <c r="AG131" s="43"/>
      <c r="AH131" s="47"/>
      <c r="AI131" s="48"/>
    </row>
    <row r="132" spans="1:37" x14ac:dyDescent="0.25">
      <c r="A132" s="189" t="s">
        <v>368</v>
      </c>
      <c r="B132" s="147">
        <v>1984.4</v>
      </c>
      <c r="C132" s="147">
        <v>1984.65</v>
      </c>
      <c r="D132" s="147">
        <v>1984.9</v>
      </c>
      <c r="E132" s="147">
        <v>1985.12</v>
      </c>
      <c r="F132" s="147">
        <v>1985.37</v>
      </c>
      <c r="G132" s="147">
        <v>1985.6</v>
      </c>
      <c r="H132" s="147"/>
      <c r="I132" s="147">
        <v>1985.75</v>
      </c>
      <c r="J132" s="147"/>
      <c r="K132" s="147">
        <v>1985.78</v>
      </c>
      <c r="L132" s="147"/>
      <c r="M132" s="147">
        <v>1985.1</v>
      </c>
      <c r="N132" s="147">
        <v>1984.21</v>
      </c>
      <c r="O132" s="147">
        <v>1983.85</v>
      </c>
      <c r="P132" s="147">
        <v>1983.99</v>
      </c>
      <c r="Q132" s="147">
        <v>1984.23</v>
      </c>
      <c r="R132" s="147">
        <v>1984.48</v>
      </c>
      <c r="S132" s="147">
        <v>1984.69</v>
      </c>
      <c r="T132" s="147">
        <v>1984.9</v>
      </c>
      <c r="U132" s="147">
        <v>1985.12</v>
      </c>
      <c r="V132" s="147">
        <v>1985.35</v>
      </c>
      <c r="W132" s="147">
        <v>1985.42</v>
      </c>
      <c r="X132" s="147">
        <v>1985.4</v>
      </c>
      <c r="Y132" s="147"/>
      <c r="Z132" s="147">
        <v>1985</v>
      </c>
      <c r="AA132" s="147"/>
      <c r="AB132" s="147">
        <v>1984.55</v>
      </c>
      <c r="AC132" s="147">
        <v>1984.5</v>
      </c>
      <c r="AD132" s="147"/>
      <c r="AE132" s="147"/>
      <c r="AF132" s="148">
        <v>1984.72</v>
      </c>
      <c r="AG132" s="149"/>
      <c r="AH132" s="47"/>
      <c r="AI132" s="48"/>
    </row>
    <row r="133" spans="1:37" x14ac:dyDescent="0.25">
      <c r="A133" s="189" t="s">
        <v>239</v>
      </c>
      <c r="B133" s="150">
        <v>520.64</v>
      </c>
      <c r="C133" s="150">
        <v>521.04999999999995</v>
      </c>
      <c r="D133" s="150">
        <v>521.38</v>
      </c>
      <c r="E133" s="150">
        <v>521.73</v>
      </c>
      <c r="F133" s="150">
        <v>522.05999999999995</v>
      </c>
      <c r="G133" s="150">
        <v>522.34</v>
      </c>
      <c r="H133" s="150"/>
      <c r="I133" s="150">
        <v>522.41</v>
      </c>
      <c r="J133" s="150"/>
      <c r="K133" s="150">
        <v>522.26</v>
      </c>
      <c r="L133" s="150"/>
      <c r="M133" s="150">
        <v>521.84</v>
      </c>
      <c r="N133" s="150">
        <v>521.29999999999995</v>
      </c>
      <c r="O133" s="150">
        <v>520.70000000000005</v>
      </c>
      <c r="P133" s="150">
        <v>520.29999999999995</v>
      </c>
      <c r="Q133" s="150">
        <v>520.08000000000004</v>
      </c>
      <c r="R133" s="150">
        <v>520.05999999999995</v>
      </c>
      <c r="S133" s="150">
        <v>520.02</v>
      </c>
      <c r="T133" s="150">
        <v>520.16</v>
      </c>
      <c r="U133" s="150">
        <v>520.38</v>
      </c>
      <c r="V133" s="150">
        <v>520.6</v>
      </c>
      <c r="W133" s="150">
        <v>520.71</v>
      </c>
      <c r="X133" s="150">
        <v>520.72</v>
      </c>
      <c r="Y133" s="150"/>
      <c r="Z133" s="150">
        <v>520.41999999999996</v>
      </c>
      <c r="AA133" s="150"/>
      <c r="AB133" s="150">
        <v>520.07000000000005</v>
      </c>
      <c r="AC133" s="150">
        <v>519.98</v>
      </c>
      <c r="AD133" s="150"/>
      <c r="AE133" s="150"/>
      <c r="AF133" s="151">
        <v>520.16</v>
      </c>
      <c r="AG133" s="149"/>
      <c r="AH133" s="47"/>
      <c r="AI133" s="48"/>
    </row>
    <row r="134" spans="1:37" x14ac:dyDescent="0.25">
      <c r="A134" s="189" t="s">
        <v>240</v>
      </c>
      <c r="B134" s="150">
        <v>623.05999999999995</v>
      </c>
      <c r="C134" s="150">
        <v>623.35</v>
      </c>
      <c r="D134" s="150">
        <v>623.96</v>
      </c>
      <c r="E134" s="150">
        <v>624.38</v>
      </c>
      <c r="F134" s="150">
        <v>624.71</v>
      </c>
      <c r="G134" s="150">
        <v>624.91</v>
      </c>
      <c r="H134" s="150"/>
      <c r="I134" s="150">
        <v>624.96</v>
      </c>
      <c r="J134" s="150"/>
      <c r="K134" s="150">
        <v>624.72</v>
      </c>
      <c r="L134" s="150"/>
      <c r="M134" s="150">
        <v>624.23</v>
      </c>
      <c r="N134" s="150">
        <v>623.76</v>
      </c>
      <c r="O134" s="150">
        <v>623.36</v>
      </c>
      <c r="P134" s="150">
        <v>623.03</v>
      </c>
      <c r="Q134" s="150">
        <v>622.76</v>
      </c>
      <c r="R134" s="150">
        <v>621.96</v>
      </c>
      <c r="S134" s="150">
        <v>622.15</v>
      </c>
      <c r="T134" s="150">
        <v>622.79999999999995</v>
      </c>
      <c r="U134" s="150">
        <v>623.28</v>
      </c>
      <c r="V134" s="150">
        <v>623.34</v>
      </c>
      <c r="W134" s="150">
        <v>623.39</v>
      </c>
      <c r="X134" s="150">
        <v>623.44000000000005</v>
      </c>
      <c r="Y134" s="150"/>
      <c r="Z134" s="150">
        <v>622.91</v>
      </c>
      <c r="AA134" s="150"/>
      <c r="AB134" s="150">
        <v>622.08000000000004</v>
      </c>
      <c r="AC134" s="150">
        <v>621.51</v>
      </c>
      <c r="AD134" s="150"/>
      <c r="AE134" s="150"/>
      <c r="AF134" s="151">
        <v>621.5</v>
      </c>
      <c r="AG134" s="149"/>
      <c r="AH134" s="47"/>
      <c r="AI134" s="48"/>
    </row>
    <row r="135" spans="1:37" x14ac:dyDescent="0.25">
      <c r="A135" s="189" t="s">
        <v>241</v>
      </c>
      <c r="B135" s="150">
        <v>335.61</v>
      </c>
      <c r="C135" s="150">
        <v>336.21</v>
      </c>
      <c r="D135" s="150">
        <v>336.57</v>
      </c>
      <c r="E135" s="150">
        <v>336.87</v>
      </c>
      <c r="F135" s="150">
        <v>337.11</v>
      </c>
      <c r="G135" s="150">
        <v>337.22</v>
      </c>
      <c r="H135" s="150"/>
      <c r="I135" s="150">
        <v>337.19</v>
      </c>
      <c r="J135" s="150"/>
      <c r="K135" s="150">
        <v>336.93</v>
      </c>
      <c r="L135" s="150"/>
      <c r="M135" s="150">
        <v>336.59</v>
      </c>
      <c r="N135" s="150">
        <v>336.07</v>
      </c>
      <c r="O135" s="150">
        <v>335.61</v>
      </c>
      <c r="P135" s="150">
        <v>335.18</v>
      </c>
      <c r="Q135" s="150">
        <v>334.97</v>
      </c>
      <c r="R135" s="150">
        <v>335.22</v>
      </c>
      <c r="S135" s="150">
        <v>335.64</v>
      </c>
      <c r="T135" s="150">
        <v>335.5</v>
      </c>
      <c r="U135" s="150">
        <v>336.04</v>
      </c>
      <c r="V135" s="150">
        <v>336.19</v>
      </c>
      <c r="W135" s="150">
        <v>336.37</v>
      </c>
      <c r="X135" s="150">
        <v>336.47</v>
      </c>
      <c r="Y135" s="150"/>
      <c r="Z135" s="150">
        <v>336.33</v>
      </c>
      <c r="AA135" s="150"/>
      <c r="AB135" s="150">
        <v>335.92</v>
      </c>
      <c r="AC135" s="150">
        <v>335.64</v>
      </c>
      <c r="AD135" s="150"/>
      <c r="AE135" s="150"/>
      <c r="AF135" s="151">
        <v>335.33</v>
      </c>
      <c r="AG135" s="149"/>
      <c r="AH135" s="47"/>
      <c r="AI135" s="48"/>
    </row>
    <row r="136" spans="1:37" x14ac:dyDescent="0.25">
      <c r="A136" s="189" t="s">
        <v>407</v>
      </c>
      <c r="B136" s="150">
        <v>884.9</v>
      </c>
      <c r="C136" s="150">
        <v>885.5</v>
      </c>
      <c r="D136" s="150">
        <v>886.2</v>
      </c>
      <c r="E136" s="150">
        <v>886.7</v>
      </c>
      <c r="F136" s="150">
        <v>887.2</v>
      </c>
      <c r="G136" s="150">
        <v>887.5</v>
      </c>
      <c r="H136" s="150"/>
      <c r="I136" s="150">
        <v>887.5</v>
      </c>
      <c r="J136" s="150"/>
      <c r="K136" s="150">
        <v>887</v>
      </c>
      <c r="L136" s="150"/>
      <c r="M136" s="150">
        <v>886.1</v>
      </c>
      <c r="N136" s="150">
        <v>885.2</v>
      </c>
      <c r="O136" s="150">
        <v>884.6</v>
      </c>
      <c r="P136" s="150">
        <v>884.6</v>
      </c>
      <c r="Q136" s="150">
        <v>884.5</v>
      </c>
      <c r="R136" s="150">
        <v>885</v>
      </c>
      <c r="S136" s="150">
        <v>885.6</v>
      </c>
      <c r="T136" s="150">
        <v>886.1</v>
      </c>
      <c r="U136" s="150">
        <v>886.7</v>
      </c>
      <c r="V136" s="150">
        <v>887.1</v>
      </c>
      <c r="W136" s="150">
        <v>887.2</v>
      </c>
      <c r="X136" s="150">
        <v>887</v>
      </c>
      <c r="Y136" s="150"/>
      <c r="Z136" s="150">
        <v>886.2</v>
      </c>
      <c r="AA136" s="150"/>
      <c r="AB136" s="150">
        <v>885</v>
      </c>
      <c r="AC136" s="150">
        <v>883.6</v>
      </c>
      <c r="AD136" s="150"/>
      <c r="AE136" s="150">
        <v>882</v>
      </c>
      <c r="AF136" s="151"/>
      <c r="AG136" s="149"/>
      <c r="AH136" s="47"/>
      <c r="AI136" s="48"/>
    </row>
    <row r="137" spans="1:37" ht="15.75" thickBot="1" x14ac:dyDescent="0.3">
      <c r="A137" s="189" t="s">
        <v>242</v>
      </c>
      <c r="B137" s="152">
        <v>1518.81</v>
      </c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>
        <v>1518.83</v>
      </c>
      <c r="N137" s="152"/>
      <c r="O137" s="152"/>
      <c r="P137" s="152"/>
      <c r="Q137" s="152"/>
      <c r="R137" s="152">
        <v>1518.83</v>
      </c>
      <c r="S137" s="152"/>
      <c r="T137" s="152"/>
      <c r="U137" s="152"/>
      <c r="V137" s="152"/>
      <c r="W137" s="152"/>
      <c r="X137" s="152"/>
      <c r="Y137" s="152"/>
      <c r="Z137" s="152">
        <v>1518.84</v>
      </c>
      <c r="AA137" s="152"/>
      <c r="AB137" s="152"/>
      <c r="AC137" s="152"/>
      <c r="AD137" s="152"/>
      <c r="AE137" s="152"/>
      <c r="AF137" s="153"/>
      <c r="AG137" s="149"/>
      <c r="AH137" s="47"/>
      <c r="AI137" s="48"/>
    </row>
    <row r="138" spans="1:37" ht="15.75" thickBot="1" x14ac:dyDescent="0.3">
      <c r="A138" s="120" t="s">
        <v>125</v>
      </c>
      <c r="B138" s="121"/>
      <c r="C138" s="121"/>
      <c r="D138" s="121"/>
      <c r="E138" s="121"/>
      <c r="F138" s="170" t="s">
        <v>254</v>
      </c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74"/>
      <c r="AH138" s="47"/>
      <c r="AI138" s="48"/>
      <c r="AK138" s="50"/>
    </row>
    <row r="139" spans="1:37" x14ac:dyDescent="0.25">
      <c r="A139" s="122" t="s">
        <v>126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5">
        <v>9.94</v>
      </c>
      <c r="AH139" s="47"/>
      <c r="AI139" s="48"/>
      <c r="AK139" s="50"/>
    </row>
    <row r="140" spans="1:37" x14ac:dyDescent="0.25">
      <c r="A140" s="103" t="s">
        <v>127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5"/>
      <c r="AH140" s="47"/>
      <c r="AI140" s="48"/>
      <c r="AK140" s="50"/>
    </row>
    <row r="141" spans="1:37" x14ac:dyDescent="0.25">
      <c r="A141" s="103" t="s">
        <v>128</v>
      </c>
      <c r="B141" s="123"/>
      <c r="C141" s="124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5"/>
      <c r="AH141" s="47"/>
      <c r="AI141" s="48"/>
      <c r="AK141" s="50"/>
    </row>
    <row r="142" spans="1:37" x14ac:dyDescent="0.25">
      <c r="A142" s="103" t="s">
        <v>129</v>
      </c>
      <c r="B142" s="123"/>
      <c r="C142" s="124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5"/>
      <c r="AH142" s="47"/>
      <c r="AI142" s="48"/>
      <c r="AK142" s="50"/>
    </row>
    <row r="143" spans="1:37" x14ac:dyDescent="0.25">
      <c r="A143" s="103" t="s">
        <v>130</v>
      </c>
      <c r="B143" s="123"/>
      <c r="C143" s="124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5"/>
      <c r="AH143" s="47"/>
      <c r="AI143" s="48"/>
      <c r="AK143" s="50"/>
    </row>
    <row r="144" spans="1:37" x14ac:dyDescent="0.25">
      <c r="A144" s="103" t="s">
        <v>131</v>
      </c>
      <c r="B144" s="123"/>
      <c r="C144" s="124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5"/>
      <c r="AH144" s="47"/>
      <c r="AI144" s="48"/>
      <c r="AK144" s="50"/>
    </row>
    <row r="145" spans="1:37" x14ac:dyDescent="0.25">
      <c r="A145" s="103" t="s">
        <v>132</v>
      </c>
      <c r="B145" s="123"/>
      <c r="C145" s="124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5"/>
      <c r="AH145" s="47"/>
      <c r="AI145" s="48"/>
      <c r="AK145" s="50"/>
    </row>
    <row r="146" spans="1:37" x14ac:dyDescent="0.25">
      <c r="A146" s="103" t="s">
        <v>133</v>
      </c>
      <c r="B146" s="123"/>
      <c r="C146" s="124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5"/>
      <c r="AH146" s="47"/>
      <c r="AI146" s="48"/>
      <c r="AK146" s="50"/>
    </row>
    <row r="147" spans="1:37" x14ac:dyDescent="0.25">
      <c r="A147" s="103" t="s">
        <v>134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5"/>
      <c r="AH147" s="47"/>
      <c r="AI147" s="48"/>
      <c r="AK147" s="50"/>
    </row>
    <row r="148" spans="1:37" x14ac:dyDescent="0.25">
      <c r="A148" s="103" t="s">
        <v>135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5"/>
      <c r="AH148" s="47"/>
      <c r="AI148" s="48"/>
      <c r="AK148" s="50"/>
    </row>
    <row r="149" spans="1:37" x14ac:dyDescent="0.25">
      <c r="A149" s="103" t="s">
        <v>136</v>
      </c>
      <c r="B149" s="123"/>
      <c r="C149" s="124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5"/>
      <c r="AH149" s="47"/>
      <c r="AI149" s="48"/>
      <c r="AK149" s="50"/>
    </row>
    <row r="150" spans="1:37" x14ac:dyDescent="0.25">
      <c r="A150" s="103" t="s">
        <v>137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5"/>
      <c r="AH150" s="47"/>
      <c r="AI150" s="48"/>
      <c r="AK150" s="50"/>
    </row>
    <row r="151" spans="1:37" x14ac:dyDescent="0.25">
      <c r="A151" s="103" t="s">
        <v>138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5"/>
      <c r="AH151" s="47"/>
      <c r="AI151" s="48"/>
      <c r="AK151" s="50"/>
    </row>
    <row r="152" spans="1:37" x14ac:dyDescent="0.25">
      <c r="A152" s="103" t="s">
        <v>139</v>
      </c>
      <c r="B152" s="123"/>
      <c r="C152" s="124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5"/>
      <c r="AH152" s="47"/>
      <c r="AI152" s="48"/>
      <c r="AK152" s="50"/>
    </row>
    <row r="153" spans="1:37" x14ac:dyDescent="0.25">
      <c r="A153" s="103" t="s">
        <v>140</v>
      </c>
      <c r="B153" s="123"/>
      <c r="C153" s="124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5"/>
      <c r="AH153" s="47"/>
      <c r="AI153" s="48"/>
      <c r="AK153" s="50"/>
    </row>
    <row r="154" spans="1:37" x14ac:dyDescent="0.25">
      <c r="A154" s="103" t="s">
        <v>141</v>
      </c>
      <c r="B154" s="123"/>
      <c r="C154" s="124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5"/>
      <c r="AH154" s="47"/>
      <c r="AI154" s="48"/>
      <c r="AK154" s="50"/>
    </row>
    <row r="155" spans="1:37" x14ac:dyDescent="0.25">
      <c r="A155" s="103" t="s">
        <v>142</v>
      </c>
      <c r="B155" s="126"/>
      <c r="C155" s="127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8">
        <v>9.9</v>
      </c>
      <c r="AH155" s="47"/>
      <c r="AI155" s="48"/>
      <c r="AK155" s="50"/>
    </row>
    <row r="156" spans="1:37" x14ac:dyDescent="0.25">
      <c r="A156" s="116" t="s">
        <v>143</v>
      </c>
      <c r="B156" s="126"/>
      <c r="C156" s="127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9">
        <v>9.6579999999999995</v>
      </c>
      <c r="AH156" s="47"/>
      <c r="AI156" s="48"/>
      <c r="AK156" s="50"/>
    </row>
    <row r="157" spans="1:37" x14ac:dyDescent="0.25">
      <c r="A157" s="116" t="s">
        <v>144</v>
      </c>
      <c r="B157" s="126"/>
      <c r="C157" s="127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9">
        <v>9.6</v>
      </c>
      <c r="AH157" s="47"/>
      <c r="AI157" s="48"/>
      <c r="AK157" s="50"/>
    </row>
    <row r="158" spans="1:37" x14ac:dyDescent="0.25">
      <c r="A158" s="116" t="s">
        <v>145</v>
      </c>
      <c r="B158" s="126"/>
      <c r="C158" s="127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9">
        <v>9.51</v>
      </c>
      <c r="AH158" s="47"/>
      <c r="AI158" s="48"/>
      <c r="AK158" s="50"/>
    </row>
    <row r="159" spans="1:37" x14ac:dyDescent="0.25">
      <c r="A159" s="116" t="s">
        <v>146</v>
      </c>
      <c r="B159" s="126"/>
      <c r="C159" s="127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9">
        <v>9.4</v>
      </c>
      <c r="AH159" s="47"/>
      <c r="AI159" s="48"/>
      <c r="AK159" s="50"/>
    </row>
    <row r="160" spans="1:37" x14ac:dyDescent="0.25">
      <c r="A160" s="116" t="s">
        <v>147</v>
      </c>
      <c r="B160" s="126"/>
      <c r="C160" s="127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9">
        <v>8.8000000000000007</v>
      </c>
      <c r="AH160" s="47"/>
      <c r="AI160" s="48"/>
      <c r="AK160" s="50"/>
    </row>
    <row r="161" spans="1:37" x14ac:dyDescent="0.25">
      <c r="A161" s="116" t="s">
        <v>148</v>
      </c>
      <c r="B161" s="126"/>
      <c r="C161" s="127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9">
        <v>8.5</v>
      </c>
      <c r="AH161" s="47"/>
      <c r="AI161" s="48"/>
      <c r="AK161" s="50"/>
    </row>
    <row r="162" spans="1:37" x14ac:dyDescent="0.25">
      <c r="A162" s="116" t="s">
        <v>149</v>
      </c>
      <c r="B162" s="126"/>
      <c r="C162" s="127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9">
        <v>8.5</v>
      </c>
      <c r="AH162" s="47"/>
      <c r="AI162" s="48"/>
      <c r="AK162" s="50"/>
    </row>
    <row r="163" spans="1:37" x14ac:dyDescent="0.25">
      <c r="A163" s="116" t="s">
        <v>150</v>
      </c>
      <c r="B163" s="126"/>
      <c r="C163" s="127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9">
        <v>8.4</v>
      </c>
      <c r="AH163" s="47"/>
      <c r="AI163" s="48"/>
      <c r="AK163" s="50"/>
    </row>
    <row r="164" spans="1:37" ht="13.5" customHeight="1" x14ac:dyDescent="0.25">
      <c r="A164" s="116" t="s">
        <v>151</v>
      </c>
      <c r="B164" s="126"/>
      <c r="C164" s="127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9">
        <v>8</v>
      </c>
      <c r="AH164" s="47"/>
      <c r="AI164" s="48"/>
      <c r="AK164" s="50"/>
    </row>
    <row r="165" spans="1:37" x14ac:dyDescent="0.25">
      <c r="A165" s="116" t="s">
        <v>152</v>
      </c>
      <c r="B165" s="126"/>
      <c r="C165" s="127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9">
        <v>8</v>
      </c>
      <c r="AH165" s="47"/>
      <c r="AI165" s="48"/>
      <c r="AK165" s="50"/>
    </row>
    <row r="166" spans="1:37" x14ac:dyDescent="0.25">
      <c r="A166" s="116" t="s">
        <v>153</v>
      </c>
      <c r="B166" s="126"/>
      <c r="C166" s="127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9">
        <v>8</v>
      </c>
      <c r="AH166" s="47"/>
      <c r="AI166" s="48"/>
      <c r="AK166" s="50"/>
    </row>
    <row r="167" spans="1:37" x14ac:dyDescent="0.25">
      <c r="A167" s="116" t="s">
        <v>154</v>
      </c>
      <c r="B167" s="126"/>
      <c r="C167" s="127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9">
        <v>7.8</v>
      </c>
      <c r="AH167" s="47"/>
      <c r="AI167" s="48"/>
      <c r="AK167" s="50"/>
    </row>
    <row r="168" spans="1:37" x14ac:dyDescent="0.25">
      <c r="A168" s="116" t="s">
        <v>155</v>
      </c>
      <c r="B168" s="126"/>
      <c r="C168" s="127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9">
        <v>7.6</v>
      </c>
      <c r="AH168" s="47"/>
      <c r="AI168" s="48"/>
      <c r="AK168" s="50"/>
    </row>
    <row r="169" spans="1:37" x14ac:dyDescent="0.25">
      <c r="A169" s="116" t="s">
        <v>156</v>
      </c>
      <c r="B169" s="126"/>
      <c r="C169" s="127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9">
        <v>7.5</v>
      </c>
      <c r="AH169" s="47"/>
      <c r="AI169" s="48"/>
      <c r="AK169" s="50"/>
    </row>
    <row r="170" spans="1:37" x14ac:dyDescent="0.25">
      <c r="A170" s="116" t="s">
        <v>157</v>
      </c>
      <c r="B170" s="126"/>
      <c r="C170" s="127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9">
        <v>7.5</v>
      </c>
      <c r="AH170" s="47"/>
      <c r="AI170" s="48"/>
      <c r="AK170" s="50"/>
    </row>
    <row r="171" spans="1:37" x14ac:dyDescent="0.25">
      <c r="A171" s="116" t="s">
        <v>158</v>
      </c>
      <c r="B171" s="126"/>
      <c r="C171" s="127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9">
        <v>7</v>
      </c>
      <c r="AH171" s="47"/>
      <c r="AI171" s="48"/>
      <c r="AK171" s="50"/>
    </row>
    <row r="172" spans="1:37" x14ac:dyDescent="0.25">
      <c r="A172" s="116" t="s">
        <v>159</v>
      </c>
      <c r="B172" s="126"/>
      <c r="C172" s="127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9">
        <v>7</v>
      </c>
      <c r="AH172" s="47"/>
      <c r="AI172" s="48"/>
      <c r="AK172" s="50"/>
    </row>
    <row r="173" spans="1:37" x14ac:dyDescent="0.25">
      <c r="A173" s="116" t="s">
        <v>160</v>
      </c>
      <c r="B173" s="126"/>
      <c r="C173" s="127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9">
        <v>7</v>
      </c>
      <c r="AH173" s="47"/>
      <c r="AI173" s="48"/>
      <c r="AK173" s="50"/>
    </row>
    <row r="174" spans="1:37" x14ac:dyDescent="0.25">
      <c r="A174" s="116" t="s">
        <v>161</v>
      </c>
      <c r="B174" s="126"/>
      <c r="C174" s="127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9">
        <v>7</v>
      </c>
      <c r="AH174" s="47"/>
      <c r="AI174" s="48"/>
      <c r="AK174" s="50"/>
    </row>
    <row r="175" spans="1:37" x14ac:dyDescent="0.25">
      <c r="A175" s="116" t="s">
        <v>162</v>
      </c>
      <c r="B175" s="126"/>
      <c r="C175" s="127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9">
        <v>6.6</v>
      </c>
      <c r="AH175" s="47"/>
      <c r="AI175" s="48"/>
      <c r="AK175" s="50"/>
    </row>
    <row r="176" spans="1:37" x14ac:dyDescent="0.25">
      <c r="A176" s="116" t="s">
        <v>163</v>
      </c>
      <c r="B176" s="126"/>
      <c r="C176" s="127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9">
        <v>6.6</v>
      </c>
      <c r="AH176" s="47"/>
      <c r="AI176" s="48"/>
      <c r="AK176" s="50"/>
    </row>
    <row r="177" spans="1:37" x14ac:dyDescent="0.25">
      <c r="A177" s="116" t="s">
        <v>164</v>
      </c>
      <c r="B177" s="126"/>
      <c r="C177" s="127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9">
        <v>6.4</v>
      </c>
      <c r="AH177" s="47"/>
      <c r="AI177" s="48"/>
      <c r="AK177" s="50"/>
    </row>
    <row r="178" spans="1:37" x14ac:dyDescent="0.25">
      <c r="A178" s="116" t="s">
        <v>165</v>
      </c>
      <c r="B178" s="126"/>
      <c r="C178" s="127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9">
        <v>6</v>
      </c>
      <c r="AH178" s="47"/>
      <c r="AI178" s="48"/>
      <c r="AK178" s="50"/>
    </row>
    <row r="179" spans="1:37" x14ac:dyDescent="0.25">
      <c r="A179" s="116" t="s">
        <v>166</v>
      </c>
      <c r="B179" s="126"/>
      <c r="C179" s="127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9">
        <v>5.0999999999999996</v>
      </c>
      <c r="AH179" s="47"/>
      <c r="AI179" s="48"/>
      <c r="AK179" s="50"/>
    </row>
    <row r="180" spans="1:37" x14ac:dyDescent="0.25">
      <c r="A180" s="116" t="s">
        <v>167</v>
      </c>
      <c r="B180" s="126"/>
      <c r="C180" s="127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9">
        <v>5</v>
      </c>
      <c r="AH180" s="47"/>
      <c r="AI180" s="48"/>
      <c r="AK180" s="50"/>
    </row>
    <row r="181" spans="1:37" x14ac:dyDescent="0.25">
      <c r="A181" s="103" t="s">
        <v>168</v>
      </c>
      <c r="B181" s="126"/>
      <c r="C181" s="127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8">
        <v>5</v>
      </c>
      <c r="AH181" s="47"/>
      <c r="AI181" s="48"/>
      <c r="AK181" s="50"/>
    </row>
    <row r="182" spans="1:37" x14ac:dyDescent="0.25">
      <c r="A182" s="116" t="s">
        <v>169</v>
      </c>
      <c r="B182" s="126"/>
      <c r="C182" s="127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9">
        <v>5</v>
      </c>
      <c r="AH182" s="47"/>
      <c r="AI182" s="48"/>
      <c r="AK182" s="50"/>
    </row>
    <row r="183" spans="1:37" x14ac:dyDescent="0.25">
      <c r="A183" s="116" t="s">
        <v>170</v>
      </c>
      <c r="B183" s="126"/>
      <c r="C183" s="127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9">
        <v>5</v>
      </c>
      <c r="AH183" s="47"/>
      <c r="AI183" s="48"/>
      <c r="AK183" s="50"/>
    </row>
    <row r="184" spans="1:37" x14ac:dyDescent="0.25">
      <c r="A184" s="116" t="s">
        <v>171</v>
      </c>
      <c r="B184" s="126"/>
      <c r="C184" s="127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9">
        <v>5</v>
      </c>
      <c r="AH184" s="47"/>
      <c r="AI184" s="48"/>
      <c r="AK184" s="50"/>
    </row>
    <row r="185" spans="1:37" x14ac:dyDescent="0.25">
      <c r="A185" s="116" t="s">
        <v>172</v>
      </c>
      <c r="B185" s="126"/>
      <c r="C185" s="127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9">
        <v>5</v>
      </c>
      <c r="AH185" s="47"/>
      <c r="AI185" s="48"/>
      <c r="AK185" s="50"/>
    </row>
    <row r="186" spans="1:37" x14ac:dyDescent="0.25">
      <c r="A186" s="116" t="s">
        <v>173</v>
      </c>
      <c r="B186" s="126"/>
      <c r="C186" s="127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9">
        <v>5</v>
      </c>
      <c r="AH186" s="47"/>
      <c r="AI186" s="48"/>
      <c r="AK186" s="50"/>
    </row>
    <row r="187" spans="1:37" x14ac:dyDescent="0.25">
      <c r="A187" s="116" t="s">
        <v>174</v>
      </c>
      <c r="B187" s="126"/>
      <c r="C187" s="127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9">
        <v>4.9930000000000003</v>
      </c>
      <c r="AH187" s="47"/>
      <c r="AI187" s="48"/>
      <c r="AK187" s="50"/>
    </row>
    <row r="188" spans="1:37" x14ac:dyDescent="0.25">
      <c r="A188" s="116" t="s">
        <v>175</v>
      </c>
      <c r="B188" s="126"/>
      <c r="C188" s="127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9">
        <v>4.9800000000000004</v>
      </c>
      <c r="AH188" s="47"/>
      <c r="AI188" s="48"/>
      <c r="AK188" s="50"/>
    </row>
    <row r="189" spans="1:37" x14ac:dyDescent="0.25">
      <c r="A189" s="116" t="s">
        <v>176</v>
      </c>
      <c r="B189" s="126"/>
      <c r="C189" s="127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9">
        <v>4.95</v>
      </c>
      <c r="AH189" s="47"/>
      <c r="AI189" s="48"/>
      <c r="AK189" s="50"/>
    </row>
    <row r="190" spans="1:37" x14ac:dyDescent="0.25">
      <c r="A190" s="116" t="s">
        <v>177</v>
      </c>
      <c r="B190" s="126"/>
      <c r="C190" s="127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9">
        <v>4.95</v>
      </c>
      <c r="AH190" s="47"/>
      <c r="AI190" s="48"/>
      <c r="AK190" s="50"/>
    </row>
    <row r="191" spans="1:37" x14ac:dyDescent="0.25">
      <c r="A191" s="116" t="s">
        <v>178</v>
      </c>
      <c r="B191" s="126"/>
      <c r="C191" s="127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9">
        <v>4.8</v>
      </c>
      <c r="AH191" s="47"/>
      <c r="AI191" s="48"/>
      <c r="AK191" s="50"/>
    </row>
    <row r="192" spans="1:37" x14ac:dyDescent="0.25">
      <c r="A192" s="116" t="s">
        <v>179</v>
      </c>
      <c r="B192" s="126"/>
      <c r="C192" s="127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9">
        <v>4.8</v>
      </c>
      <c r="AH192" s="47"/>
      <c r="AI192" s="48"/>
      <c r="AK192" s="50"/>
    </row>
    <row r="193" spans="1:37" x14ac:dyDescent="0.25">
      <c r="A193" s="116" t="s">
        <v>180</v>
      </c>
      <c r="B193" s="126"/>
      <c r="C193" s="127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9">
        <v>4.8</v>
      </c>
      <c r="AH193" s="47"/>
      <c r="AI193" s="48"/>
      <c r="AK193" s="50"/>
    </row>
    <row r="194" spans="1:37" x14ac:dyDescent="0.25">
      <c r="A194" s="116" t="s">
        <v>181</v>
      </c>
      <c r="B194" s="126"/>
      <c r="C194" s="127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9">
        <v>4.5</v>
      </c>
      <c r="AH194" s="47"/>
      <c r="AI194" s="48"/>
      <c r="AK194" s="50"/>
    </row>
    <row r="195" spans="1:37" x14ac:dyDescent="0.25">
      <c r="A195" s="116" t="s">
        <v>182</v>
      </c>
      <c r="B195" s="126"/>
      <c r="C195" s="127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9">
        <v>4.5</v>
      </c>
      <c r="AH195" s="47"/>
      <c r="AI195" s="48"/>
      <c r="AK195" s="50"/>
    </row>
    <row r="196" spans="1:37" x14ac:dyDescent="0.25">
      <c r="A196" s="116" t="s">
        <v>183</v>
      </c>
      <c r="B196" s="126"/>
      <c r="C196" s="127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9">
        <v>4.4550000000000001</v>
      </c>
      <c r="AH196" s="47"/>
      <c r="AI196" s="48"/>
      <c r="AK196" s="50"/>
    </row>
    <row r="197" spans="1:37" x14ac:dyDescent="0.25">
      <c r="A197" s="116" t="s">
        <v>184</v>
      </c>
      <c r="B197" s="126"/>
      <c r="C197" s="127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9">
        <v>4.41</v>
      </c>
      <c r="AH197" s="47"/>
      <c r="AI197" s="48"/>
      <c r="AK197" s="50"/>
    </row>
    <row r="198" spans="1:37" x14ac:dyDescent="0.25">
      <c r="A198" s="116" t="s">
        <v>185</v>
      </c>
      <c r="B198" s="126"/>
      <c r="C198" s="127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9">
        <v>4.4000000000000004</v>
      </c>
      <c r="AH198" s="47"/>
      <c r="AI198" s="48"/>
      <c r="AK198" s="50"/>
    </row>
    <row r="199" spans="1:37" x14ac:dyDescent="0.25">
      <c r="A199" s="116" t="s">
        <v>186</v>
      </c>
      <c r="B199" s="126"/>
      <c r="C199" s="127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9">
        <v>4.3600000000000003</v>
      </c>
      <c r="AH199" s="47"/>
      <c r="AI199" s="48"/>
      <c r="AK199" s="50"/>
    </row>
    <row r="200" spans="1:37" x14ac:dyDescent="0.25">
      <c r="A200" s="116" t="s">
        <v>187</v>
      </c>
      <c r="B200" s="126"/>
      <c r="C200" s="127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9">
        <v>4.2</v>
      </c>
      <c r="AH200" s="47"/>
      <c r="AI200" s="48"/>
      <c r="AK200" s="50"/>
    </row>
    <row r="201" spans="1:37" x14ac:dyDescent="0.25">
      <c r="A201" s="116" t="s">
        <v>188</v>
      </c>
      <c r="B201" s="126"/>
      <c r="C201" s="127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9">
        <v>4</v>
      </c>
      <c r="AH201" s="47"/>
      <c r="AI201" s="48"/>
      <c r="AK201" s="50"/>
    </row>
    <row r="202" spans="1:37" x14ac:dyDescent="0.25">
      <c r="A202" s="116" t="s">
        <v>189</v>
      </c>
      <c r="B202" s="126"/>
      <c r="C202" s="127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9">
        <v>4</v>
      </c>
      <c r="AH202" s="47"/>
      <c r="AI202" s="48"/>
      <c r="AK202" s="50"/>
    </row>
    <row r="203" spans="1:37" x14ac:dyDescent="0.25">
      <c r="A203" s="116" t="s">
        <v>190</v>
      </c>
      <c r="B203" s="126"/>
      <c r="C203" s="127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9">
        <v>4</v>
      </c>
      <c r="AH203" s="47"/>
      <c r="AI203" s="48"/>
      <c r="AK203" s="50"/>
    </row>
    <row r="204" spans="1:37" x14ac:dyDescent="0.25">
      <c r="A204" s="116" t="s">
        <v>191</v>
      </c>
      <c r="B204" s="126"/>
      <c r="C204" s="127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9">
        <v>4</v>
      </c>
      <c r="AH204" s="47"/>
      <c r="AI204" s="48"/>
      <c r="AK204" s="50"/>
    </row>
    <row r="205" spans="1:37" x14ac:dyDescent="0.25">
      <c r="A205" s="116" t="s">
        <v>192</v>
      </c>
      <c r="B205" s="126"/>
      <c r="C205" s="127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9">
        <v>4</v>
      </c>
      <c r="AH205" s="47"/>
      <c r="AI205" s="48"/>
      <c r="AK205" s="50"/>
    </row>
    <row r="206" spans="1:37" x14ac:dyDescent="0.25">
      <c r="A206" s="116" t="s">
        <v>193</v>
      </c>
      <c r="B206" s="126"/>
      <c r="C206" s="127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9">
        <v>4</v>
      </c>
      <c r="AH206" s="47"/>
      <c r="AI206" s="48"/>
      <c r="AK206" s="50"/>
    </row>
    <row r="207" spans="1:37" x14ac:dyDescent="0.25">
      <c r="A207" s="116" t="s">
        <v>194</v>
      </c>
      <c r="B207" s="126"/>
      <c r="C207" s="127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9">
        <v>4</v>
      </c>
      <c r="AH207" s="47"/>
      <c r="AI207" s="48"/>
      <c r="AK207" s="50"/>
    </row>
    <row r="208" spans="1:37" x14ac:dyDescent="0.25">
      <c r="A208" s="116" t="s">
        <v>195</v>
      </c>
      <c r="B208" s="126"/>
      <c r="C208" s="127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9">
        <v>4</v>
      </c>
      <c r="AH208" s="47"/>
      <c r="AI208" s="48"/>
      <c r="AK208" s="50"/>
    </row>
    <row r="209" spans="1:37" x14ac:dyDescent="0.25">
      <c r="A209" s="116" t="s">
        <v>196</v>
      </c>
      <c r="B209" s="126"/>
      <c r="C209" s="127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9">
        <v>3.75</v>
      </c>
      <c r="AH209" s="47"/>
      <c r="AI209" s="48"/>
      <c r="AK209" s="50"/>
    </row>
    <row r="210" spans="1:37" x14ac:dyDescent="0.25">
      <c r="A210" s="116" t="s">
        <v>197</v>
      </c>
      <c r="B210" s="126"/>
      <c r="C210" s="127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9">
        <v>3.52</v>
      </c>
      <c r="AH210" s="47"/>
      <c r="AI210" s="48"/>
      <c r="AK210" s="50"/>
    </row>
    <row r="211" spans="1:37" x14ac:dyDescent="0.25">
      <c r="A211" s="116" t="s">
        <v>198</v>
      </c>
      <c r="B211" s="126"/>
      <c r="C211" s="127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9">
        <v>3.33</v>
      </c>
      <c r="AH211" s="47"/>
      <c r="AI211" s="48"/>
      <c r="AK211" s="50"/>
    </row>
    <row r="212" spans="1:37" x14ac:dyDescent="0.25">
      <c r="A212" s="116" t="s">
        <v>199</v>
      </c>
      <c r="B212" s="126"/>
      <c r="C212" s="127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9">
        <v>3.2</v>
      </c>
      <c r="AH212" s="47"/>
      <c r="AI212" s="48"/>
      <c r="AK212" s="50"/>
    </row>
    <row r="213" spans="1:37" x14ac:dyDescent="0.25">
      <c r="A213" s="116" t="s">
        <v>200</v>
      </c>
      <c r="B213" s="126"/>
      <c r="C213" s="127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9">
        <v>3</v>
      </c>
      <c r="AH213" s="47"/>
      <c r="AI213" s="48"/>
      <c r="AK213" s="50"/>
    </row>
    <row r="214" spans="1:37" x14ac:dyDescent="0.25">
      <c r="A214" s="116" t="s">
        <v>201</v>
      </c>
      <c r="B214" s="126"/>
      <c r="C214" s="127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9">
        <v>3</v>
      </c>
      <c r="AH214" s="47"/>
      <c r="AI214" s="48"/>
      <c r="AK214" s="50"/>
    </row>
    <row r="215" spans="1:37" x14ac:dyDescent="0.25">
      <c r="A215" s="116" t="s">
        <v>202</v>
      </c>
      <c r="B215" s="126"/>
      <c r="C215" s="127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9">
        <v>3</v>
      </c>
      <c r="AH215" s="47"/>
      <c r="AI215" s="48"/>
      <c r="AK215" s="50"/>
    </row>
    <row r="216" spans="1:37" x14ac:dyDescent="0.25">
      <c r="A216" s="116" t="s">
        <v>203</v>
      </c>
      <c r="B216" s="126"/>
      <c r="C216" s="127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9">
        <v>3</v>
      </c>
      <c r="AH216" s="47"/>
      <c r="AI216" s="48"/>
      <c r="AK216" s="50"/>
    </row>
    <row r="217" spans="1:37" x14ac:dyDescent="0.25">
      <c r="A217" s="116" t="s">
        <v>204</v>
      </c>
      <c r="B217" s="126"/>
      <c r="C217" s="127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9">
        <v>3</v>
      </c>
      <c r="AH217" s="47"/>
      <c r="AI217" s="48"/>
      <c r="AK217" s="50"/>
    </row>
    <row r="218" spans="1:37" x14ac:dyDescent="0.25">
      <c r="A218" s="116" t="s">
        <v>205</v>
      </c>
      <c r="B218" s="126"/>
      <c r="C218" s="127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9">
        <v>3</v>
      </c>
      <c r="AH218" s="47"/>
      <c r="AI218" s="48"/>
      <c r="AK218" s="50"/>
    </row>
    <row r="219" spans="1:37" x14ac:dyDescent="0.25">
      <c r="A219" s="116" t="s">
        <v>206</v>
      </c>
      <c r="B219" s="126"/>
      <c r="C219" s="127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9">
        <v>3</v>
      </c>
      <c r="AH219" s="47"/>
      <c r="AI219" s="48"/>
      <c r="AK219" s="50"/>
    </row>
    <row r="220" spans="1:37" x14ac:dyDescent="0.25">
      <c r="A220" s="116" t="s">
        <v>207</v>
      </c>
      <c r="B220" s="126"/>
      <c r="C220" s="127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9">
        <v>3</v>
      </c>
      <c r="AH220" s="47"/>
      <c r="AI220" s="48"/>
      <c r="AK220" s="50"/>
    </row>
    <row r="221" spans="1:37" x14ac:dyDescent="0.25">
      <c r="A221" s="116" t="s">
        <v>208</v>
      </c>
      <c r="B221" s="126"/>
      <c r="C221" s="127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9">
        <v>2.83</v>
      </c>
      <c r="AH221" s="47"/>
      <c r="AI221" s="48"/>
      <c r="AK221" s="50"/>
    </row>
    <row r="222" spans="1:37" x14ac:dyDescent="0.25">
      <c r="A222" s="116" t="s">
        <v>209</v>
      </c>
      <c r="B222" s="126"/>
      <c r="C222" s="127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9">
        <v>2.5</v>
      </c>
      <c r="AH222" s="47"/>
      <c r="AI222" s="48"/>
      <c r="AK222" s="50"/>
    </row>
    <row r="223" spans="1:37" x14ac:dyDescent="0.25">
      <c r="A223" s="116" t="s">
        <v>210</v>
      </c>
      <c r="B223" s="126"/>
      <c r="C223" s="127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9">
        <v>2.5</v>
      </c>
      <c r="AH223" s="47"/>
      <c r="AI223" s="48"/>
      <c r="AK223" s="50"/>
    </row>
    <row r="224" spans="1:37" x14ac:dyDescent="0.25">
      <c r="A224" s="116" t="s">
        <v>211</v>
      </c>
      <c r="B224" s="126"/>
      <c r="C224" s="127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9">
        <v>2.4</v>
      </c>
      <c r="AH224" s="47"/>
      <c r="AI224" s="48"/>
      <c r="AK224" s="50"/>
    </row>
    <row r="225" spans="1:37" x14ac:dyDescent="0.25">
      <c r="A225" s="116" t="s">
        <v>212</v>
      </c>
      <c r="B225" s="126"/>
      <c r="C225" s="127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9">
        <v>2.4</v>
      </c>
      <c r="AH225" s="47"/>
      <c r="AI225" s="48"/>
      <c r="AK225" s="50"/>
    </row>
    <row r="226" spans="1:37" x14ac:dyDescent="0.25">
      <c r="A226" s="116" t="s">
        <v>213</v>
      </c>
      <c r="B226" s="126"/>
      <c r="C226" s="127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9">
        <v>2.2000000000000002</v>
      </c>
      <c r="AH226" s="47"/>
      <c r="AI226" s="48"/>
      <c r="AK226" s="50"/>
    </row>
    <row r="227" spans="1:37" x14ac:dyDescent="0.25">
      <c r="A227" s="116" t="s">
        <v>214</v>
      </c>
      <c r="B227" s="126"/>
      <c r="C227" s="127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9">
        <v>2</v>
      </c>
      <c r="AH227" s="47"/>
      <c r="AI227" s="48"/>
      <c r="AK227" s="50"/>
    </row>
    <row r="228" spans="1:37" x14ac:dyDescent="0.25">
      <c r="A228" s="116" t="s">
        <v>215</v>
      </c>
      <c r="B228" s="126"/>
      <c r="C228" s="127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9">
        <v>2</v>
      </c>
      <c r="AH228" s="47"/>
      <c r="AI228" s="48"/>
      <c r="AK228" s="50"/>
    </row>
    <row r="229" spans="1:37" x14ac:dyDescent="0.25">
      <c r="A229" s="116" t="s">
        <v>216</v>
      </c>
      <c r="B229" s="126"/>
      <c r="C229" s="127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9">
        <v>2</v>
      </c>
      <c r="AH229" s="47"/>
      <c r="AI229" s="48"/>
      <c r="AK229" s="50"/>
    </row>
    <row r="230" spans="1:37" x14ac:dyDescent="0.25">
      <c r="A230" s="116" t="s">
        <v>217</v>
      </c>
      <c r="B230" s="126"/>
      <c r="C230" s="127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9">
        <v>1.8</v>
      </c>
      <c r="AH230" s="47"/>
      <c r="AI230" s="48"/>
      <c r="AK230" s="50"/>
    </row>
    <row r="231" spans="1:37" x14ac:dyDescent="0.25">
      <c r="A231" s="116" t="s">
        <v>218</v>
      </c>
      <c r="B231" s="126"/>
      <c r="C231" s="127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9">
        <v>1.8</v>
      </c>
      <c r="AH231" s="47"/>
      <c r="AI231" s="48"/>
      <c r="AK231" s="50"/>
    </row>
    <row r="232" spans="1:37" x14ac:dyDescent="0.25">
      <c r="A232" s="116" t="s">
        <v>219</v>
      </c>
      <c r="B232" s="126"/>
      <c r="C232" s="127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9">
        <v>1.65</v>
      </c>
      <c r="AH232" s="47"/>
      <c r="AI232" s="48"/>
      <c r="AK232" s="50"/>
    </row>
    <row r="233" spans="1:37" x14ac:dyDescent="0.25">
      <c r="A233" s="116" t="s">
        <v>220</v>
      </c>
      <c r="B233" s="126"/>
      <c r="C233" s="127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9">
        <v>1.5</v>
      </c>
      <c r="AH233" s="47"/>
      <c r="AI233" s="48"/>
      <c r="AK233" s="50"/>
    </row>
    <row r="234" spans="1:37" x14ac:dyDescent="0.25">
      <c r="A234" s="116" t="s">
        <v>221</v>
      </c>
      <c r="B234" s="126"/>
      <c r="C234" s="127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9">
        <v>0.998</v>
      </c>
      <c r="AH234" s="47"/>
      <c r="AI234" s="48"/>
      <c r="AK234" s="50"/>
    </row>
    <row r="235" spans="1:37" x14ac:dyDescent="0.25">
      <c r="A235" s="116" t="s">
        <v>222</v>
      </c>
      <c r="B235" s="126"/>
      <c r="C235" s="127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9">
        <v>0.997</v>
      </c>
      <c r="AH235" s="47"/>
      <c r="AI235" s="48"/>
      <c r="AK235" s="50"/>
    </row>
    <row r="236" spans="1:37" x14ac:dyDescent="0.25">
      <c r="A236" s="116" t="s">
        <v>223</v>
      </c>
      <c r="B236" s="126"/>
      <c r="C236" s="127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9">
        <v>0.997</v>
      </c>
      <c r="AH236" s="47"/>
      <c r="AI236" s="48"/>
      <c r="AK236" s="50"/>
    </row>
    <row r="237" spans="1:37" x14ac:dyDescent="0.25">
      <c r="A237" s="116" t="s">
        <v>224</v>
      </c>
      <c r="B237" s="126"/>
      <c r="C237" s="127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9">
        <v>0.996</v>
      </c>
      <c r="AH237" s="47"/>
      <c r="AI237" s="48"/>
      <c r="AK237" s="50"/>
    </row>
    <row r="238" spans="1:37" x14ac:dyDescent="0.25">
      <c r="A238" s="116" t="s">
        <v>225</v>
      </c>
      <c r="B238" s="126"/>
      <c r="C238" s="127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9">
        <v>0.996</v>
      </c>
      <c r="AH238" s="47"/>
      <c r="AI238" s="48"/>
      <c r="AK238" s="50"/>
    </row>
    <row r="239" spans="1:37" x14ac:dyDescent="0.25">
      <c r="A239" s="116" t="s">
        <v>226</v>
      </c>
      <c r="B239" s="126"/>
      <c r="C239" s="127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9">
        <v>0.996</v>
      </c>
      <c r="AH239" s="47"/>
      <c r="AI239" s="48"/>
      <c r="AK239" s="50"/>
    </row>
    <row r="240" spans="1:37" x14ac:dyDescent="0.25">
      <c r="A240" s="116" t="s">
        <v>227</v>
      </c>
      <c r="B240" s="126"/>
      <c r="C240" s="127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9">
        <v>0.995</v>
      </c>
      <c r="AH240" s="47"/>
      <c r="AI240" s="48"/>
      <c r="AK240" s="50"/>
    </row>
    <row r="241" spans="1:37" x14ac:dyDescent="0.25">
      <c r="A241" s="116" t="s">
        <v>228</v>
      </c>
      <c r="B241" s="126"/>
      <c r="C241" s="127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9">
        <v>0.99299999999999999</v>
      </c>
      <c r="AH241" s="47"/>
      <c r="AI241" s="48"/>
      <c r="AK241" s="50"/>
    </row>
    <row r="242" spans="1:37" x14ac:dyDescent="0.25">
      <c r="A242" s="116" t="s">
        <v>229</v>
      </c>
      <c r="B242" s="126"/>
      <c r="C242" s="124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9">
        <v>0.99</v>
      </c>
      <c r="AH242" s="47"/>
      <c r="AI242" s="48"/>
      <c r="AK242" s="50"/>
    </row>
    <row r="243" spans="1:37" ht="15.75" thickBot="1" x14ac:dyDescent="0.3">
      <c r="A243" s="116" t="s">
        <v>230</v>
      </c>
      <c r="B243" s="130"/>
      <c r="C243" s="131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29">
        <v>0.97899999999999998</v>
      </c>
      <c r="AH243" s="47"/>
      <c r="AI243" s="48"/>
      <c r="AK243" s="50"/>
    </row>
    <row r="244" spans="1:37" ht="15.75" thickBot="1" x14ac:dyDescent="0.3">
      <c r="A244" s="132" t="s">
        <v>231</v>
      </c>
      <c r="B244" s="133">
        <f t="shared" ref="B244:AG244" si="128">SUM(B139:B243)</f>
        <v>0</v>
      </c>
      <c r="C244" s="134">
        <f t="shared" si="128"/>
        <v>0</v>
      </c>
      <c r="D244" s="134">
        <f t="shared" si="128"/>
        <v>0</v>
      </c>
      <c r="E244" s="134">
        <f t="shared" si="128"/>
        <v>0</v>
      </c>
      <c r="F244" s="134">
        <f t="shared" si="128"/>
        <v>0</v>
      </c>
      <c r="G244" s="134">
        <f t="shared" si="128"/>
        <v>0</v>
      </c>
      <c r="H244" s="134">
        <f t="shared" si="128"/>
        <v>0</v>
      </c>
      <c r="I244" s="134">
        <f t="shared" si="128"/>
        <v>0</v>
      </c>
      <c r="J244" s="134">
        <f t="shared" si="128"/>
        <v>0</v>
      </c>
      <c r="K244" s="134">
        <f t="shared" si="128"/>
        <v>0</v>
      </c>
      <c r="L244" s="134">
        <f t="shared" si="128"/>
        <v>0</v>
      </c>
      <c r="M244" s="134">
        <f t="shared" si="128"/>
        <v>0</v>
      </c>
      <c r="N244" s="134">
        <f t="shared" si="128"/>
        <v>0</v>
      </c>
      <c r="O244" s="134">
        <f t="shared" si="128"/>
        <v>0</v>
      </c>
      <c r="P244" s="134">
        <f t="shared" si="128"/>
        <v>0</v>
      </c>
      <c r="Q244" s="134">
        <f t="shared" si="128"/>
        <v>0</v>
      </c>
      <c r="R244" s="134">
        <f t="shared" si="128"/>
        <v>0</v>
      </c>
      <c r="S244" s="134">
        <f t="shared" si="128"/>
        <v>0</v>
      </c>
      <c r="T244" s="134">
        <f t="shared" si="128"/>
        <v>0</v>
      </c>
      <c r="U244" s="134">
        <f t="shared" si="128"/>
        <v>0</v>
      </c>
      <c r="V244" s="134">
        <f t="shared" si="128"/>
        <v>0</v>
      </c>
      <c r="W244" s="134">
        <f t="shared" si="128"/>
        <v>0</v>
      </c>
      <c r="X244" s="134">
        <f t="shared" si="128"/>
        <v>0</v>
      </c>
      <c r="Y244" s="134">
        <f t="shared" si="128"/>
        <v>0</v>
      </c>
      <c r="Z244" s="134">
        <f t="shared" si="128"/>
        <v>0</v>
      </c>
      <c r="AA244" s="134">
        <f t="shared" si="128"/>
        <v>0</v>
      </c>
      <c r="AB244" s="134">
        <f t="shared" si="128"/>
        <v>0</v>
      </c>
      <c r="AC244" s="134">
        <f t="shared" si="128"/>
        <v>0</v>
      </c>
      <c r="AD244" s="134">
        <f t="shared" si="128"/>
        <v>0</v>
      </c>
      <c r="AE244" s="134">
        <f t="shared" si="128"/>
        <v>0</v>
      </c>
      <c r="AF244" s="135">
        <f t="shared" si="128"/>
        <v>0</v>
      </c>
      <c r="AG244" s="136">
        <f t="shared" si="128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19"/>
      <c r="AH245" s="47"/>
      <c r="AI245" s="48"/>
      <c r="AK245" s="50"/>
    </row>
    <row r="246" spans="1:37" x14ac:dyDescent="0.25">
      <c r="A246" s="100" t="s">
        <v>232</v>
      </c>
      <c r="B246" s="138">
        <f t="shared" ref="B246:B251" si="129">AF246</f>
        <v>0.3</v>
      </c>
      <c r="C246" s="138">
        <v>0.3</v>
      </c>
      <c r="D246" s="138">
        <f t="shared" ref="D246:S251" si="130">C246</f>
        <v>0.3</v>
      </c>
      <c r="E246" s="138">
        <f t="shared" si="130"/>
        <v>0.3</v>
      </c>
      <c r="F246" s="138">
        <f t="shared" si="130"/>
        <v>0.3</v>
      </c>
      <c r="G246" s="138">
        <f t="shared" si="130"/>
        <v>0.3</v>
      </c>
      <c r="H246" s="138">
        <f t="shared" si="130"/>
        <v>0.3</v>
      </c>
      <c r="I246" s="138">
        <f t="shared" si="130"/>
        <v>0.3</v>
      </c>
      <c r="J246" s="138">
        <f t="shared" si="130"/>
        <v>0.3</v>
      </c>
      <c r="K246" s="138">
        <f t="shared" si="130"/>
        <v>0.3</v>
      </c>
      <c r="L246" s="138">
        <f t="shared" si="130"/>
        <v>0.3</v>
      </c>
      <c r="M246" s="138">
        <f t="shared" si="130"/>
        <v>0.3</v>
      </c>
      <c r="N246" s="138">
        <f t="shared" si="130"/>
        <v>0.3</v>
      </c>
      <c r="O246" s="138">
        <f t="shared" si="130"/>
        <v>0.3</v>
      </c>
      <c r="P246" s="138">
        <f t="shared" si="130"/>
        <v>0.3</v>
      </c>
      <c r="Q246" s="138">
        <f t="shared" si="130"/>
        <v>0.3</v>
      </c>
      <c r="R246" s="138">
        <f t="shared" si="130"/>
        <v>0.3</v>
      </c>
      <c r="S246" s="138">
        <f t="shared" si="130"/>
        <v>0.3</v>
      </c>
      <c r="T246" s="138">
        <f t="shared" ref="T246:AF251" si="131">S246</f>
        <v>0.3</v>
      </c>
      <c r="U246" s="138">
        <f t="shared" si="131"/>
        <v>0.3</v>
      </c>
      <c r="V246" s="138">
        <f t="shared" si="131"/>
        <v>0.3</v>
      </c>
      <c r="W246" s="138">
        <f t="shared" si="131"/>
        <v>0.3</v>
      </c>
      <c r="X246" s="138">
        <f t="shared" si="131"/>
        <v>0.3</v>
      </c>
      <c r="Y246" s="138">
        <f t="shared" si="131"/>
        <v>0.3</v>
      </c>
      <c r="Z246" s="138">
        <f t="shared" si="131"/>
        <v>0.3</v>
      </c>
      <c r="AA246" s="138">
        <f t="shared" si="131"/>
        <v>0.3</v>
      </c>
      <c r="AB246" s="138">
        <f t="shared" si="131"/>
        <v>0.3</v>
      </c>
      <c r="AC246" s="138">
        <f t="shared" si="131"/>
        <v>0.3</v>
      </c>
      <c r="AD246" s="138">
        <f t="shared" si="131"/>
        <v>0.3</v>
      </c>
      <c r="AE246" s="138">
        <f t="shared" si="131"/>
        <v>0.3</v>
      </c>
      <c r="AF246" s="138">
        <f t="shared" si="131"/>
        <v>0.3</v>
      </c>
      <c r="AG246" s="139">
        <v>2.4</v>
      </c>
      <c r="AH246" s="47"/>
      <c r="AI246" s="48"/>
      <c r="AK246" s="50"/>
    </row>
    <row r="247" spans="1:37" x14ac:dyDescent="0.25">
      <c r="A247" s="103" t="s">
        <v>233</v>
      </c>
      <c r="B247" s="126">
        <f t="shared" si="129"/>
        <v>0.4</v>
      </c>
      <c r="C247" s="126">
        <v>0.4</v>
      </c>
      <c r="D247" s="126">
        <f t="shared" si="130"/>
        <v>0.4</v>
      </c>
      <c r="E247" s="126">
        <f t="shared" si="130"/>
        <v>0.4</v>
      </c>
      <c r="F247" s="126">
        <f t="shared" si="130"/>
        <v>0.4</v>
      </c>
      <c r="G247" s="126">
        <f t="shared" si="130"/>
        <v>0.4</v>
      </c>
      <c r="H247" s="126">
        <f t="shared" si="130"/>
        <v>0.4</v>
      </c>
      <c r="I247" s="126">
        <f t="shared" si="130"/>
        <v>0.4</v>
      </c>
      <c r="J247" s="126">
        <f t="shared" si="130"/>
        <v>0.4</v>
      </c>
      <c r="K247" s="126">
        <f t="shared" si="130"/>
        <v>0.4</v>
      </c>
      <c r="L247" s="126">
        <f t="shared" si="130"/>
        <v>0.4</v>
      </c>
      <c r="M247" s="126">
        <f t="shared" si="130"/>
        <v>0.4</v>
      </c>
      <c r="N247" s="126">
        <f t="shared" si="130"/>
        <v>0.4</v>
      </c>
      <c r="O247" s="126">
        <f t="shared" si="130"/>
        <v>0.4</v>
      </c>
      <c r="P247" s="126">
        <f t="shared" si="130"/>
        <v>0.4</v>
      </c>
      <c r="Q247" s="126">
        <f t="shared" si="130"/>
        <v>0.4</v>
      </c>
      <c r="R247" s="126">
        <f t="shared" si="130"/>
        <v>0.4</v>
      </c>
      <c r="S247" s="126">
        <f t="shared" si="130"/>
        <v>0.4</v>
      </c>
      <c r="T247" s="126">
        <f t="shared" si="131"/>
        <v>0.4</v>
      </c>
      <c r="U247" s="126">
        <f t="shared" si="131"/>
        <v>0.4</v>
      </c>
      <c r="V247" s="126">
        <f t="shared" si="131"/>
        <v>0.4</v>
      </c>
      <c r="W247" s="126">
        <f t="shared" si="131"/>
        <v>0.4</v>
      </c>
      <c r="X247" s="126">
        <f t="shared" si="131"/>
        <v>0.4</v>
      </c>
      <c r="Y247" s="126">
        <f t="shared" si="131"/>
        <v>0.4</v>
      </c>
      <c r="Z247" s="126">
        <f t="shared" si="131"/>
        <v>0.4</v>
      </c>
      <c r="AA247" s="126">
        <f t="shared" si="131"/>
        <v>0.4</v>
      </c>
      <c r="AB247" s="126">
        <f t="shared" si="131"/>
        <v>0.4</v>
      </c>
      <c r="AC247" s="126">
        <f t="shared" si="131"/>
        <v>0.4</v>
      </c>
      <c r="AD247" s="126">
        <f t="shared" si="131"/>
        <v>0.4</v>
      </c>
      <c r="AE247" s="126">
        <f t="shared" si="131"/>
        <v>0.4</v>
      </c>
      <c r="AF247" s="126">
        <f t="shared" si="131"/>
        <v>0.4</v>
      </c>
      <c r="AG247" s="140">
        <v>2</v>
      </c>
      <c r="AH247" s="47"/>
      <c r="AI247" s="48"/>
      <c r="AK247" s="50"/>
    </row>
    <row r="248" spans="1:37" x14ac:dyDescent="0.25">
      <c r="A248" s="103" t="s">
        <v>234</v>
      </c>
      <c r="B248" s="126">
        <f t="shared" si="129"/>
        <v>1.5</v>
      </c>
      <c r="C248" s="126">
        <v>1.5</v>
      </c>
      <c r="D248" s="126">
        <f t="shared" si="130"/>
        <v>1.5</v>
      </c>
      <c r="E248" s="126">
        <f t="shared" si="130"/>
        <v>1.5</v>
      </c>
      <c r="F248" s="126">
        <f t="shared" si="130"/>
        <v>1.5</v>
      </c>
      <c r="G248" s="126">
        <f t="shared" si="130"/>
        <v>1.5</v>
      </c>
      <c r="H248" s="126">
        <f t="shared" si="130"/>
        <v>1.5</v>
      </c>
      <c r="I248" s="126">
        <f t="shared" si="130"/>
        <v>1.5</v>
      </c>
      <c r="J248" s="126">
        <f t="shared" si="130"/>
        <v>1.5</v>
      </c>
      <c r="K248" s="126">
        <f t="shared" si="130"/>
        <v>1.5</v>
      </c>
      <c r="L248" s="126">
        <f t="shared" si="130"/>
        <v>1.5</v>
      </c>
      <c r="M248" s="126">
        <f t="shared" si="130"/>
        <v>1.5</v>
      </c>
      <c r="N248" s="126">
        <f t="shared" si="130"/>
        <v>1.5</v>
      </c>
      <c r="O248" s="126">
        <f t="shared" si="130"/>
        <v>1.5</v>
      </c>
      <c r="P248" s="126">
        <f t="shared" si="130"/>
        <v>1.5</v>
      </c>
      <c r="Q248" s="126">
        <f t="shared" si="130"/>
        <v>1.5</v>
      </c>
      <c r="R248" s="126">
        <f t="shared" si="130"/>
        <v>1.5</v>
      </c>
      <c r="S248" s="126">
        <f t="shared" si="130"/>
        <v>1.5</v>
      </c>
      <c r="T248" s="126">
        <f t="shared" si="131"/>
        <v>1.5</v>
      </c>
      <c r="U248" s="126">
        <f t="shared" si="131"/>
        <v>1.5</v>
      </c>
      <c r="V248" s="126">
        <f t="shared" si="131"/>
        <v>1.5</v>
      </c>
      <c r="W248" s="126">
        <f t="shared" si="131"/>
        <v>1.5</v>
      </c>
      <c r="X248" s="126">
        <f t="shared" si="131"/>
        <v>1.5</v>
      </c>
      <c r="Y248" s="126">
        <f t="shared" si="131"/>
        <v>1.5</v>
      </c>
      <c r="Z248" s="126">
        <f t="shared" si="131"/>
        <v>1.5</v>
      </c>
      <c r="AA248" s="126">
        <f t="shared" si="131"/>
        <v>1.5</v>
      </c>
      <c r="AB248" s="126">
        <f t="shared" si="131"/>
        <v>1.5</v>
      </c>
      <c r="AC248" s="126">
        <f t="shared" si="131"/>
        <v>1.5</v>
      </c>
      <c r="AD248" s="126">
        <f t="shared" si="131"/>
        <v>1.5</v>
      </c>
      <c r="AE248" s="126">
        <f t="shared" si="131"/>
        <v>1.5</v>
      </c>
      <c r="AF248" s="126">
        <f t="shared" si="131"/>
        <v>1.5</v>
      </c>
      <c r="AG248" s="140">
        <v>1.5</v>
      </c>
      <c r="AH248" s="47"/>
      <c r="AI248" s="48"/>
      <c r="AK248" s="50"/>
    </row>
    <row r="249" spans="1:37" x14ac:dyDescent="0.25">
      <c r="A249" s="103" t="s">
        <v>235</v>
      </c>
      <c r="B249" s="126">
        <f t="shared" si="129"/>
        <v>0.3</v>
      </c>
      <c r="C249" s="126">
        <v>0.3</v>
      </c>
      <c r="D249" s="126">
        <f t="shared" si="130"/>
        <v>0.3</v>
      </c>
      <c r="E249" s="126">
        <f t="shared" si="130"/>
        <v>0.3</v>
      </c>
      <c r="F249" s="126">
        <f t="shared" si="130"/>
        <v>0.3</v>
      </c>
      <c r="G249" s="126">
        <f t="shared" si="130"/>
        <v>0.3</v>
      </c>
      <c r="H249" s="126">
        <f t="shared" si="130"/>
        <v>0.3</v>
      </c>
      <c r="I249" s="126">
        <f t="shared" si="130"/>
        <v>0.3</v>
      </c>
      <c r="J249" s="126">
        <f t="shared" si="130"/>
        <v>0.3</v>
      </c>
      <c r="K249" s="126">
        <f t="shared" si="130"/>
        <v>0.3</v>
      </c>
      <c r="L249" s="126">
        <f t="shared" si="130"/>
        <v>0.3</v>
      </c>
      <c r="M249" s="126">
        <f t="shared" si="130"/>
        <v>0.3</v>
      </c>
      <c r="N249" s="126">
        <f t="shared" si="130"/>
        <v>0.3</v>
      </c>
      <c r="O249" s="126">
        <f t="shared" si="130"/>
        <v>0.3</v>
      </c>
      <c r="P249" s="126">
        <f t="shared" si="130"/>
        <v>0.3</v>
      </c>
      <c r="Q249" s="126">
        <f t="shared" si="130"/>
        <v>0.3</v>
      </c>
      <c r="R249" s="126">
        <f t="shared" si="130"/>
        <v>0.3</v>
      </c>
      <c r="S249" s="126">
        <f t="shared" si="130"/>
        <v>0.3</v>
      </c>
      <c r="T249" s="126">
        <f t="shared" si="131"/>
        <v>0.3</v>
      </c>
      <c r="U249" s="126">
        <f t="shared" si="131"/>
        <v>0.3</v>
      </c>
      <c r="V249" s="126">
        <f t="shared" si="131"/>
        <v>0.3</v>
      </c>
      <c r="W249" s="126">
        <f t="shared" si="131"/>
        <v>0.3</v>
      </c>
      <c r="X249" s="126">
        <f t="shared" si="131"/>
        <v>0.3</v>
      </c>
      <c r="Y249" s="126">
        <f t="shared" si="131"/>
        <v>0.3</v>
      </c>
      <c r="Z249" s="126">
        <f t="shared" si="131"/>
        <v>0.3</v>
      </c>
      <c r="AA249" s="126">
        <f t="shared" si="131"/>
        <v>0.3</v>
      </c>
      <c r="AB249" s="126">
        <f t="shared" si="131"/>
        <v>0.3</v>
      </c>
      <c r="AC249" s="126">
        <f t="shared" si="131"/>
        <v>0.3</v>
      </c>
      <c r="AD249" s="126">
        <f t="shared" si="131"/>
        <v>0.3</v>
      </c>
      <c r="AE249" s="126">
        <f t="shared" si="131"/>
        <v>0.3</v>
      </c>
      <c r="AF249" s="126">
        <f t="shared" si="131"/>
        <v>0.3</v>
      </c>
      <c r="AG249" s="140">
        <v>1</v>
      </c>
      <c r="AH249" s="47"/>
      <c r="AI249" s="48"/>
      <c r="AK249" s="50"/>
    </row>
    <row r="250" spans="1:37" x14ac:dyDescent="0.25">
      <c r="A250" s="103" t="s">
        <v>236</v>
      </c>
      <c r="B250" s="126">
        <f t="shared" si="129"/>
        <v>0.4</v>
      </c>
      <c r="C250" s="126">
        <v>0.4</v>
      </c>
      <c r="D250" s="126">
        <f t="shared" si="130"/>
        <v>0.4</v>
      </c>
      <c r="E250" s="126">
        <f t="shared" si="130"/>
        <v>0.4</v>
      </c>
      <c r="F250" s="126">
        <f t="shared" si="130"/>
        <v>0.4</v>
      </c>
      <c r="G250" s="126">
        <f t="shared" si="130"/>
        <v>0.4</v>
      </c>
      <c r="H250" s="126">
        <f t="shared" si="130"/>
        <v>0.4</v>
      </c>
      <c r="I250" s="126">
        <f t="shared" si="130"/>
        <v>0.4</v>
      </c>
      <c r="J250" s="126">
        <f t="shared" si="130"/>
        <v>0.4</v>
      </c>
      <c r="K250" s="126">
        <f t="shared" si="130"/>
        <v>0.4</v>
      </c>
      <c r="L250" s="126">
        <f t="shared" si="130"/>
        <v>0.4</v>
      </c>
      <c r="M250" s="126">
        <f t="shared" si="130"/>
        <v>0.4</v>
      </c>
      <c r="N250" s="126">
        <f t="shared" si="130"/>
        <v>0.4</v>
      </c>
      <c r="O250" s="126">
        <f t="shared" si="130"/>
        <v>0.4</v>
      </c>
      <c r="P250" s="126">
        <f t="shared" si="130"/>
        <v>0.4</v>
      </c>
      <c r="Q250" s="126">
        <f t="shared" si="130"/>
        <v>0.4</v>
      </c>
      <c r="R250" s="126">
        <f t="shared" si="130"/>
        <v>0.4</v>
      </c>
      <c r="S250" s="126">
        <f t="shared" si="130"/>
        <v>0.4</v>
      </c>
      <c r="T250" s="126">
        <f t="shared" si="131"/>
        <v>0.4</v>
      </c>
      <c r="U250" s="126">
        <f t="shared" si="131"/>
        <v>0.4</v>
      </c>
      <c r="V250" s="126">
        <f t="shared" si="131"/>
        <v>0.4</v>
      </c>
      <c r="W250" s="126">
        <f t="shared" si="131"/>
        <v>0.4</v>
      </c>
      <c r="X250" s="126">
        <f t="shared" si="131"/>
        <v>0.4</v>
      </c>
      <c r="Y250" s="126">
        <f t="shared" si="131"/>
        <v>0.4</v>
      </c>
      <c r="Z250" s="126">
        <f t="shared" si="131"/>
        <v>0.4</v>
      </c>
      <c r="AA250" s="126">
        <f t="shared" si="131"/>
        <v>0.4</v>
      </c>
      <c r="AB250" s="126">
        <f t="shared" si="131"/>
        <v>0.4</v>
      </c>
      <c r="AC250" s="126">
        <f t="shared" si="131"/>
        <v>0.4</v>
      </c>
      <c r="AD250" s="126">
        <f t="shared" si="131"/>
        <v>0.4</v>
      </c>
      <c r="AE250" s="126">
        <f t="shared" si="131"/>
        <v>0.4</v>
      </c>
      <c r="AF250" s="126">
        <f t="shared" si="131"/>
        <v>0.4</v>
      </c>
      <c r="AG250" s="140">
        <v>1</v>
      </c>
      <c r="AH250" s="47"/>
      <c r="AI250" s="48"/>
      <c r="AK250" s="50"/>
    </row>
    <row r="251" spans="1:37" ht="15.75" thickBot="1" x14ac:dyDescent="0.3">
      <c r="A251" s="116" t="s">
        <v>237</v>
      </c>
      <c r="B251" s="130">
        <f t="shared" si="129"/>
        <v>0.64</v>
      </c>
      <c r="C251" s="130">
        <v>0.64</v>
      </c>
      <c r="D251" s="130">
        <f t="shared" si="130"/>
        <v>0.64</v>
      </c>
      <c r="E251" s="130">
        <f t="shared" si="130"/>
        <v>0.64</v>
      </c>
      <c r="F251" s="130">
        <f t="shared" si="130"/>
        <v>0.64</v>
      </c>
      <c r="G251" s="130">
        <f t="shared" si="130"/>
        <v>0.64</v>
      </c>
      <c r="H251" s="130">
        <f t="shared" si="130"/>
        <v>0.64</v>
      </c>
      <c r="I251" s="130">
        <f t="shared" si="130"/>
        <v>0.64</v>
      </c>
      <c r="J251" s="130">
        <f t="shared" si="130"/>
        <v>0.64</v>
      </c>
      <c r="K251" s="130">
        <f t="shared" si="130"/>
        <v>0.64</v>
      </c>
      <c r="L251" s="130">
        <f t="shared" si="130"/>
        <v>0.64</v>
      </c>
      <c r="M251" s="130">
        <f t="shared" si="130"/>
        <v>0.64</v>
      </c>
      <c r="N251" s="130">
        <f t="shared" si="130"/>
        <v>0.64</v>
      </c>
      <c r="O251" s="130">
        <f t="shared" si="130"/>
        <v>0.64</v>
      </c>
      <c r="P251" s="130">
        <f t="shared" si="130"/>
        <v>0.64</v>
      </c>
      <c r="Q251" s="130">
        <f t="shared" si="130"/>
        <v>0.64</v>
      </c>
      <c r="R251" s="130">
        <f t="shared" si="130"/>
        <v>0.64</v>
      </c>
      <c r="S251" s="130">
        <f t="shared" si="130"/>
        <v>0.64</v>
      </c>
      <c r="T251" s="130">
        <f t="shared" si="131"/>
        <v>0.64</v>
      </c>
      <c r="U251" s="130">
        <f t="shared" si="131"/>
        <v>0.64</v>
      </c>
      <c r="V251" s="130">
        <f t="shared" si="131"/>
        <v>0.64</v>
      </c>
      <c r="W251" s="130">
        <f t="shared" si="131"/>
        <v>0.64</v>
      </c>
      <c r="X251" s="130">
        <f t="shared" si="131"/>
        <v>0.64</v>
      </c>
      <c r="Y251" s="130">
        <f t="shared" si="131"/>
        <v>0.64</v>
      </c>
      <c r="Z251" s="130">
        <f t="shared" si="131"/>
        <v>0.64</v>
      </c>
      <c r="AA251" s="130">
        <f t="shared" si="131"/>
        <v>0.64</v>
      </c>
      <c r="AB251" s="130">
        <f t="shared" si="131"/>
        <v>0.64</v>
      </c>
      <c r="AC251" s="130">
        <f t="shared" si="131"/>
        <v>0.64</v>
      </c>
      <c r="AD251" s="130">
        <f t="shared" si="131"/>
        <v>0.64</v>
      </c>
      <c r="AE251" s="130">
        <f t="shared" si="131"/>
        <v>0.64</v>
      </c>
      <c r="AF251" s="130">
        <f t="shared" si="131"/>
        <v>0.64</v>
      </c>
      <c r="AG251" s="141">
        <v>0.66</v>
      </c>
      <c r="AH251" s="47"/>
      <c r="AI251" s="48"/>
    </row>
    <row r="252" spans="1:37" ht="15.75" thickBot="1" x14ac:dyDescent="0.3">
      <c r="A252" s="142" t="s">
        <v>75</v>
      </c>
      <c r="B252" s="134">
        <f t="shared" ref="B252:AG252" si="132">SUM(B246:B251)</f>
        <v>3.54</v>
      </c>
      <c r="C252" s="134">
        <f t="shared" si="132"/>
        <v>3.54</v>
      </c>
      <c r="D252" s="134">
        <f t="shared" si="132"/>
        <v>3.54</v>
      </c>
      <c r="E252" s="134">
        <f t="shared" si="132"/>
        <v>3.54</v>
      </c>
      <c r="F252" s="134">
        <f t="shared" si="132"/>
        <v>3.54</v>
      </c>
      <c r="G252" s="134">
        <f t="shared" si="132"/>
        <v>3.54</v>
      </c>
      <c r="H252" s="134">
        <f t="shared" si="132"/>
        <v>3.54</v>
      </c>
      <c r="I252" s="134">
        <f t="shared" si="132"/>
        <v>3.54</v>
      </c>
      <c r="J252" s="134">
        <f t="shared" si="132"/>
        <v>3.54</v>
      </c>
      <c r="K252" s="134">
        <f t="shared" si="132"/>
        <v>3.54</v>
      </c>
      <c r="L252" s="134">
        <f t="shared" si="132"/>
        <v>3.54</v>
      </c>
      <c r="M252" s="134">
        <f t="shared" si="132"/>
        <v>3.54</v>
      </c>
      <c r="N252" s="134">
        <f t="shared" si="132"/>
        <v>3.54</v>
      </c>
      <c r="O252" s="134">
        <f t="shared" si="132"/>
        <v>3.54</v>
      </c>
      <c r="P252" s="134">
        <f t="shared" si="132"/>
        <v>3.54</v>
      </c>
      <c r="Q252" s="134">
        <f t="shared" si="132"/>
        <v>3.54</v>
      </c>
      <c r="R252" s="134">
        <f t="shared" si="132"/>
        <v>3.54</v>
      </c>
      <c r="S252" s="134">
        <f t="shared" si="132"/>
        <v>3.54</v>
      </c>
      <c r="T252" s="134">
        <f t="shared" si="132"/>
        <v>3.54</v>
      </c>
      <c r="U252" s="134">
        <f t="shared" si="132"/>
        <v>3.54</v>
      </c>
      <c r="V252" s="134">
        <f t="shared" si="132"/>
        <v>3.54</v>
      </c>
      <c r="W252" s="134">
        <f t="shared" si="132"/>
        <v>3.54</v>
      </c>
      <c r="X252" s="134">
        <f t="shared" si="132"/>
        <v>3.54</v>
      </c>
      <c r="Y252" s="134">
        <f t="shared" si="132"/>
        <v>3.54</v>
      </c>
      <c r="Z252" s="134">
        <f t="shared" si="132"/>
        <v>3.54</v>
      </c>
      <c r="AA252" s="134">
        <f t="shared" si="132"/>
        <v>3.54</v>
      </c>
      <c r="AB252" s="134">
        <f t="shared" si="132"/>
        <v>3.54</v>
      </c>
      <c r="AC252" s="134">
        <f t="shared" si="132"/>
        <v>3.54</v>
      </c>
      <c r="AD252" s="134">
        <f t="shared" si="132"/>
        <v>3.54</v>
      </c>
      <c r="AE252" s="134">
        <f t="shared" si="132"/>
        <v>3.54</v>
      </c>
      <c r="AF252" s="134">
        <f t="shared" si="132"/>
        <v>3.54</v>
      </c>
      <c r="AG252" s="143">
        <f t="shared" si="132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37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54" t="s">
        <v>243</v>
      </c>
      <c r="B256" s="155">
        <f>MAX(G99:N99)</f>
        <v>1637.3400000000001</v>
      </c>
      <c r="C256" s="156">
        <f>INDEX(G9:N9,1,MATCH(MAX(G99:N99),G99:N99,0))</f>
        <v>0.33333333333333331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50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157" t="str">
        <f ca="1">MID(CELL("filename",C7),FIND("]",CELL("filename",C7))+1,600)</f>
        <v>20</v>
      </c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50" x14ac:dyDescent="0.25">
      <c r="A258" s="257" t="s">
        <v>244</v>
      </c>
      <c r="B258" s="257"/>
      <c r="C258" s="43"/>
      <c r="D258" s="157" t="str">
        <f ca="1">"Pie Chart of Daily Peak Demand(Inclusive of Export) of Nepal ("&amp;A4&amp;" "&amp;B4&amp;")"</f>
        <v>Pie Chart of Daily Peak Demand(Inclusive of Export) of Nepal (Nepali Date: 2080/10/20)</v>
      </c>
      <c r="E258" s="43"/>
      <c r="F258" s="43"/>
      <c r="G258" s="157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157" t="str">
        <f ca="1">"Daily Load Curve(Excluding of Export) of Nepal ("&amp;A4&amp;" "&amp;B4&amp;")"</f>
        <v>Daily Load Curve(Excluding of Export) of Nepal (Nepali Date: 2080/10/20)</v>
      </c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50" ht="12.75" customHeight="1" thickBot="1" x14ac:dyDescent="0.3">
      <c r="A259" s="158" t="s">
        <v>7</v>
      </c>
      <c r="B259" s="159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50" ht="15.75" thickTop="1" x14ac:dyDescent="0.25">
      <c r="A260" s="158" t="s">
        <v>245</v>
      </c>
      <c r="B260" s="15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160" t="s">
        <v>246</v>
      </c>
      <c r="T260" s="161">
        <v>0</v>
      </c>
      <c r="U260" s="162">
        <v>4.1666666666666664E-2</v>
      </c>
      <c r="V260" s="163">
        <v>8.3333333333333301E-2</v>
      </c>
      <c r="W260" s="163">
        <v>0.125</v>
      </c>
      <c r="X260" s="163">
        <v>0.16666666666666699</v>
      </c>
      <c r="Y260" s="163">
        <v>0.20833333333333301</v>
      </c>
      <c r="Z260" s="163">
        <v>0.22916666666666666</v>
      </c>
      <c r="AA260" s="163">
        <v>0.25</v>
      </c>
      <c r="AB260" s="163">
        <v>0.27083333333333331</v>
      </c>
      <c r="AC260" s="163">
        <v>0.29166666666666669</v>
      </c>
      <c r="AD260" s="163">
        <v>0.3125</v>
      </c>
      <c r="AE260" s="164">
        <v>0.33333333333333331</v>
      </c>
      <c r="AF260" s="164">
        <v>0.375</v>
      </c>
      <c r="AG260" s="164">
        <v>0.41666666666666702</v>
      </c>
      <c r="AH260" s="164">
        <v>0.45833333333333298</v>
      </c>
      <c r="AI260" s="164">
        <v>0.5</v>
      </c>
      <c r="AJ260" s="164">
        <v>0.54166666666666696</v>
      </c>
      <c r="AK260" s="164">
        <v>0.58333333333333304</v>
      </c>
      <c r="AL260" s="164">
        <v>0.625</v>
      </c>
      <c r="AM260" s="164">
        <v>0.66666666666666696</v>
      </c>
      <c r="AN260" s="164">
        <v>0.70833333333333304</v>
      </c>
      <c r="AO260" s="164">
        <v>0.72916666666666663</v>
      </c>
      <c r="AP260" s="164">
        <v>0.75</v>
      </c>
      <c r="AQ260" s="164">
        <v>0.77083333333333337</v>
      </c>
      <c r="AR260" s="164">
        <v>0.79166666666666663</v>
      </c>
      <c r="AS260" s="164">
        <v>0.8125</v>
      </c>
      <c r="AT260" s="163">
        <v>0.83333333333333337</v>
      </c>
      <c r="AU260" s="163">
        <v>0.85416666666666663</v>
      </c>
      <c r="AV260" s="163">
        <v>0.875</v>
      </c>
      <c r="AW260" s="163">
        <v>0.91666666666666696</v>
      </c>
      <c r="AX260" s="163">
        <v>0.95833333333333304</v>
      </c>
    </row>
    <row r="261" spans="1:50" x14ac:dyDescent="0.25">
      <c r="A261" s="158" t="s">
        <v>247</v>
      </c>
      <c r="B261" s="15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 t="s">
        <v>248</v>
      </c>
      <c r="T261" s="165">
        <f t="shared" ref="T261:AX261" si="133">B99</f>
        <v>1133.94</v>
      </c>
      <c r="U261" s="165">
        <f t="shared" si="133"/>
        <v>1144.94</v>
      </c>
      <c r="V261" s="165">
        <f t="shared" si="133"/>
        <v>1115.94</v>
      </c>
      <c r="W261" s="165">
        <f t="shared" si="133"/>
        <v>1137.8400000000001</v>
      </c>
      <c r="X261" s="165">
        <f t="shared" si="133"/>
        <v>1143.3400000000001</v>
      </c>
      <c r="Y261" s="165">
        <f t="shared" si="133"/>
        <v>1203.74</v>
      </c>
      <c r="Z261" s="165">
        <f t="shared" si="133"/>
        <v>1223.54</v>
      </c>
      <c r="AA261" s="165">
        <f t="shared" si="133"/>
        <v>1285.1399999999999</v>
      </c>
      <c r="AB261" s="165">
        <f t="shared" si="133"/>
        <v>1330.74</v>
      </c>
      <c r="AC261" s="165">
        <f t="shared" si="133"/>
        <v>1411.1</v>
      </c>
      <c r="AD261" s="165">
        <f t="shared" si="133"/>
        <v>1592.8300000000002</v>
      </c>
      <c r="AE261" s="165">
        <f t="shared" si="133"/>
        <v>1637.3400000000001</v>
      </c>
      <c r="AF261" s="165">
        <f t="shared" si="133"/>
        <v>1590.94</v>
      </c>
      <c r="AG261" s="165">
        <f t="shared" si="133"/>
        <v>1513.54</v>
      </c>
      <c r="AH261" s="165">
        <f t="shared" si="133"/>
        <v>1406.84</v>
      </c>
      <c r="AI261" s="165">
        <f t="shared" si="133"/>
        <v>1363.74</v>
      </c>
      <c r="AJ261" s="165">
        <f t="shared" si="133"/>
        <v>1354.1399999999999</v>
      </c>
      <c r="AK261" s="165">
        <f t="shared" si="133"/>
        <v>1278.1399999999999</v>
      </c>
      <c r="AL261" s="165">
        <f t="shared" si="133"/>
        <v>1231.24</v>
      </c>
      <c r="AM261" s="165">
        <f t="shared" si="133"/>
        <v>1266.6399999999999</v>
      </c>
      <c r="AN261" s="165">
        <f t="shared" si="133"/>
        <v>1269.4399999999998</v>
      </c>
      <c r="AO261" s="165">
        <f t="shared" si="133"/>
        <v>1332.34</v>
      </c>
      <c r="AP261" s="165">
        <f t="shared" si="133"/>
        <v>1643.04</v>
      </c>
      <c r="AQ261" s="165">
        <f t="shared" si="133"/>
        <v>1829.1999999999998</v>
      </c>
      <c r="AR261" s="165">
        <f t="shared" si="133"/>
        <v>1750.1</v>
      </c>
      <c r="AS261" s="165">
        <f t="shared" si="133"/>
        <v>1719.1399999999999</v>
      </c>
      <c r="AT261" s="165">
        <f t="shared" si="133"/>
        <v>1635.24</v>
      </c>
      <c r="AU261" s="165">
        <f t="shared" si="133"/>
        <v>1638.6399999999999</v>
      </c>
      <c r="AV261" s="165">
        <f t="shared" si="133"/>
        <v>1488.6399999999999</v>
      </c>
      <c r="AW261" s="165">
        <f t="shared" si="133"/>
        <v>1322.1399999999999</v>
      </c>
      <c r="AX261" s="165">
        <f t="shared" si="133"/>
        <v>1197.04</v>
      </c>
    </row>
    <row r="262" spans="1:50" x14ac:dyDescent="0.25">
      <c r="A262" s="158" t="s">
        <v>249</v>
      </c>
      <c r="B262" s="15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50" x14ac:dyDescent="0.25">
      <c r="A263" s="158" t="s">
        <v>250</v>
      </c>
      <c r="B263" s="15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50" x14ac:dyDescent="0.25">
      <c r="A264" s="158" t="s">
        <v>251</v>
      </c>
      <c r="B264" s="15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50" x14ac:dyDescent="0.25">
      <c r="A265" s="158" t="s">
        <v>252</v>
      </c>
      <c r="B265" s="166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50" x14ac:dyDescent="0.25">
      <c r="A266" s="158" t="s">
        <v>253</v>
      </c>
      <c r="B266" s="15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50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50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50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50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50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50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1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1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1:34" x14ac:dyDescent="0.25">
      <c r="A282" s="167" t="s">
        <v>238</v>
      </c>
      <c r="B282" s="168">
        <f t="shared" ref="B282:AE282" si="134">C251</f>
        <v>0.64</v>
      </c>
      <c r="C282" s="168">
        <f t="shared" si="134"/>
        <v>0.64</v>
      </c>
      <c r="D282" s="168">
        <f t="shared" si="134"/>
        <v>0.64</v>
      </c>
      <c r="E282" s="168">
        <f t="shared" si="134"/>
        <v>0.64</v>
      </c>
      <c r="F282" s="168">
        <f t="shared" si="134"/>
        <v>0.64</v>
      </c>
      <c r="G282" s="168">
        <f t="shared" si="134"/>
        <v>0.64</v>
      </c>
      <c r="H282" s="168">
        <f t="shared" si="134"/>
        <v>0.64</v>
      </c>
      <c r="I282" s="168">
        <f t="shared" si="134"/>
        <v>0.64</v>
      </c>
      <c r="J282" s="168">
        <f t="shared" si="134"/>
        <v>0.64</v>
      </c>
      <c r="K282" s="168">
        <f t="shared" si="134"/>
        <v>0.64</v>
      </c>
      <c r="L282" s="168">
        <f t="shared" si="134"/>
        <v>0.64</v>
      </c>
      <c r="M282" s="168">
        <f t="shared" si="134"/>
        <v>0.64</v>
      </c>
      <c r="N282" s="168">
        <f t="shared" si="134"/>
        <v>0.64</v>
      </c>
      <c r="O282" s="168">
        <f t="shared" si="134"/>
        <v>0.64</v>
      </c>
      <c r="P282" s="168">
        <f t="shared" si="134"/>
        <v>0.64</v>
      </c>
      <c r="Q282" s="168">
        <f t="shared" si="134"/>
        <v>0.64</v>
      </c>
      <c r="R282" s="168">
        <f t="shared" si="134"/>
        <v>0.64</v>
      </c>
      <c r="S282" s="168">
        <f t="shared" si="134"/>
        <v>0.64</v>
      </c>
      <c r="T282" s="168">
        <f t="shared" si="134"/>
        <v>0.64</v>
      </c>
      <c r="U282" s="168">
        <f t="shared" si="134"/>
        <v>0.64</v>
      </c>
      <c r="V282" s="168">
        <f t="shared" si="134"/>
        <v>0.64</v>
      </c>
      <c r="W282" s="168">
        <f t="shared" si="134"/>
        <v>0.64</v>
      </c>
      <c r="X282" s="168">
        <f t="shared" si="134"/>
        <v>0.64</v>
      </c>
      <c r="Y282" s="168">
        <f t="shared" si="134"/>
        <v>0.64</v>
      </c>
      <c r="Z282" s="168">
        <f t="shared" si="134"/>
        <v>0.64</v>
      </c>
      <c r="AA282" s="168">
        <f t="shared" si="134"/>
        <v>0.64</v>
      </c>
      <c r="AB282" s="168">
        <f t="shared" si="134"/>
        <v>0.64</v>
      </c>
      <c r="AC282" s="168">
        <f t="shared" si="134"/>
        <v>0.64</v>
      </c>
      <c r="AD282" s="168">
        <f t="shared" si="134"/>
        <v>0.64</v>
      </c>
      <c r="AE282" s="168">
        <f t="shared" si="134"/>
        <v>0.64</v>
      </c>
      <c r="AF282" s="168">
        <f>B251</f>
        <v>0.64</v>
      </c>
      <c r="AG282" s="43"/>
      <c r="AH282" s="43"/>
    </row>
    <row r="283" spans="1:34" x14ac:dyDescent="0.25">
      <c r="A283" s="169" t="e">
        <f>#REF!</f>
        <v>#REF!</v>
      </c>
      <c r="B283" s="169" t="e">
        <f>IF(#REF!&lt;100,"",#REF!-520)</f>
        <v>#REF!</v>
      </c>
      <c r="C283" s="169" t="e">
        <f>IF(#REF!&lt;100,"",#REF!-520)</f>
        <v>#REF!</v>
      </c>
      <c r="D283" s="169" t="e">
        <f>IF(#REF!&lt;100,"",#REF!-520)</f>
        <v>#REF!</v>
      </c>
      <c r="E283" s="169" t="e">
        <f>IF(#REF!&lt;100,"",#REF!-520)</f>
        <v>#REF!</v>
      </c>
      <c r="F283" s="169" t="e">
        <f>IF(#REF!&lt;100,"",#REF!-520)</f>
        <v>#REF!</v>
      </c>
      <c r="G283" s="169" t="e">
        <f>IF(#REF!&lt;100,"",#REF!-520)</f>
        <v>#REF!</v>
      </c>
      <c r="H283" s="169" t="e">
        <f>IF(#REF!&lt;100,"",#REF!-520)</f>
        <v>#REF!</v>
      </c>
      <c r="I283" s="169" t="e">
        <f>IF(#REF!&lt;100,"",#REF!-520)</f>
        <v>#REF!</v>
      </c>
      <c r="J283" s="169" t="e">
        <f>IF(#REF!&lt;100,"",#REF!-520)</f>
        <v>#REF!</v>
      </c>
      <c r="K283" s="169" t="e">
        <f>IF(#REF!&lt;100,"",#REF!-520)</f>
        <v>#REF!</v>
      </c>
      <c r="L283" s="169" t="e">
        <f>IF(#REF!&lt;100,"",#REF!-520)</f>
        <v>#REF!</v>
      </c>
      <c r="M283" s="169" t="e">
        <f>IF(#REF!&lt;100,"",#REF!-520)</f>
        <v>#REF!</v>
      </c>
      <c r="N283" s="169" t="e">
        <f>IF(#REF!&lt;100,"",#REF!-520)</f>
        <v>#REF!</v>
      </c>
      <c r="O283" s="169" t="e">
        <f>IF(#REF!&lt;100,"",#REF!-520)</f>
        <v>#REF!</v>
      </c>
      <c r="P283" s="169" t="e">
        <f>IF(#REF!&lt;100,"",#REF!-520)</f>
        <v>#REF!</v>
      </c>
      <c r="Q283" s="169" t="e">
        <f>IF(#REF!&lt;100,"",#REF!-520)</f>
        <v>#REF!</v>
      </c>
      <c r="R283" s="169" t="e">
        <f>IF(#REF!&lt;100,"",#REF!-520)</f>
        <v>#REF!</v>
      </c>
      <c r="S283" s="169" t="e">
        <f>IF(#REF!&lt;100,"",#REF!-520)</f>
        <v>#REF!</v>
      </c>
      <c r="T283" s="169" t="e">
        <f>IF(#REF!&lt;100,"",#REF!-520)</f>
        <v>#REF!</v>
      </c>
      <c r="U283" s="169" t="e">
        <f>IF(#REF!&lt;100,"",#REF!-520)</f>
        <v>#REF!</v>
      </c>
      <c r="V283" s="169" t="e">
        <f>IF(#REF!&lt;100,"",#REF!-520)</f>
        <v>#REF!</v>
      </c>
      <c r="W283" s="169" t="e">
        <f>IF(#REF!&lt;100,"",#REF!-520)</f>
        <v>#REF!</v>
      </c>
      <c r="X283" s="169" t="e">
        <f>IF(#REF!&lt;100,"",#REF!-520)</f>
        <v>#REF!</v>
      </c>
      <c r="Y283" s="169" t="e">
        <f>IF(#REF!&lt;100,"",#REF!-520)</f>
        <v>#REF!</v>
      </c>
      <c r="Z283" s="169" t="e">
        <f>IF(#REF!&lt;100,"",#REF!-520)</f>
        <v>#REF!</v>
      </c>
      <c r="AA283" s="169" t="e">
        <f>IF(#REF!&lt;100,"",#REF!-520)</f>
        <v>#REF!</v>
      </c>
      <c r="AB283" s="169" t="e">
        <f>IF(#REF!&lt;100,"",#REF!-520)</f>
        <v>#REF!</v>
      </c>
      <c r="AC283" s="169" t="e">
        <f>IF(#REF!&lt;100,"",#REF!-520)</f>
        <v>#REF!</v>
      </c>
      <c r="AD283" s="169" t="e">
        <f>IF(#REF!&lt;100,"",#REF!-520)</f>
        <v>#REF!</v>
      </c>
      <c r="AE283" s="169" t="e">
        <f>IF(#REF!&lt;100,"",#REF!-520)</f>
        <v>#REF!</v>
      </c>
      <c r="AF283" s="169" t="e">
        <f>IF(#REF!&lt;100,"",#REF!-520)</f>
        <v>#REF!</v>
      </c>
      <c r="AG283" s="43"/>
      <c r="AH283" s="43"/>
    </row>
    <row r="284" spans="1:34" x14ac:dyDescent="0.25">
      <c r="A284" s="169" t="e">
        <f>#REF!</f>
        <v>#REF!</v>
      </c>
      <c r="B284" s="169" t="e">
        <f>IF(#REF!&lt;100,"",#REF!-620)</f>
        <v>#REF!</v>
      </c>
      <c r="C284" s="169" t="e">
        <f>IF(#REF!&lt;100,"",#REF!-620)</f>
        <v>#REF!</v>
      </c>
      <c r="D284" s="169" t="e">
        <f>IF(#REF!&lt;100,"",#REF!-620)</f>
        <v>#REF!</v>
      </c>
      <c r="E284" s="169" t="e">
        <f>IF(#REF!&lt;100,"",#REF!-620)</f>
        <v>#REF!</v>
      </c>
      <c r="F284" s="169" t="e">
        <f>IF(#REF!&lt;100,"",#REF!-620)</f>
        <v>#REF!</v>
      </c>
      <c r="G284" s="169" t="e">
        <f>IF(#REF!&lt;100,"",#REF!-620)</f>
        <v>#REF!</v>
      </c>
      <c r="H284" s="169" t="e">
        <f>IF(#REF!&lt;100,"",#REF!-620)</f>
        <v>#REF!</v>
      </c>
      <c r="I284" s="169" t="e">
        <f>IF(#REF!&lt;100,"",#REF!-620)</f>
        <v>#REF!</v>
      </c>
      <c r="J284" s="169" t="e">
        <f>IF(#REF!&lt;100,"",#REF!-620)</f>
        <v>#REF!</v>
      </c>
      <c r="K284" s="169" t="e">
        <f>IF(#REF!&lt;100,"",#REF!-620)</f>
        <v>#REF!</v>
      </c>
      <c r="L284" s="169" t="e">
        <f>IF(#REF!&lt;100,"",#REF!-620)</f>
        <v>#REF!</v>
      </c>
      <c r="M284" s="169" t="e">
        <f>IF(#REF!&lt;100,"",#REF!-620)</f>
        <v>#REF!</v>
      </c>
      <c r="N284" s="169" t="e">
        <f>IF(#REF!&lt;100,"",#REF!-620)</f>
        <v>#REF!</v>
      </c>
      <c r="O284" s="169" t="e">
        <f>IF(#REF!&lt;100,"",#REF!-620)</f>
        <v>#REF!</v>
      </c>
      <c r="P284" s="169" t="e">
        <f>IF(#REF!&lt;100,"",#REF!-620)</f>
        <v>#REF!</v>
      </c>
      <c r="Q284" s="169" t="e">
        <f>IF(#REF!&lt;100,"",#REF!-620)</f>
        <v>#REF!</v>
      </c>
      <c r="R284" s="169" t="e">
        <f>IF(#REF!&lt;100,"",#REF!-620)</f>
        <v>#REF!</v>
      </c>
      <c r="S284" s="169" t="e">
        <f>IF(#REF!&lt;100,"",#REF!-620)</f>
        <v>#REF!</v>
      </c>
      <c r="T284" s="169" t="e">
        <f>IF(#REF!&lt;100,"",#REF!-620)</f>
        <v>#REF!</v>
      </c>
      <c r="U284" s="169" t="e">
        <f>IF(#REF!&lt;100,"",#REF!-620)</f>
        <v>#REF!</v>
      </c>
      <c r="V284" s="169" t="e">
        <f>IF(#REF!&lt;100,"",#REF!-620)</f>
        <v>#REF!</v>
      </c>
      <c r="W284" s="169" t="e">
        <f>IF(#REF!&lt;100,"",#REF!-620)</f>
        <v>#REF!</v>
      </c>
      <c r="X284" s="169" t="e">
        <f>IF(#REF!&lt;100,"",#REF!-620)</f>
        <v>#REF!</v>
      </c>
      <c r="Y284" s="169" t="e">
        <f>IF(#REF!&lt;100,"",#REF!-620)</f>
        <v>#REF!</v>
      </c>
      <c r="Z284" s="169" t="e">
        <f>IF(#REF!&lt;100,"",#REF!-620)</f>
        <v>#REF!</v>
      </c>
      <c r="AA284" s="169" t="e">
        <f>IF(#REF!&lt;100,"",#REF!-620)</f>
        <v>#REF!</v>
      </c>
      <c r="AB284" s="169" t="e">
        <f>IF(#REF!&lt;100,"",#REF!-620)</f>
        <v>#REF!</v>
      </c>
      <c r="AC284" s="169" t="e">
        <f>IF(#REF!&lt;100,"",#REF!-620)</f>
        <v>#REF!</v>
      </c>
      <c r="AD284" s="169" t="e">
        <f>IF(#REF!&lt;100,"",#REF!-620)</f>
        <v>#REF!</v>
      </c>
      <c r="AE284" s="169" t="e">
        <f>IF(#REF!&lt;100,"",#REF!-620)</f>
        <v>#REF!</v>
      </c>
      <c r="AF284" s="169" t="e">
        <f>IF(#REF!&lt;100,"",#REF!-620)</f>
        <v>#REF!</v>
      </c>
      <c r="AG284" s="43"/>
      <c r="AH284" s="43"/>
    </row>
    <row r="285" spans="1:34" x14ac:dyDescent="0.25">
      <c r="A285" s="169" t="e">
        <f>#REF!</f>
        <v>#REF!</v>
      </c>
      <c r="B285" s="169" t="e">
        <f>IF(#REF!&lt;100,"",#REF!-330)</f>
        <v>#REF!</v>
      </c>
      <c r="C285" s="169" t="e">
        <f>IF(#REF!&lt;100,"",#REF!-330)</f>
        <v>#REF!</v>
      </c>
      <c r="D285" s="169" t="e">
        <f>IF(#REF!&lt;100,"",#REF!-330)</f>
        <v>#REF!</v>
      </c>
      <c r="E285" s="169" t="e">
        <f>IF(#REF!&lt;100,"",#REF!-330)</f>
        <v>#REF!</v>
      </c>
      <c r="F285" s="169" t="e">
        <f>IF(#REF!&lt;100,"",#REF!-330)</f>
        <v>#REF!</v>
      </c>
      <c r="G285" s="169" t="e">
        <f>IF(#REF!&lt;100,"",#REF!-330)</f>
        <v>#REF!</v>
      </c>
      <c r="H285" s="169" t="e">
        <f>IF(#REF!&lt;100,"",#REF!-330)</f>
        <v>#REF!</v>
      </c>
      <c r="I285" s="169" t="e">
        <f>IF(#REF!&lt;100,"",#REF!-330)</f>
        <v>#REF!</v>
      </c>
      <c r="J285" s="169" t="e">
        <f>IF(#REF!&lt;100,"",#REF!-330)</f>
        <v>#REF!</v>
      </c>
      <c r="K285" s="169" t="e">
        <f>IF(#REF!&lt;100,"",#REF!-330)</f>
        <v>#REF!</v>
      </c>
      <c r="L285" s="169" t="e">
        <f>IF(#REF!&lt;100,"",#REF!-330)</f>
        <v>#REF!</v>
      </c>
      <c r="M285" s="169" t="e">
        <f>IF(#REF!&lt;100,"",#REF!-330)</f>
        <v>#REF!</v>
      </c>
      <c r="N285" s="169" t="e">
        <f>IF(#REF!&lt;100,"",#REF!-330)</f>
        <v>#REF!</v>
      </c>
      <c r="O285" s="169" t="e">
        <f>IF(#REF!&lt;100,"",#REF!-330)</f>
        <v>#REF!</v>
      </c>
      <c r="P285" s="169" t="e">
        <f>IF(#REF!&lt;100,"",#REF!-330)</f>
        <v>#REF!</v>
      </c>
      <c r="Q285" s="169" t="e">
        <f>IF(#REF!&lt;100,"",#REF!-330)</f>
        <v>#REF!</v>
      </c>
      <c r="R285" s="169" t="e">
        <f>IF(#REF!&lt;100,"",#REF!-330)</f>
        <v>#REF!</v>
      </c>
      <c r="S285" s="169" t="e">
        <f>IF(#REF!&lt;100,"",#REF!-330)</f>
        <v>#REF!</v>
      </c>
      <c r="T285" s="169" t="e">
        <f>IF(#REF!&lt;100,"",#REF!-330)</f>
        <v>#REF!</v>
      </c>
      <c r="U285" s="169" t="e">
        <f>IF(#REF!&lt;100,"",#REF!-330)</f>
        <v>#REF!</v>
      </c>
      <c r="V285" s="169" t="e">
        <f>IF(#REF!&lt;100,"",#REF!-330)</f>
        <v>#REF!</v>
      </c>
      <c r="W285" s="169" t="e">
        <f>IF(#REF!&lt;100,"",#REF!-330)</f>
        <v>#REF!</v>
      </c>
      <c r="X285" s="169" t="e">
        <f>IF(#REF!&lt;100,"",#REF!-330)</f>
        <v>#REF!</v>
      </c>
      <c r="Y285" s="169" t="e">
        <f>IF(#REF!&lt;100,"",#REF!-330)</f>
        <v>#REF!</v>
      </c>
      <c r="Z285" s="169" t="e">
        <f>IF(#REF!&lt;100,"",#REF!-330)</f>
        <v>#REF!</v>
      </c>
      <c r="AA285" s="169" t="e">
        <f>IF(#REF!&lt;100,"",#REF!-330)</f>
        <v>#REF!</v>
      </c>
      <c r="AB285" s="169" t="e">
        <f>IF(#REF!&lt;100,"",#REF!-330)</f>
        <v>#REF!</v>
      </c>
      <c r="AC285" s="169" t="e">
        <f>IF(#REF!&lt;100,"",#REF!-330)</f>
        <v>#REF!</v>
      </c>
      <c r="AD285" s="169" t="e">
        <f>IF(#REF!&lt;100,"",#REF!-330)</f>
        <v>#REF!</v>
      </c>
      <c r="AE285" s="169" t="e">
        <f>IF(#REF!&lt;100,"",#REF!-330)</f>
        <v>#REF!</v>
      </c>
      <c r="AF285" s="169" t="e">
        <f>IF(#REF!&lt;100,"",#REF!-330)</f>
        <v>#REF!</v>
      </c>
      <c r="AG285" s="43"/>
      <c r="AH285" s="43"/>
    </row>
    <row r="286" spans="1:34" x14ac:dyDescent="0.25">
      <c r="A286" s="169" t="e">
        <f>#REF!</f>
        <v>#REF!</v>
      </c>
      <c r="B286" s="169" t="e">
        <f>IF(#REF!&lt;100,"",#REF!-1500)</f>
        <v>#REF!</v>
      </c>
      <c r="C286" s="169" t="e">
        <f>IF(#REF!&lt;100,"",#REF!-1500)</f>
        <v>#REF!</v>
      </c>
      <c r="D286" s="169" t="e">
        <f>IF(#REF!&lt;100,"",#REF!-1500)</f>
        <v>#REF!</v>
      </c>
      <c r="E286" s="169" t="e">
        <f>IF(#REF!&lt;100,"",#REF!-1500)</f>
        <v>#REF!</v>
      </c>
      <c r="F286" s="169" t="e">
        <f>IF(#REF!&lt;100,"",#REF!-1500)</f>
        <v>#REF!</v>
      </c>
      <c r="G286" s="169" t="e">
        <f>IF(#REF!&lt;100,"",#REF!-1500)</f>
        <v>#REF!</v>
      </c>
      <c r="H286" s="169" t="e">
        <f>IF(#REF!&lt;100,"",#REF!-1500)</f>
        <v>#REF!</v>
      </c>
      <c r="I286" s="169" t="e">
        <f>IF(#REF!&lt;100,"",#REF!-1500)</f>
        <v>#REF!</v>
      </c>
      <c r="J286" s="169" t="e">
        <f>IF(#REF!&lt;100,"",#REF!-1500)</f>
        <v>#REF!</v>
      </c>
      <c r="K286" s="169" t="e">
        <f>IF(#REF!&lt;100,"",#REF!-1500)</f>
        <v>#REF!</v>
      </c>
      <c r="L286" s="169" t="e">
        <f>IF(#REF!&lt;100,"",#REF!-1500)</f>
        <v>#REF!</v>
      </c>
      <c r="M286" s="169" t="e">
        <f>IF(#REF!&lt;100,"",#REF!-1500)</f>
        <v>#REF!</v>
      </c>
      <c r="N286" s="169" t="e">
        <f>IF(#REF!&lt;100,"",#REF!-1500)</f>
        <v>#REF!</v>
      </c>
      <c r="O286" s="169" t="e">
        <f>IF(#REF!&lt;100,"",#REF!-1500)</f>
        <v>#REF!</v>
      </c>
      <c r="P286" s="169" t="e">
        <f>IF(#REF!&lt;100,"",#REF!-1500)</f>
        <v>#REF!</v>
      </c>
      <c r="Q286" s="169" t="e">
        <f>IF(#REF!&lt;100,"",#REF!-1500)</f>
        <v>#REF!</v>
      </c>
      <c r="R286" s="169" t="e">
        <f>IF(#REF!&lt;100,"",#REF!-1500)</f>
        <v>#REF!</v>
      </c>
      <c r="S286" s="169" t="e">
        <f>IF(#REF!&lt;100,"",#REF!-1500)</f>
        <v>#REF!</v>
      </c>
      <c r="T286" s="169" t="e">
        <f>IF(#REF!&lt;100,"",#REF!-1500)</f>
        <v>#REF!</v>
      </c>
      <c r="U286" s="169" t="e">
        <f>IF(#REF!&lt;100,"",#REF!-1500)</f>
        <v>#REF!</v>
      </c>
      <c r="V286" s="169" t="e">
        <f>IF(#REF!&lt;100,"",#REF!-1500)</f>
        <v>#REF!</v>
      </c>
      <c r="W286" s="169" t="e">
        <f>IF(#REF!&lt;100,"",#REF!-1500)</f>
        <v>#REF!</v>
      </c>
      <c r="X286" s="169" t="e">
        <f>IF(#REF!&lt;100,"",#REF!-1500)</f>
        <v>#REF!</v>
      </c>
      <c r="Y286" s="169" t="e">
        <f>IF(#REF!&lt;100,"",#REF!-1500)</f>
        <v>#REF!</v>
      </c>
      <c r="Z286" s="169" t="e">
        <f>IF(#REF!&lt;100,"",#REF!-1500)</f>
        <v>#REF!</v>
      </c>
      <c r="AA286" s="169" t="e">
        <f>IF(#REF!&lt;100,"",#REF!-1500)</f>
        <v>#REF!</v>
      </c>
      <c r="AB286" s="169" t="e">
        <f>IF(#REF!&lt;100,"",#REF!-1500)</f>
        <v>#REF!</v>
      </c>
      <c r="AC286" s="169" t="e">
        <f>IF(#REF!&lt;100,"",#REF!-1500)</f>
        <v>#REF!</v>
      </c>
      <c r="AD286" s="169" t="e">
        <f>IF(#REF!&lt;100,"",#REF!-1500)</f>
        <v>#REF!</v>
      </c>
      <c r="AE286" s="169" t="e">
        <f>IF(#REF!&lt;100,"",#REF!-1500)</f>
        <v>#REF!</v>
      </c>
      <c r="AF286" s="169" t="e">
        <f>IF(#REF!&lt;100,"",#REF!-1500)</f>
        <v>#REF!</v>
      </c>
      <c r="AG286" s="43"/>
      <c r="AH286" s="43"/>
    </row>
    <row r="287" spans="1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1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2:34" x14ac:dyDescent="0.25"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2:34" x14ac:dyDescent="0.25"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2:34" x14ac:dyDescent="0.25"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2:34" x14ac:dyDescent="0.25"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2:34" x14ac:dyDescent="0.25"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725" priority="1">
      <formula>$AH11=0</formula>
    </cfRule>
  </conditionalFormatting>
  <conditionalFormatting sqref="A132:A253">
    <cfRule type="expression" dxfId="724" priority="6">
      <formula>$AH132=0</formula>
    </cfRule>
  </conditionalFormatting>
  <conditionalFormatting sqref="B8 M8 S8 AB8">
    <cfRule type="expression" dxfId="723" priority="115">
      <formula>AND(C$9&gt;=8/24,C$9&lt;14/24)</formula>
    </cfRule>
    <cfRule type="expression" dxfId="722" priority="114">
      <formula>AND(C$9&gt;=14/24,C$9&lt;20/24)</formula>
    </cfRule>
    <cfRule type="expression" dxfId="721" priority="116">
      <formula>C$9&lt;8/24</formula>
    </cfRule>
  </conditionalFormatting>
  <conditionalFormatting sqref="B63:I74 J64:K74 L69:X71 L73:X74">
    <cfRule type="expression" dxfId="720" priority="21">
      <formula>B$9&gt;=20/24</formula>
    </cfRule>
    <cfRule type="expression" dxfId="719" priority="22">
      <formula>AND(B$9&gt;=14/24,B$9&lt;20/24)</formula>
    </cfRule>
    <cfRule type="expression" dxfId="718" priority="23">
      <formula>AND(B$9&gt;=8/24,B$9&lt;14/24)</formula>
    </cfRule>
    <cfRule type="expression" dxfId="717" priority="24">
      <formula>B$9&lt;8/24</formula>
    </cfRule>
  </conditionalFormatting>
  <conditionalFormatting sqref="B11:X54">
    <cfRule type="expression" dxfId="716" priority="15">
      <formula>B11&gt;$AG11</formula>
    </cfRule>
  </conditionalFormatting>
  <conditionalFormatting sqref="B53:X54">
    <cfRule type="expression" dxfId="715" priority="14">
      <formula>B$9&lt;8/24</formula>
    </cfRule>
  </conditionalFormatting>
  <conditionalFormatting sqref="B55:X55">
    <cfRule type="expression" dxfId="714" priority="35">
      <formula>B55&gt;$AG55</formula>
    </cfRule>
  </conditionalFormatting>
  <conditionalFormatting sqref="B9:AF52">
    <cfRule type="expression" dxfId="713" priority="29">
      <formula>B$9&lt;8/24</formula>
    </cfRule>
    <cfRule type="expression" dxfId="712" priority="26">
      <formula>B$9&gt;=20/24</formula>
    </cfRule>
    <cfRule type="expression" dxfId="711" priority="27">
      <formula>AND(B$9&gt;=14/24,B$9&lt;20/24)</formula>
    </cfRule>
    <cfRule type="expression" dxfId="710" priority="28">
      <formula>AND(B$9&gt;=8/24,B$9&lt;14/24)</formula>
    </cfRule>
  </conditionalFormatting>
  <conditionalFormatting sqref="B53:AF54">
    <cfRule type="expression" dxfId="709" priority="11">
      <formula>B$9&gt;=20/24</formula>
    </cfRule>
    <cfRule type="expression" dxfId="708" priority="12">
      <formula>AND(B$9&gt;=14/24,B$9&lt;20/24)</formula>
    </cfRule>
    <cfRule type="expression" dxfId="707" priority="13">
      <formula>AND(B$9&gt;=8/24,B$9&lt;14/24)</formula>
    </cfRule>
  </conditionalFormatting>
  <conditionalFormatting sqref="B55:AF57">
    <cfRule type="expression" dxfId="706" priority="31">
      <formula>B$9&gt;=20/24</formula>
    </cfRule>
    <cfRule type="expression" dxfId="705" priority="33">
      <formula>AND(B$9&gt;=8/24,B$9&lt;14/24)</formula>
    </cfRule>
    <cfRule type="expression" dxfId="704" priority="32">
      <formula>AND(B$9&gt;=14/24,B$9&lt;20/24)</formula>
    </cfRule>
  </conditionalFormatting>
  <conditionalFormatting sqref="B56:AF61">
    <cfRule type="expression" dxfId="703" priority="30">
      <formula>B56&gt;$AG56</formula>
    </cfRule>
  </conditionalFormatting>
  <conditionalFormatting sqref="B59:AF61">
    <cfRule type="expression" dxfId="702" priority="44">
      <formula>B$9&lt;8/24</formula>
    </cfRule>
    <cfRule type="expression" dxfId="701" priority="43">
      <formula>AND(B$9&gt;=8/24,B$9&lt;14/24)</formula>
    </cfRule>
    <cfRule type="expression" dxfId="700" priority="42">
      <formula>AND(B$9&gt;=14/24,B$9&lt;20/24)</formula>
    </cfRule>
    <cfRule type="expression" dxfId="699" priority="41">
      <formula>B$9&gt;=20/24</formula>
    </cfRule>
  </conditionalFormatting>
  <conditionalFormatting sqref="B63:AF74">
    <cfRule type="expression" dxfId="698" priority="20">
      <formula>B63&gt;$AG63</formula>
    </cfRule>
  </conditionalFormatting>
  <conditionalFormatting sqref="B77:AF79">
    <cfRule type="expression" dxfId="697" priority="46">
      <formula>B$9&gt;=20/24</formula>
    </cfRule>
    <cfRule type="expression" dxfId="696" priority="47">
      <formula>AND(B$9&gt;=14/24,B$9&lt;20/24)</formula>
    </cfRule>
    <cfRule type="expression" dxfId="695" priority="48">
      <formula>AND(B$9&gt;=8/24,B$9&lt;14/24)</formula>
    </cfRule>
    <cfRule type="expression" dxfId="694" priority="49">
      <formula>B$9&lt;8/24</formula>
    </cfRule>
    <cfRule type="expression" dxfId="693" priority="45">
      <formula>B77&gt;$AG77</formula>
    </cfRule>
  </conditionalFormatting>
  <conditionalFormatting sqref="B81:AF99">
    <cfRule type="expression" dxfId="692" priority="16">
      <formula>B$9&gt;=20/24</formula>
    </cfRule>
    <cfRule type="expression" dxfId="691" priority="17">
      <formula>AND(B$9&gt;=14/24,B$9&lt;20/24)</formula>
    </cfRule>
    <cfRule type="expression" dxfId="690" priority="19">
      <formula>B$9&lt;8/24</formula>
    </cfRule>
    <cfRule type="expression" dxfId="689" priority="18">
      <formula>AND(B$9&gt;=8/24,B$9&lt;14/24)</formula>
    </cfRule>
  </conditionalFormatting>
  <conditionalFormatting sqref="B101:AF117">
    <cfRule type="expression" dxfId="688" priority="8">
      <formula>AND(B$9&gt;=14/24,B$9&lt;20/24)</formula>
    </cfRule>
    <cfRule type="expression" dxfId="687" priority="10">
      <formula>B$9&lt;8/24</formula>
    </cfRule>
    <cfRule type="expression" dxfId="686" priority="9">
      <formula>AND(B$9&gt;=8/24,B$9&lt;14/24)</formula>
    </cfRule>
    <cfRule type="expression" dxfId="685" priority="7">
      <formula>B$9&gt;=20/24</formula>
    </cfRule>
  </conditionalFormatting>
  <conditionalFormatting sqref="B119:AF137">
    <cfRule type="expression" dxfId="684" priority="2">
      <formula>B$9&gt;=20/24</formula>
    </cfRule>
    <cfRule type="expression" dxfId="683" priority="3">
      <formula>AND(B$9&gt;=14/24,B$9&lt;20/24)</formula>
    </cfRule>
    <cfRule type="expression" dxfId="682" priority="4">
      <formula>AND(B$9&gt;=8/24,B$9&lt;14/24)</formula>
    </cfRule>
    <cfRule type="expression" dxfId="681" priority="5">
      <formula>B$9&lt;8/24</formula>
    </cfRule>
  </conditionalFormatting>
  <conditionalFormatting sqref="B244:AF244 B246:B252 D246:AF252 U260:AF260">
    <cfRule type="expression" dxfId="680" priority="110">
      <formula>B$9&lt;8/24</formula>
    </cfRule>
    <cfRule type="expression" dxfId="679" priority="109">
      <formula>AND(B$9&gt;=8/24,B$9&lt;14/24)</formula>
    </cfRule>
    <cfRule type="expression" dxfId="678" priority="108">
      <formula>AND(B$9&gt;=14/24,B$9&lt;20/24)</formula>
    </cfRule>
    <cfRule type="expression" dxfId="677" priority="107">
      <formula>B$9&gt;=20/24</formula>
    </cfRule>
  </conditionalFormatting>
  <conditionalFormatting sqref="B62:AG62">
    <cfRule type="expression" dxfId="676" priority="50">
      <formula>B62&gt;$AG62</formula>
    </cfRule>
    <cfRule type="expression" dxfId="675" priority="51">
      <formula>B$9&gt;=20/24</formula>
    </cfRule>
    <cfRule type="expression" dxfId="674" priority="52">
      <formula>AND(B$9&gt;=14/24,B$9&lt;20/24)</formula>
    </cfRule>
    <cfRule type="expression" dxfId="673" priority="53">
      <formula>AND(B$9&gt;=8/24,B$9&lt;14/24)</formula>
    </cfRule>
    <cfRule type="expression" dxfId="672" priority="54">
      <formula>B$9&lt;8/24</formula>
    </cfRule>
  </conditionalFormatting>
  <conditionalFormatting sqref="B75:AG76 B80:AG80">
    <cfRule type="expression" dxfId="671" priority="36">
      <formula>B75&gt;$AG75</formula>
    </cfRule>
  </conditionalFormatting>
  <conditionalFormatting sqref="B80:AG80">
    <cfRule type="expression" dxfId="670" priority="37">
      <formula>B$9&gt;=20/24</formula>
    </cfRule>
    <cfRule type="expression" dxfId="669" priority="38">
      <formula>AND(B$9&gt;=14/24,B$9&lt;20/24)</formula>
    </cfRule>
    <cfRule type="expression" dxfId="668" priority="40">
      <formula>B$9&lt;8/24</formula>
    </cfRule>
    <cfRule type="expression" dxfId="667" priority="39">
      <formula>AND(B$9&gt;=8/24,B$9&lt;14/24)</formula>
    </cfRule>
  </conditionalFormatting>
  <conditionalFormatting sqref="F63:M65 N65">
    <cfRule type="expression" dxfId="666" priority="88">
      <formula>F$9&gt;=20/24</formula>
    </cfRule>
    <cfRule type="expression" dxfId="665" priority="91">
      <formula>F$9&lt;8/24</formula>
    </cfRule>
    <cfRule type="expression" dxfId="664" priority="90">
      <formula>AND(F$9&gt;=8/24,F$9&lt;14/24)</formula>
    </cfRule>
    <cfRule type="expression" dxfId="663" priority="89">
      <formula>AND(F$9&gt;=14/24,F$9&lt;20/24)</formula>
    </cfRule>
  </conditionalFormatting>
  <conditionalFormatting sqref="F68:X68">
    <cfRule type="expression" dxfId="662" priority="68">
      <formula>F$9&lt;8/24</formula>
    </cfRule>
    <cfRule type="expression" dxfId="661" priority="65">
      <formula>F$9&gt;=20/24</formula>
    </cfRule>
    <cfRule type="expression" dxfId="660" priority="66">
      <formula>AND(F$9&gt;=14/24,F$9&lt;20/24)</formula>
    </cfRule>
    <cfRule type="expression" dxfId="659" priority="67">
      <formula>AND(F$9&gt;=8/24,F$9&lt;14/24)</formula>
    </cfRule>
  </conditionalFormatting>
  <conditionalFormatting sqref="F69:AF74">
    <cfRule type="expression" dxfId="658" priority="55">
      <formula>F$9&gt;=20/24</formula>
    </cfRule>
    <cfRule type="expression" dxfId="657" priority="56">
      <formula>AND(F$9&gt;=14/24,F$9&lt;20/24)</formula>
    </cfRule>
    <cfRule type="expression" dxfId="656" priority="57">
      <formula>AND(F$9&gt;=8/24,F$9&lt;14/24)</formula>
    </cfRule>
    <cfRule type="expression" dxfId="655" priority="58">
      <formula>F$9&lt;8/24</formula>
    </cfRule>
  </conditionalFormatting>
  <conditionalFormatting sqref="N55:X56 B55:M57">
    <cfRule type="expression" dxfId="654" priority="34">
      <formula>B$9&lt;8/24</formula>
    </cfRule>
  </conditionalFormatting>
  <conditionalFormatting sqref="N63:X67">
    <cfRule type="expression" dxfId="653" priority="93">
      <formula>AND(N$9&gt;=14/24,N$9&lt;20/24)</formula>
    </cfRule>
    <cfRule type="expression" dxfId="652" priority="92">
      <formula>N$9&gt;=20/24</formula>
    </cfRule>
    <cfRule type="expression" dxfId="651" priority="94">
      <formula>AND(N$9&gt;=8/24,N$9&lt;14/24)</formula>
    </cfRule>
    <cfRule type="expression" dxfId="650" priority="95">
      <formula>N$9&lt;8/24</formula>
    </cfRule>
  </conditionalFormatting>
  <conditionalFormatting sqref="O3:P3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649" priority="113">
      <formula>C$9&gt;=20/24</formula>
    </cfRule>
  </conditionalFormatting>
  <conditionalFormatting sqref="S8">
    <cfRule type="expression" dxfId="648" priority="101">
      <formula>AND(U$9&gt;=14/24,U$9&lt;20/24)</formula>
    </cfRule>
    <cfRule type="expression" dxfId="647" priority="103">
      <formula>U$9&lt;8/24</formula>
    </cfRule>
    <cfRule type="expression" dxfId="646" priority="102">
      <formula>AND(U$9&gt;=8/24,U$9&lt;14/24)</formula>
    </cfRule>
    <cfRule type="expression" dxfId="645" priority="100">
      <formula>U$9&gt;=20/24</formula>
    </cfRule>
  </conditionalFormatting>
  <conditionalFormatting sqref="S63:AF68">
    <cfRule type="expression" dxfId="644" priority="59">
      <formula>S$9&gt;=20/24</formula>
    </cfRule>
    <cfRule type="expression" dxfId="643" priority="60">
      <formula>AND(S$9&gt;=14/24,S$9&lt;20/24)</formula>
    </cfRule>
    <cfRule type="expression" dxfId="642" priority="62">
      <formula>S$9&lt;8/24</formula>
    </cfRule>
    <cfRule type="expression" dxfId="641" priority="61">
      <formula>AND(S$9&gt;=8/24,S$9&lt;14/24)</formula>
    </cfRule>
  </conditionalFormatting>
  <conditionalFormatting sqref="T260">
    <cfRule type="expression" dxfId="640" priority="126">
      <formula>AND(AX$9&gt;=14/24,AX$9&lt;20/24)</formula>
    </cfRule>
    <cfRule type="expression" dxfId="639" priority="125">
      <formula>AX$9&gt;=20/24</formula>
    </cfRule>
    <cfRule type="expression" dxfId="638" priority="127">
      <formula>AND(AX$9&gt;=8/24,AX$9&lt;14/24)</formula>
    </cfRule>
    <cfRule type="expression" dxfId="637" priority="128">
      <formula>AX$9&lt;8/24</formula>
    </cfRule>
  </conditionalFormatting>
  <conditionalFormatting sqref="V3 AB3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Y11:AF52">
    <cfRule type="expression" dxfId="636" priority="25">
      <formula>Y11&gt;$AG11</formula>
    </cfRule>
  </conditionalFormatting>
  <conditionalFormatting sqref="Y53:AF55">
    <cfRule type="expression" dxfId="635" priority="64">
      <formula>Y53&gt;$AG53</formula>
    </cfRule>
  </conditionalFormatting>
  <conditionalFormatting sqref="Y53:AF57 B56:Q56 R56:X57 N57:Q57">
    <cfRule type="expression" dxfId="634" priority="63">
      <formula>B$9&lt;8/24</formula>
    </cfRule>
  </conditionalFormatting>
  <conditionalFormatting sqref="AB8">
    <cfRule type="expression" dxfId="633" priority="98">
      <formula>AND(AD$9&gt;=8/24,AD$9&lt;14/24)</formula>
    </cfRule>
    <cfRule type="expression" dxfId="632" priority="99">
      <formula>AD$9&lt;8/24</formula>
    </cfRule>
    <cfRule type="expression" dxfId="631" priority="96">
      <formula>AD$9&gt;=20/24</formula>
    </cfRule>
    <cfRule type="expression" dxfId="630" priority="97">
      <formula>AND(AD$9&gt;=14/24,AD$9&lt;20/24)</formula>
    </cfRule>
  </conditionalFormatting>
  <conditionalFormatting sqref="AG58">
    <cfRule type="expression" dxfId="629" priority="83">
      <formula>AG58&gt;$AG58</formula>
    </cfRule>
  </conditionalFormatting>
  <conditionalFormatting sqref="AG97">
    <cfRule type="expression" dxfId="628" priority="87">
      <formula>AG$9&lt;8/24</formula>
    </cfRule>
    <cfRule type="expression" dxfId="627" priority="84">
      <formula>AG$9&gt;=20/24</formula>
    </cfRule>
    <cfRule type="expression" dxfId="626" priority="85">
      <formula>AND(AG$9&gt;=14/24,AG$9&lt;20/24)</formula>
    </cfRule>
    <cfRule type="expression" dxfId="625" priority="86">
      <formula>AND(AG$9&gt;=8/24,AG$9&lt;14/24)</formula>
    </cfRule>
  </conditionalFormatting>
  <conditionalFormatting sqref="AG260">
    <cfRule type="expression" dxfId="624" priority="118">
      <formula>AND(B$9&gt;=14/24,B$9&lt;20/24)</formula>
    </cfRule>
    <cfRule type="expression" dxfId="623" priority="119">
      <formula>AND(B$9&gt;=8/24,B$9&lt;14/24)</formula>
    </cfRule>
    <cfRule type="expression" dxfId="622" priority="120">
      <formula>B$9&lt;8/24</formula>
    </cfRule>
    <cfRule type="expression" dxfId="621" priority="117">
      <formula>B$9&gt;=20/24</formula>
    </cfRule>
  </conditionalFormatting>
  <conditionalFormatting sqref="AH260:AX260">
    <cfRule type="expression" dxfId="620" priority="121">
      <formula>AG$9&gt;=20/24</formula>
    </cfRule>
    <cfRule type="expression" dxfId="619" priority="122">
      <formula>AND(AG$9&gt;=14/24,AG$9&lt;20/24)</formula>
    </cfRule>
    <cfRule type="expression" dxfId="618" priority="123">
      <formula>AND(AG$9&gt;=8/24,AG$9&lt;14/24)</formula>
    </cfRule>
    <cfRule type="expression" dxfId="617" priority="124">
      <formula>AG$9&lt;8/24</formula>
    </cfRule>
  </conditionalFormatting>
  <conditionalFormatting sqref="AL4:AL6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19:AL20">
    <cfRule type="iconSet" priority="71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8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70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8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82">
      <iconSet iconSet="3TrafficLights2" reverse="1">
        <cfvo type="percent" val="0"/>
        <cfvo type="num" val="1"/>
        <cfvo type="num" val="1"/>
      </iconSet>
    </cfRule>
  </conditionalFormatting>
  <conditionalFormatting sqref="AL48 AL45:AL46 AL21:AL24 AL7:AL18 AL26:AL37 AL39:AL43 AL54:AL55">
    <cfRule type="iconSet" priority="129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04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69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616" priority="130">
      <formula>AJ$9&gt;=20/24</formula>
    </cfRule>
    <cfRule type="expression" dxfId="615" priority="131">
      <formula>AND(AJ$9&gt;=14/24,AJ$9&lt;20/24)</formula>
    </cfRule>
    <cfRule type="expression" dxfId="614" priority="132">
      <formula>AND(AJ$9&gt;=8/24,AJ$9&lt;14/24)</formula>
    </cfRule>
    <cfRule type="expression" dxfId="613" priority="133">
      <formula>AJ$9&lt;8/24</formula>
    </cfRule>
  </conditionalFormatting>
  <conditionalFormatting sqref="AL88:AN88 AL94:AN94">
    <cfRule type="expression" dxfId="612" priority="79">
      <formula>AL$9&lt;8/24</formula>
    </cfRule>
    <cfRule type="expression" dxfId="611" priority="78">
      <formula>AND(AL$9&gt;=8/24,AL$9&lt;14/24)</formula>
    </cfRule>
    <cfRule type="expression" dxfId="610" priority="77">
      <formula>AND(AL$9&gt;=14/24,AL$9&lt;20/24)</formula>
    </cfRule>
    <cfRule type="expression" dxfId="609" priority="76">
      <formula>AL$9&gt;=20/24</formula>
    </cfRule>
  </conditionalFormatting>
  <conditionalFormatting sqref="AN89:AN92">
    <cfRule type="expression" dxfId="608" priority="75">
      <formula>AN$9&lt;8/24</formula>
    </cfRule>
    <cfRule type="expression" dxfId="607" priority="74">
      <formula>AND(AN$9&gt;=8/24,AN$9&lt;14/24)</formula>
    </cfRule>
    <cfRule type="expression" dxfId="606" priority="73">
      <formula>AND(AN$9&gt;=14/24,AN$9&lt;20/24)</formula>
    </cfRule>
    <cfRule type="expression" dxfId="605" priority="72">
      <formula>AN$9&gt;=20/24</formula>
    </cfRule>
  </conditionalFormatting>
  <pageMargins left="0.7" right="0.7" top="0.75" bottom="0.75" header="0.3" footer="0.3"/>
  <drawing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F4048-C765-4A6C-926E-40603FA9BD0C}">
  <sheetPr codeName="Sheet20"/>
  <dimension ref="A1:CJ293"/>
  <sheetViews>
    <sheetView zoomScaleNormal="100" workbookViewId="0">
      <pane xSplit="1" ySplit="10" topLeftCell="BP63" activePane="bottomRight" state="frozen"/>
      <selection activeCell="Z63" sqref="Z63"/>
      <selection pane="topRight" activeCell="Z63" sqref="Z63"/>
      <selection pane="bottomLeft" activeCell="Z63" sqref="Z63"/>
      <selection pane="bottomRight" activeCell="AY1" sqref="AY1:BW1048576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4" width="7.140625" style="1" bestFit="1" customWidth="1"/>
    <col min="15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21.42578125" style="1" bestFit="1" customWidth="1"/>
    <col min="38" max="41" width="9.140625" style="1" customWidth="1"/>
    <col min="42" max="42" width="9.28515625" style="1" bestFit="1" customWidth="1"/>
    <col min="43" max="45" width="9.140625" style="1"/>
    <col min="46" max="46" width="20.85546875" style="1" bestFit="1" customWidth="1"/>
    <col min="47" max="57" width="9.140625" style="1"/>
    <col min="58" max="58" width="22.28515625" style="1" bestFit="1" customWidth="1"/>
    <col min="59" max="76" width="9.140625" style="1"/>
    <col min="77" max="77" width="27.85546875" style="1" bestFit="1" customWidth="1"/>
    <col min="78" max="78" width="22.5703125" style="1" bestFit="1" customWidth="1"/>
    <col min="79" max="80" width="9.140625" style="1"/>
    <col min="81" max="81" width="19.7109375" style="1" bestFit="1" customWidth="1"/>
    <col min="82" max="16384" width="9.140625" style="1"/>
  </cols>
  <sheetData>
    <row r="1" spans="1:88" ht="36" hidden="1" customHeight="1" thickBot="1" x14ac:dyDescent="0.3">
      <c r="A1" s="275" t="s">
        <v>0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  <c r="AD1" s="275"/>
      <c r="AE1" s="275"/>
      <c r="AF1" s="275"/>
      <c r="AG1" s="276" t="s">
        <v>1</v>
      </c>
      <c r="AH1" s="276"/>
      <c r="AI1" s="276"/>
      <c r="AL1" s="2"/>
    </row>
    <row r="2" spans="1:88" ht="20.25" hidden="1" x14ac:dyDescent="0.25">
      <c r="A2" s="3"/>
      <c r="B2" s="277" t="s">
        <v>2</v>
      </c>
      <c r="C2" s="4"/>
      <c r="D2" s="279" t="s">
        <v>3</v>
      </c>
      <c r="E2" s="4"/>
      <c r="F2" s="279" t="s">
        <v>4</v>
      </c>
      <c r="G2" s="4"/>
      <c r="H2" s="279" t="s">
        <v>5</v>
      </c>
      <c r="I2" s="5"/>
      <c r="J2" s="281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78"/>
      <c r="C3" s="16"/>
      <c r="D3" s="280"/>
      <c r="E3" s="16"/>
      <c r="F3" s="280"/>
      <c r="G3" s="16"/>
      <c r="H3" s="280"/>
      <c r="I3" s="17"/>
      <c r="J3" s="281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70" t="str">
        <f ca="1">"2080/"&amp;"10/"&amp;INT(MID(CELL("filename",D6),FIND("]",CELL("filename",D6))+1,200))</f>
        <v>2080/10/21</v>
      </c>
      <c r="C4" s="270"/>
      <c r="D4" s="270"/>
      <c r="E4" s="271" t="str">
        <f ca="1">"2080/"&amp;"10/"&amp;INT(MID(CELL("filename",G6),FIND("]",CELL("filename",G6))+1,200))</f>
        <v>2080/10/21</v>
      </c>
      <c r="F4" s="271"/>
      <c r="G4" s="271"/>
      <c r="H4" s="271" t="str">
        <f ca="1">TEXT(E4,"dddd")</f>
        <v>Monday</v>
      </c>
      <c r="I4" s="271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C92</f>
        <v>432.29999999999995</v>
      </c>
      <c r="C5" s="30">
        <f t="shared" si="0"/>
        <v>461.4</v>
      </c>
      <c r="D5" s="30">
        <f t="shared" si="0"/>
        <v>475.9</v>
      </c>
      <c r="E5" s="30">
        <f t="shared" si="0"/>
        <v>454.9</v>
      </c>
      <c r="F5" s="30">
        <f t="shared" si="0"/>
        <v>490</v>
      </c>
      <c r="G5" s="30">
        <f t="shared" si="0"/>
        <v>477.8</v>
      </c>
      <c r="H5" s="30">
        <f t="shared" si="0"/>
        <v>486.1</v>
      </c>
      <c r="I5" s="30">
        <f t="shared" si="0"/>
        <v>547.4</v>
      </c>
      <c r="J5" s="30">
        <f t="shared" si="0"/>
        <v>523</v>
      </c>
      <c r="K5" s="30">
        <f t="shared" si="0"/>
        <v>554.1</v>
      </c>
      <c r="L5" s="30">
        <f t="shared" si="0"/>
        <v>493.6</v>
      </c>
      <c r="M5" s="30">
        <f t="shared" si="0"/>
        <v>494.6</v>
      </c>
      <c r="N5" s="30">
        <f t="shared" si="0"/>
        <v>527.4</v>
      </c>
      <c r="O5" s="30">
        <f t="shared" si="0"/>
        <v>547.70000000000005</v>
      </c>
      <c r="P5" s="30">
        <f t="shared" si="0"/>
        <v>716.8</v>
      </c>
      <c r="Q5" s="30">
        <f t="shared" si="0"/>
        <v>646.4</v>
      </c>
      <c r="R5" s="30">
        <f t="shared" si="0"/>
        <v>692.7</v>
      </c>
      <c r="S5" s="30">
        <f t="shared" si="0"/>
        <v>673</v>
      </c>
      <c r="T5" s="30">
        <f t="shared" si="0"/>
        <v>640.1</v>
      </c>
      <c r="U5" s="30">
        <f t="shared" si="0"/>
        <v>592.4</v>
      </c>
      <c r="V5" s="30">
        <f t="shared" si="0"/>
        <v>552.20000000000005</v>
      </c>
      <c r="W5" s="30">
        <f t="shared" si="0"/>
        <v>551</v>
      </c>
      <c r="X5" s="30">
        <f t="shared" si="0"/>
        <v>555.6</v>
      </c>
      <c r="Y5" s="30">
        <f t="shared" si="0"/>
        <v>553.4</v>
      </c>
      <c r="Z5" s="30">
        <f t="shared" si="0"/>
        <v>567</v>
      </c>
      <c r="AA5" s="30">
        <f t="shared" si="0"/>
        <v>508.09999999999997</v>
      </c>
      <c r="AB5" s="30">
        <f t="shared" si="0"/>
        <v>555.20000000000005</v>
      </c>
      <c r="AC5" s="30">
        <f t="shared" si="0"/>
        <v>591.6</v>
      </c>
      <c r="AD5" s="30">
        <f t="shared" si="0"/>
        <v>561.79999999999995</v>
      </c>
      <c r="AE5" s="30">
        <f t="shared" si="0"/>
        <v>555.70000000000005</v>
      </c>
      <c r="AF5" s="30">
        <f>B92</f>
        <v>521.59999999999991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1750MW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Load=1053</v>
      </c>
      <c r="B7" s="35">
        <f>B100</f>
        <v>1142.7399999999998</v>
      </c>
      <c r="C7" s="35">
        <f t="shared" ref="C7:AF7" si="1">C100</f>
        <v>1053.44</v>
      </c>
      <c r="D7" s="35">
        <f t="shared" si="1"/>
        <v>1082.54</v>
      </c>
      <c r="E7" s="35">
        <f t="shared" si="1"/>
        <v>1099.44</v>
      </c>
      <c r="F7" s="35">
        <f t="shared" si="1"/>
        <v>1078.44</v>
      </c>
      <c r="G7" s="35">
        <f t="shared" si="1"/>
        <v>1140.1399999999999</v>
      </c>
      <c r="H7" s="35">
        <f t="shared" si="1"/>
        <v>1219.3399999999999</v>
      </c>
      <c r="I7" s="35">
        <f t="shared" si="1"/>
        <v>1301.7399999999998</v>
      </c>
      <c r="J7" s="35">
        <f t="shared" si="1"/>
        <v>1416.8400000000001</v>
      </c>
      <c r="K7" s="35">
        <f t="shared" si="1"/>
        <v>1659.1399999999999</v>
      </c>
      <c r="L7" s="35">
        <f t="shared" si="1"/>
        <v>1740.3400000000001</v>
      </c>
      <c r="M7" s="35">
        <f t="shared" si="1"/>
        <v>1750.1399999999999</v>
      </c>
      <c r="N7" s="35">
        <f t="shared" si="1"/>
        <v>1628.94</v>
      </c>
      <c r="O7" s="35">
        <f t="shared" si="1"/>
        <v>1559.2399999999998</v>
      </c>
      <c r="P7" s="35">
        <f t="shared" si="1"/>
        <v>1596.54</v>
      </c>
      <c r="Q7" s="35">
        <f t="shared" si="1"/>
        <v>1597.34</v>
      </c>
      <c r="R7" s="35">
        <f t="shared" si="1"/>
        <v>1485.2400000000002</v>
      </c>
      <c r="S7" s="35">
        <f t="shared" si="1"/>
        <v>1535.8400000000001</v>
      </c>
      <c r="T7" s="35">
        <f t="shared" si="1"/>
        <v>1533.24</v>
      </c>
      <c r="U7" s="35">
        <f t="shared" si="1"/>
        <v>1547.54</v>
      </c>
      <c r="V7" s="35">
        <f t="shared" si="1"/>
        <v>1494.14</v>
      </c>
      <c r="W7" s="35">
        <f t="shared" si="1"/>
        <v>1587.64</v>
      </c>
      <c r="X7" s="35">
        <f t="shared" si="1"/>
        <v>1746.24</v>
      </c>
      <c r="Y7" s="35">
        <f t="shared" si="1"/>
        <v>1883.52</v>
      </c>
      <c r="Z7" s="35">
        <f t="shared" si="1"/>
        <v>1855.1</v>
      </c>
      <c r="AA7" s="35">
        <f t="shared" si="1"/>
        <v>1843.14</v>
      </c>
      <c r="AB7" s="35">
        <f t="shared" si="1"/>
        <v>1755.04</v>
      </c>
      <c r="AC7" s="35">
        <f t="shared" si="1"/>
        <v>1681.24</v>
      </c>
      <c r="AD7" s="35">
        <f t="shared" si="1"/>
        <v>1516.04</v>
      </c>
      <c r="AE7" s="35">
        <f t="shared" si="1"/>
        <v>1355.3400000000001</v>
      </c>
      <c r="AF7" s="35">
        <f t="shared" si="1"/>
        <v>1215.04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72" t="s">
        <v>14</v>
      </c>
      <c r="C8" s="273"/>
      <c r="D8" s="273"/>
      <c r="E8" s="273"/>
      <c r="F8" s="273"/>
      <c r="G8" s="273"/>
      <c r="H8" s="273"/>
      <c r="I8" s="273"/>
      <c r="J8" s="273"/>
      <c r="K8" s="273"/>
      <c r="L8" s="274"/>
      <c r="M8" s="265" t="s">
        <v>15</v>
      </c>
      <c r="N8" s="266"/>
      <c r="O8" s="266"/>
      <c r="P8" s="266"/>
      <c r="Q8" s="266"/>
      <c r="R8" s="267"/>
      <c r="S8" s="265" t="s">
        <v>16</v>
      </c>
      <c r="T8" s="266"/>
      <c r="U8" s="266"/>
      <c r="V8" s="266"/>
      <c r="W8" s="266"/>
      <c r="X8" s="266"/>
      <c r="Y8" s="266"/>
      <c r="Z8" s="266"/>
      <c r="AA8" s="267"/>
      <c r="AB8" s="265" t="s">
        <v>17</v>
      </c>
      <c r="AC8" s="266"/>
      <c r="AD8" s="266"/>
      <c r="AE8" s="266"/>
      <c r="AF8" s="267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68" t="s">
        <v>18</v>
      </c>
      <c r="B9" s="264">
        <v>0</v>
      </c>
      <c r="C9" s="264">
        <v>4.1666666666666664E-2</v>
      </c>
      <c r="D9" s="264">
        <v>8.3333333333333301E-2</v>
      </c>
      <c r="E9" s="264">
        <v>0.125</v>
      </c>
      <c r="F9" s="264">
        <v>0.16666666666666699</v>
      </c>
      <c r="G9" s="264">
        <v>0.20833333333333301</v>
      </c>
      <c r="H9" s="264">
        <v>0.22916666666666666</v>
      </c>
      <c r="I9" s="264">
        <v>0.25</v>
      </c>
      <c r="J9" s="264">
        <v>0.27083333333333331</v>
      </c>
      <c r="K9" s="264">
        <v>0.29166666666666669</v>
      </c>
      <c r="L9" s="264">
        <v>0.3125</v>
      </c>
      <c r="M9" s="262">
        <v>0.33333333333333331</v>
      </c>
      <c r="N9" s="262">
        <v>0.375</v>
      </c>
      <c r="O9" s="262">
        <v>0.41666666666666702</v>
      </c>
      <c r="P9" s="262">
        <v>0.45833333333333298</v>
      </c>
      <c r="Q9" s="262">
        <v>0.5</v>
      </c>
      <c r="R9" s="262">
        <v>0.54166666666666696</v>
      </c>
      <c r="S9" s="258">
        <v>0.58333333333333304</v>
      </c>
      <c r="T9" s="258">
        <v>0.625</v>
      </c>
      <c r="U9" s="258">
        <v>0.66666666666666696</v>
      </c>
      <c r="V9" s="258">
        <v>0.70833333333333304</v>
      </c>
      <c r="W9" s="258">
        <v>0.72916666666666663</v>
      </c>
      <c r="X9" s="258">
        <v>0.75</v>
      </c>
      <c r="Y9" s="258">
        <v>0.77083333333333337</v>
      </c>
      <c r="Z9" s="258">
        <v>0.79166666666666663</v>
      </c>
      <c r="AA9" s="258">
        <v>0.8125</v>
      </c>
      <c r="AB9" s="258">
        <v>0.83333333333333337</v>
      </c>
      <c r="AC9" s="258">
        <v>0.85416666666666663</v>
      </c>
      <c r="AD9" s="258">
        <v>0.875</v>
      </c>
      <c r="AE9" s="258">
        <v>0.91666666666666696</v>
      </c>
      <c r="AF9" s="258">
        <v>0.95833333333333304</v>
      </c>
      <c r="AG9" s="260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69"/>
      <c r="B10" s="259"/>
      <c r="C10" s="259"/>
      <c r="D10" s="259"/>
      <c r="E10" s="259"/>
      <c r="F10" s="259"/>
      <c r="G10" s="259"/>
      <c r="H10" s="259"/>
      <c r="I10" s="259"/>
      <c r="J10" s="259"/>
      <c r="K10" s="259"/>
      <c r="L10" s="259"/>
      <c r="M10" s="263"/>
      <c r="N10" s="263"/>
      <c r="O10" s="263"/>
      <c r="P10" s="263"/>
      <c r="Q10" s="263"/>
      <c r="R10" s="263"/>
      <c r="S10" s="259"/>
      <c r="T10" s="259"/>
      <c r="U10" s="259"/>
      <c r="V10" s="259"/>
      <c r="W10" s="259"/>
      <c r="X10" s="259"/>
      <c r="Y10" s="259"/>
      <c r="Z10" s="259"/>
      <c r="AA10" s="259"/>
      <c r="AB10" s="259"/>
      <c r="AC10" s="259"/>
      <c r="AD10" s="259"/>
      <c r="AE10" s="259"/>
      <c r="AF10" s="259"/>
      <c r="AG10" s="261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636</v>
      </c>
      <c r="B11" s="45">
        <v>30.7</v>
      </c>
      <c r="C11" s="45">
        <v>30.7</v>
      </c>
      <c r="D11" s="45">
        <v>30.7</v>
      </c>
      <c r="E11" s="45">
        <v>30.7</v>
      </c>
      <c r="F11" s="45">
        <v>30.7</v>
      </c>
      <c r="G11" s="45">
        <v>30.7</v>
      </c>
      <c r="H11" s="45">
        <v>30.7</v>
      </c>
      <c r="I11" s="45">
        <v>30.7</v>
      </c>
      <c r="J11" s="45">
        <v>30.7</v>
      </c>
      <c r="K11" s="45">
        <v>30.7</v>
      </c>
      <c r="L11" s="45">
        <v>30.7</v>
      </c>
      <c r="M11" s="45">
        <v>30.7</v>
      </c>
      <c r="N11" s="45">
        <v>30.7</v>
      </c>
      <c r="O11" s="45">
        <v>29.8</v>
      </c>
      <c r="P11" s="45">
        <v>29.8</v>
      </c>
      <c r="Q11" s="45">
        <v>29.8</v>
      </c>
      <c r="R11" s="45">
        <v>27.5</v>
      </c>
      <c r="S11" s="45">
        <v>27.5</v>
      </c>
      <c r="T11" s="45">
        <v>27.5</v>
      </c>
      <c r="U11" s="45">
        <v>27.5</v>
      </c>
      <c r="V11" s="45">
        <v>27.5</v>
      </c>
      <c r="W11" s="45">
        <v>27.5</v>
      </c>
      <c r="X11" s="45">
        <v>27.5</v>
      </c>
      <c r="Y11" s="45">
        <v>27.5</v>
      </c>
      <c r="Z11" s="45">
        <v>27.5</v>
      </c>
      <c r="AA11" s="45">
        <v>27.5</v>
      </c>
      <c r="AB11" s="45">
        <v>27.5</v>
      </c>
      <c r="AC11" s="45">
        <v>30.3</v>
      </c>
      <c r="AD11" s="45">
        <v>30.4</v>
      </c>
      <c r="AE11" s="45">
        <v>30.4</v>
      </c>
      <c r="AF11" s="45">
        <v>30.4</v>
      </c>
      <c r="AG11" s="46">
        <v>91</v>
      </c>
      <c r="AH11" s="47">
        <f t="shared" ref="AH11:AH84" si="2">MAX(B11:AF11)</f>
        <v>30.7</v>
      </c>
      <c r="AI11" s="48">
        <f t="shared" ref="AI11:AI84" si="3">MIN(B11:AF11)</f>
        <v>27.5</v>
      </c>
      <c r="AK11" s="251"/>
      <c r="AL11" s="253"/>
      <c r="AM11" s="254"/>
      <c r="AN11" s="254"/>
      <c r="AO11" s="254"/>
      <c r="AP11" s="25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262</v>
      </c>
      <c r="B12" s="45">
        <v>10.5</v>
      </c>
      <c r="C12" s="45">
        <v>10.5</v>
      </c>
      <c r="D12" s="45">
        <v>10.5</v>
      </c>
      <c r="E12" s="45">
        <v>10.5</v>
      </c>
      <c r="F12" s="45">
        <v>10.5</v>
      </c>
      <c r="G12" s="45">
        <v>10.5</v>
      </c>
      <c r="H12" s="45">
        <v>10.5</v>
      </c>
      <c r="I12" s="45">
        <v>10.5</v>
      </c>
      <c r="J12" s="45">
        <v>10.5</v>
      </c>
      <c r="K12" s="45">
        <v>10.5</v>
      </c>
      <c r="L12" s="45">
        <v>10.5</v>
      </c>
      <c r="M12" s="45">
        <v>10.5</v>
      </c>
      <c r="N12" s="45">
        <v>10.5</v>
      </c>
      <c r="O12" s="45">
        <v>10.5</v>
      </c>
      <c r="P12" s="45">
        <v>10.5</v>
      </c>
      <c r="Q12" s="45">
        <v>10.5</v>
      </c>
      <c r="R12" s="45">
        <v>10.5</v>
      </c>
      <c r="S12" s="45">
        <v>10.5</v>
      </c>
      <c r="T12" s="45">
        <v>10.5</v>
      </c>
      <c r="U12" s="45">
        <v>10.5</v>
      </c>
      <c r="V12" s="45">
        <v>10.5</v>
      </c>
      <c r="W12" s="45">
        <v>10.5</v>
      </c>
      <c r="X12" s="45">
        <v>10.5</v>
      </c>
      <c r="Y12" s="45">
        <v>10.5</v>
      </c>
      <c r="Z12" s="45">
        <v>10.5</v>
      </c>
      <c r="AA12" s="45">
        <v>10.5</v>
      </c>
      <c r="AB12" s="45">
        <v>10.5</v>
      </c>
      <c r="AC12" s="45">
        <v>10.5</v>
      </c>
      <c r="AD12" s="45">
        <v>10.5</v>
      </c>
      <c r="AE12" s="45">
        <v>10.5</v>
      </c>
      <c r="AF12" s="45">
        <v>10.5</v>
      </c>
      <c r="AG12" s="49">
        <v>54</v>
      </c>
      <c r="AH12" s="47">
        <f t="shared" si="2"/>
        <v>10.5</v>
      </c>
      <c r="AI12" s="48">
        <f t="shared" si="3"/>
        <v>10.5</v>
      </c>
      <c r="AK12" s="251"/>
      <c r="AL12" s="253"/>
      <c r="AM12" s="254"/>
      <c r="AN12" s="254"/>
      <c r="AO12" s="254"/>
      <c r="AP12" s="25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12</v>
      </c>
      <c r="C13" s="45">
        <v>12</v>
      </c>
      <c r="D13" s="45">
        <v>12</v>
      </c>
      <c r="E13" s="45">
        <v>12</v>
      </c>
      <c r="F13" s="45">
        <v>12</v>
      </c>
      <c r="G13" s="45">
        <v>12</v>
      </c>
      <c r="H13" s="45">
        <v>12</v>
      </c>
      <c r="I13" s="45">
        <v>12</v>
      </c>
      <c r="J13" s="45">
        <v>12</v>
      </c>
      <c r="K13" s="45">
        <v>12</v>
      </c>
      <c r="L13" s="45">
        <v>12</v>
      </c>
      <c r="M13" s="45">
        <v>12</v>
      </c>
      <c r="N13" s="45">
        <v>12</v>
      </c>
      <c r="O13" s="45">
        <v>12</v>
      </c>
      <c r="P13" s="45">
        <v>12</v>
      </c>
      <c r="Q13" s="45">
        <v>12</v>
      </c>
      <c r="R13" s="45">
        <v>12</v>
      </c>
      <c r="S13" s="45">
        <v>12</v>
      </c>
      <c r="T13" s="45">
        <v>12</v>
      </c>
      <c r="U13" s="45">
        <v>12</v>
      </c>
      <c r="V13" s="45">
        <v>12</v>
      </c>
      <c r="W13" s="45">
        <v>12</v>
      </c>
      <c r="X13" s="45">
        <v>12</v>
      </c>
      <c r="Y13" s="45">
        <v>12</v>
      </c>
      <c r="Z13" s="45">
        <v>12</v>
      </c>
      <c r="AA13" s="45">
        <v>12</v>
      </c>
      <c r="AB13" s="45">
        <v>12</v>
      </c>
      <c r="AC13" s="45">
        <v>12</v>
      </c>
      <c r="AD13" s="45">
        <v>12</v>
      </c>
      <c r="AE13" s="45">
        <v>12</v>
      </c>
      <c r="AF13" s="45">
        <v>12</v>
      </c>
      <c r="AG13" s="49">
        <v>54</v>
      </c>
      <c r="AH13" s="47">
        <f t="shared" si="2"/>
        <v>12</v>
      </c>
      <c r="AI13" s="48">
        <f t="shared" si="3"/>
        <v>12</v>
      </c>
      <c r="AK13" s="251"/>
      <c r="AL13" s="253"/>
      <c r="AM13" s="254"/>
      <c r="AN13" s="254"/>
      <c r="AO13" s="254"/>
      <c r="AP13" s="25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13</v>
      </c>
      <c r="C14" s="45">
        <v>13</v>
      </c>
      <c r="D14" s="45">
        <v>13</v>
      </c>
      <c r="E14" s="45">
        <v>13</v>
      </c>
      <c r="F14" s="45">
        <v>13</v>
      </c>
      <c r="G14" s="45">
        <v>13</v>
      </c>
      <c r="H14" s="45">
        <v>13</v>
      </c>
      <c r="I14" s="45">
        <v>13</v>
      </c>
      <c r="J14" s="45">
        <v>13</v>
      </c>
      <c r="K14" s="45">
        <v>13</v>
      </c>
      <c r="L14" s="45">
        <v>13</v>
      </c>
      <c r="M14" s="45">
        <v>13</v>
      </c>
      <c r="N14" s="45">
        <v>13</v>
      </c>
      <c r="O14" s="45">
        <v>13</v>
      </c>
      <c r="P14" s="45">
        <v>13</v>
      </c>
      <c r="Q14" s="45">
        <v>13</v>
      </c>
      <c r="R14" s="45">
        <v>13</v>
      </c>
      <c r="S14" s="45">
        <v>13</v>
      </c>
      <c r="T14" s="45">
        <v>13</v>
      </c>
      <c r="U14" s="45">
        <v>13</v>
      </c>
      <c r="V14" s="45">
        <v>13</v>
      </c>
      <c r="W14" s="45">
        <v>13</v>
      </c>
      <c r="X14" s="45">
        <v>13</v>
      </c>
      <c r="Y14" s="45">
        <v>13</v>
      </c>
      <c r="Z14" s="45">
        <v>13</v>
      </c>
      <c r="AA14" s="45">
        <v>13</v>
      </c>
      <c r="AB14" s="45">
        <v>13</v>
      </c>
      <c r="AC14" s="45">
        <v>13</v>
      </c>
      <c r="AD14" s="45">
        <v>13</v>
      </c>
      <c r="AE14" s="45">
        <v>13</v>
      </c>
      <c r="AF14" s="45">
        <v>13</v>
      </c>
      <c r="AG14" s="46">
        <v>52.4</v>
      </c>
      <c r="AH14" s="47">
        <f t="shared" si="2"/>
        <v>13</v>
      </c>
      <c r="AI14" s="48">
        <f t="shared" si="3"/>
        <v>13</v>
      </c>
      <c r="AK14" s="251"/>
      <c r="AL14" s="253"/>
      <c r="AM14" s="254"/>
      <c r="AN14" s="254"/>
      <c r="AO14" s="254"/>
      <c r="AP14" s="25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31.2</v>
      </c>
      <c r="C15" s="45">
        <v>31.2</v>
      </c>
      <c r="D15" s="45">
        <v>31.2</v>
      </c>
      <c r="E15" s="45">
        <v>31.2</v>
      </c>
      <c r="F15" s="45">
        <v>31.2</v>
      </c>
      <c r="G15" s="45">
        <v>31.2</v>
      </c>
      <c r="H15" s="45">
        <v>31.2</v>
      </c>
      <c r="I15" s="45">
        <v>31.2</v>
      </c>
      <c r="J15" s="45">
        <v>31.2</v>
      </c>
      <c r="K15" s="45">
        <v>31.2</v>
      </c>
      <c r="L15" s="45">
        <v>31.2</v>
      </c>
      <c r="M15" s="45">
        <v>31.2</v>
      </c>
      <c r="N15" s="45">
        <v>31.2</v>
      </c>
      <c r="O15" s="45">
        <v>31.2</v>
      </c>
      <c r="P15" s="45">
        <v>31.2</v>
      </c>
      <c r="Q15" s="45">
        <v>31.2</v>
      </c>
      <c r="R15" s="45">
        <v>31.2</v>
      </c>
      <c r="S15" s="45">
        <v>31.2</v>
      </c>
      <c r="T15" s="45">
        <v>31.2</v>
      </c>
      <c r="U15" s="45">
        <v>31.2</v>
      </c>
      <c r="V15" s="45">
        <v>31.2</v>
      </c>
      <c r="W15" s="45">
        <v>31.2</v>
      </c>
      <c r="X15" s="45">
        <v>31.2</v>
      </c>
      <c r="Y15" s="51">
        <v>31.2</v>
      </c>
      <c r="Z15" s="51">
        <v>31.2</v>
      </c>
      <c r="AA15" s="51">
        <v>31.2</v>
      </c>
      <c r="AB15" s="51">
        <v>31.2</v>
      </c>
      <c r="AC15" s="51">
        <v>31.2</v>
      </c>
      <c r="AD15" s="51">
        <v>31.2</v>
      </c>
      <c r="AE15" s="51">
        <v>31.2</v>
      </c>
      <c r="AF15" s="51">
        <v>31.2</v>
      </c>
      <c r="AG15" s="49">
        <v>50</v>
      </c>
      <c r="AH15" s="47">
        <f t="shared" si="2"/>
        <v>31.2</v>
      </c>
      <c r="AI15" s="48">
        <f t="shared" si="3"/>
        <v>31.2</v>
      </c>
      <c r="AK15" s="251"/>
      <c r="AL15" s="253"/>
      <c r="AM15" s="254"/>
      <c r="AN15" s="254"/>
      <c r="AO15" s="254"/>
      <c r="AP15" s="25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15.8</v>
      </c>
      <c r="C16" s="45">
        <v>15.8</v>
      </c>
      <c r="D16" s="45">
        <v>15.8</v>
      </c>
      <c r="E16" s="45">
        <v>15.8</v>
      </c>
      <c r="F16" s="45">
        <v>15.8</v>
      </c>
      <c r="G16" s="45">
        <v>15.8</v>
      </c>
      <c r="H16" s="45">
        <v>15.8</v>
      </c>
      <c r="I16" s="45">
        <v>15.8</v>
      </c>
      <c r="J16" s="45">
        <v>15.8</v>
      </c>
      <c r="K16" s="45">
        <v>15.8</v>
      </c>
      <c r="L16" s="45">
        <v>15.8</v>
      </c>
      <c r="M16" s="45">
        <v>15.8</v>
      </c>
      <c r="N16" s="45">
        <v>15.8</v>
      </c>
      <c r="O16" s="45">
        <v>15.8</v>
      </c>
      <c r="P16" s="45">
        <v>15.8</v>
      </c>
      <c r="Q16" s="45">
        <v>15.8</v>
      </c>
      <c r="R16" s="45">
        <v>15.8</v>
      </c>
      <c r="S16" s="45">
        <v>15.8</v>
      </c>
      <c r="T16" s="45">
        <v>15.8</v>
      </c>
      <c r="U16" s="45">
        <v>15.8</v>
      </c>
      <c r="V16" s="45">
        <v>15.8</v>
      </c>
      <c r="W16" s="45">
        <v>15.8</v>
      </c>
      <c r="X16" s="45">
        <v>15.8</v>
      </c>
      <c r="Y16" s="45">
        <v>15.8</v>
      </c>
      <c r="Z16" s="45">
        <v>15.8</v>
      </c>
      <c r="AA16" s="45">
        <v>15.8</v>
      </c>
      <c r="AB16" s="45">
        <v>15.8</v>
      </c>
      <c r="AC16" s="45">
        <v>15.8</v>
      </c>
      <c r="AD16" s="45">
        <v>15.8</v>
      </c>
      <c r="AE16" s="45">
        <v>15.8</v>
      </c>
      <c r="AF16" s="45">
        <v>15.8</v>
      </c>
      <c r="AG16" s="49">
        <v>45</v>
      </c>
      <c r="AH16" s="47">
        <f t="shared" si="2"/>
        <v>15.8</v>
      </c>
      <c r="AI16" s="48">
        <f t="shared" si="3"/>
        <v>15.8</v>
      </c>
      <c r="AK16" s="251"/>
      <c r="AL16" s="253"/>
      <c r="AM16" s="254"/>
      <c r="AN16" s="254"/>
      <c r="AO16" s="254"/>
      <c r="AP16" s="25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16.5</v>
      </c>
      <c r="C17" s="45">
        <v>16.5</v>
      </c>
      <c r="D17" s="45">
        <v>16.5</v>
      </c>
      <c r="E17" s="45">
        <v>16.5</v>
      </c>
      <c r="F17" s="45">
        <v>16.5</v>
      </c>
      <c r="G17" s="45">
        <v>16.5</v>
      </c>
      <c r="H17" s="45">
        <v>16.5</v>
      </c>
      <c r="I17" s="45">
        <v>16.5</v>
      </c>
      <c r="J17" s="45">
        <v>16.5</v>
      </c>
      <c r="K17" s="45">
        <v>16.5</v>
      </c>
      <c r="L17" s="45">
        <v>16.5</v>
      </c>
      <c r="M17" s="45">
        <v>16.5</v>
      </c>
      <c r="N17" s="45">
        <v>16.5</v>
      </c>
      <c r="O17" s="45">
        <v>16.5</v>
      </c>
      <c r="P17" s="45">
        <v>16.5</v>
      </c>
      <c r="Q17" s="45">
        <v>16.5</v>
      </c>
      <c r="R17" s="45">
        <v>16.5</v>
      </c>
      <c r="S17" s="45">
        <v>16.5</v>
      </c>
      <c r="T17" s="45">
        <v>16.5</v>
      </c>
      <c r="U17" s="45">
        <v>16.5</v>
      </c>
      <c r="V17" s="45">
        <v>16.5</v>
      </c>
      <c r="W17" s="45">
        <v>16.5</v>
      </c>
      <c r="X17" s="45">
        <v>16.5</v>
      </c>
      <c r="Y17" s="45">
        <v>16.5</v>
      </c>
      <c r="Z17" s="45">
        <v>16.5</v>
      </c>
      <c r="AA17" s="45">
        <v>16.5</v>
      </c>
      <c r="AB17" s="45">
        <v>16.5</v>
      </c>
      <c r="AC17" s="45">
        <v>16.5</v>
      </c>
      <c r="AD17" s="45">
        <v>16.5</v>
      </c>
      <c r="AE17" s="45">
        <v>16.5</v>
      </c>
      <c r="AF17" s="45">
        <v>16.5</v>
      </c>
      <c r="AG17" s="49">
        <v>44</v>
      </c>
      <c r="AH17" s="47">
        <f>MAX(B17:AG17)</f>
        <v>44</v>
      </c>
      <c r="AI17" s="48">
        <f>MIN(B17:AG17)</f>
        <v>16.5</v>
      </c>
      <c r="AK17" s="251"/>
      <c r="AL17" s="253"/>
      <c r="AM17" s="254"/>
      <c r="AN17" s="254"/>
      <c r="AO17" s="254"/>
      <c r="AP17" s="25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7.5</v>
      </c>
      <c r="C18" s="45">
        <v>7.5</v>
      </c>
      <c r="D18" s="45">
        <v>7.5</v>
      </c>
      <c r="E18" s="45">
        <v>7.5</v>
      </c>
      <c r="F18" s="45">
        <v>7.5</v>
      </c>
      <c r="G18" s="45">
        <v>7.5</v>
      </c>
      <c r="H18" s="45">
        <v>7.5</v>
      </c>
      <c r="I18" s="45">
        <v>7.5</v>
      </c>
      <c r="J18" s="45">
        <v>7.5</v>
      </c>
      <c r="K18" s="45">
        <v>7.5</v>
      </c>
      <c r="L18" s="45">
        <v>7.5</v>
      </c>
      <c r="M18" s="45">
        <v>7.5</v>
      </c>
      <c r="N18" s="45">
        <v>7.5</v>
      </c>
      <c r="O18" s="45">
        <v>7.5</v>
      </c>
      <c r="P18" s="45">
        <v>7.5</v>
      </c>
      <c r="Q18" s="45">
        <v>7.5</v>
      </c>
      <c r="R18" s="45">
        <v>7.5</v>
      </c>
      <c r="S18" s="45">
        <v>7.5</v>
      </c>
      <c r="T18" s="45">
        <v>7.5</v>
      </c>
      <c r="U18" s="45">
        <v>7.5</v>
      </c>
      <c r="V18" s="45">
        <v>7.5</v>
      </c>
      <c r="W18" s="45">
        <v>7.5</v>
      </c>
      <c r="X18" s="45">
        <v>7.5</v>
      </c>
      <c r="Y18" s="45">
        <v>7.5</v>
      </c>
      <c r="Z18" s="45">
        <v>7.5</v>
      </c>
      <c r="AA18" s="45">
        <v>7.5</v>
      </c>
      <c r="AB18" s="45">
        <v>7.5</v>
      </c>
      <c r="AC18" s="45">
        <v>7.5</v>
      </c>
      <c r="AD18" s="45">
        <v>7.5</v>
      </c>
      <c r="AE18" s="45">
        <v>7.5</v>
      </c>
      <c r="AF18" s="45">
        <v>7.5</v>
      </c>
      <c r="AG18" s="49">
        <v>42</v>
      </c>
      <c r="AH18" s="47">
        <f t="shared" si="2"/>
        <v>7.5</v>
      </c>
      <c r="AI18" s="48">
        <f t="shared" si="3"/>
        <v>7.5</v>
      </c>
      <c r="AK18" s="251"/>
      <c r="AL18" s="253"/>
      <c r="AM18" s="254"/>
      <c r="AN18" s="254"/>
      <c r="AO18" s="254"/>
      <c r="AP18" s="25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263</v>
      </c>
      <c r="B19" s="45">
        <v>15</v>
      </c>
      <c r="C19" s="45">
        <v>15</v>
      </c>
      <c r="D19" s="45">
        <v>15</v>
      </c>
      <c r="E19" s="45">
        <v>15</v>
      </c>
      <c r="F19" s="45">
        <v>15</v>
      </c>
      <c r="G19" s="45">
        <v>15</v>
      </c>
      <c r="H19" s="45">
        <v>15</v>
      </c>
      <c r="I19" s="45">
        <v>15</v>
      </c>
      <c r="J19" s="45">
        <v>15</v>
      </c>
      <c r="K19" s="45">
        <v>15</v>
      </c>
      <c r="L19" s="45">
        <v>15</v>
      </c>
      <c r="M19" s="45">
        <v>15</v>
      </c>
      <c r="N19" s="45">
        <v>15</v>
      </c>
      <c r="O19" s="45">
        <v>15</v>
      </c>
      <c r="P19" s="45">
        <v>15</v>
      </c>
      <c r="Q19" s="45">
        <v>15</v>
      </c>
      <c r="R19" s="45">
        <v>15</v>
      </c>
      <c r="S19" s="45">
        <v>15</v>
      </c>
      <c r="T19" s="45">
        <v>15</v>
      </c>
      <c r="U19" s="45">
        <v>15</v>
      </c>
      <c r="V19" s="45">
        <v>15</v>
      </c>
      <c r="W19" s="45">
        <v>15</v>
      </c>
      <c r="X19" s="45">
        <v>15</v>
      </c>
      <c r="Y19" s="45">
        <v>15</v>
      </c>
      <c r="Z19" s="45">
        <v>15</v>
      </c>
      <c r="AA19" s="45">
        <v>15</v>
      </c>
      <c r="AB19" s="45">
        <v>15</v>
      </c>
      <c r="AC19" s="45">
        <v>15</v>
      </c>
      <c r="AD19" s="45">
        <v>15</v>
      </c>
      <c r="AE19" s="45">
        <v>15</v>
      </c>
      <c r="AF19" s="45">
        <v>15</v>
      </c>
      <c r="AG19" s="49">
        <v>38.46</v>
      </c>
      <c r="AH19" s="47">
        <f t="shared" si="2"/>
        <v>15</v>
      </c>
      <c r="AI19" s="48">
        <f t="shared" si="3"/>
        <v>15</v>
      </c>
      <c r="AK19" s="251"/>
      <c r="AL19" s="253"/>
      <c r="AM19" s="254"/>
      <c r="AN19" s="254"/>
      <c r="AO19" s="254"/>
      <c r="AP19" s="25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10</v>
      </c>
      <c r="C20" s="45">
        <v>10</v>
      </c>
      <c r="D20" s="45">
        <v>10</v>
      </c>
      <c r="E20" s="45">
        <v>10</v>
      </c>
      <c r="F20" s="45">
        <v>10</v>
      </c>
      <c r="G20" s="45">
        <v>10</v>
      </c>
      <c r="H20" s="45">
        <v>10</v>
      </c>
      <c r="I20" s="45">
        <v>10</v>
      </c>
      <c r="J20" s="45">
        <v>10</v>
      </c>
      <c r="K20" s="45">
        <v>10</v>
      </c>
      <c r="L20" s="45">
        <v>10</v>
      </c>
      <c r="M20" s="45">
        <v>10</v>
      </c>
      <c r="N20" s="45">
        <v>10</v>
      </c>
      <c r="O20" s="45">
        <v>10</v>
      </c>
      <c r="P20" s="45">
        <v>10</v>
      </c>
      <c r="Q20" s="45">
        <v>10</v>
      </c>
      <c r="R20" s="45">
        <v>10</v>
      </c>
      <c r="S20" s="45">
        <v>10</v>
      </c>
      <c r="T20" s="45">
        <v>10</v>
      </c>
      <c r="U20" s="45">
        <v>10</v>
      </c>
      <c r="V20" s="45">
        <v>10</v>
      </c>
      <c r="W20" s="45">
        <v>10</v>
      </c>
      <c r="X20" s="45">
        <v>10</v>
      </c>
      <c r="Y20" s="45">
        <v>10</v>
      </c>
      <c r="Z20" s="45">
        <v>10</v>
      </c>
      <c r="AA20" s="45">
        <v>10</v>
      </c>
      <c r="AB20" s="45">
        <v>10</v>
      </c>
      <c r="AC20" s="45">
        <v>10</v>
      </c>
      <c r="AD20" s="45">
        <v>10</v>
      </c>
      <c r="AE20" s="45">
        <v>10</v>
      </c>
      <c r="AF20" s="45">
        <v>10</v>
      </c>
      <c r="AG20" s="49">
        <v>38.46</v>
      </c>
      <c r="AH20" s="47">
        <f t="shared" si="2"/>
        <v>10</v>
      </c>
      <c r="AI20" s="48">
        <f t="shared" si="3"/>
        <v>10</v>
      </c>
      <c r="AK20" s="251"/>
      <c r="AL20" s="253"/>
      <c r="AM20" s="254"/>
      <c r="AN20" s="254"/>
      <c r="AO20" s="254"/>
      <c r="AP20" s="25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</v>
      </c>
      <c r="C21" s="45">
        <v>13</v>
      </c>
      <c r="D21" s="45">
        <v>13</v>
      </c>
      <c r="E21" s="45">
        <v>13</v>
      </c>
      <c r="F21" s="45">
        <v>13</v>
      </c>
      <c r="G21" s="45">
        <v>13</v>
      </c>
      <c r="H21" s="45">
        <v>13</v>
      </c>
      <c r="I21" s="45">
        <v>13</v>
      </c>
      <c r="J21" s="45">
        <v>13</v>
      </c>
      <c r="K21" s="45">
        <v>13</v>
      </c>
      <c r="L21" s="45">
        <v>13</v>
      </c>
      <c r="M21" s="45">
        <v>13</v>
      </c>
      <c r="N21" s="45">
        <v>13</v>
      </c>
      <c r="O21" s="45">
        <v>13</v>
      </c>
      <c r="P21" s="45">
        <v>13</v>
      </c>
      <c r="Q21" s="45">
        <v>13</v>
      </c>
      <c r="R21" s="45">
        <v>13</v>
      </c>
      <c r="S21" s="45">
        <v>13</v>
      </c>
      <c r="T21" s="45">
        <v>13</v>
      </c>
      <c r="U21" s="45">
        <v>13</v>
      </c>
      <c r="V21" s="45">
        <v>13</v>
      </c>
      <c r="W21" s="45">
        <v>13</v>
      </c>
      <c r="X21" s="45">
        <v>13</v>
      </c>
      <c r="Y21" s="45">
        <v>13</v>
      </c>
      <c r="Z21" s="45">
        <v>13</v>
      </c>
      <c r="AA21" s="45">
        <v>13</v>
      </c>
      <c r="AB21" s="45">
        <v>13</v>
      </c>
      <c r="AC21" s="45">
        <v>13</v>
      </c>
      <c r="AD21" s="45">
        <v>13</v>
      </c>
      <c r="AE21" s="45">
        <v>13</v>
      </c>
      <c r="AF21" s="45">
        <v>13</v>
      </c>
      <c r="AG21" s="49">
        <v>36</v>
      </c>
      <c r="AH21" s="47">
        <f t="shared" si="2"/>
        <v>13</v>
      </c>
      <c r="AI21" s="48">
        <f t="shared" si="3"/>
        <v>13</v>
      </c>
      <c r="AK21" s="251"/>
      <c r="AL21" s="253"/>
      <c r="AM21" s="254"/>
      <c r="AN21" s="254"/>
      <c r="AO21" s="254"/>
      <c r="AP21" s="25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8.4</v>
      </c>
      <c r="C22" s="45">
        <v>8.4</v>
      </c>
      <c r="D22" s="45">
        <v>8.4</v>
      </c>
      <c r="E22" s="45">
        <v>8.4</v>
      </c>
      <c r="F22" s="45">
        <v>8.4</v>
      </c>
      <c r="G22" s="45">
        <v>8.4</v>
      </c>
      <c r="H22" s="45">
        <v>8.4</v>
      </c>
      <c r="I22" s="45">
        <v>8.4</v>
      </c>
      <c r="J22" s="45">
        <v>8.4</v>
      </c>
      <c r="K22" s="45">
        <v>8.4</v>
      </c>
      <c r="L22" s="45">
        <v>8.4</v>
      </c>
      <c r="M22" s="45">
        <v>8.4</v>
      </c>
      <c r="N22" s="45">
        <v>8.4</v>
      </c>
      <c r="O22" s="45">
        <v>8.4</v>
      </c>
      <c r="P22" s="45">
        <v>8.4</v>
      </c>
      <c r="Q22" s="45">
        <v>8.4</v>
      </c>
      <c r="R22" s="45">
        <v>8.4</v>
      </c>
      <c r="S22" s="45">
        <v>8.4</v>
      </c>
      <c r="T22" s="45">
        <v>8.4</v>
      </c>
      <c r="U22" s="45">
        <v>8.4</v>
      </c>
      <c r="V22" s="45">
        <v>8.4</v>
      </c>
      <c r="W22" s="45">
        <v>8.4</v>
      </c>
      <c r="X22" s="45">
        <v>8.4</v>
      </c>
      <c r="Y22" s="45">
        <v>8.4</v>
      </c>
      <c r="Z22" s="45">
        <v>8.4</v>
      </c>
      <c r="AA22" s="45">
        <v>8.4</v>
      </c>
      <c r="AB22" s="45">
        <v>8.4</v>
      </c>
      <c r="AC22" s="45">
        <v>8.4</v>
      </c>
      <c r="AD22" s="45">
        <v>8.4</v>
      </c>
      <c r="AE22" s="45">
        <v>8.4</v>
      </c>
      <c r="AF22" s="45">
        <v>8.4</v>
      </c>
      <c r="AG22" s="52">
        <v>30</v>
      </c>
      <c r="AH22" s="47">
        <f t="shared" si="2"/>
        <v>8.4</v>
      </c>
      <c r="AI22" s="48">
        <f t="shared" si="3"/>
        <v>8.4</v>
      </c>
      <c r="AK22" s="251"/>
      <c r="AL22" s="253"/>
      <c r="AM22" s="254"/>
      <c r="AN22" s="254"/>
      <c r="AO22" s="254"/>
      <c r="AP22" s="25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9</v>
      </c>
      <c r="C23" s="45">
        <v>9</v>
      </c>
      <c r="D23" s="45">
        <v>9</v>
      </c>
      <c r="E23" s="45">
        <v>9</v>
      </c>
      <c r="F23" s="45">
        <v>9</v>
      </c>
      <c r="G23" s="45">
        <v>9</v>
      </c>
      <c r="H23" s="45">
        <v>9</v>
      </c>
      <c r="I23" s="45">
        <v>9</v>
      </c>
      <c r="J23" s="45">
        <v>9</v>
      </c>
      <c r="K23" s="45">
        <v>9</v>
      </c>
      <c r="L23" s="45">
        <v>9</v>
      </c>
      <c r="M23" s="45">
        <v>9</v>
      </c>
      <c r="N23" s="45">
        <v>9</v>
      </c>
      <c r="O23" s="45">
        <v>9</v>
      </c>
      <c r="P23" s="45">
        <v>9</v>
      </c>
      <c r="Q23" s="45">
        <v>9</v>
      </c>
      <c r="R23" s="45">
        <v>9</v>
      </c>
      <c r="S23" s="45">
        <v>9</v>
      </c>
      <c r="T23" s="45">
        <v>9</v>
      </c>
      <c r="U23" s="45">
        <v>9</v>
      </c>
      <c r="V23" s="45">
        <v>9</v>
      </c>
      <c r="W23" s="45">
        <v>9</v>
      </c>
      <c r="X23" s="45">
        <v>9</v>
      </c>
      <c r="Y23" s="45">
        <v>9</v>
      </c>
      <c r="Z23" s="45">
        <v>9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9</v>
      </c>
      <c r="AG23" s="49">
        <v>24.2</v>
      </c>
      <c r="AH23" s="47">
        <f t="shared" si="2"/>
        <v>9</v>
      </c>
      <c r="AI23" s="48">
        <f t="shared" si="3"/>
        <v>9</v>
      </c>
      <c r="AK23" s="251"/>
      <c r="AL23" s="253"/>
      <c r="AM23" s="254"/>
      <c r="AN23" s="254"/>
      <c r="AO23" s="254"/>
      <c r="AP23" s="25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8.1999999999999993</v>
      </c>
      <c r="C24" s="45">
        <v>8.1999999999999993</v>
      </c>
      <c r="D24" s="45">
        <v>8.1999999999999993</v>
      </c>
      <c r="E24" s="45">
        <v>8.1999999999999993</v>
      </c>
      <c r="F24" s="45">
        <v>8.1999999999999993</v>
      </c>
      <c r="G24" s="45">
        <v>8.1999999999999993</v>
      </c>
      <c r="H24" s="45">
        <v>8.1999999999999993</v>
      </c>
      <c r="I24" s="45">
        <v>8.1999999999999993</v>
      </c>
      <c r="J24" s="45">
        <v>8.1999999999999993</v>
      </c>
      <c r="K24" s="45">
        <v>8.1999999999999993</v>
      </c>
      <c r="L24" s="45">
        <v>8.1999999999999993</v>
      </c>
      <c r="M24" s="45">
        <v>8.1999999999999993</v>
      </c>
      <c r="N24" s="45">
        <v>8.1999999999999993</v>
      </c>
      <c r="O24" s="45">
        <v>8.1999999999999993</v>
      </c>
      <c r="P24" s="45">
        <v>8.1999999999999993</v>
      </c>
      <c r="Q24" s="45">
        <v>8.1999999999999993</v>
      </c>
      <c r="R24" s="45">
        <v>8.1999999999999993</v>
      </c>
      <c r="S24" s="45">
        <v>8.1999999999999993</v>
      </c>
      <c r="T24" s="45">
        <v>8.1999999999999993</v>
      </c>
      <c r="U24" s="45">
        <v>8.1999999999999993</v>
      </c>
      <c r="V24" s="45">
        <v>8.1999999999999993</v>
      </c>
      <c r="W24" s="45">
        <v>8.1999999999999993</v>
      </c>
      <c r="X24" s="45">
        <v>8.1999999999999993</v>
      </c>
      <c r="Y24" s="45">
        <v>8.1999999999999993</v>
      </c>
      <c r="Z24" s="45">
        <v>8.1999999999999993</v>
      </c>
      <c r="AA24" s="45">
        <v>8.1999999999999993</v>
      </c>
      <c r="AB24" s="45">
        <v>8.1999999999999993</v>
      </c>
      <c r="AC24" s="45">
        <v>8.1999999999999993</v>
      </c>
      <c r="AD24" s="45">
        <v>8.1999999999999993</v>
      </c>
      <c r="AE24" s="45">
        <v>8.1999999999999993</v>
      </c>
      <c r="AF24" s="45">
        <v>8.1999999999999993</v>
      </c>
      <c r="AG24" s="49">
        <v>28</v>
      </c>
      <c r="AH24" s="47">
        <f t="shared" si="2"/>
        <v>8.1999999999999993</v>
      </c>
      <c r="AI24" s="48">
        <f t="shared" si="3"/>
        <v>8.1999999999999993</v>
      </c>
      <c r="AK24" s="251"/>
      <c r="AL24" s="253"/>
      <c r="AM24" s="254"/>
      <c r="AN24" s="254"/>
      <c r="AO24" s="254"/>
      <c r="AP24" s="25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7.3</v>
      </c>
      <c r="C25" s="45">
        <v>7.3</v>
      </c>
      <c r="D25" s="45">
        <v>7.3</v>
      </c>
      <c r="E25" s="45">
        <v>7.3</v>
      </c>
      <c r="F25" s="45">
        <v>7.3</v>
      </c>
      <c r="G25" s="45">
        <v>7.3</v>
      </c>
      <c r="H25" s="45">
        <v>7.3</v>
      </c>
      <c r="I25" s="45">
        <v>7.3</v>
      </c>
      <c r="J25" s="45">
        <v>7.3</v>
      </c>
      <c r="K25" s="45">
        <v>7.3</v>
      </c>
      <c r="L25" s="45">
        <v>7.3</v>
      </c>
      <c r="M25" s="45">
        <v>7.3</v>
      </c>
      <c r="N25" s="45">
        <v>7.3</v>
      </c>
      <c r="O25" s="45">
        <v>7.3</v>
      </c>
      <c r="P25" s="45">
        <v>7.3</v>
      </c>
      <c r="Q25" s="45">
        <v>7.3</v>
      </c>
      <c r="R25" s="45">
        <v>7.3</v>
      </c>
      <c r="S25" s="45">
        <v>7.3</v>
      </c>
      <c r="T25" s="45">
        <v>7.3</v>
      </c>
      <c r="U25" s="45">
        <v>7.3</v>
      </c>
      <c r="V25" s="45">
        <v>7.3</v>
      </c>
      <c r="W25" s="45">
        <v>7.3</v>
      </c>
      <c r="X25" s="45">
        <v>7.3</v>
      </c>
      <c r="Y25" s="45">
        <v>7.3</v>
      </c>
      <c r="Z25" s="45">
        <v>7.3</v>
      </c>
      <c r="AA25" s="45">
        <v>7.3</v>
      </c>
      <c r="AB25" s="45">
        <v>7.3</v>
      </c>
      <c r="AC25" s="45">
        <v>7.3</v>
      </c>
      <c r="AD25" s="45">
        <v>7.3</v>
      </c>
      <c r="AE25" s="45">
        <v>7.3</v>
      </c>
      <c r="AF25" s="45">
        <v>7.3</v>
      </c>
      <c r="AG25" s="52">
        <v>30</v>
      </c>
      <c r="AH25" s="47">
        <f t="shared" si="2"/>
        <v>7.3</v>
      </c>
      <c r="AI25" s="48">
        <f t="shared" si="3"/>
        <v>7.3</v>
      </c>
      <c r="AK25" s="251"/>
      <c r="AL25" s="253"/>
      <c r="AM25" s="254"/>
      <c r="AN25" s="254"/>
      <c r="AO25" s="254"/>
      <c r="AP25" s="25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8.5</v>
      </c>
      <c r="C26" s="45">
        <v>8.5</v>
      </c>
      <c r="D26" s="45">
        <v>8.5</v>
      </c>
      <c r="E26" s="45">
        <v>8.5</v>
      </c>
      <c r="F26" s="45">
        <v>8.5</v>
      </c>
      <c r="G26" s="45">
        <v>8.5</v>
      </c>
      <c r="H26" s="45">
        <v>8.5</v>
      </c>
      <c r="I26" s="45">
        <v>8.5</v>
      </c>
      <c r="J26" s="45">
        <v>8.5</v>
      </c>
      <c r="K26" s="45">
        <v>8.5</v>
      </c>
      <c r="L26" s="45">
        <v>8.5</v>
      </c>
      <c r="M26" s="45">
        <v>8.5</v>
      </c>
      <c r="N26" s="45">
        <v>8.5</v>
      </c>
      <c r="O26" s="45">
        <v>8.5</v>
      </c>
      <c r="P26" s="45">
        <v>8.5</v>
      </c>
      <c r="Q26" s="45">
        <v>8.5</v>
      </c>
      <c r="R26" s="45">
        <v>8.5</v>
      </c>
      <c r="S26" s="45">
        <v>8.5</v>
      </c>
      <c r="T26" s="45">
        <v>8.5</v>
      </c>
      <c r="U26" s="45">
        <v>8.5</v>
      </c>
      <c r="V26" s="45">
        <v>8.5</v>
      </c>
      <c r="W26" s="45">
        <v>8.5</v>
      </c>
      <c r="X26" s="45">
        <v>8.5</v>
      </c>
      <c r="Y26" s="45">
        <v>8.5</v>
      </c>
      <c r="Z26" s="45">
        <v>8.5</v>
      </c>
      <c r="AA26" s="45">
        <v>8.5</v>
      </c>
      <c r="AB26" s="45">
        <v>8.5</v>
      </c>
      <c r="AC26" s="45">
        <v>8.5</v>
      </c>
      <c r="AD26" s="45">
        <v>8.5</v>
      </c>
      <c r="AE26" s="45">
        <v>8.5</v>
      </c>
      <c r="AF26" s="45">
        <v>8.5</v>
      </c>
      <c r="AG26" s="49">
        <v>25</v>
      </c>
      <c r="AH26" s="47">
        <f t="shared" si="2"/>
        <v>8.5</v>
      </c>
      <c r="AI26" s="48">
        <f t="shared" si="3"/>
        <v>8.5</v>
      </c>
      <c r="AK26" s="251"/>
      <c r="AL26" s="253"/>
      <c r="AM26" s="254"/>
      <c r="AN26" s="254"/>
      <c r="AO26" s="254"/>
      <c r="AP26" s="25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5</v>
      </c>
      <c r="C27" s="45">
        <v>5</v>
      </c>
      <c r="D27" s="45">
        <v>5</v>
      </c>
      <c r="E27" s="45">
        <v>5</v>
      </c>
      <c r="F27" s="45">
        <v>5</v>
      </c>
      <c r="G27" s="45">
        <v>5</v>
      </c>
      <c r="H27" s="45">
        <v>5</v>
      </c>
      <c r="I27" s="45">
        <v>5</v>
      </c>
      <c r="J27" s="45">
        <v>5</v>
      </c>
      <c r="K27" s="45">
        <v>5</v>
      </c>
      <c r="L27" s="45">
        <v>5</v>
      </c>
      <c r="M27" s="45">
        <v>5</v>
      </c>
      <c r="N27" s="45">
        <v>5</v>
      </c>
      <c r="O27" s="45">
        <v>5</v>
      </c>
      <c r="P27" s="45">
        <v>5</v>
      </c>
      <c r="Q27" s="45">
        <v>5</v>
      </c>
      <c r="R27" s="45">
        <v>5</v>
      </c>
      <c r="S27" s="45">
        <v>5</v>
      </c>
      <c r="T27" s="45">
        <v>5</v>
      </c>
      <c r="U27" s="45">
        <v>5</v>
      </c>
      <c r="V27" s="45">
        <v>5</v>
      </c>
      <c r="W27" s="45">
        <v>5</v>
      </c>
      <c r="X27" s="45">
        <v>5</v>
      </c>
      <c r="Y27" s="45">
        <v>5</v>
      </c>
      <c r="Z27" s="45">
        <v>5</v>
      </c>
      <c r="AA27" s="45">
        <v>5</v>
      </c>
      <c r="AB27" s="45">
        <v>5</v>
      </c>
      <c r="AC27" s="45">
        <v>5</v>
      </c>
      <c r="AD27" s="45">
        <v>5</v>
      </c>
      <c r="AE27" s="45">
        <v>5</v>
      </c>
      <c r="AF27" s="45">
        <v>5</v>
      </c>
      <c r="AG27" s="49">
        <v>25</v>
      </c>
      <c r="AH27" s="47">
        <f t="shared" si="2"/>
        <v>5</v>
      </c>
      <c r="AI27" s="48">
        <f t="shared" si="3"/>
        <v>5</v>
      </c>
      <c r="AK27" s="251"/>
      <c r="AL27" s="253"/>
      <c r="AM27" s="254"/>
      <c r="AN27" s="254"/>
      <c r="AO27" s="254"/>
      <c r="AP27" s="25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6</v>
      </c>
      <c r="C28" s="45">
        <v>6</v>
      </c>
      <c r="D28" s="45">
        <v>6</v>
      </c>
      <c r="E28" s="45">
        <v>6</v>
      </c>
      <c r="F28" s="45">
        <v>6</v>
      </c>
      <c r="G28" s="45">
        <v>6</v>
      </c>
      <c r="H28" s="45">
        <v>6</v>
      </c>
      <c r="I28" s="45">
        <v>6</v>
      </c>
      <c r="J28" s="45">
        <v>6</v>
      </c>
      <c r="K28" s="45">
        <v>6</v>
      </c>
      <c r="L28" s="45">
        <v>6</v>
      </c>
      <c r="M28" s="45">
        <v>6</v>
      </c>
      <c r="N28" s="45">
        <v>6</v>
      </c>
      <c r="O28" s="45">
        <v>6</v>
      </c>
      <c r="P28" s="45">
        <v>6</v>
      </c>
      <c r="Q28" s="45">
        <v>6</v>
      </c>
      <c r="R28" s="45">
        <v>6</v>
      </c>
      <c r="S28" s="45">
        <v>6</v>
      </c>
      <c r="T28" s="45">
        <v>6</v>
      </c>
      <c r="U28" s="45">
        <v>6</v>
      </c>
      <c r="V28" s="45">
        <v>6</v>
      </c>
      <c r="W28" s="45">
        <v>6</v>
      </c>
      <c r="X28" s="45">
        <v>6</v>
      </c>
      <c r="Y28" s="45">
        <v>6</v>
      </c>
      <c r="Z28" s="45">
        <v>6</v>
      </c>
      <c r="AA28" s="45">
        <v>6</v>
      </c>
      <c r="AB28" s="45">
        <v>6</v>
      </c>
      <c r="AC28" s="45">
        <v>6</v>
      </c>
      <c r="AD28" s="45">
        <v>6</v>
      </c>
      <c r="AE28" s="45">
        <v>6</v>
      </c>
      <c r="AF28" s="45">
        <v>6</v>
      </c>
      <c r="AG28" s="49">
        <v>25</v>
      </c>
      <c r="AH28" s="47">
        <f t="shared" si="2"/>
        <v>6</v>
      </c>
      <c r="AI28" s="48">
        <f t="shared" si="3"/>
        <v>6</v>
      </c>
      <c r="AK28" s="251"/>
      <c r="AL28" s="253"/>
      <c r="AM28" s="254"/>
      <c r="AN28" s="254"/>
      <c r="AO28" s="254"/>
      <c r="AP28" s="25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8.1</v>
      </c>
      <c r="C29" s="45">
        <v>8.1</v>
      </c>
      <c r="D29" s="45">
        <v>8.1</v>
      </c>
      <c r="E29" s="45">
        <v>8.1</v>
      </c>
      <c r="F29" s="45">
        <v>8.1</v>
      </c>
      <c r="G29" s="45">
        <v>8.1</v>
      </c>
      <c r="H29" s="45">
        <v>8.1</v>
      </c>
      <c r="I29" s="45">
        <v>8.1</v>
      </c>
      <c r="J29" s="45">
        <v>8.1</v>
      </c>
      <c r="K29" s="45">
        <v>8.1</v>
      </c>
      <c r="L29" s="45">
        <v>8.1</v>
      </c>
      <c r="M29" s="45">
        <v>8.1</v>
      </c>
      <c r="N29" s="45">
        <v>8.1</v>
      </c>
      <c r="O29" s="45">
        <v>8.1</v>
      </c>
      <c r="P29" s="45">
        <v>8.1</v>
      </c>
      <c r="Q29" s="45">
        <v>8.1</v>
      </c>
      <c r="R29" s="45">
        <v>8.1</v>
      </c>
      <c r="S29" s="45">
        <v>8.1</v>
      </c>
      <c r="T29" s="45">
        <v>8.1</v>
      </c>
      <c r="U29" s="45">
        <v>8.1</v>
      </c>
      <c r="V29" s="45">
        <v>8.1</v>
      </c>
      <c r="W29" s="45">
        <v>8.1</v>
      </c>
      <c r="X29" s="45">
        <v>8.1</v>
      </c>
      <c r="Y29" s="45">
        <v>8.1</v>
      </c>
      <c r="Z29" s="45">
        <v>8.1</v>
      </c>
      <c r="AA29" s="45">
        <v>8.1</v>
      </c>
      <c r="AB29" s="45">
        <v>8.1</v>
      </c>
      <c r="AC29" s="45">
        <v>8.1</v>
      </c>
      <c r="AD29" s="45">
        <v>8.1</v>
      </c>
      <c r="AE29" s="45">
        <v>8.1</v>
      </c>
      <c r="AF29" s="45">
        <v>8.1</v>
      </c>
      <c r="AG29" s="49">
        <v>25</v>
      </c>
      <c r="AH29" s="47">
        <f t="shared" si="2"/>
        <v>8.1</v>
      </c>
      <c r="AI29" s="48">
        <f t="shared" si="3"/>
        <v>8.1</v>
      </c>
      <c r="AK29" s="251"/>
      <c r="AL29" s="253"/>
      <c r="AM29" s="254"/>
      <c r="AN29" s="254"/>
      <c r="AO29" s="254"/>
      <c r="AP29" s="25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9.1</v>
      </c>
      <c r="C30" s="45">
        <v>9.1</v>
      </c>
      <c r="D30" s="45">
        <v>9.1</v>
      </c>
      <c r="E30" s="45">
        <v>9.1</v>
      </c>
      <c r="F30" s="45">
        <v>9.1</v>
      </c>
      <c r="G30" s="45">
        <v>9.1</v>
      </c>
      <c r="H30" s="45">
        <v>9.1</v>
      </c>
      <c r="I30" s="45">
        <v>9.1</v>
      </c>
      <c r="J30" s="45">
        <v>9.1</v>
      </c>
      <c r="K30" s="45">
        <v>9.1</v>
      </c>
      <c r="L30" s="45">
        <v>9.1</v>
      </c>
      <c r="M30" s="45">
        <v>9.1</v>
      </c>
      <c r="N30" s="45">
        <v>9.1</v>
      </c>
      <c r="O30" s="45">
        <v>9.1</v>
      </c>
      <c r="P30" s="45">
        <v>9.1</v>
      </c>
      <c r="Q30" s="45">
        <v>9.1</v>
      </c>
      <c r="R30" s="45">
        <v>9.1</v>
      </c>
      <c r="S30" s="45">
        <v>9.1</v>
      </c>
      <c r="T30" s="45">
        <v>9.1</v>
      </c>
      <c r="U30" s="45">
        <v>9.1</v>
      </c>
      <c r="V30" s="45">
        <v>9.1</v>
      </c>
      <c r="W30" s="45">
        <v>9.1</v>
      </c>
      <c r="X30" s="45">
        <v>9.1</v>
      </c>
      <c r="Y30" s="45">
        <v>9.1</v>
      </c>
      <c r="Z30" s="45">
        <v>9.1</v>
      </c>
      <c r="AA30" s="45">
        <v>9.1</v>
      </c>
      <c r="AB30" s="45">
        <v>9.1</v>
      </c>
      <c r="AC30" s="45">
        <v>9.1</v>
      </c>
      <c r="AD30" s="45">
        <v>9.1</v>
      </c>
      <c r="AE30" s="45">
        <v>9.1</v>
      </c>
      <c r="AF30" s="45">
        <v>9.1</v>
      </c>
      <c r="AG30" s="49">
        <v>23.5</v>
      </c>
      <c r="AH30" s="47">
        <f t="shared" si="2"/>
        <v>9.1</v>
      </c>
      <c r="AI30" s="48">
        <f t="shared" si="3"/>
        <v>9.1</v>
      </c>
      <c r="AK30" s="251"/>
      <c r="AL30" s="253"/>
      <c r="AM30" s="254"/>
      <c r="AN30" s="254"/>
      <c r="AO30" s="254"/>
      <c r="AP30" s="25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4.5</v>
      </c>
      <c r="C31" s="45">
        <v>4.5</v>
      </c>
      <c r="D31" s="45">
        <v>4.5</v>
      </c>
      <c r="E31" s="45">
        <v>4.5</v>
      </c>
      <c r="F31" s="45">
        <v>4.5</v>
      </c>
      <c r="G31" s="45">
        <v>4.5</v>
      </c>
      <c r="H31" s="45">
        <v>4.5</v>
      </c>
      <c r="I31" s="45">
        <v>4.5</v>
      </c>
      <c r="J31" s="45">
        <v>4.5</v>
      </c>
      <c r="K31" s="45">
        <v>4.5</v>
      </c>
      <c r="L31" s="45">
        <v>4.5</v>
      </c>
      <c r="M31" s="45">
        <v>4.5</v>
      </c>
      <c r="N31" s="45">
        <v>4.5</v>
      </c>
      <c r="O31" s="45">
        <v>4.5</v>
      </c>
      <c r="P31" s="45">
        <v>4.5</v>
      </c>
      <c r="Q31" s="45">
        <v>4.5</v>
      </c>
      <c r="R31" s="45">
        <v>4.5</v>
      </c>
      <c r="S31" s="45">
        <v>4.5</v>
      </c>
      <c r="T31" s="45">
        <v>4.5</v>
      </c>
      <c r="U31" s="45">
        <v>4.5</v>
      </c>
      <c r="V31" s="45">
        <v>4.5</v>
      </c>
      <c r="W31" s="45">
        <v>4.5</v>
      </c>
      <c r="X31" s="45">
        <v>4.5</v>
      </c>
      <c r="Y31" s="45">
        <v>4.5</v>
      </c>
      <c r="Z31" s="45">
        <v>4.5</v>
      </c>
      <c r="AA31" s="45">
        <v>4.5</v>
      </c>
      <c r="AB31" s="45">
        <v>4.5</v>
      </c>
      <c r="AC31" s="45">
        <v>4.5</v>
      </c>
      <c r="AD31" s="45">
        <v>4.5</v>
      </c>
      <c r="AE31" s="45">
        <v>4.5</v>
      </c>
      <c r="AF31" s="45">
        <v>4.5</v>
      </c>
      <c r="AG31" s="49">
        <v>22.2</v>
      </c>
      <c r="AH31" s="47">
        <f t="shared" si="2"/>
        <v>4.5</v>
      </c>
      <c r="AI31" s="48">
        <f t="shared" si="3"/>
        <v>4.5</v>
      </c>
      <c r="AK31" s="251"/>
      <c r="AL31" s="253"/>
      <c r="AM31" s="254"/>
      <c r="AN31" s="254"/>
      <c r="AO31" s="254"/>
      <c r="AP31" s="25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>
        <v>5.5</v>
      </c>
      <c r="N32" s="45">
        <v>5.5</v>
      </c>
      <c r="O32" s="45">
        <v>5.5</v>
      </c>
      <c r="P32" s="45">
        <v>5.5</v>
      </c>
      <c r="Q32" s="45">
        <v>5.5</v>
      </c>
      <c r="R32" s="45">
        <v>5.5</v>
      </c>
      <c r="S32" s="45">
        <v>5.5</v>
      </c>
      <c r="T32" s="45">
        <v>5.5</v>
      </c>
      <c r="U32" s="45">
        <v>5.5</v>
      </c>
      <c r="V32" s="45">
        <v>5.5</v>
      </c>
      <c r="W32" s="45">
        <v>5.5</v>
      </c>
      <c r="X32" s="45">
        <v>5.5</v>
      </c>
      <c r="Y32" s="45">
        <v>5.5</v>
      </c>
      <c r="Z32" s="45">
        <v>5.5</v>
      </c>
      <c r="AA32" s="45">
        <v>5.5</v>
      </c>
      <c r="AB32" s="45">
        <v>5.5</v>
      </c>
      <c r="AC32" s="45">
        <v>5.5</v>
      </c>
      <c r="AD32" s="45">
        <v>5.5</v>
      </c>
      <c r="AE32" s="45">
        <v>5.5</v>
      </c>
      <c r="AF32" s="45">
        <v>5.5</v>
      </c>
      <c r="AG32" s="49">
        <v>22.1</v>
      </c>
      <c r="AH32" s="47">
        <f t="shared" si="2"/>
        <v>5.5</v>
      </c>
      <c r="AI32" s="48">
        <f t="shared" si="3"/>
        <v>5.5</v>
      </c>
      <c r="AK32" s="251"/>
      <c r="AL32" s="253"/>
      <c r="AM32" s="254"/>
      <c r="AN32" s="254"/>
      <c r="AO32" s="254"/>
      <c r="AP32" s="25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22</v>
      </c>
      <c r="AH33" s="47">
        <f t="shared" si="2"/>
        <v>6</v>
      </c>
      <c r="AI33" s="48">
        <f t="shared" si="3"/>
        <v>6</v>
      </c>
      <c r="AK33" s="251"/>
      <c r="AL33" s="253"/>
      <c r="AM33" s="254"/>
      <c r="AN33" s="254"/>
      <c r="AO33" s="254"/>
      <c r="AP33" s="25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7.3</v>
      </c>
      <c r="C34" s="45">
        <v>7.3</v>
      </c>
      <c r="D34" s="45">
        <v>7.3</v>
      </c>
      <c r="E34" s="45">
        <v>7.3</v>
      </c>
      <c r="F34" s="45">
        <v>7.3</v>
      </c>
      <c r="G34" s="45">
        <v>7.3</v>
      </c>
      <c r="H34" s="45">
        <v>7.3</v>
      </c>
      <c r="I34" s="45">
        <v>7.3</v>
      </c>
      <c r="J34" s="45">
        <v>7.3</v>
      </c>
      <c r="K34" s="45">
        <v>7.3</v>
      </c>
      <c r="L34" s="45">
        <v>7.3</v>
      </c>
      <c r="M34" s="45">
        <v>7.3</v>
      </c>
      <c r="N34" s="45">
        <v>7.3</v>
      </c>
      <c r="O34" s="45">
        <v>7.3</v>
      </c>
      <c r="P34" s="45">
        <v>7.3</v>
      </c>
      <c r="Q34" s="45">
        <v>7.3</v>
      </c>
      <c r="R34" s="45">
        <v>7.3</v>
      </c>
      <c r="S34" s="45">
        <v>7.3</v>
      </c>
      <c r="T34" s="45">
        <v>7.3</v>
      </c>
      <c r="U34" s="45">
        <v>7.3</v>
      </c>
      <c r="V34" s="45">
        <v>7.3</v>
      </c>
      <c r="W34" s="45">
        <v>7.3</v>
      </c>
      <c r="X34" s="45">
        <v>7.3</v>
      </c>
      <c r="Y34" s="45">
        <v>7.3</v>
      </c>
      <c r="Z34" s="45">
        <v>7.3</v>
      </c>
      <c r="AA34" s="45">
        <v>7.3</v>
      </c>
      <c r="AB34" s="45">
        <v>7.3</v>
      </c>
      <c r="AC34" s="45">
        <v>7.3</v>
      </c>
      <c r="AD34" s="45">
        <v>7.3</v>
      </c>
      <c r="AE34" s="45">
        <v>7.3</v>
      </c>
      <c r="AF34" s="45">
        <v>7.3</v>
      </c>
      <c r="AG34" s="49">
        <v>22</v>
      </c>
      <c r="AH34" s="47">
        <f t="shared" si="2"/>
        <v>7.3</v>
      </c>
      <c r="AI34" s="48">
        <f t="shared" si="3"/>
        <v>7.3</v>
      </c>
      <c r="AK34" s="251"/>
      <c r="AL34" s="253"/>
      <c r="AM34" s="254"/>
      <c r="AN34" s="254"/>
      <c r="AO34" s="254"/>
      <c r="AP34" s="25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6.5</v>
      </c>
      <c r="C35" s="45">
        <v>6.5</v>
      </c>
      <c r="D35" s="45">
        <v>6.5</v>
      </c>
      <c r="E35" s="45">
        <v>6.5</v>
      </c>
      <c r="F35" s="45">
        <v>6.5</v>
      </c>
      <c r="G35" s="45">
        <v>6.5</v>
      </c>
      <c r="H35" s="45">
        <v>6.5</v>
      </c>
      <c r="I35" s="45">
        <v>6.5</v>
      </c>
      <c r="J35" s="45">
        <v>6.5</v>
      </c>
      <c r="K35" s="45">
        <v>6.5</v>
      </c>
      <c r="L35" s="45">
        <v>6.5</v>
      </c>
      <c r="M35" s="45">
        <v>6.5</v>
      </c>
      <c r="N35" s="45">
        <v>6.5</v>
      </c>
      <c r="O35" s="45">
        <v>6.5</v>
      </c>
      <c r="P35" s="45">
        <v>6.5</v>
      </c>
      <c r="Q35" s="45">
        <v>6.5</v>
      </c>
      <c r="R35" s="45">
        <v>6.5</v>
      </c>
      <c r="S35" s="45">
        <v>6.5</v>
      </c>
      <c r="T35" s="45">
        <v>6.5</v>
      </c>
      <c r="U35" s="45">
        <v>6.5</v>
      </c>
      <c r="V35" s="45">
        <v>6.5</v>
      </c>
      <c r="W35" s="45">
        <v>6.5</v>
      </c>
      <c r="X35" s="45">
        <v>6.5</v>
      </c>
      <c r="Y35" s="45">
        <v>6.5</v>
      </c>
      <c r="Z35" s="45">
        <v>6.5</v>
      </c>
      <c r="AA35" s="45">
        <v>6.5</v>
      </c>
      <c r="AB35" s="45">
        <v>6.5</v>
      </c>
      <c r="AC35" s="45">
        <v>6.5</v>
      </c>
      <c r="AD35" s="45">
        <v>6.5</v>
      </c>
      <c r="AE35" s="45">
        <v>6.5</v>
      </c>
      <c r="AF35" s="45">
        <v>6.5</v>
      </c>
      <c r="AG35" s="49">
        <v>20</v>
      </c>
      <c r="AH35" s="47">
        <f t="shared" si="2"/>
        <v>6.5</v>
      </c>
      <c r="AI35" s="48">
        <f t="shared" si="3"/>
        <v>6.5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264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2"/>
        <v>4</v>
      </c>
      <c r="AI36" s="48">
        <f t="shared" si="3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5.5</v>
      </c>
      <c r="C37" s="45">
        <v>5.5</v>
      </c>
      <c r="D37" s="45">
        <v>5.5</v>
      </c>
      <c r="E37" s="45">
        <v>5.5</v>
      </c>
      <c r="F37" s="45">
        <v>5.5</v>
      </c>
      <c r="G37" s="45">
        <v>5.5</v>
      </c>
      <c r="H37" s="45">
        <v>5.5</v>
      </c>
      <c r="I37" s="45">
        <v>5.5</v>
      </c>
      <c r="J37" s="45">
        <v>5.5</v>
      </c>
      <c r="K37" s="45">
        <v>5.5</v>
      </c>
      <c r="L37" s="45">
        <v>5.5</v>
      </c>
      <c r="M37" s="45">
        <v>5.5</v>
      </c>
      <c r="N37" s="45">
        <v>5.5</v>
      </c>
      <c r="O37" s="45">
        <v>5.5</v>
      </c>
      <c r="P37" s="45">
        <v>5.5</v>
      </c>
      <c r="Q37" s="45">
        <v>5.5</v>
      </c>
      <c r="R37" s="45">
        <v>5.5</v>
      </c>
      <c r="S37" s="45">
        <v>5.5</v>
      </c>
      <c r="T37" s="45">
        <v>5.5</v>
      </c>
      <c r="U37" s="45">
        <v>5.5</v>
      </c>
      <c r="V37" s="45">
        <v>5.5</v>
      </c>
      <c r="W37" s="45">
        <v>5.5</v>
      </c>
      <c r="X37" s="45">
        <v>5.5</v>
      </c>
      <c r="Y37" s="45">
        <v>5.5</v>
      </c>
      <c r="Z37" s="45">
        <v>5.5</v>
      </c>
      <c r="AA37" s="45">
        <v>5.5</v>
      </c>
      <c r="AB37" s="45">
        <v>5.5</v>
      </c>
      <c r="AC37" s="45">
        <v>5.5</v>
      </c>
      <c r="AD37" s="45">
        <v>5.5</v>
      </c>
      <c r="AE37" s="45">
        <v>5.5</v>
      </c>
      <c r="AF37" s="45">
        <v>5.5</v>
      </c>
      <c r="AG37" s="49">
        <v>18</v>
      </c>
      <c r="AH37" s="47">
        <f t="shared" si="2"/>
        <v>5.5</v>
      </c>
      <c r="AI37" s="48">
        <f t="shared" si="3"/>
        <v>5.5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>
        <v>7.2</v>
      </c>
      <c r="N38" s="45">
        <v>7.2</v>
      </c>
      <c r="O38" s="45">
        <v>7.2</v>
      </c>
      <c r="P38" s="45">
        <v>7.2</v>
      </c>
      <c r="Q38" s="45">
        <v>7.2</v>
      </c>
      <c r="R38" s="45">
        <v>7.2</v>
      </c>
      <c r="S38" s="45">
        <v>7.2</v>
      </c>
      <c r="T38" s="45">
        <v>7.2</v>
      </c>
      <c r="U38" s="45">
        <v>7.2</v>
      </c>
      <c r="V38" s="45">
        <v>7.2</v>
      </c>
      <c r="W38" s="45">
        <v>7.2</v>
      </c>
      <c r="X38" s="45">
        <v>7.2</v>
      </c>
      <c r="Y38" s="45">
        <v>7.2</v>
      </c>
      <c r="Z38" s="45">
        <v>7.2</v>
      </c>
      <c r="AA38" s="45">
        <v>7.2</v>
      </c>
      <c r="AB38" s="45">
        <v>7.2</v>
      </c>
      <c r="AC38" s="45">
        <v>7.2</v>
      </c>
      <c r="AD38" s="45">
        <v>7.2</v>
      </c>
      <c r="AE38" s="45">
        <v>7.2</v>
      </c>
      <c r="AF38" s="45">
        <v>7.2</v>
      </c>
      <c r="AG38" s="49">
        <v>14.9</v>
      </c>
      <c r="AH38" s="47">
        <f t="shared" si="2"/>
        <v>7.2</v>
      </c>
      <c r="AI38" s="48">
        <f t="shared" si="3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265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2"/>
        <v>5</v>
      </c>
      <c r="AI40" s="48">
        <f t="shared" si="3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266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>
        <v>4</v>
      </c>
      <c r="N41" s="45">
        <v>4</v>
      </c>
      <c r="O41" s="45">
        <v>4</v>
      </c>
      <c r="P41" s="45">
        <v>4</v>
      </c>
      <c r="Q41" s="45">
        <v>4</v>
      </c>
      <c r="R41" s="45">
        <v>4</v>
      </c>
      <c r="S41" s="45">
        <v>4</v>
      </c>
      <c r="T41" s="45">
        <v>4</v>
      </c>
      <c r="U41" s="45">
        <v>4</v>
      </c>
      <c r="V41" s="45">
        <v>4</v>
      </c>
      <c r="W41" s="45">
        <v>4</v>
      </c>
      <c r="X41" s="45">
        <v>4</v>
      </c>
      <c r="Y41" s="45">
        <v>4</v>
      </c>
      <c r="Z41" s="45">
        <v>4</v>
      </c>
      <c r="AA41" s="45">
        <v>4</v>
      </c>
      <c r="AB41" s="45">
        <v>4</v>
      </c>
      <c r="AC41" s="45">
        <v>4</v>
      </c>
      <c r="AD41" s="45">
        <v>4</v>
      </c>
      <c r="AE41" s="45">
        <v>4</v>
      </c>
      <c r="AF41" s="45">
        <v>4</v>
      </c>
      <c r="AG41" s="49">
        <v>14.9</v>
      </c>
      <c r="AH41" s="47">
        <f t="shared" si="2"/>
        <v>4</v>
      </c>
      <c r="AI41" s="48">
        <f t="shared" si="3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2"/>
        <v>1.8</v>
      </c>
      <c r="AI42" s="48">
        <f t="shared" si="3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2"/>
        <v>3.8</v>
      </c>
      <c r="AI43" s="48">
        <f t="shared" si="3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4</v>
      </c>
      <c r="C44" s="45">
        <v>4</v>
      </c>
      <c r="D44" s="45">
        <v>4</v>
      </c>
      <c r="E44" s="45">
        <v>4</v>
      </c>
      <c r="F44" s="45">
        <v>4</v>
      </c>
      <c r="G44" s="45">
        <v>4</v>
      </c>
      <c r="H44" s="45">
        <v>4</v>
      </c>
      <c r="I44" s="45">
        <v>4</v>
      </c>
      <c r="J44" s="45">
        <v>4</v>
      </c>
      <c r="K44" s="45">
        <v>4</v>
      </c>
      <c r="L44" s="45">
        <v>4</v>
      </c>
      <c r="M44" s="45">
        <v>4</v>
      </c>
      <c r="N44" s="45">
        <v>4</v>
      </c>
      <c r="O44" s="45">
        <v>4</v>
      </c>
      <c r="P44" s="45">
        <v>4</v>
      </c>
      <c r="Q44" s="45">
        <v>4</v>
      </c>
      <c r="R44" s="45">
        <v>4</v>
      </c>
      <c r="S44" s="45">
        <v>4</v>
      </c>
      <c r="T44" s="45">
        <v>4</v>
      </c>
      <c r="U44" s="45">
        <v>4</v>
      </c>
      <c r="V44" s="45">
        <v>4</v>
      </c>
      <c r="W44" s="45">
        <v>4</v>
      </c>
      <c r="X44" s="45">
        <v>4</v>
      </c>
      <c r="Y44" s="45">
        <v>4</v>
      </c>
      <c r="Z44" s="45">
        <v>4</v>
      </c>
      <c r="AA44" s="45">
        <v>4</v>
      </c>
      <c r="AB44" s="45">
        <v>4</v>
      </c>
      <c r="AC44" s="45">
        <v>4</v>
      </c>
      <c r="AD44" s="45">
        <v>4</v>
      </c>
      <c r="AE44" s="45">
        <v>4</v>
      </c>
      <c r="AF44" s="45">
        <v>4</v>
      </c>
      <c r="AG44" s="49">
        <v>12</v>
      </c>
      <c r="AH44" s="47">
        <f t="shared" si="2"/>
        <v>4</v>
      </c>
      <c r="AI44" s="48">
        <f t="shared" si="3"/>
        <v>4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49">
        <v>12</v>
      </c>
      <c r="AH45" s="47">
        <f t="shared" si="2"/>
        <v>9</v>
      </c>
      <c r="AI45" s="48">
        <f t="shared" si="3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2"/>
        <v>3</v>
      </c>
      <c r="AI46" s="48">
        <f t="shared" si="3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2"/>
        <v>3.5</v>
      </c>
      <c r="AI47" s="48">
        <f t="shared" si="3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>
        <v>5</v>
      </c>
      <c r="N48" s="45">
        <v>5</v>
      </c>
      <c r="O48" s="45">
        <v>5</v>
      </c>
      <c r="P48" s="45">
        <v>5</v>
      </c>
      <c r="Q48" s="45">
        <v>5</v>
      </c>
      <c r="R48" s="45">
        <v>5</v>
      </c>
      <c r="S48" s="45">
        <v>5</v>
      </c>
      <c r="T48" s="45">
        <v>5</v>
      </c>
      <c r="U48" s="45">
        <v>5</v>
      </c>
      <c r="V48" s="45">
        <v>5</v>
      </c>
      <c r="W48" s="45">
        <v>5</v>
      </c>
      <c r="X48" s="45">
        <v>5</v>
      </c>
      <c r="Y48" s="45">
        <v>5</v>
      </c>
      <c r="Z48" s="45">
        <v>5</v>
      </c>
      <c r="AA48" s="45">
        <v>5</v>
      </c>
      <c r="AB48" s="45">
        <v>5</v>
      </c>
      <c r="AC48" s="45">
        <v>5</v>
      </c>
      <c r="AD48" s="45">
        <v>5</v>
      </c>
      <c r="AE48" s="45">
        <v>5</v>
      </c>
      <c r="AF48" s="45">
        <v>5</v>
      </c>
      <c r="AG48" s="52">
        <v>11.88</v>
      </c>
      <c r="AH48" s="47">
        <f t="shared" si="2"/>
        <v>5</v>
      </c>
      <c r="AI48" s="48">
        <f t="shared" si="3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>
        <v>3</v>
      </c>
      <c r="N49" s="45">
        <v>3</v>
      </c>
      <c r="O49" s="45">
        <v>3</v>
      </c>
      <c r="P49" s="45">
        <v>3</v>
      </c>
      <c r="Q49" s="45">
        <v>3</v>
      </c>
      <c r="R49" s="45">
        <v>3</v>
      </c>
      <c r="S49" s="45">
        <v>3</v>
      </c>
      <c r="T49" s="45">
        <v>3</v>
      </c>
      <c r="U49" s="45">
        <v>3</v>
      </c>
      <c r="V49" s="45">
        <v>3</v>
      </c>
      <c r="W49" s="45">
        <v>3</v>
      </c>
      <c r="X49" s="45">
        <v>3</v>
      </c>
      <c r="Y49" s="45">
        <v>3</v>
      </c>
      <c r="Z49" s="45">
        <v>3</v>
      </c>
      <c r="AA49" s="45">
        <v>3</v>
      </c>
      <c r="AB49" s="45">
        <v>3</v>
      </c>
      <c r="AC49" s="45">
        <v>3</v>
      </c>
      <c r="AD49" s="45">
        <v>3</v>
      </c>
      <c r="AE49" s="45">
        <v>3</v>
      </c>
      <c r="AF49" s="45">
        <v>3</v>
      </c>
      <c r="AG49" s="55">
        <v>11</v>
      </c>
      <c r="AH49" s="47">
        <f t="shared" si="2"/>
        <v>3</v>
      </c>
      <c r="AI49" s="48">
        <f t="shared" si="3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267</v>
      </c>
      <c r="B50" s="45">
        <v>3.3</v>
      </c>
      <c r="C50" s="45">
        <v>3.3</v>
      </c>
      <c r="D50" s="45">
        <v>3.3</v>
      </c>
      <c r="E50" s="45">
        <v>3.3</v>
      </c>
      <c r="F50" s="45">
        <v>3.3</v>
      </c>
      <c r="G50" s="45">
        <v>3.3</v>
      </c>
      <c r="H50" s="45">
        <v>3.3</v>
      </c>
      <c r="I50" s="45">
        <v>3.3</v>
      </c>
      <c r="J50" s="45">
        <v>3.3</v>
      </c>
      <c r="K50" s="45">
        <v>3.3</v>
      </c>
      <c r="L50" s="45">
        <v>3.3</v>
      </c>
      <c r="M50" s="45">
        <v>3.3</v>
      </c>
      <c r="N50" s="45">
        <v>3.3</v>
      </c>
      <c r="O50" s="45">
        <v>3.3</v>
      </c>
      <c r="P50" s="45">
        <v>3.3</v>
      </c>
      <c r="Q50" s="45">
        <v>3.3</v>
      </c>
      <c r="R50" s="45">
        <v>3.3</v>
      </c>
      <c r="S50" s="45">
        <v>3.3</v>
      </c>
      <c r="T50" s="45">
        <v>3.3</v>
      </c>
      <c r="U50" s="45">
        <v>3.3</v>
      </c>
      <c r="V50" s="45">
        <v>3.3</v>
      </c>
      <c r="W50" s="45">
        <v>3.3</v>
      </c>
      <c r="X50" s="45">
        <v>3.3</v>
      </c>
      <c r="Y50" s="45">
        <v>3.3</v>
      </c>
      <c r="Z50" s="45">
        <v>3.3</v>
      </c>
      <c r="AA50" s="45">
        <v>3.3</v>
      </c>
      <c r="AB50" s="45">
        <v>3.3</v>
      </c>
      <c r="AC50" s="45">
        <v>3.3</v>
      </c>
      <c r="AD50" s="45">
        <v>3.3</v>
      </c>
      <c r="AE50" s="45">
        <v>3.3</v>
      </c>
      <c r="AF50" s="45">
        <v>3.3</v>
      </c>
      <c r="AG50" s="55">
        <v>11</v>
      </c>
      <c r="AH50" s="47">
        <f t="shared" si="2"/>
        <v>3.3</v>
      </c>
      <c r="AI50" s="48">
        <f t="shared" si="3"/>
        <v>3.3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268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"/>
        <v>3</v>
      </c>
      <c r="AI51" s="48">
        <f t="shared" si="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2"/>
        <v>4</v>
      </c>
      <c r="AI52" s="48">
        <f t="shared" si="3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"/>
        <v>4.5</v>
      </c>
      <c r="AI53" s="48">
        <f t="shared" si="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269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"/>
        <v>0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150</v>
      </c>
      <c r="C56" s="57">
        <v>150</v>
      </c>
      <c r="D56" s="57">
        <v>150</v>
      </c>
      <c r="E56" s="57">
        <v>150</v>
      </c>
      <c r="F56" s="57">
        <v>150</v>
      </c>
      <c r="G56" s="57">
        <v>150</v>
      </c>
      <c r="H56" s="57">
        <v>150</v>
      </c>
      <c r="I56" s="57">
        <v>150</v>
      </c>
      <c r="J56" s="57">
        <v>150</v>
      </c>
      <c r="K56" s="57">
        <v>150</v>
      </c>
      <c r="L56" s="57">
        <v>150</v>
      </c>
      <c r="M56" s="57">
        <v>150</v>
      </c>
      <c r="N56" s="57">
        <v>150</v>
      </c>
      <c r="O56" s="57">
        <v>150</v>
      </c>
      <c r="P56" s="57">
        <v>150</v>
      </c>
      <c r="Q56" s="57">
        <v>150</v>
      </c>
      <c r="R56" s="57">
        <v>150</v>
      </c>
      <c r="S56" s="57">
        <v>150</v>
      </c>
      <c r="T56" s="57">
        <v>150</v>
      </c>
      <c r="U56" s="57">
        <v>150</v>
      </c>
      <c r="V56" s="57">
        <v>150</v>
      </c>
      <c r="W56" s="57">
        <v>150</v>
      </c>
      <c r="X56" s="57">
        <v>150</v>
      </c>
      <c r="Y56" s="57">
        <v>150</v>
      </c>
      <c r="Z56" s="57">
        <v>150</v>
      </c>
      <c r="AA56" s="57">
        <v>150</v>
      </c>
      <c r="AB56" s="57">
        <v>150</v>
      </c>
      <c r="AC56" s="57">
        <v>150</v>
      </c>
      <c r="AD56" s="57">
        <v>150</v>
      </c>
      <c r="AE56" s="57">
        <v>150</v>
      </c>
      <c r="AF56" s="57">
        <v>150</v>
      </c>
      <c r="AG56" s="55">
        <v>85</v>
      </c>
      <c r="AH56" s="47">
        <f t="shared" si="2"/>
        <v>150</v>
      </c>
      <c r="AI56" s="48">
        <f t="shared" si="3"/>
        <v>150</v>
      </c>
      <c r="AK56" s="50"/>
    </row>
    <row r="57" spans="1:88" ht="15.75" thickBot="1" x14ac:dyDescent="0.3">
      <c r="A57" s="58" t="s">
        <v>57</v>
      </c>
      <c r="B57" s="57">
        <v>25.1</v>
      </c>
      <c r="C57" s="57">
        <v>25.1</v>
      </c>
      <c r="D57" s="57">
        <v>25.1</v>
      </c>
      <c r="E57" s="57">
        <v>30</v>
      </c>
      <c r="F57" s="57">
        <v>30</v>
      </c>
      <c r="G57" s="57">
        <v>30</v>
      </c>
      <c r="H57" s="57">
        <v>30</v>
      </c>
      <c r="I57" s="57">
        <v>30</v>
      </c>
      <c r="J57" s="57">
        <f t="shared" ref="J57:S57" si="4">8.8+19.4</f>
        <v>28.2</v>
      </c>
      <c r="K57" s="57">
        <f t="shared" si="4"/>
        <v>28.2</v>
      </c>
      <c r="L57" s="57">
        <f t="shared" si="4"/>
        <v>28.2</v>
      </c>
      <c r="M57" s="57">
        <f t="shared" si="4"/>
        <v>28.2</v>
      </c>
      <c r="N57" s="57">
        <f t="shared" si="4"/>
        <v>28.2</v>
      </c>
      <c r="O57" s="57">
        <f t="shared" si="4"/>
        <v>28.2</v>
      </c>
      <c r="P57" s="57">
        <f t="shared" si="4"/>
        <v>28.2</v>
      </c>
      <c r="Q57" s="57">
        <f t="shared" si="4"/>
        <v>28.2</v>
      </c>
      <c r="R57" s="57">
        <f t="shared" si="4"/>
        <v>28.2</v>
      </c>
      <c r="S57" s="57">
        <f t="shared" si="4"/>
        <v>28.2</v>
      </c>
      <c r="T57" s="57">
        <v>25.8</v>
      </c>
      <c r="U57" s="57">
        <v>25.8</v>
      </c>
      <c r="V57" s="57">
        <v>27.7</v>
      </c>
      <c r="W57" s="57">
        <v>27.7</v>
      </c>
      <c r="X57" s="57">
        <v>27.7</v>
      </c>
      <c r="Y57" s="57">
        <v>25.4</v>
      </c>
      <c r="Z57" s="57">
        <v>25.4</v>
      </c>
      <c r="AA57" s="57">
        <v>25.4</v>
      </c>
      <c r="AB57" s="57">
        <v>25.4</v>
      </c>
      <c r="AC57" s="57">
        <f>16+4.6</f>
        <v>20.6</v>
      </c>
      <c r="AD57" s="57">
        <f>15.3+4.7</f>
        <v>20</v>
      </c>
      <c r="AE57" s="57">
        <f>15.3+4.7</f>
        <v>20</v>
      </c>
      <c r="AF57" s="57">
        <f>15.3+4.7</f>
        <v>20</v>
      </c>
      <c r="AG57" s="55">
        <v>240</v>
      </c>
      <c r="AH57" s="47">
        <f t="shared" si="2"/>
        <v>30</v>
      </c>
      <c r="AI57" s="48">
        <f t="shared" si="3"/>
        <v>20</v>
      </c>
      <c r="AK57" s="50"/>
    </row>
    <row r="58" spans="1:88" ht="15.75" thickBot="1" x14ac:dyDescent="0.3">
      <c r="A58" s="59" t="s">
        <v>58</v>
      </c>
      <c r="B58" s="60">
        <f t="shared" ref="B58:C58" si="5">SUM(B11:B56)</f>
        <v>498.2</v>
      </c>
      <c r="C58" s="60">
        <f t="shared" si="5"/>
        <v>498.2</v>
      </c>
      <c r="D58" s="60">
        <f t="shared" ref="D58" si="6">SUM(D11:D56)</f>
        <v>498.2</v>
      </c>
      <c r="E58" s="60">
        <f t="shared" ref="E58:AF58" si="7">SUM(E11:E56)</f>
        <v>498.2</v>
      </c>
      <c r="F58" s="60">
        <f t="shared" si="7"/>
        <v>498.2</v>
      </c>
      <c r="G58" s="60">
        <f t="shared" si="7"/>
        <v>498.2</v>
      </c>
      <c r="H58" s="60">
        <f t="shared" si="7"/>
        <v>498.2</v>
      </c>
      <c r="I58" s="60">
        <f t="shared" si="7"/>
        <v>498.2</v>
      </c>
      <c r="J58" s="60">
        <f t="shared" si="7"/>
        <v>498.2</v>
      </c>
      <c r="K58" s="60">
        <f t="shared" si="7"/>
        <v>498.2</v>
      </c>
      <c r="L58" s="60">
        <f t="shared" si="7"/>
        <v>498.2</v>
      </c>
      <c r="M58" s="60">
        <f t="shared" si="7"/>
        <v>498.2</v>
      </c>
      <c r="N58" s="60">
        <f t="shared" si="7"/>
        <v>498.2</v>
      </c>
      <c r="O58" s="60">
        <f t="shared" si="7"/>
        <v>497.3</v>
      </c>
      <c r="P58" s="60">
        <f t="shared" si="7"/>
        <v>497.3</v>
      </c>
      <c r="Q58" s="60">
        <f t="shared" si="7"/>
        <v>497.3</v>
      </c>
      <c r="R58" s="60">
        <f t="shared" si="7"/>
        <v>495.00000000000006</v>
      </c>
      <c r="S58" s="60">
        <f t="shared" si="7"/>
        <v>495.00000000000006</v>
      </c>
      <c r="T58" s="60">
        <f t="shared" si="7"/>
        <v>495.00000000000006</v>
      </c>
      <c r="U58" s="60">
        <f t="shared" si="7"/>
        <v>495.00000000000006</v>
      </c>
      <c r="V58" s="60">
        <f t="shared" si="7"/>
        <v>495.00000000000006</v>
      </c>
      <c r="W58" s="60">
        <f t="shared" si="7"/>
        <v>495.00000000000006</v>
      </c>
      <c r="X58" s="60">
        <f t="shared" si="7"/>
        <v>495.00000000000006</v>
      </c>
      <c r="Y58" s="60">
        <f>SUM(Y11:Y56)</f>
        <v>495.00000000000006</v>
      </c>
      <c r="Z58" s="60">
        <f>SUM(Z11:Z56)</f>
        <v>495.00000000000006</v>
      </c>
      <c r="AA58" s="60">
        <f t="shared" si="7"/>
        <v>495.00000000000006</v>
      </c>
      <c r="AB58" s="60">
        <f t="shared" si="7"/>
        <v>495.00000000000006</v>
      </c>
      <c r="AC58" s="60">
        <f t="shared" si="7"/>
        <v>497.8</v>
      </c>
      <c r="AD58" s="60">
        <f t="shared" si="7"/>
        <v>497.90000000000003</v>
      </c>
      <c r="AE58" s="60">
        <f t="shared" si="7"/>
        <v>497.90000000000003</v>
      </c>
      <c r="AF58" s="60">
        <f t="shared" si="7"/>
        <v>497.90000000000003</v>
      </c>
      <c r="AG58" s="61">
        <f>SUM(AG14:AG56)</f>
        <v>1042.4000000000001</v>
      </c>
      <c r="AH58" s="47">
        <f t="shared" si="2"/>
        <v>498.2</v>
      </c>
      <c r="AI58" s="48">
        <f t="shared" si="3"/>
        <v>495.00000000000006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15</v>
      </c>
      <c r="I59" s="45">
        <v>50</v>
      </c>
      <c r="J59" s="45">
        <v>70</v>
      </c>
      <c r="K59" s="45">
        <v>50</v>
      </c>
      <c r="L59" s="45">
        <v>90</v>
      </c>
      <c r="M59" s="45">
        <v>170</v>
      </c>
      <c r="N59" s="63">
        <v>130</v>
      </c>
      <c r="O59" s="63">
        <v>120</v>
      </c>
      <c r="P59" s="63">
        <v>150</v>
      </c>
      <c r="Q59" s="63">
        <v>75</v>
      </c>
      <c r="R59" s="63">
        <v>75</v>
      </c>
      <c r="S59" s="63">
        <v>60</v>
      </c>
      <c r="T59" s="45">
        <v>76</v>
      </c>
      <c r="U59" s="45">
        <v>110</v>
      </c>
      <c r="V59" s="45">
        <v>40</v>
      </c>
      <c r="W59" s="45">
        <v>90</v>
      </c>
      <c r="X59" s="45">
        <v>140</v>
      </c>
      <c r="Y59" s="45">
        <v>150</v>
      </c>
      <c r="Z59" s="45">
        <v>150</v>
      </c>
      <c r="AA59" s="45">
        <v>170</v>
      </c>
      <c r="AB59" s="45">
        <v>175</v>
      </c>
      <c r="AC59" s="45">
        <v>125</v>
      </c>
      <c r="AD59" s="45">
        <v>150</v>
      </c>
      <c r="AE59" s="45">
        <v>150</v>
      </c>
      <c r="AF59" s="45">
        <v>30</v>
      </c>
      <c r="AG59" s="52">
        <v>456</v>
      </c>
      <c r="AH59" s="47">
        <f t="shared" si="2"/>
        <v>175</v>
      </c>
      <c r="AI59" s="48">
        <f t="shared" si="3"/>
        <v>0</v>
      </c>
      <c r="AK59" s="50"/>
    </row>
    <row r="60" spans="1:88" x14ac:dyDescent="0.25">
      <c r="A60" s="64" t="s">
        <v>60</v>
      </c>
      <c r="B60" s="65">
        <v>30</v>
      </c>
      <c r="C60" s="65">
        <v>30</v>
      </c>
      <c r="D60" s="65">
        <v>30</v>
      </c>
      <c r="E60" s="65">
        <v>30</v>
      </c>
      <c r="F60" s="65">
        <v>30</v>
      </c>
      <c r="G60" s="65">
        <v>30</v>
      </c>
      <c r="H60" s="65">
        <v>30</v>
      </c>
      <c r="I60" s="65">
        <v>30</v>
      </c>
      <c r="J60" s="65">
        <v>30</v>
      </c>
      <c r="K60" s="65">
        <v>30</v>
      </c>
      <c r="L60" s="65">
        <v>30</v>
      </c>
      <c r="M60" s="65">
        <v>30</v>
      </c>
      <c r="N60" s="65">
        <v>30</v>
      </c>
      <c r="O60" s="65">
        <v>30</v>
      </c>
      <c r="P60" s="65">
        <v>30</v>
      </c>
      <c r="Q60" s="65">
        <v>30</v>
      </c>
      <c r="R60" s="65">
        <v>30</v>
      </c>
      <c r="S60" s="65">
        <v>30</v>
      </c>
      <c r="T60" s="65">
        <v>30</v>
      </c>
      <c r="U60" s="65">
        <v>30</v>
      </c>
      <c r="V60" s="65">
        <v>30</v>
      </c>
      <c r="W60" s="65">
        <v>30</v>
      </c>
      <c r="X60" s="65">
        <v>30</v>
      </c>
      <c r="Y60" s="65">
        <v>30</v>
      </c>
      <c r="Z60" s="65">
        <v>30</v>
      </c>
      <c r="AA60" s="65">
        <v>30</v>
      </c>
      <c r="AB60" s="65">
        <v>30</v>
      </c>
      <c r="AC60" s="65">
        <v>30</v>
      </c>
      <c r="AD60" s="65">
        <v>30</v>
      </c>
      <c r="AE60" s="65">
        <v>30</v>
      </c>
      <c r="AF60" s="65">
        <v>30</v>
      </c>
      <c r="AG60" s="55">
        <v>60</v>
      </c>
      <c r="AH60" s="47">
        <f t="shared" si="2"/>
        <v>30</v>
      </c>
      <c r="AI60" s="48">
        <f t="shared" si="3"/>
        <v>30</v>
      </c>
      <c r="AK60" s="50"/>
    </row>
    <row r="61" spans="1:88" ht="15.75" thickBot="1" x14ac:dyDescent="0.3">
      <c r="A61" s="66" t="s">
        <v>61</v>
      </c>
      <c r="B61" s="67">
        <v>10.1</v>
      </c>
      <c r="C61" s="67">
        <v>10.1</v>
      </c>
      <c r="D61" s="67">
        <v>10.1</v>
      </c>
      <c r="E61" s="67">
        <v>10.199999999999999</v>
      </c>
      <c r="F61" s="67">
        <v>10.199999999999999</v>
      </c>
      <c r="G61" s="67">
        <v>10.199999999999999</v>
      </c>
      <c r="H61" s="67">
        <v>10.199999999999999</v>
      </c>
      <c r="I61" s="67">
        <v>10.199999999999999</v>
      </c>
      <c r="J61" s="67">
        <v>10.199999999999999</v>
      </c>
      <c r="K61" s="67">
        <v>10.199999999999999</v>
      </c>
      <c r="L61" s="67">
        <v>10.199999999999999</v>
      </c>
      <c r="M61" s="67">
        <v>10.199999999999999</v>
      </c>
      <c r="N61" s="67">
        <v>10.199999999999999</v>
      </c>
      <c r="O61" s="67">
        <v>10.199999999999999</v>
      </c>
      <c r="P61" s="67">
        <v>10.199999999999999</v>
      </c>
      <c r="Q61" s="67">
        <v>9.8000000000000007</v>
      </c>
      <c r="R61" s="67">
        <v>8.9</v>
      </c>
      <c r="S61" s="67">
        <v>8.9</v>
      </c>
      <c r="T61" s="67">
        <v>8.9</v>
      </c>
      <c r="U61" s="67">
        <v>8.9</v>
      </c>
      <c r="V61" s="67">
        <v>8.9</v>
      </c>
      <c r="W61" s="67">
        <v>8.9</v>
      </c>
      <c r="X61" s="67">
        <v>8.9</v>
      </c>
      <c r="Y61" s="67">
        <v>8.9</v>
      </c>
      <c r="Z61" s="67">
        <v>8.9</v>
      </c>
      <c r="AA61" s="67">
        <v>8.9</v>
      </c>
      <c r="AB61" s="67">
        <v>17.100000000000001</v>
      </c>
      <c r="AC61" s="67">
        <v>17</v>
      </c>
      <c r="AD61" s="67">
        <v>17</v>
      </c>
      <c r="AE61" s="67">
        <v>9</v>
      </c>
      <c r="AF61" s="67">
        <v>10.199999999999999</v>
      </c>
      <c r="AG61" s="68">
        <v>22.1</v>
      </c>
      <c r="AH61" s="47">
        <f t="shared" si="2"/>
        <v>17.100000000000001</v>
      </c>
      <c r="AI61" s="48">
        <f t="shared" si="3"/>
        <v>8.9</v>
      </c>
      <c r="AK61" s="50"/>
    </row>
    <row r="62" spans="1:88" ht="15.75" thickBot="1" x14ac:dyDescent="0.3">
      <c r="A62" s="69" t="s">
        <v>62</v>
      </c>
      <c r="B62" s="60">
        <f t="shared" ref="B62:C62" si="8">SUM(B59:B61)</f>
        <v>40.1</v>
      </c>
      <c r="C62" s="60">
        <f t="shared" si="8"/>
        <v>40.1</v>
      </c>
      <c r="D62" s="60">
        <f t="shared" ref="D62" si="9">SUM(D59:D61)</f>
        <v>40.1</v>
      </c>
      <c r="E62" s="60">
        <f t="shared" ref="E62:AG62" si="10">SUM(E59:E61)</f>
        <v>40.200000000000003</v>
      </c>
      <c r="F62" s="60">
        <f t="shared" si="10"/>
        <v>40.200000000000003</v>
      </c>
      <c r="G62" s="60">
        <f t="shared" si="10"/>
        <v>40.200000000000003</v>
      </c>
      <c r="H62" s="60">
        <f t="shared" si="10"/>
        <v>55.2</v>
      </c>
      <c r="I62" s="60">
        <f t="shared" si="10"/>
        <v>90.2</v>
      </c>
      <c r="J62" s="60">
        <f t="shared" si="10"/>
        <v>110.2</v>
      </c>
      <c r="K62" s="60">
        <f t="shared" si="10"/>
        <v>90.2</v>
      </c>
      <c r="L62" s="60">
        <f t="shared" si="10"/>
        <v>130.19999999999999</v>
      </c>
      <c r="M62" s="60">
        <f t="shared" si="10"/>
        <v>210.2</v>
      </c>
      <c r="N62" s="60">
        <f t="shared" si="10"/>
        <v>170.2</v>
      </c>
      <c r="O62" s="60">
        <f t="shared" si="10"/>
        <v>160.19999999999999</v>
      </c>
      <c r="P62" s="60">
        <f t="shared" si="10"/>
        <v>190.2</v>
      </c>
      <c r="Q62" s="60">
        <f t="shared" si="10"/>
        <v>114.8</v>
      </c>
      <c r="R62" s="60">
        <f t="shared" si="10"/>
        <v>113.9</v>
      </c>
      <c r="S62" s="60">
        <f t="shared" si="10"/>
        <v>98.9</v>
      </c>
      <c r="T62" s="60">
        <f t="shared" si="10"/>
        <v>114.9</v>
      </c>
      <c r="U62" s="60">
        <f t="shared" si="10"/>
        <v>148.9</v>
      </c>
      <c r="V62" s="60">
        <f t="shared" si="10"/>
        <v>78.900000000000006</v>
      </c>
      <c r="W62" s="60">
        <f t="shared" si="10"/>
        <v>128.9</v>
      </c>
      <c r="X62" s="60">
        <f t="shared" si="10"/>
        <v>178.9</v>
      </c>
      <c r="Y62" s="60">
        <f>SUM(Y59:Y61)</f>
        <v>188.9</v>
      </c>
      <c r="Z62" s="60">
        <f>SUM(Z59:Z61)</f>
        <v>188.9</v>
      </c>
      <c r="AA62" s="60">
        <f t="shared" si="10"/>
        <v>208.9</v>
      </c>
      <c r="AB62" s="60">
        <f t="shared" si="10"/>
        <v>222.1</v>
      </c>
      <c r="AC62" s="60">
        <f t="shared" si="10"/>
        <v>172</v>
      </c>
      <c r="AD62" s="60">
        <f t="shared" si="10"/>
        <v>197</v>
      </c>
      <c r="AE62" s="60">
        <f t="shared" si="10"/>
        <v>189</v>
      </c>
      <c r="AF62" s="60">
        <f t="shared" si="10"/>
        <v>70.2</v>
      </c>
      <c r="AG62" s="61">
        <f t="shared" si="10"/>
        <v>538.1</v>
      </c>
      <c r="AH62" s="47">
        <f t="shared" si="2"/>
        <v>222.1</v>
      </c>
      <c r="AI62" s="48">
        <f t="shared" si="3"/>
        <v>40.1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30.7</v>
      </c>
      <c r="I63" s="45">
        <v>61</v>
      </c>
      <c r="J63" s="45">
        <v>80</v>
      </c>
      <c r="K63" s="45">
        <v>92.1</v>
      </c>
      <c r="L63" s="45">
        <v>70.3</v>
      </c>
      <c r="M63" s="45">
        <v>97.2</v>
      </c>
      <c r="N63" s="45">
        <v>75.900000000000006</v>
      </c>
      <c r="O63" s="45">
        <v>71.2</v>
      </c>
      <c r="P63" s="45">
        <v>96.9</v>
      </c>
      <c r="Q63" s="45">
        <v>90.9</v>
      </c>
      <c r="R63" s="45">
        <v>83.7</v>
      </c>
      <c r="S63" s="45">
        <v>91</v>
      </c>
      <c r="T63" s="45">
        <v>97.1</v>
      </c>
      <c r="U63" s="45">
        <v>91.2</v>
      </c>
      <c r="V63" s="45">
        <v>65.3</v>
      </c>
      <c r="W63" s="45">
        <v>60.5</v>
      </c>
      <c r="X63" s="45">
        <v>91</v>
      </c>
      <c r="Y63" s="45">
        <v>123</v>
      </c>
      <c r="Z63" s="45">
        <v>102</v>
      </c>
      <c r="AA63" s="45">
        <v>102</v>
      </c>
      <c r="AB63" s="45">
        <v>80</v>
      </c>
      <c r="AC63" s="45">
        <v>80.900000000000006</v>
      </c>
      <c r="AD63" s="45">
        <v>60.5</v>
      </c>
      <c r="AE63" s="45">
        <v>0</v>
      </c>
      <c r="AF63" s="45">
        <v>0</v>
      </c>
      <c r="AG63" s="52">
        <v>144</v>
      </c>
      <c r="AH63" s="47">
        <f t="shared" si="2"/>
        <v>123</v>
      </c>
      <c r="AI63" s="48">
        <f t="shared" si="3"/>
        <v>0</v>
      </c>
      <c r="AK63" s="50"/>
    </row>
    <row r="64" spans="1:88" x14ac:dyDescent="0.25">
      <c r="A64" s="54" t="s">
        <v>64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25</v>
      </c>
      <c r="I64" s="65">
        <v>25</v>
      </c>
      <c r="J64" s="65">
        <v>35</v>
      </c>
      <c r="K64" s="65">
        <v>45</v>
      </c>
      <c r="L64" s="65">
        <v>55</v>
      </c>
      <c r="M64" s="65">
        <v>69.2</v>
      </c>
      <c r="N64" s="65">
        <v>55</v>
      </c>
      <c r="O64" s="65">
        <v>45</v>
      </c>
      <c r="P64" s="65">
        <v>35</v>
      </c>
      <c r="Q64" s="65">
        <v>34</v>
      </c>
      <c r="R64" s="65">
        <v>25</v>
      </c>
      <c r="S64" s="65">
        <v>25</v>
      </c>
      <c r="T64" s="65">
        <v>35</v>
      </c>
      <c r="U64" s="65">
        <v>35</v>
      </c>
      <c r="V64" s="65">
        <v>30</v>
      </c>
      <c r="W64" s="65">
        <v>30</v>
      </c>
      <c r="X64" s="65">
        <v>45</v>
      </c>
      <c r="Y64" s="45">
        <v>70</v>
      </c>
      <c r="Z64" s="45">
        <v>70</v>
      </c>
      <c r="AA64" s="45">
        <v>50</v>
      </c>
      <c r="AB64" s="45">
        <v>50</v>
      </c>
      <c r="AC64" s="45">
        <v>35</v>
      </c>
      <c r="AD64" s="65">
        <v>35</v>
      </c>
      <c r="AE64" s="45">
        <v>0</v>
      </c>
      <c r="AF64" s="45">
        <v>0</v>
      </c>
      <c r="AG64" s="55">
        <v>70</v>
      </c>
      <c r="AH64" s="47">
        <f t="shared" si="2"/>
        <v>70</v>
      </c>
      <c r="AI64" s="48">
        <f t="shared" si="3"/>
        <v>0</v>
      </c>
      <c r="AK64" s="50"/>
    </row>
    <row r="65" spans="1:81" x14ac:dyDescent="0.25">
      <c r="A65" s="54" t="s">
        <v>65</v>
      </c>
      <c r="B65" s="65">
        <v>0</v>
      </c>
      <c r="C65" s="65">
        <v>0</v>
      </c>
      <c r="D65" s="65">
        <v>0</v>
      </c>
      <c r="E65" s="65">
        <v>0</v>
      </c>
      <c r="F65" s="65">
        <v>0</v>
      </c>
      <c r="G65" s="65">
        <v>16.600000000000001</v>
      </c>
      <c r="H65" s="65">
        <v>37.299999999999997</v>
      </c>
      <c r="I65" s="65">
        <v>46.1</v>
      </c>
      <c r="J65" s="65">
        <v>46.1</v>
      </c>
      <c r="K65" s="65">
        <v>52.5</v>
      </c>
      <c r="L65" s="65">
        <v>68.599999999999994</v>
      </c>
      <c r="M65" s="65">
        <v>66.7</v>
      </c>
      <c r="N65" s="65">
        <v>62.2</v>
      </c>
      <c r="O65" s="65">
        <v>61.9</v>
      </c>
      <c r="P65" s="65">
        <v>66.3</v>
      </c>
      <c r="Q65" s="65">
        <v>52.1</v>
      </c>
      <c r="R65" s="65">
        <v>36.1</v>
      </c>
      <c r="S65" s="65">
        <v>46</v>
      </c>
      <c r="T65" s="65">
        <v>32.5</v>
      </c>
      <c r="U65" s="65">
        <v>15.8</v>
      </c>
      <c r="V65" s="65">
        <v>16.3</v>
      </c>
      <c r="W65" s="65">
        <v>31.2</v>
      </c>
      <c r="X65" s="65">
        <v>52.5</v>
      </c>
      <c r="Y65" s="45">
        <v>65</v>
      </c>
      <c r="Z65" s="45">
        <v>51</v>
      </c>
      <c r="AA65" s="45">
        <v>51</v>
      </c>
      <c r="AB65" s="45">
        <v>51</v>
      </c>
      <c r="AC65" s="45">
        <v>49.5</v>
      </c>
      <c r="AD65" s="65">
        <v>49.9</v>
      </c>
      <c r="AE65" s="45">
        <v>16.2</v>
      </c>
      <c r="AF65" s="45">
        <v>0</v>
      </c>
      <c r="AG65" s="55">
        <v>69</v>
      </c>
      <c r="AH65" s="47">
        <f t="shared" si="2"/>
        <v>68.599999999999994</v>
      </c>
      <c r="AI65" s="48">
        <f t="shared" si="3"/>
        <v>0</v>
      </c>
      <c r="AK65" s="50"/>
    </row>
    <row r="66" spans="1:81" x14ac:dyDescent="0.25">
      <c r="A66" s="54" t="s">
        <v>66</v>
      </c>
      <c r="B66" s="65">
        <v>39</v>
      </c>
      <c r="C66" s="65">
        <v>39</v>
      </c>
      <c r="D66" s="65">
        <v>39</v>
      </c>
      <c r="E66" s="65">
        <v>41.3</v>
      </c>
      <c r="F66" s="65">
        <v>41.3</v>
      </c>
      <c r="G66" s="65">
        <v>41.3</v>
      </c>
      <c r="H66" s="65">
        <v>41.3</v>
      </c>
      <c r="I66" s="65">
        <v>41.3</v>
      </c>
      <c r="J66" s="65">
        <v>41.1</v>
      </c>
      <c r="K66" s="57">
        <v>41.3</v>
      </c>
      <c r="L66" s="57">
        <v>41.3</v>
      </c>
      <c r="M66" s="65">
        <v>42.6</v>
      </c>
      <c r="N66" s="65">
        <v>44.3</v>
      </c>
      <c r="O66" s="65">
        <v>41.8</v>
      </c>
      <c r="P66" s="65">
        <v>41.8</v>
      </c>
      <c r="Q66" s="65">
        <v>40</v>
      </c>
      <c r="R66" s="65">
        <v>40</v>
      </c>
      <c r="S66" s="65">
        <v>40</v>
      </c>
      <c r="T66" s="65">
        <v>40</v>
      </c>
      <c r="U66" s="65">
        <v>40</v>
      </c>
      <c r="V66" s="65">
        <v>40</v>
      </c>
      <c r="W66" s="65">
        <v>40</v>
      </c>
      <c r="X66" s="65">
        <v>40</v>
      </c>
      <c r="Y66" s="45">
        <v>40</v>
      </c>
      <c r="Z66" s="45">
        <v>40</v>
      </c>
      <c r="AA66" s="45">
        <v>40</v>
      </c>
      <c r="AB66" s="45">
        <v>40</v>
      </c>
      <c r="AC66" s="45">
        <v>37</v>
      </c>
      <c r="AD66" s="65">
        <v>40.299999999999997</v>
      </c>
      <c r="AE66" s="45">
        <v>45.1</v>
      </c>
      <c r="AF66" s="45">
        <v>45.1</v>
      </c>
      <c r="AG66" s="55">
        <v>60</v>
      </c>
      <c r="AH66" s="47">
        <f t="shared" si="2"/>
        <v>45.1</v>
      </c>
      <c r="AI66" s="48">
        <f t="shared" si="3"/>
        <v>37</v>
      </c>
      <c r="AK66" s="50"/>
    </row>
    <row r="67" spans="1:81" x14ac:dyDescent="0.25">
      <c r="A67" s="54" t="s">
        <v>67</v>
      </c>
      <c r="B67" s="65">
        <v>0</v>
      </c>
      <c r="C67" s="65">
        <v>0</v>
      </c>
      <c r="D67" s="65">
        <v>0</v>
      </c>
      <c r="E67" s="65">
        <v>0</v>
      </c>
      <c r="F67" s="65">
        <v>0</v>
      </c>
      <c r="G67" s="65">
        <v>10</v>
      </c>
      <c r="H67" s="65">
        <v>10</v>
      </c>
      <c r="I67" s="65">
        <v>10</v>
      </c>
      <c r="J67" s="65">
        <v>15</v>
      </c>
      <c r="K67" s="57">
        <v>23</v>
      </c>
      <c r="L67" s="57">
        <v>28</v>
      </c>
      <c r="M67" s="65">
        <v>28</v>
      </c>
      <c r="N67" s="65">
        <v>28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10</v>
      </c>
      <c r="V67" s="65">
        <v>10</v>
      </c>
      <c r="W67" s="65">
        <v>10</v>
      </c>
      <c r="X67" s="65">
        <v>23</v>
      </c>
      <c r="Y67" s="45">
        <v>30</v>
      </c>
      <c r="Z67" s="45">
        <v>30</v>
      </c>
      <c r="AA67" s="45">
        <v>15</v>
      </c>
      <c r="AB67" s="45">
        <v>15</v>
      </c>
      <c r="AC67" s="45">
        <v>10</v>
      </c>
      <c r="AD67" s="65">
        <v>0</v>
      </c>
      <c r="AE67" s="45">
        <v>0</v>
      </c>
      <c r="AF67" s="45">
        <v>0</v>
      </c>
      <c r="AG67" s="55">
        <v>30</v>
      </c>
      <c r="AH67" s="47">
        <f t="shared" si="2"/>
        <v>30</v>
      </c>
      <c r="AI67" s="48">
        <f t="shared" si="3"/>
        <v>0</v>
      </c>
      <c r="AK67" s="50"/>
      <c r="AZ67" s="251">
        <v>1</v>
      </c>
      <c r="BA67" s="251">
        <v>2</v>
      </c>
      <c r="BB67" s="251">
        <v>3</v>
      </c>
      <c r="BC67" s="251">
        <v>4</v>
      </c>
      <c r="BD67" s="251">
        <v>5</v>
      </c>
      <c r="BE67" s="251">
        <v>6</v>
      </c>
      <c r="BF67" s="251">
        <v>7</v>
      </c>
      <c r="BG67" s="251">
        <v>8</v>
      </c>
      <c r="BH67" s="251">
        <v>9</v>
      </c>
      <c r="BI67" s="251">
        <v>10</v>
      </c>
      <c r="BJ67" s="251">
        <v>11</v>
      </c>
      <c r="BK67" s="251">
        <v>12</v>
      </c>
      <c r="BL67" s="251">
        <v>13</v>
      </c>
      <c r="BM67" s="251">
        <v>14</v>
      </c>
      <c r="BN67" s="251">
        <v>15</v>
      </c>
      <c r="BO67" s="251">
        <v>16</v>
      </c>
      <c r="BP67" s="251">
        <v>17</v>
      </c>
      <c r="BQ67" s="251">
        <v>18</v>
      </c>
      <c r="BR67" s="251">
        <v>19</v>
      </c>
      <c r="BS67" s="251">
        <v>20</v>
      </c>
      <c r="BT67" s="251">
        <v>21</v>
      </c>
      <c r="BU67" s="251">
        <v>22</v>
      </c>
      <c r="BV67" s="251">
        <v>23</v>
      </c>
      <c r="BW67" s="251">
        <v>24</v>
      </c>
      <c r="BX67" s="251"/>
      <c r="BY67" s="251"/>
      <c r="BZ67" s="251"/>
      <c r="CA67" s="251"/>
      <c r="CB67" s="251"/>
      <c r="CC67" s="251"/>
    </row>
    <row r="68" spans="1:81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65">
        <v>0.8</v>
      </c>
      <c r="M68" s="65">
        <v>2.1</v>
      </c>
      <c r="N68" s="65">
        <v>8.1999999999999993</v>
      </c>
      <c r="O68" s="65">
        <v>11.9</v>
      </c>
      <c r="P68" s="65">
        <v>8.8000000000000007</v>
      </c>
      <c r="Q68" s="65">
        <v>8.9</v>
      </c>
      <c r="R68" s="65">
        <v>2.6</v>
      </c>
      <c r="S68" s="65">
        <v>4.7</v>
      </c>
      <c r="T68" s="65">
        <v>3.2</v>
      </c>
      <c r="U68" s="65">
        <v>2.1</v>
      </c>
      <c r="V68" s="65">
        <v>0.5</v>
      </c>
      <c r="W68" s="65">
        <v>0</v>
      </c>
      <c r="X68" s="65">
        <v>0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55">
        <v>25</v>
      </c>
      <c r="AH68" s="47">
        <f t="shared" si="2"/>
        <v>11.9</v>
      </c>
      <c r="AI68" s="48">
        <f t="shared" si="3"/>
        <v>0</v>
      </c>
      <c r="AK68" s="50"/>
      <c r="AY68" s="1" t="s">
        <v>381</v>
      </c>
      <c r="AZ68" s="252">
        <f>ROUND(C81,0)</f>
        <v>65</v>
      </c>
      <c r="BA68" s="251">
        <f t="shared" ref="BA68:BD72" si="11">D81</f>
        <v>65.599999999999994</v>
      </c>
      <c r="BB68" s="251">
        <f t="shared" si="11"/>
        <v>68.900000000000006</v>
      </c>
      <c r="BC68" s="251">
        <f t="shared" si="11"/>
        <v>66.900000000000006</v>
      </c>
      <c r="BD68" s="251">
        <f t="shared" si="11"/>
        <v>62.3</v>
      </c>
      <c r="BE68" s="252">
        <f>I81</f>
        <v>62.1</v>
      </c>
      <c r="BF68" s="252">
        <f>K81</f>
        <v>54.3</v>
      </c>
      <c r="BG68" s="252">
        <f t="shared" ref="BG68:BP68" si="12">M81</f>
        <v>68.3</v>
      </c>
      <c r="BH68" s="252">
        <f t="shared" si="12"/>
        <v>57.9</v>
      </c>
      <c r="BI68" s="252">
        <f t="shared" si="12"/>
        <v>54.7</v>
      </c>
      <c r="BJ68" s="252">
        <f t="shared" si="12"/>
        <v>50.7</v>
      </c>
      <c r="BK68" s="252">
        <f t="shared" si="12"/>
        <v>55.8</v>
      </c>
      <c r="BL68" s="252">
        <f t="shared" si="12"/>
        <v>59</v>
      </c>
      <c r="BM68" s="252">
        <f t="shared" si="12"/>
        <v>76</v>
      </c>
      <c r="BN68" s="252">
        <f t="shared" si="12"/>
        <v>72</v>
      </c>
      <c r="BO68" s="252">
        <f t="shared" si="12"/>
        <v>59.8</v>
      </c>
      <c r="BP68" s="252">
        <f t="shared" si="12"/>
        <v>58.4</v>
      </c>
      <c r="BQ68" s="252">
        <f>X81</f>
        <v>61</v>
      </c>
      <c r="BR68" s="252">
        <f>Z81</f>
        <v>55</v>
      </c>
      <c r="BS68" s="251">
        <f>AB81</f>
        <v>60.9</v>
      </c>
      <c r="BT68" s="251">
        <f>AD81</f>
        <v>68.599999999999994</v>
      </c>
      <c r="BU68" s="251">
        <f>AE81</f>
        <v>64.7</v>
      </c>
      <c r="BV68" s="251">
        <f>AF81</f>
        <v>70</v>
      </c>
      <c r="BW68" s="251">
        <f>B81</f>
        <v>62.9</v>
      </c>
      <c r="BX68" s="252"/>
      <c r="BY68" s="251"/>
      <c r="BZ68" s="251"/>
      <c r="CA68" s="251"/>
      <c r="CB68" s="251"/>
      <c r="CC68" s="251"/>
    </row>
    <row r="69" spans="1:81" x14ac:dyDescent="0.25">
      <c r="A69" s="54" t="s">
        <v>69</v>
      </c>
      <c r="B69" s="65">
        <v>15</v>
      </c>
      <c r="C69" s="65">
        <v>15</v>
      </c>
      <c r="D69" s="65">
        <v>15</v>
      </c>
      <c r="E69" s="65">
        <v>15</v>
      </c>
      <c r="F69" s="65">
        <v>15</v>
      </c>
      <c r="G69" s="65">
        <v>15</v>
      </c>
      <c r="H69" s="65">
        <v>15</v>
      </c>
      <c r="I69" s="65">
        <v>15</v>
      </c>
      <c r="J69" s="65">
        <v>15</v>
      </c>
      <c r="K69" s="65">
        <v>15</v>
      </c>
      <c r="L69" s="65">
        <v>15</v>
      </c>
      <c r="M69" s="65">
        <v>15</v>
      </c>
      <c r="N69" s="65">
        <v>15</v>
      </c>
      <c r="O69" s="65">
        <v>15</v>
      </c>
      <c r="P69" s="65">
        <v>15</v>
      </c>
      <c r="Q69" s="65">
        <v>15</v>
      </c>
      <c r="R69" s="65">
        <v>15</v>
      </c>
      <c r="S69" s="65">
        <v>15</v>
      </c>
      <c r="T69" s="65">
        <v>15</v>
      </c>
      <c r="U69" s="65">
        <v>15</v>
      </c>
      <c r="V69" s="65">
        <v>15</v>
      </c>
      <c r="W69" s="65">
        <v>15</v>
      </c>
      <c r="X69" s="65">
        <v>15</v>
      </c>
      <c r="Y69" s="65">
        <v>15</v>
      </c>
      <c r="Z69" s="65">
        <v>15</v>
      </c>
      <c r="AA69" s="65">
        <v>15</v>
      </c>
      <c r="AB69" s="65">
        <v>15</v>
      </c>
      <c r="AC69" s="65">
        <v>15</v>
      </c>
      <c r="AD69" s="65">
        <v>15</v>
      </c>
      <c r="AE69" s="65">
        <v>15</v>
      </c>
      <c r="AF69" s="65">
        <v>15</v>
      </c>
      <c r="AG69" s="55">
        <v>24</v>
      </c>
      <c r="AH69" s="47">
        <f t="shared" si="2"/>
        <v>15</v>
      </c>
      <c r="AI69" s="48">
        <f t="shared" si="3"/>
        <v>15</v>
      </c>
      <c r="AK69" s="50"/>
      <c r="AS69" s="249"/>
      <c r="AT69" s="252"/>
      <c r="AU69" s="252"/>
      <c r="AV69" s="252"/>
      <c r="AW69" s="252"/>
      <c r="AX69" s="252"/>
      <c r="AY69" s="1" t="s">
        <v>631</v>
      </c>
      <c r="AZ69" s="252">
        <f>ROUND(C82,0)</f>
        <v>0</v>
      </c>
      <c r="BA69" s="251">
        <f t="shared" si="11"/>
        <v>0</v>
      </c>
      <c r="BB69" s="251">
        <f t="shared" si="11"/>
        <v>0</v>
      </c>
      <c r="BC69" s="251">
        <f t="shared" si="11"/>
        <v>0</v>
      </c>
      <c r="BD69" s="251">
        <f t="shared" si="11"/>
        <v>0</v>
      </c>
      <c r="BE69" s="252">
        <f t="shared" ref="BE69:BE72" si="13">I82</f>
        <v>0</v>
      </c>
      <c r="BF69" s="252">
        <f t="shared" ref="BF69:BF72" si="14">K82</f>
        <v>0</v>
      </c>
      <c r="BG69" s="252">
        <f t="shared" ref="BG69:BG72" si="15">M82</f>
        <v>0</v>
      </c>
      <c r="BH69" s="252">
        <f t="shared" ref="BH69:BP72" si="16">N82</f>
        <v>0</v>
      </c>
      <c r="BI69" s="252">
        <f t="shared" si="16"/>
        <v>0</v>
      </c>
      <c r="BJ69" s="252">
        <f t="shared" si="16"/>
        <v>0</v>
      </c>
      <c r="BK69" s="252">
        <f t="shared" si="16"/>
        <v>0</v>
      </c>
      <c r="BL69" s="252">
        <f t="shared" si="16"/>
        <v>0</v>
      </c>
      <c r="BM69" s="252">
        <f t="shared" si="16"/>
        <v>0</v>
      </c>
      <c r="BN69" s="252">
        <f t="shared" si="16"/>
        <v>0</v>
      </c>
      <c r="BO69" s="252">
        <f t="shared" si="16"/>
        <v>0</v>
      </c>
      <c r="BP69" s="252">
        <f t="shared" si="16"/>
        <v>0</v>
      </c>
      <c r="BQ69" s="252">
        <f t="shared" ref="BQ69:BQ72" si="17">X82</f>
        <v>0</v>
      </c>
      <c r="BR69" s="252">
        <f t="shared" ref="BR69:BR72" si="18">Z82</f>
        <v>0</v>
      </c>
      <c r="BS69" s="251">
        <f t="shared" ref="BS69:BS72" si="19">AB82</f>
        <v>0</v>
      </c>
      <c r="BT69" s="251">
        <f t="shared" ref="BT69:BT72" si="20">AD82</f>
        <v>0</v>
      </c>
      <c r="BU69" s="251">
        <f t="shared" ref="BU69:BV72" si="21">AE82</f>
        <v>0</v>
      </c>
      <c r="BV69" s="251">
        <f t="shared" si="21"/>
        <v>0</v>
      </c>
      <c r="BW69" s="251">
        <f t="shared" ref="BW69:BW72" si="22">B82</f>
        <v>0</v>
      </c>
      <c r="BX69" s="252"/>
      <c r="BY69" s="251"/>
      <c r="BZ69" s="251"/>
      <c r="CA69" s="251"/>
      <c r="CB69" s="251"/>
      <c r="CC69" s="251"/>
    </row>
    <row r="70" spans="1:81" x14ac:dyDescent="0.25">
      <c r="A70" s="54" t="s">
        <v>70</v>
      </c>
      <c r="B70" s="65">
        <v>4</v>
      </c>
      <c r="C70" s="65">
        <v>4</v>
      </c>
      <c r="D70" s="65">
        <v>4</v>
      </c>
      <c r="E70" s="65">
        <v>4</v>
      </c>
      <c r="F70" s="65">
        <v>4</v>
      </c>
      <c r="G70" s="65">
        <v>4</v>
      </c>
      <c r="H70" s="65">
        <v>4</v>
      </c>
      <c r="I70" s="65">
        <v>4</v>
      </c>
      <c r="J70" s="65">
        <v>4</v>
      </c>
      <c r="K70" s="65">
        <v>4</v>
      </c>
      <c r="L70" s="65">
        <v>4</v>
      </c>
      <c r="M70" s="65">
        <v>4</v>
      </c>
      <c r="N70" s="65">
        <v>4</v>
      </c>
      <c r="O70" s="65">
        <v>4</v>
      </c>
      <c r="P70" s="65">
        <v>4</v>
      </c>
      <c r="Q70" s="65">
        <v>4</v>
      </c>
      <c r="R70" s="65">
        <v>4</v>
      </c>
      <c r="S70" s="65">
        <v>4</v>
      </c>
      <c r="T70" s="65">
        <v>4</v>
      </c>
      <c r="U70" s="65">
        <v>4</v>
      </c>
      <c r="V70" s="65">
        <v>4</v>
      </c>
      <c r="W70" s="65">
        <v>4</v>
      </c>
      <c r="X70" s="65">
        <v>4</v>
      </c>
      <c r="Y70" s="65">
        <v>4</v>
      </c>
      <c r="Z70" s="65">
        <v>4</v>
      </c>
      <c r="AA70" s="65">
        <v>4</v>
      </c>
      <c r="AB70" s="65">
        <v>4</v>
      </c>
      <c r="AC70" s="65">
        <v>4</v>
      </c>
      <c r="AD70" s="65">
        <v>4</v>
      </c>
      <c r="AE70" s="65">
        <v>4</v>
      </c>
      <c r="AF70" s="65">
        <v>4</v>
      </c>
      <c r="AG70" s="55">
        <v>15</v>
      </c>
      <c r="AH70" s="47">
        <f t="shared" si="2"/>
        <v>4</v>
      </c>
      <c r="AI70" s="48">
        <f t="shared" si="3"/>
        <v>4</v>
      </c>
      <c r="AK70" s="50"/>
      <c r="AL70" s="70"/>
      <c r="AO70" s="70"/>
      <c r="AS70" s="249"/>
      <c r="AT70" s="251"/>
      <c r="AU70" s="251"/>
      <c r="AV70" s="251"/>
      <c r="AW70" s="251"/>
      <c r="AX70" s="251"/>
      <c r="AY70" s="1" t="s">
        <v>632</v>
      </c>
      <c r="AZ70" s="252">
        <f>ROUND(C83,0)</f>
        <v>360</v>
      </c>
      <c r="BA70" s="251">
        <f t="shared" si="11"/>
        <v>388.8</v>
      </c>
      <c r="BB70" s="251">
        <f t="shared" si="11"/>
        <v>400</v>
      </c>
      <c r="BC70" s="251">
        <f t="shared" si="11"/>
        <v>381</v>
      </c>
      <c r="BD70" s="251">
        <f t="shared" si="11"/>
        <v>384</v>
      </c>
      <c r="BE70" s="252">
        <f t="shared" si="13"/>
        <v>384</v>
      </c>
      <c r="BF70" s="252">
        <f t="shared" si="14"/>
        <v>372</v>
      </c>
      <c r="BG70" s="252">
        <f t="shared" si="15"/>
        <v>326.7</v>
      </c>
      <c r="BH70" s="252">
        <f t="shared" si="16"/>
        <v>331.1</v>
      </c>
      <c r="BI70" s="252">
        <f t="shared" si="16"/>
        <v>359.8</v>
      </c>
      <c r="BJ70" s="252">
        <f t="shared" si="16"/>
        <v>375</v>
      </c>
      <c r="BK70" s="252">
        <f t="shared" si="16"/>
        <v>428</v>
      </c>
      <c r="BL70" s="252">
        <f t="shared" si="16"/>
        <v>376.3</v>
      </c>
      <c r="BM70" s="252">
        <f t="shared" si="16"/>
        <v>442</v>
      </c>
      <c r="BN70" s="252">
        <f t="shared" si="16"/>
        <v>415</v>
      </c>
      <c r="BO70" s="252">
        <f t="shared" si="16"/>
        <v>385</v>
      </c>
      <c r="BP70" s="252">
        <f t="shared" si="16"/>
        <v>391</v>
      </c>
      <c r="BQ70" s="252">
        <f t="shared" si="17"/>
        <v>383</v>
      </c>
      <c r="BR70" s="252">
        <f t="shared" si="18"/>
        <v>376</v>
      </c>
      <c r="BS70" s="251">
        <f t="shared" si="19"/>
        <v>338.2</v>
      </c>
      <c r="BT70" s="251">
        <f t="shared" si="20"/>
        <v>360</v>
      </c>
      <c r="BU70" s="251">
        <f t="shared" si="21"/>
        <v>270</v>
      </c>
      <c r="BV70" s="251">
        <f t="shared" si="21"/>
        <v>275</v>
      </c>
      <c r="BW70" s="251">
        <f t="shared" si="22"/>
        <v>382.9</v>
      </c>
      <c r="BX70" s="252"/>
      <c r="BY70" s="251"/>
      <c r="BZ70" s="251"/>
      <c r="CA70" s="251"/>
      <c r="CB70" s="251"/>
      <c r="CC70" s="251"/>
    </row>
    <row r="71" spans="1:81" s="70" customFormat="1" x14ac:dyDescent="0.25">
      <c r="A71" s="54" t="s">
        <v>71</v>
      </c>
      <c r="B71" s="65">
        <v>11.2</v>
      </c>
      <c r="C71" s="65">
        <v>11.2</v>
      </c>
      <c r="D71" s="65">
        <v>11.2</v>
      </c>
      <c r="E71" s="65">
        <v>11.2</v>
      </c>
      <c r="F71" s="65">
        <v>11.2</v>
      </c>
      <c r="G71" s="65">
        <v>11.2</v>
      </c>
      <c r="H71" s="65">
        <v>11.2</v>
      </c>
      <c r="I71" s="65">
        <v>11.2</v>
      </c>
      <c r="J71" s="65">
        <v>11.2</v>
      </c>
      <c r="K71" s="65">
        <v>11.2</v>
      </c>
      <c r="L71" s="65">
        <v>11.2</v>
      </c>
      <c r="M71" s="65">
        <v>9.5</v>
      </c>
      <c r="N71" s="65">
        <v>9.5</v>
      </c>
      <c r="O71" s="65">
        <v>9.5</v>
      </c>
      <c r="P71" s="65">
        <v>9.5</v>
      </c>
      <c r="Q71" s="65">
        <v>9.5</v>
      </c>
      <c r="R71" s="65">
        <v>9.5</v>
      </c>
      <c r="S71" s="65">
        <v>9.5</v>
      </c>
      <c r="T71" s="65">
        <v>9.5</v>
      </c>
      <c r="U71" s="65">
        <v>9.5</v>
      </c>
      <c r="V71" s="65">
        <v>9.5</v>
      </c>
      <c r="W71" s="65">
        <v>9.5</v>
      </c>
      <c r="X71" s="65">
        <v>9.5</v>
      </c>
      <c r="Y71" s="65">
        <v>11.2</v>
      </c>
      <c r="Z71" s="65">
        <v>11.2</v>
      </c>
      <c r="AA71" s="65">
        <v>11.2</v>
      </c>
      <c r="AB71" s="65">
        <v>11.2</v>
      </c>
      <c r="AC71" s="65">
        <v>11.2</v>
      </c>
      <c r="AD71" s="65">
        <v>11.2</v>
      </c>
      <c r="AE71" s="65">
        <v>11</v>
      </c>
      <c r="AF71" s="65">
        <v>11.8</v>
      </c>
      <c r="AG71" s="55">
        <v>14.1</v>
      </c>
      <c r="AH71" s="47">
        <f t="shared" si="2"/>
        <v>11.8</v>
      </c>
      <c r="AI71" s="48">
        <f t="shared" si="3"/>
        <v>9.5</v>
      </c>
      <c r="AJ71" s="1"/>
      <c r="AK71" s="50"/>
      <c r="AL71" s="1"/>
      <c r="AM71" s="1"/>
      <c r="AN71" s="1"/>
      <c r="AO71" s="1"/>
      <c r="AS71" s="250"/>
      <c r="AT71" s="251"/>
      <c r="AU71" s="251"/>
      <c r="AV71" s="251"/>
      <c r="AW71" s="251"/>
      <c r="AX71" s="251"/>
      <c r="AY71" s="70" t="s">
        <v>633</v>
      </c>
      <c r="AZ71" s="252">
        <f>ROUND(C84,0)</f>
        <v>7</v>
      </c>
      <c r="BA71" s="251">
        <f t="shared" si="11"/>
        <v>7</v>
      </c>
      <c r="BB71" s="251">
        <f t="shared" si="11"/>
        <v>7</v>
      </c>
      <c r="BC71" s="251">
        <f t="shared" si="11"/>
        <v>7</v>
      </c>
      <c r="BD71" s="251">
        <f t="shared" si="11"/>
        <v>43.7</v>
      </c>
      <c r="BE71" s="252">
        <f t="shared" si="13"/>
        <v>40</v>
      </c>
      <c r="BF71" s="252">
        <f t="shared" si="14"/>
        <v>27.8</v>
      </c>
      <c r="BG71" s="252">
        <f t="shared" si="15"/>
        <v>25</v>
      </c>
      <c r="BH71" s="252">
        <f t="shared" si="16"/>
        <v>28</v>
      </c>
      <c r="BI71" s="252">
        <f t="shared" si="16"/>
        <v>38</v>
      </c>
      <c r="BJ71" s="252">
        <f t="shared" si="16"/>
        <v>46</v>
      </c>
      <c r="BK71" s="252">
        <f t="shared" si="16"/>
        <v>52</v>
      </c>
      <c r="BL71" s="252">
        <f t="shared" si="16"/>
        <v>44</v>
      </c>
      <c r="BM71" s="252">
        <f t="shared" si="16"/>
        <v>46</v>
      </c>
      <c r="BN71" s="252">
        <f t="shared" si="16"/>
        <v>45</v>
      </c>
      <c r="BO71" s="252">
        <f t="shared" si="16"/>
        <v>43.1</v>
      </c>
      <c r="BP71" s="252">
        <f t="shared" si="16"/>
        <v>26</v>
      </c>
      <c r="BQ71" s="252">
        <f t="shared" si="17"/>
        <v>20</v>
      </c>
      <c r="BR71" s="252">
        <f t="shared" si="18"/>
        <v>22.1</v>
      </c>
      <c r="BS71" s="251">
        <f t="shared" si="19"/>
        <v>25</v>
      </c>
      <c r="BT71" s="251">
        <f t="shared" si="20"/>
        <v>34.4</v>
      </c>
      <c r="BU71" s="251">
        <f t="shared" si="21"/>
        <v>45</v>
      </c>
      <c r="BV71" s="251">
        <f t="shared" si="21"/>
        <v>40</v>
      </c>
      <c r="BW71" s="251">
        <f t="shared" si="22"/>
        <v>7</v>
      </c>
      <c r="BX71" s="252"/>
      <c r="BY71" s="251"/>
      <c r="BZ71" s="251"/>
      <c r="CA71" s="251"/>
      <c r="CB71" s="251"/>
      <c r="CC71" s="251"/>
    </row>
    <row r="72" spans="1:81" x14ac:dyDescent="0.25">
      <c r="A72" s="71" t="s">
        <v>72</v>
      </c>
      <c r="B72" s="65">
        <v>3.1</v>
      </c>
      <c r="C72" s="65">
        <v>3.1</v>
      </c>
      <c r="D72" s="65">
        <v>3.1</v>
      </c>
      <c r="E72" s="65">
        <v>3.1</v>
      </c>
      <c r="F72" s="65">
        <v>3.1</v>
      </c>
      <c r="G72" s="65">
        <v>3.1</v>
      </c>
      <c r="H72" s="65">
        <v>3.1</v>
      </c>
      <c r="I72" s="65">
        <v>3.1</v>
      </c>
      <c r="J72" s="65">
        <v>3.1</v>
      </c>
      <c r="K72" s="65">
        <v>3.1</v>
      </c>
      <c r="L72" s="65">
        <v>3.1</v>
      </c>
      <c r="M72" s="65">
        <v>3.3</v>
      </c>
      <c r="N72" s="65">
        <v>3.3</v>
      </c>
      <c r="O72" s="65">
        <v>3.5</v>
      </c>
      <c r="P72" s="65">
        <v>3.5</v>
      </c>
      <c r="Q72" s="65">
        <v>3.5</v>
      </c>
      <c r="R72" s="65">
        <v>3.5</v>
      </c>
      <c r="S72" s="65">
        <v>3.5</v>
      </c>
      <c r="T72" s="65">
        <v>3.5</v>
      </c>
      <c r="U72" s="65">
        <v>3.5</v>
      </c>
      <c r="V72" s="65">
        <v>3.5</v>
      </c>
      <c r="W72" s="65">
        <v>3.5</v>
      </c>
      <c r="X72" s="65">
        <v>3.5</v>
      </c>
      <c r="Y72" s="65">
        <v>3.1</v>
      </c>
      <c r="Z72" s="65">
        <v>3.1</v>
      </c>
      <c r="AA72" s="65">
        <v>3.1</v>
      </c>
      <c r="AB72" s="65">
        <v>3.1</v>
      </c>
      <c r="AC72" s="65">
        <v>3.1</v>
      </c>
      <c r="AD72" s="65">
        <v>3.1</v>
      </c>
      <c r="AE72" s="65">
        <v>4.8</v>
      </c>
      <c r="AF72" s="65">
        <v>4.8</v>
      </c>
      <c r="AG72" s="55">
        <v>14</v>
      </c>
      <c r="AH72" s="47">
        <f t="shared" si="2"/>
        <v>4.8</v>
      </c>
      <c r="AI72" s="48">
        <f t="shared" si="3"/>
        <v>3.1</v>
      </c>
      <c r="AK72" s="50"/>
      <c r="AS72" s="249"/>
      <c r="AT72" s="251"/>
      <c r="AU72" s="251"/>
      <c r="AV72" s="251"/>
      <c r="AW72" s="251"/>
      <c r="AX72" s="251"/>
      <c r="AY72" s="1" t="s">
        <v>634</v>
      </c>
      <c r="AZ72" s="252">
        <f>ROUND(C85,0)</f>
        <v>0</v>
      </c>
      <c r="BA72" s="251">
        <f t="shared" si="11"/>
        <v>0</v>
      </c>
      <c r="BB72" s="251">
        <f t="shared" si="11"/>
        <v>0</v>
      </c>
      <c r="BC72" s="251">
        <f t="shared" si="11"/>
        <v>0</v>
      </c>
      <c r="BD72" s="251">
        <f t="shared" si="11"/>
        <v>0</v>
      </c>
      <c r="BE72" s="252">
        <f t="shared" si="13"/>
        <v>0</v>
      </c>
      <c r="BF72" s="252">
        <f t="shared" si="14"/>
        <v>0</v>
      </c>
      <c r="BG72" s="252">
        <f t="shared" si="15"/>
        <v>0</v>
      </c>
      <c r="BH72" s="252">
        <f t="shared" si="16"/>
        <v>0</v>
      </c>
      <c r="BI72" s="252">
        <f t="shared" si="16"/>
        <v>0</v>
      </c>
      <c r="BJ72" s="252">
        <f t="shared" si="16"/>
        <v>0</v>
      </c>
      <c r="BK72" s="252">
        <f t="shared" si="16"/>
        <v>110</v>
      </c>
      <c r="BL72" s="252">
        <f t="shared" si="16"/>
        <v>95</v>
      </c>
      <c r="BM72" s="252">
        <f t="shared" si="16"/>
        <v>54.5</v>
      </c>
      <c r="BN72" s="252">
        <f t="shared" si="16"/>
        <v>65</v>
      </c>
      <c r="BO72" s="252">
        <f t="shared" si="16"/>
        <v>76.099999999999994</v>
      </c>
      <c r="BP72" s="252">
        <f t="shared" si="16"/>
        <v>57</v>
      </c>
      <c r="BQ72" s="252">
        <f t="shared" si="17"/>
        <v>30</v>
      </c>
      <c r="BR72" s="252">
        <f t="shared" si="18"/>
        <v>36</v>
      </c>
      <c r="BS72" s="251">
        <f t="shared" si="19"/>
        <v>34</v>
      </c>
      <c r="BT72" s="251">
        <f t="shared" si="20"/>
        <v>80.599999999999994</v>
      </c>
      <c r="BU72" s="251">
        <f t="shared" si="21"/>
        <v>114</v>
      </c>
      <c r="BV72" s="251">
        <f t="shared" si="21"/>
        <v>104</v>
      </c>
      <c r="BW72" s="251">
        <f t="shared" si="22"/>
        <v>16.2</v>
      </c>
      <c r="BX72" s="252"/>
      <c r="BY72" s="251"/>
      <c r="BZ72" s="251"/>
      <c r="CA72" s="251"/>
      <c r="CB72" s="251"/>
      <c r="CC72" s="251"/>
    </row>
    <row r="73" spans="1:81" x14ac:dyDescent="0.25">
      <c r="A73" s="54" t="s">
        <v>73</v>
      </c>
      <c r="B73" s="65">
        <v>5</v>
      </c>
      <c r="C73" s="65">
        <v>5</v>
      </c>
      <c r="D73" s="65">
        <v>5</v>
      </c>
      <c r="E73" s="65">
        <v>5</v>
      </c>
      <c r="F73" s="65">
        <v>5</v>
      </c>
      <c r="G73" s="65">
        <v>5</v>
      </c>
      <c r="H73" s="65">
        <v>5</v>
      </c>
      <c r="I73" s="65">
        <v>5</v>
      </c>
      <c r="J73" s="65">
        <v>5</v>
      </c>
      <c r="K73" s="65">
        <v>5</v>
      </c>
      <c r="L73" s="65">
        <v>5</v>
      </c>
      <c r="M73" s="65">
        <v>5</v>
      </c>
      <c r="N73" s="65">
        <v>5</v>
      </c>
      <c r="O73" s="65">
        <v>5</v>
      </c>
      <c r="P73" s="65">
        <v>5</v>
      </c>
      <c r="Q73" s="65">
        <v>5</v>
      </c>
      <c r="R73" s="65">
        <v>5</v>
      </c>
      <c r="S73" s="65">
        <v>5</v>
      </c>
      <c r="T73" s="65">
        <v>5</v>
      </c>
      <c r="U73" s="65">
        <v>5</v>
      </c>
      <c r="V73" s="65">
        <v>5</v>
      </c>
      <c r="W73" s="65">
        <v>5</v>
      </c>
      <c r="X73" s="65">
        <v>5</v>
      </c>
      <c r="Y73" s="65">
        <v>5</v>
      </c>
      <c r="Z73" s="65">
        <v>5</v>
      </c>
      <c r="AA73" s="65">
        <v>5</v>
      </c>
      <c r="AB73" s="65">
        <v>5</v>
      </c>
      <c r="AC73" s="65">
        <v>5</v>
      </c>
      <c r="AD73" s="65">
        <v>5</v>
      </c>
      <c r="AE73" s="65">
        <v>5</v>
      </c>
      <c r="AF73" s="65">
        <v>5</v>
      </c>
      <c r="AG73" s="55">
        <v>10.050000000000001</v>
      </c>
      <c r="AH73" s="47">
        <f t="shared" si="2"/>
        <v>5</v>
      </c>
      <c r="AI73" s="48">
        <f t="shared" si="3"/>
        <v>5</v>
      </c>
      <c r="AK73" s="50"/>
      <c r="AS73" s="249"/>
      <c r="AT73" s="251"/>
      <c r="AU73" s="251"/>
      <c r="AV73" s="251"/>
      <c r="AW73" s="251"/>
      <c r="AX73" s="251"/>
      <c r="AY73" s="1" t="s">
        <v>635</v>
      </c>
      <c r="AZ73" s="252">
        <f>ROUND(C91,0)</f>
        <v>0</v>
      </c>
      <c r="BA73" s="252">
        <f>D91</f>
        <v>0</v>
      </c>
      <c r="BB73" s="252">
        <f>E91</f>
        <v>0</v>
      </c>
      <c r="BC73" s="252">
        <f>F91</f>
        <v>0</v>
      </c>
      <c r="BD73" s="252">
        <f>G91</f>
        <v>0</v>
      </c>
      <c r="BE73" s="252">
        <f>I91</f>
        <v>0</v>
      </c>
      <c r="BF73" s="252">
        <f>K91</f>
        <v>68.900000000000006</v>
      </c>
      <c r="BG73" s="252">
        <f t="shared" ref="BG73:BP73" si="23">M91</f>
        <v>73.599999999999994</v>
      </c>
      <c r="BH73" s="252">
        <f t="shared" si="23"/>
        <v>77.599999999999994</v>
      </c>
      <c r="BI73" s="252">
        <f t="shared" si="23"/>
        <v>74.900000000000006</v>
      </c>
      <c r="BJ73" s="252">
        <f t="shared" si="23"/>
        <v>76</v>
      </c>
      <c r="BK73" s="252">
        <f t="shared" si="23"/>
        <v>71</v>
      </c>
      <c r="BL73" s="252">
        <f t="shared" si="23"/>
        <v>72.099999999999994</v>
      </c>
      <c r="BM73" s="252">
        <f t="shared" si="23"/>
        <v>74.2</v>
      </c>
      <c r="BN73" s="252">
        <f t="shared" si="23"/>
        <v>76</v>
      </c>
      <c r="BO73" s="252">
        <f t="shared" si="23"/>
        <v>76.099999999999994</v>
      </c>
      <c r="BP73" s="252">
        <f t="shared" si="23"/>
        <v>60</v>
      </c>
      <c r="BQ73" s="252">
        <f>X91</f>
        <v>57</v>
      </c>
      <c r="BR73" s="252">
        <f>Z91</f>
        <v>64.3</v>
      </c>
      <c r="BS73" s="252">
        <f>AB91</f>
        <v>50</v>
      </c>
      <c r="BT73" s="252">
        <f>AD91</f>
        <v>48</v>
      </c>
      <c r="BU73" s="252">
        <f>AE91</f>
        <v>68.099999999999994</v>
      </c>
      <c r="BV73" s="252">
        <f>AF91</f>
        <v>66.7</v>
      </c>
      <c r="BW73" s="252">
        <f>B91</f>
        <v>52.6</v>
      </c>
      <c r="BX73" s="252"/>
      <c r="BY73" s="252"/>
      <c r="BZ73" s="252"/>
      <c r="CA73" s="252"/>
      <c r="CB73" s="252"/>
      <c r="CC73" s="252"/>
    </row>
    <row r="74" spans="1:81" x14ac:dyDescent="0.25">
      <c r="A74" s="54" t="s">
        <v>74</v>
      </c>
      <c r="B74" s="65">
        <v>2</v>
      </c>
      <c r="C74" s="65">
        <v>2</v>
      </c>
      <c r="D74" s="65">
        <v>2</v>
      </c>
      <c r="E74" s="65">
        <v>2</v>
      </c>
      <c r="F74" s="65">
        <v>2</v>
      </c>
      <c r="G74" s="65">
        <v>2</v>
      </c>
      <c r="H74" s="65">
        <v>2</v>
      </c>
      <c r="I74" s="65">
        <v>2</v>
      </c>
      <c r="J74" s="65">
        <v>2</v>
      </c>
      <c r="K74" s="65">
        <v>2</v>
      </c>
      <c r="L74" s="65">
        <v>2</v>
      </c>
      <c r="M74" s="65">
        <v>2</v>
      </c>
      <c r="N74" s="65">
        <v>2</v>
      </c>
      <c r="O74" s="65">
        <v>2</v>
      </c>
      <c r="P74" s="65">
        <v>2</v>
      </c>
      <c r="Q74" s="65">
        <v>2</v>
      </c>
      <c r="R74" s="65">
        <v>2</v>
      </c>
      <c r="S74" s="65">
        <v>2</v>
      </c>
      <c r="T74" s="65">
        <v>2</v>
      </c>
      <c r="U74" s="65">
        <v>2</v>
      </c>
      <c r="V74" s="65">
        <v>2</v>
      </c>
      <c r="W74" s="65">
        <v>2</v>
      </c>
      <c r="X74" s="65">
        <v>2</v>
      </c>
      <c r="Y74" s="65">
        <v>2</v>
      </c>
      <c r="Z74" s="65">
        <v>2</v>
      </c>
      <c r="AA74" s="65">
        <v>2</v>
      </c>
      <c r="AB74" s="65">
        <v>2</v>
      </c>
      <c r="AC74" s="65">
        <v>2</v>
      </c>
      <c r="AD74" s="65">
        <v>2</v>
      </c>
      <c r="AE74" s="65">
        <v>2</v>
      </c>
      <c r="AF74" s="65">
        <v>2</v>
      </c>
      <c r="AG74" s="55">
        <v>6.2</v>
      </c>
      <c r="AH74" s="47">
        <f t="shared" si="2"/>
        <v>2</v>
      </c>
      <c r="AI74" s="48">
        <f t="shared" si="3"/>
        <v>2</v>
      </c>
      <c r="AK74" s="50"/>
      <c r="AS74" s="249"/>
      <c r="AT74" s="252"/>
      <c r="AU74" s="252"/>
      <c r="AV74" s="252"/>
      <c r="AW74" s="252"/>
      <c r="AX74" s="252"/>
      <c r="AZ74" s="252"/>
      <c r="BA74" s="251"/>
      <c r="BB74" s="251"/>
      <c r="BC74" s="251"/>
      <c r="BD74" s="251"/>
      <c r="BE74" s="252"/>
      <c r="BF74" s="252"/>
      <c r="BG74" s="252"/>
      <c r="BH74" s="252"/>
      <c r="BI74" s="252"/>
      <c r="BJ74" s="252"/>
      <c r="BK74" s="252"/>
      <c r="BL74" s="252"/>
      <c r="BM74" s="252"/>
      <c r="BN74" s="252"/>
      <c r="BO74" s="252"/>
      <c r="BP74" s="252"/>
      <c r="BQ74" s="252"/>
      <c r="BR74" s="252"/>
      <c r="BS74" s="251"/>
      <c r="BT74" s="251"/>
      <c r="BU74" s="251"/>
      <c r="BV74" s="251"/>
      <c r="BW74" s="251"/>
      <c r="BX74" s="252"/>
      <c r="BY74" s="251"/>
      <c r="BZ74" s="251"/>
      <c r="CA74" s="251"/>
      <c r="CB74" s="251"/>
      <c r="CC74" s="251"/>
    </row>
    <row r="75" spans="1:81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</v>
      </c>
      <c r="Z75" s="72">
        <v>5.5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2"/>
        <v>5.5</v>
      </c>
      <c r="AI75" s="48">
        <f t="shared" si="3"/>
        <v>3.5</v>
      </c>
      <c r="AK75" s="50"/>
      <c r="AS75" s="249"/>
      <c r="AT75" s="252"/>
      <c r="AU75" s="252"/>
      <c r="AV75" s="252"/>
      <c r="AW75" s="252"/>
      <c r="AX75" s="252"/>
      <c r="AZ75" s="252">
        <f>VALUE(AZ68)</f>
        <v>65</v>
      </c>
      <c r="BA75" s="252">
        <f t="shared" ref="BA75:BW75" si="24">VALUE(BA68)</f>
        <v>65.599999999999994</v>
      </c>
      <c r="BB75" s="252">
        <f t="shared" si="24"/>
        <v>68.900000000000006</v>
      </c>
      <c r="BC75" s="252">
        <f t="shared" si="24"/>
        <v>66.900000000000006</v>
      </c>
      <c r="BD75" s="252">
        <f t="shared" si="24"/>
        <v>62.3</v>
      </c>
      <c r="BE75" s="252">
        <f t="shared" si="24"/>
        <v>62.1</v>
      </c>
      <c r="BF75" s="252">
        <f t="shared" si="24"/>
        <v>54.3</v>
      </c>
      <c r="BG75" s="252">
        <f t="shared" si="24"/>
        <v>68.3</v>
      </c>
      <c r="BH75" s="252">
        <f t="shared" si="24"/>
        <v>57.9</v>
      </c>
      <c r="BI75" s="252">
        <f t="shared" si="24"/>
        <v>54.7</v>
      </c>
      <c r="BJ75" s="252">
        <f t="shared" si="24"/>
        <v>50.7</v>
      </c>
      <c r="BK75" s="252">
        <f t="shared" si="24"/>
        <v>55.8</v>
      </c>
      <c r="BL75" s="252">
        <f t="shared" si="24"/>
        <v>59</v>
      </c>
      <c r="BM75" s="252">
        <f t="shared" si="24"/>
        <v>76</v>
      </c>
      <c r="BN75" s="252">
        <f t="shared" si="24"/>
        <v>72</v>
      </c>
      <c r="BO75" s="252">
        <f t="shared" si="24"/>
        <v>59.8</v>
      </c>
      <c r="BP75" s="252">
        <f t="shared" si="24"/>
        <v>58.4</v>
      </c>
      <c r="BQ75" s="252">
        <f t="shared" si="24"/>
        <v>61</v>
      </c>
      <c r="BR75" s="252">
        <f t="shared" si="24"/>
        <v>55</v>
      </c>
      <c r="BS75" s="252">
        <f t="shared" si="24"/>
        <v>60.9</v>
      </c>
      <c r="BT75" s="252">
        <f t="shared" si="24"/>
        <v>68.599999999999994</v>
      </c>
      <c r="BU75" s="252">
        <f t="shared" si="24"/>
        <v>64.7</v>
      </c>
      <c r="BV75" s="252">
        <f t="shared" si="24"/>
        <v>70</v>
      </c>
      <c r="BW75" s="252">
        <f t="shared" si="24"/>
        <v>62.9</v>
      </c>
      <c r="BX75" s="252"/>
      <c r="BY75" s="251"/>
      <c r="BZ75" s="251"/>
      <c r="CA75" s="251"/>
      <c r="CB75" s="251"/>
      <c r="CC75" s="251"/>
    </row>
    <row r="76" spans="1:81" ht="15.75" thickBot="1" x14ac:dyDescent="0.3">
      <c r="A76" s="74" t="s">
        <v>76</v>
      </c>
      <c r="B76" s="60">
        <f t="shared" ref="B76:C76" si="25">SUM(B63:B75)</f>
        <v>82.84</v>
      </c>
      <c r="C76" s="60">
        <f t="shared" si="25"/>
        <v>82.84</v>
      </c>
      <c r="D76" s="60">
        <f t="shared" ref="D76" si="26">SUM(D63:D75)</f>
        <v>82.84</v>
      </c>
      <c r="E76" s="60">
        <f t="shared" ref="E76:AG76" si="27">SUM(E63:E75)</f>
        <v>85.14</v>
      </c>
      <c r="F76" s="60">
        <f t="shared" si="27"/>
        <v>85.14</v>
      </c>
      <c r="G76" s="60">
        <f t="shared" si="27"/>
        <v>111.74000000000001</v>
      </c>
      <c r="H76" s="60">
        <f t="shared" si="27"/>
        <v>188.14</v>
      </c>
      <c r="I76" s="60">
        <f t="shared" si="27"/>
        <v>227.23999999999995</v>
      </c>
      <c r="J76" s="60">
        <f t="shared" si="27"/>
        <v>261.04000000000002</v>
      </c>
      <c r="K76" s="60">
        <f t="shared" si="27"/>
        <v>297.74</v>
      </c>
      <c r="L76" s="60">
        <f t="shared" si="27"/>
        <v>307.84000000000003</v>
      </c>
      <c r="M76" s="60">
        <f t="shared" si="27"/>
        <v>348.1400000000001</v>
      </c>
      <c r="N76" s="60">
        <f t="shared" si="27"/>
        <v>315.94000000000005</v>
      </c>
      <c r="O76" s="60">
        <f t="shared" si="27"/>
        <v>274.33999999999997</v>
      </c>
      <c r="P76" s="60">
        <f t="shared" si="27"/>
        <v>291.34000000000003</v>
      </c>
      <c r="Q76" s="60">
        <f t="shared" si="27"/>
        <v>268.44</v>
      </c>
      <c r="R76" s="60">
        <f t="shared" si="27"/>
        <v>229.94</v>
      </c>
      <c r="S76" s="60">
        <f t="shared" si="27"/>
        <v>249.23999999999998</v>
      </c>
      <c r="T76" s="60">
        <f t="shared" si="27"/>
        <v>250.33999999999997</v>
      </c>
      <c r="U76" s="60">
        <f t="shared" si="27"/>
        <v>236.64</v>
      </c>
      <c r="V76" s="60">
        <f t="shared" si="27"/>
        <v>204.64</v>
      </c>
      <c r="W76" s="60">
        <f t="shared" si="27"/>
        <v>214.23999999999998</v>
      </c>
      <c r="X76" s="60">
        <f t="shared" si="27"/>
        <v>294.04000000000002</v>
      </c>
      <c r="Y76" s="60">
        <f>SUM(Y63:Y75)</f>
        <v>371.8</v>
      </c>
      <c r="Z76" s="60">
        <f>SUM(Z63:Z75)</f>
        <v>338.8</v>
      </c>
      <c r="AA76" s="60">
        <f t="shared" si="27"/>
        <v>301.84000000000003</v>
      </c>
      <c r="AB76" s="60">
        <f t="shared" si="27"/>
        <v>279.84000000000003</v>
      </c>
      <c r="AC76" s="60">
        <f t="shared" si="27"/>
        <v>256.24</v>
      </c>
      <c r="AD76" s="60">
        <f t="shared" si="27"/>
        <v>229.53999999999996</v>
      </c>
      <c r="AE76" s="60">
        <f t="shared" si="27"/>
        <v>106.64</v>
      </c>
      <c r="AF76" s="60">
        <f t="shared" si="27"/>
        <v>91.24</v>
      </c>
      <c r="AG76" s="61">
        <f t="shared" si="27"/>
        <v>489.91</v>
      </c>
      <c r="AH76" s="47">
        <f t="shared" si="2"/>
        <v>371.8</v>
      </c>
      <c r="AI76" s="48">
        <f t="shared" si="3"/>
        <v>82.84</v>
      </c>
      <c r="AK76" s="50"/>
      <c r="AS76" s="249"/>
      <c r="AT76" s="252"/>
      <c r="AU76" s="252"/>
      <c r="AV76" s="252"/>
      <c r="AW76" s="252"/>
      <c r="AX76" s="252"/>
      <c r="AZ76" s="252">
        <f t="shared" ref="AZ76:BW80" si="28">VALUE(AZ69)</f>
        <v>0</v>
      </c>
      <c r="BA76" s="252">
        <f t="shared" si="28"/>
        <v>0</v>
      </c>
      <c r="BB76" s="252">
        <f t="shared" si="28"/>
        <v>0</v>
      </c>
      <c r="BC76" s="252">
        <f t="shared" si="28"/>
        <v>0</v>
      </c>
      <c r="BD76" s="252">
        <f t="shared" si="28"/>
        <v>0</v>
      </c>
      <c r="BE76" s="252">
        <f t="shared" si="28"/>
        <v>0</v>
      </c>
      <c r="BF76" s="252">
        <f t="shared" si="28"/>
        <v>0</v>
      </c>
      <c r="BG76" s="252">
        <f t="shared" si="28"/>
        <v>0</v>
      </c>
      <c r="BH76" s="252">
        <f t="shared" si="28"/>
        <v>0</v>
      </c>
      <c r="BI76" s="252">
        <f t="shared" si="28"/>
        <v>0</v>
      </c>
      <c r="BJ76" s="252">
        <f t="shared" si="28"/>
        <v>0</v>
      </c>
      <c r="BK76" s="252">
        <f t="shared" si="28"/>
        <v>0</v>
      </c>
      <c r="BL76" s="252">
        <f t="shared" si="28"/>
        <v>0</v>
      </c>
      <c r="BM76" s="252">
        <f t="shared" si="28"/>
        <v>0</v>
      </c>
      <c r="BN76" s="252">
        <f t="shared" si="28"/>
        <v>0</v>
      </c>
      <c r="BO76" s="252">
        <f t="shared" si="28"/>
        <v>0</v>
      </c>
      <c r="BP76" s="252">
        <f t="shared" si="28"/>
        <v>0</v>
      </c>
      <c r="BQ76" s="252">
        <f t="shared" si="28"/>
        <v>0</v>
      </c>
      <c r="BR76" s="252">
        <f t="shared" si="28"/>
        <v>0</v>
      </c>
      <c r="BS76" s="252">
        <f t="shared" si="28"/>
        <v>0</v>
      </c>
      <c r="BT76" s="252">
        <f t="shared" si="28"/>
        <v>0</v>
      </c>
      <c r="BU76" s="252">
        <f t="shared" si="28"/>
        <v>0</v>
      </c>
      <c r="BV76" s="252">
        <f t="shared" si="28"/>
        <v>0</v>
      </c>
      <c r="BW76" s="252">
        <f t="shared" si="28"/>
        <v>0</v>
      </c>
      <c r="BX76" s="252"/>
      <c r="BY76" s="251"/>
      <c r="BZ76" s="251"/>
      <c r="CA76" s="251"/>
      <c r="CB76" s="251"/>
      <c r="CC76" s="251"/>
    </row>
    <row r="77" spans="1:81" x14ac:dyDescent="0.25">
      <c r="A77" s="44" t="s">
        <v>77</v>
      </c>
      <c r="B77" s="45">
        <v>0</v>
      </c>
      <c r="C77" s="45">
        <v>0</v>
      </c>
      <c r="D77" s="4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v>0</v>
      </c>
      <c r="O77" s="45">
        <v>0</v>
      </c>
      <c r="P77" s="45">
        <v>0</v>
      </c>
      <c r="Q77" s="45">
        <v>0</v>
      </c>
      <c r="R77" s="45">
        <v>0</v>
      </c>
      <c r="S77" s="45">
        <v>0</v>
      </c>
      <c r="T77" s="45">
        <v>0</v>
      </c>
      <c r="U77" s="45">
        <v>20.5</v>
      </c>
      <c r="V77" s="45">
        <v>13.6</v>
      </c>
      <c r="W77" s="45">
        <v>30.1</v>
      </c>
      <c r="X77" s="45">
        <v>13.6</v>
      </c>
      <c r="Y77" s="45">
        <v>14</v>
      </c>
      <c r="Z77" s="45">
        <v>20</v>
      </c>
      <c r="AA77" s="45">
        <v>13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52">
        <v>60</v>
      </c>
      <c r="AH77" s="47">
        <f t="shared" si="2"/>
        <v>30.1</v>
      </c>
      <c r="AI77" s="48">
        <f t="shared" si="3"/>
        <v>0</v>
      </c>
      <c r="AK77" s="50"/>
      <c r="AS77" s="249"/>
      <c r="AT77" s="252"/>
      <c r="AU77" s="252"/>
      <c r="AV77" s="252"/>
      <c r="AW77" s="252"/>
      <c r="AX77" s="252"/>
      <c r="AZ77" s="252">
        <f t="shared" si="28"/>
        <v>360</v>
      </c>
      <c r="BA77" s="252">
        <f t="shared" si="28"/>
        <v>388.8</v>
      </c>
      <c r="BB77" s="252">
        <f t="shared" si="28"/>
        <v>400</v>
      </c>
      <c r="BC77" s="252">
        <f t="shared" si="28"/>
        <v>381</v>
      </c>
      <c r="BD77" s="252">
        <f t="shared" si="28"/>
        <v>384</v>
      </c>
      <c r="BE77" s="252">
        <f t="shared" si="28"/>
        <v>384</v>
      </c>
      <c r="BF77" s="252">
        <f t="shared" si="28"/>
        <v>372</v>
      </c>
      <c r="BG77" s="252">
        <f t="shared" si="28"/>
        <v>326.7</v>
      </c>
      <c r="BH77" s="252">
        <f t="shared" si="28"/>
        <v>331.1</v>
      </c>
      <c r="BI77" s="252">
        <f t="shared" si="28"/>
        <v>359.8</v>
      </c>
      <c r="BJ77" s="252">
        <f t="shared" si="28"/>
        <v>375</v>
      </c>
      <c r="BK77" s="252">
        <f t="shared" si="28"/>
        <v>428</v>
      </c>
      <c r="BL77" s="252">
        <f t="shared" si="28"/>
        <v>376.3</v>
      </c>
      <c r="BM77" s="252">
        <f t="shared" si="28"/>
        <v>442</v>
      </c>
      <c r="BN77" s="252">
        <f t="shared" si="28"/>
        <v>415</v>
      </c>
      <c r="BO77" s="252">
        <f t="shared" si="28"/>
        <v>385</v>
      </c>
      <c r="BP77" s="252">
        <f t="shared" si="28"/>
        <v>391</v>
      </c>
      <c r="BQ77" s="252">
        <f t="shared" si="28"/>
        <v>383</v>
      </c>
      <c r="BR77" s="252">
        <f t="shared" si="28"/>
        <v>376</v>
      </c>
      <c r="BS77" s="252">
        <f t="shared" si="28"/>
        <v>338.2</v>
      </c>
      <c r="BT77" s="252">
        <f t="shared" si="28"/>
        <v>360</v>
      </c>
      <c r="BU77" s="252">
        <f t="shared" si="28"/>
        <v>270</v>
      </c>
      <c r="BV77" s="252">
        <f t="shared" si="28"/>
        <v>275</v>
      </c>
      <c r="BW77" s="252">
        <f t="shared" si="28"/>
        <v>382.9</v>
      </c>
      <c r="BX77" s="252"/>
      <c r="BY77" s="251"/>
      <c r="BZ77" s="251"/>
      <c r="CA77" s="251"/>
      <c r="CB77" s="251"/>
      <c r="CC77" s="251"/>
    </row>
    <row r="78" spans="1:81" x14ac:dyDescent="0.25">
      <c r="A78" s="54" t="s">
        <v>78</v>
      </c>
      <c r="B78" s="65">
        <v>0</v>
      </c>
      <c r="C78" s="65">
        <v>0</v>
      </c>
      <c r="D78" s="65">
        <v>0</v>
      </c>
      <c r="E78" s="65">
        <v>0</v>
      </c>
      <c r="F78" s="65">
        <v>0</v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  <c r="O78" s="65">
        <v>0</v>
      </c>
      <c r="P78" s="65">
        <v>0</v>
      </c>
      <c r="Q78" s="65">
        <v>0</v>
      </c>
      <c r="R78" s="65">
        <v>0</v>
      </c>
      <c r="S78" s="65">
        <v>0</v>
      </c>
      <c r="T78" s="65">
        <v>0</v>
      </c>
      <c r="U78" s="65">
        <v>4.7</v>
      </c>
      <c r="V78" s="65">
        <v>7</v>
      </c>
      <c r="W78" s="65">
        <v>12.6</v>
      </c>
      <c r="X78" s="65">
        <v>10.3</v>
      </c>
      <c r="Y78" s="65">
        <v>6</v>
      </c>
      <c r="Z78" s="65">
        <v>6.6</v>
      </c>
      <c r="AA78" s="65">
        <v>5.4</v>
      </c>
      <c r="AB78" s="65">
        <v>0</v>
      </c>
      <c r="AC78" s="65">
        <v>0</v>
      </c>
      <c r="AD78" s="65">
        <v>0</v>
      </c>
      <c r="AE78" s="65">
        <v>0</v>
      </c>
      <c r="AF78" s="65">
        <v>0</v>
      </c>
      <c r="AG78" s="55">
        <v>32</v>
      </c>
      <c r="AH78" s="47">
        <f t="shared" si="2"/>
        <v>12.6</v>
      </c>
      <c r="AI78" s="48">
        <f t="shared" si="3"/>
        <v>0</v>
      </c>
      <c r="AK78" s="50"/>
      <c r="AS78" s="249"/>
      <c r="AT78" s="252"/>
      <c r="AU78" s="252"/>
      <c r="AV78" s="252"/>
      <c r="AW78" s="252"/>
      <c r="AX78" s="252"/>
      <c r="AZ78" s="252">
        <f t="shared" si="28"/>
        <v>7</v>
      </c>
      <c r="BA78" s="252">
        <f t="shared" si="28"/>
        <v>7</v>
      </c>
      <c r="BB78" s="252">
        <f t="shared" si="28"/>
        <v>7</v>
      </c>
      <c r="BC78" s="252">
        <f t="shared" si="28"/>
        <v>7</v>
      </c>
      <c r="BD78" s="252">
        <f t="shared" si="28"/>
        <v>43.7</v>
      </c>
      <c r="BE78" s="252">
        <f t="shared" si="28"/>
        <v>40</v>
      </c>
      <c r="BF78" s="252">
        <f t="shared" si="28"/>
        <v>27.8</v>
      </c>
      <c r="BG78" s="252">
        <f t="shared" si="28"/>
        <v>25</v>
      </c>
      <c r="BH78" s="252">
        <f t="shared" si="28"/>
        <v>28</v>
      </c>
      <c r="BI78" s="252">
        <f t="shared" si="28"/>
        <v>38</v>
      </c>
      <c r="BJ78" s="252">
        <f t="shared" si="28"/>
        <v>46</v>
      </c>
      <c r="BK78" s="252">
        <f t="shared" si="28"/>
        <v>52</v>
      </c>
      <c r="BL78" s="252">
        <f t="shared" si="28"/>
        <v>44</v>
      </c>
      <c r="BM78" s="252">
        <f t="shared" si="28"/>
        <v>46</v>
      </c>
      <c r="BN78" s="252">
        <f t="shared" si="28"/>
        <v>45</v>
      </c>
      <c r="BO78" s="252">
        <f t="shared" si="28"/>
        <v>43.1</v>
      </c>
      <c r="BP78" s="252">
        <f t="shared" si="28"/>
        <v>26</v>
      </c>
      <c r="BQ78" s="252">
        <f t="shared" si="28"/>
        <v>20</v>
      </c>
      <c r="BR78" s="252">
        <f t="shared" si="28"/>
        <v>22.1</v>
      </c>
      <c r="BS78" s="252">
        <f t="shared" si="28"/>
        <v>25</v>
      </c>
      <c r="BT78" s="252">
        <f t="shared" si="28"/>
        <v>34.4</v>
      </c>
      <c r="BU78" s="252">
        <f t="shared" si="28"/>
        <v>45</v>
      </c>
      <c r="BV78" s="252">
        <f t="shared" si="28"/>
        <v>40</v>
      </c>
      <c r="BW78" s="252">
        <f t="shared" si="28"/>
        <v>7</v>
      </c>
      <c r="BX78" s="252"/>
      <c r="BY78" s="251"/>
      <c r="BZ78" s="251"/>
      <c r="CA78" s="251"/>
      <c r="CB78" s="251"/>
      <c r="CC78" s="251"/>
    </row>
    <row r="79" spans="1:81" ht="15.75" thickBot="1" x14ac:dyDescent="0.3">
      <c r="A79" s="71" t="s">
        <v>79</v>
      </c>
      <c r="B79" s="67">
        <v>0</v>
      </c>
      <c r="C79" s="67">
        <v>0</v>
      </c>
      <c r="D79" s="67">
        <v>0</v>
      </c>
      <c r="E79" s="67">
        <v>0</v>
      </c>
      <c r="F79" s="67">
        <v>0</v>
      </c>
      <c r="G79" s="67">
        <v>0</v>
      </c>
      <c r="H79" s="67">
        <v>0</v>
      </c>
      <c r="I79" s="67">
        <v>0</v>
      </c>
      <c r="J79" s="67">
        <v>0</v>
      </c>
      <c r="K79" s="67">
        <v>0</v>
      </c>
      <c r="L79" s="67">
        <v>0</v>
      </c>
      <c r="M79" s="67">
        <v>0</v>
      </c>
      <c r="N79" s="67">
        <v>0</v>
      </c>
      <c r="O79" s="67">
        <v>0</v>
      </c>
      <c r="P79" s="67">
        <v>0</v>
      </c>
      <c r="Q79" s="67">
        <v>0</v>
      </c>
      <c r="R79" s="67">
        <v>0</v>
      </c>
      <c r="S79" s="67">
        <v>0</v>
      </c>
      <c r="T79" s="67">
        <v>0</v>
      </c>
      <c r="U79" s="67">
        <v>1.7</v>
      </c>
      <c r="V79" s="67">
        <v>2.6</v>
      </c>
      <c r="W79" s="67">
        <v>4.5999999999999996</v>
      </c>
      <c r="X79" s="67">
        <v>3.4</v>
      </c>
      <c r="Y79" s="67">
        <v>2.2200000000000002</v>
      </c>
      <c r="Z79" s="67">
        <v>2.4</v>
      </c>
      <c r="AA79" s="67">
        <v>2</v>
      </c>
      <c r="AB79" s="67">
        <v>0</v>
      </c>
      <c r="AC79" s="67">
        <v>0</v>
      </c>
      <c r="AD79" s="67">
        <v>0</v>
      </c>
      <c r="AE79" s="67">
        <v>0</v>
      </c>
      <c r="AF79" s="67">
        <v>0</v>
      </c>
      <c r="AG79" s="68">
        <v>14</v>
      </c>
      <c r="AH79" s="47">
        <f t="shared" si="2"/>
        <v>4.5999999999999996</v>
      </c>
      <c r="AI79" s="48">
        <f t="shared" si="3"/>
        <v>0</v>
      </c>
      <c r="AK79" s="50"/>
      <c r="AS79" s="249"/>
      <c r="AT79" s="252"/>
      <c r="AU79" s="252"/>
      <c r="AV79" s="252"/>
      <c r="AW79" s="252"/>
      <c r="AX79" s="252"/>
      <c r="AZ79" s="252">
        <f t="shared" si="28"/>
        <v>0</v>
      </c>
      <c r="BA79" s="252">
        <f t="shared" si="28"/>
        <v>0</v>
      </c>
      <c r="BB79" s="252">
        <f t="shared" si="28"/>
        <v>0</v>
      </c>
      <c r="BC79" s="252">
        <f t="shared" si="28"/>
        <v>0</v>
      </c>
      <c r="BD79" s="252">
        <f t="shared" si="28"/>
        <v>0</v>
      </c>
      <c r="BE79" s="252">
        <f t="shared" si="28"/>
        <v>0</v>
      </c>
      <c r="BF79" s="252">
        <f t="shared" si="28"/>
        <v>0</v>
      </c>
      <c r="BG79" s="252">
        <f t="shared" si="28"/>
        <v>0</v>
      </c>
      <c r="BH79" s="252">
        <f t="shared" si="28"/>
        <v>0</v>
      </c>
      <c r="BI79" s="252">
        <f t="shared" si="28"/>
        <v>0</v>
      </c>
      <c r="BJ79" s="252">
        <f t="shared" si="28"/>
        <v>0</v>
      </c>
      <c r="BK79" s="252">
        <f t="shared" si="28"/>
        <v>110</v>
      </c>
      <c r="BL79" s="252">
        <f t="shared" si="28"/>
        <v>95</v>
      </c>
      <c r="BM79" s="252">
        <f t="shared" si="28"/>
        <v>54.5</v>
      </c>
      <c r="BN79" s="252">
        <f t="shared" si="28"/>
        <v>65</v>
      </c>
      <c r="BO79" s="252">
        <f t="shared" si="28"/>
        <v>76.099999999999994</v>
      </c>
      <c r="BP79" s="252">
        <f t="shared" si="28"/>
        <v>57</v>
      </c>
      <c r="BQ79" s="252">
        <f t="shared" si="28"/>
        <v>30</v>
      </c>
      <c r="BR79" s="252">
        <f t="shared" si="28"/>
        <v>36</v>
      </c>
      <c r="BS79" s="252">
        <f t="shared" si="28"/>
        <v>34</v>
      </c>
      <c r="BT79" s="252">
        <f t="shared" si="28"/>
        <v>80.599999999999994</v>
      </c>
      <c r="BU79" s="252">
        <f t="shared" si="28"/>
        <v>114</v>
      </c>
      <c r="BV79" s="252">
        <f t="shared" si="28"/>
        <v>104</v>
      </c>
      <c r="BW79" s="252">
        <f t="shared" si="28"/>
        <v>16.2</v>
      </c>
      <c r="BX79" s="252"/>
      <c r="BY79" s="251"/>
      <c r="BZ79" s="251"/>
      <c r="CA79" s="251"/>
      <c r="CB79" s="251"/>
      <c r="CC79" s="251"/>
    </row>
    <row r="80" spans="1:81" ht="15.75" thickBot="1" x14ac:dyDescent="0.3">
      <c r="A80" s="74" t="s">
        <v>80</v>
      </c>
      <c r="B80" s="60">
        <f t="shared" ref="B80:C80" si="29">B77+B78+B79</f>
        <v>0</v>
      </c>
      <c r="C80" s="60">
        <f t="shared" si="29"/>
        <v>0</v>
      </c>
      <c r="D80" s="60">
        <f t="shared" ref="D80" si="30">D77+D78+D79</f>
        <v>0</v>
      </c>
      <c r="E80" s="60">
        <f t="shared" ref="E80:AF80" si="31">E77+E78+E79</f>
        <v>0</v>
      </c>
      <c r="F80" s="60">
        <f t="shared" si="31"/>
        <v>0</v>
      </c>
      <c r="G80" s="60">
        <f t="shared" si="31"/>
        <v>0</v>
      </c>
      <c r="H80" s="60">
        <f t="shared" si="31"/>
        <v>0</v>
      </c>
      <c r="I80" s="60">
        <f t="shared" si="31"/>
        <v>0</v>
      </c>
      <c r="J80" s="60">
        <f t="shared" si="31"/>
        <v>0</v>
      </c>
      <c r="K80" s="60">
        <f t="shared" si="31"/>
        <v>0</v>
      </c>
      <c r="L80" s="60">
        <f t="shared" si="31"/>
        <v>0</v>
      </c>
      <c r="M80" s="60">
        <f t="shared" si="31"/>
        <v>0</v>
      </c>
      <c r="N80" s="60">
        <f t="shared" si="31"/>
        <v>0</v>
      </c>
      <c r="O80" s="60">
        <f t="shared" si="31"/>
        <v>0</v>
      </c>
      <c r="P80" s="60">
        <f t="shared" si="31"/>
        <v>0</v>
      </c>
      <c r="Q80" s="60">
        <f t="shared" si="31"/>
        <v>0</v>
      </c>
      <c r="R80" s="60">
        <f t="shared" si="31"/>
        <v>0</v>
      </c>
      <c r="S80" s="60">
        <f t="shared" si="31"/>
        <v>0</v>
      </c>
      <c r="T80" s="60">
        <f t="shared" si="31"/>
        <v>0</v>
      </c>
      <c r="U80" s="60">
        <f t="shared" si="31"/>
        <v>26.9</v>
      </c>
      <c r="V80" s="60">
        <f t="shared" si="31"/>
        <v>23.200000000000003</v>
      </c>
      <c r="W80" s="60">
        <f t="shared" si="31"/>
        <v>47.300000000000004</v>
      </c>
      <c r="X80" s="60">
        <f t="shared" si="31"/>
        <v>27.299999999999997</v>
      </c>
      <c r="Y80" s="60">
        <f>Y77+Y78+Y79</f>
        <v>22.22</v>
      </c>
      <c r="Z80" s="60">
        <f>Z77+Z78+Z79</f>
        <v>29</v>
      </c>
      <c r="AA80" s="60">
        <f t="shared" si="31"/>
        <v>20.399999999999999</v>
      </c>
      <c r="AB80" s="60">
        <f t="shared" si="31"/>
        <v>0</v>
      </c>
      <c r="AC80" s="60">
        <f t="shared" si="31"/>
        <v>0</v>
      </c>
      <c r="AD80" s="60">
        <f t="shared" si="31"/>
        <v>0</v>
      </c>
      <c r="AE80" s="60">
        <f t="shared" si="31"/>
        <v>0</v>
      </c>
      <c r="AF80" s="60">
        <f t="shared" si="31"/>
        <v>0</v>
      </c>
      <c r="AG80" s="61">
        <f>SUM(AG77:AG79)</f>
        <v>106</v>
      </c>
      <c r="AH80" s="47">
        <f t="shared" si="2"/>
        <v>47.300000000000004</v>
      </c>
      <c r="AI80" s="48">
        <f t="shared" si="3"/>
        <v>0</v>
      </c>
      <c r="AK80" s="50"/>
      <c r="AS80" s="249"/>
      <c r="AT80" s="252"/>
      <c r="AU80" s="252"/>
      <c r="AV80" s="252"/>
      <c r="AW80" s="252"/>
      <c r="AX80" s="252"/>
      <c r="AZ80" s="252">
        <f t="shared" si="28"/>
        <v>0</v>
      </c>
      <c r="BA80" s="252">
        <f t="shared" si="28"/>
        <v>0</v>
      </c>
      <c r="BB80" s="252">
        <f t="shared" si="28"/>
        <v>0</v>
      </c>
      <c r="BC80" s="252">
        <f t="shared" si="28"/>
        <v>0</v>
      </c>
      <c r="BD80" s="252">
        <f t="shared" si="28"/>
        <v>0</v>
      </c>
      <c r="BE80" s="252">
        <f t="shared" si="28"/>
        <v>0</v>
      </c>
      <c r="BF80" s="252">
        <f t="shared" si="28"/>
        <v>68.900000000000006</v>
      </c>
      <c r="BG80" s="252">
        <f t="shared" si="28"/>
        <v>73.599999999999994</v>
      </c>
      <c r="BH80" s="252">
        <f t="shared" si="28"/>
        <v>77.599999999999994</v>
      </c>
      <c r="BI80" s="252">
        <f t="shared" si="28"/>
        <v>74.900000000000006</v>
      </c>
      <c r="BJ80" s="252">
        <f t="shared" si="28"/>
        <v>76</v>
      </c>
      <c r="BK80" s="252">
        <f t="shared" si="28"/>
        <v>71</v>
      </c>
      <c r="BL80" s="252">
        <f t="shared" si="28"/>
        <v>72.099999999999994</v>
      </c>
      <c r="BM80" s="252">
        <f t="shared" si="28"/>
        <v>74.2</v>
      </c>
      <c r="BN80" s="252">
        <f t="shared" si="28"/>
        <v>76</v>
      </c>
      <c r="BO80" s="252">
        <f t="shared" si="28"/>
        <v>76.099999999999994</v>
      </c>
      <c r="BP80" s="252">
        <f t="shared" si="28"/>
        <v>60</v>
      </c>
      <c r="BQ80" s="252">
        <f t="shared" si="28"/>
        <v>57</v>
      </c>
      <c r="BR80" s="252">
        <f t="shared" si="28"/>
        <v>64.3</v>
      </c>
      <c r="BS80" s="252">
        <f t="shared" si="28"/>
        <v>50</v>
      </c>
      <c r="BT80" s="252">
        <f t="shared" si="28"/>
        <v>48</v>
      </c>
      <c r="BU80" s="252">
        <f t="shared" si="28"/>
        <v>68.099999999999994</v>
      </c>
      <c r="BV80" s="252">
        <f t="shared" si="28"/>
        <v>66.7</v>
      </c>
      <c r="BW80" s="252">
        <f t="shared" si="28"/>
        <v>52.6</v>
      </c>
      <c r="BX80" s="252"/>
      <c r="BY80" s="252"/>
      <c r="BZ80" s="252"/>
      <c r="CA80" s="252"/>
      <c r="CB80" s="252"/>
      <c r="CC80" s="252"/>
    </row>
    <row r="81" spans="1:64" x14ac:dyDescent="0.25">
      <c r="A81" s="44" t="s">
        <v>81</v>
      </c>
      <c r="B81" s="45">
        <v>62.9</v>
      </c>
      <c r="C81" s="45">
        <v>64.900000000000006</v>
      </c>
      <c r="D81" s="45">
        <v>65.599999999999994</v>
      </c>
      <c r="E81" s="45">
        <v>68.900000000000006</v>
      </c>
      <c r="F81" s="45">
        <v>66.900000000000006</v>
      </c>
      <c r="G81" s="45">
        <v>62.3</v>
      </c>
      <c r="H81" s="45">
        <v>60.5</v>
      </c>
      <c r="I81" s="45">
        <v>62.1</v>
      </c>
      <c r="J81" s="45">
        <v>61.6</v>
      </c>
      <c r="K81" s="45">
        <v>54.3</v>
      </c>
      <c r="L81" s="45">
        <v>66.099999999999994</v>
      </c>
      <c r="M81" s="45">
        <v>68.3</v>
      </c>
      <c r="N81" s="45">
        <v>57.9</v>
      </c>
      <c r="O81" s="45">
        <v>54.7</v>
      </c>
      <c r="P81" s="45">
        <v>50.7</v>
      </c>
      <c r="Q81" s="45">
        <v>55.8</v>
      </c>
      <c r="R81" s="45">
        <v>59</v>
      </c>
      <c r="S81" s="45">
        <v>76</v>
      </c>
      <c r="T81" s="45">
        <v>72</v>
      </c>
      <c r="U81" s="45">
        <v>59.8</v>
      </c>
      <c r="V81" s="45">
        <v>58.4</v>
      </c>
      <c r="W81" s="45">
        <v>69.2</v>
      </c>
      <c r="X81" s="45">
        <v>61</v>
      </c>
      <c r="Y81" s="45">
        <v>60</v>
      </c>
      <c r="Z81" s="45">
        <v>55</v>
      </c>
      <c r="AA81" s="45">
        <v>69.7</v>
      </c>
      <c r="AB81" s="45">
        <v>60.9</v>
      </c>
      <c r="AC81" s="45">
        <v>70</v>
      </c>
      <c r="AD81" s="45">
        <v>68.599999999999994</v>
      </c>
      <c r="AE81" s="45">
        <v>64.7</v>
      </c>
      <c r="AF81" s="45">
        <v>70</v>
      </c>
      <c r="AG81" s="52"/>
      <c r="AH81" s="47">
        <f t="shared" si="2"/>
        <v>76</v>
      </c>
      <c r="AI81" s="48">
        <f t="shared" si="3"/>
        <v>50.7</v>
      </c>
      <c r="AK81" s="50"/>
      <c r="AS81" s="249"/>
      <c r="AT81" s="252"/>
      <c r="AU81" s="252"/>
      <c r="AV81" s="252"/>
      <c r="AW81" s="252"/>
      <c r="AX81" s="252"/>
      <c r="AY81" s="252"/>
    </row>
    <row r="82" spans="1:64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>
        <v>0</v>
      </c>
      <c r="N82" s="65">
        <v>0</v>
      </c>
      <c r="O82" s="65">
        <v>0</v>
      </c>
      <c r="P82" s="65">
        <v>0</v>
      </c>
      <c r="Q82" s="65">
        <v>0</v>
      </c>
      <c r="R82" s="65">
        <v>0</v>
      </c>
      <c r="S82" s="65">
        <v>0</v>
      </c>
      <c r="T82" s="65">
        <v>0</v>
      </c>
      <c r="U82" s="65">
        <v>0</v>
      </c>
      <c r="V82" s="65">
        <v>0</v>
      </c>
      <c r="W82" s="65">
        <v>0</v>
      </c>
      <c r="X82" s="65">
        <v>0</v>
      </c>
      <c r="Y82" s="65"/>
      <c r="Z82" s="65"/>
      <c r="AA82" s="65"/>
      <c r="AB82" s="65">
        <v>0</v>
      </c>
      <c r="AC82" s="65">
        <v>0</v>
      </c>
      <c r="AD82" s="65">
        <v>0</v>
      </c>
      <c r="AE82" s="65">
        <v>0</v>
      </c>
      <c r="AF82" s="65">
        <v>0</v>
      </c>
      <c r="AG82" s="55"/>
      <c r="AH82" s="47">
        <f t="shared" si="2"/>
        <v>0</v>
      </c>
      <c r="AI82" s="48">
        <f t="shared" si="3"/>
        <v>0</v>
      </c>
      <c r="AK82" s="50"/>
      <c r="AS82" s="249"/>
      <c r="AT82" s="252"/>
      <c r="AU82" s="252"/>
      <c r="AV82" s="252"/>
      <c r="AW82" s="252"/>
      <c r="AX82" s="252"/>
      <c r="AY82" s="252"/>
      <c r="BF82" s="252"/>
      <c r="BG82" s="252"/>
      <c r="BH82" s="252"/>
      <c r="BI82" s="252"/>
      <c r="BJ82" s="252"/>
      <c r="BK82" s="252"/>
    </row>
    <row r="83" spans="1:64" x14ac:dyDescent="0.25">
      <c r="A83" s="54" t="s">
        <v>83</v>
      </c>
      <c r="B83" s="65">
        <v>382.9</v>
      </c>
      <c r="C83" s="65">
        <v>360.4</v>
      </c>
      <c r="D83" s="65">
        <v>388.8</v>
      </c>
      <c r="E83" s="65">
        <v>400</v>
      </c>
      <c r="F83" s="65">
        <v>381</v>
      </c>
      <c r="G83" s="65">
        <v>384</v>
      </c>
      <c r="H83" s="65">
        <v>375.1</v>
      </c>
      <c r="I83" s="65">
        <v>384</v>
      </c>
      <c r="J83" s="65">
        <v>384.8</v>
      </c>
      <c r="K83" s="65">
        <v>372</v>
      </c>
      <c r="L83" s="65">
        <v>390.4</v>
      </c>
      <c r="M83" s="65">
        <v>326.7</v>
      </c>
      <c r="N83" s="65">
        <v>331.1</v>
      </c>
      <c r="O83" s="65">
        <v>359.8</v>
      </c>
      <c r="P83" s="65">
        <v>375</v>
      </c>
      <c r="Q83" s="65">
        <v>428</v>
      </c>
      <c r="R83" s="65">
        <v>376.3</v>
      </c>
      <c r="S83" s="65">
        <v>442</v>
      </c>
      <c r="T83" s="65">
        <v>415</v>
      </c>
      <c r="U83" s="65">
        <v>385</v>
      </c>
      <c r="V83" s="65">
        <v>391</v>
      </c>
      <c r="W83" s="65">
        <v>376</v>
      </c>
      <c r="X83" s="65">
        <v>383</v>
      </c>
      <c r="Y83" s="65">
        <v>379</v>
      </c>
      <c r="Z83" s="65">
        <v>376</v>
      </c>
      <c r="AA83" s="65">
        <v>375</v>
      </c>
      <c r="AB83" s="65">
        <v>338.2</v>
      </c>
      <c r="AC83" s="65">
        <v>373.6</v>
      </c>
      <c r="AD83" s="65">
        <v>360</v>
      </c>
      <c r="AE83" s="65">
        <v>270</v>
      </c>
      <c r="AF83" s="65">
        <v>275</v>
      </c>
      <c r="AG83" s="75"/>
      <c r="AH83" s="47">
        <f t="shared" si="2"/>
        <v>442</v>
      </c>
      <c r="AI83" s="48">
        <f t="shared" si="3"/>
        <v>270</v>
      </c>
      <c r="AK83" s="50"/>
      <c r="AS83" s="249"/>
      <c r="AT83" s="252"/>
      <c r="AU83" s="252"/>
      <c r="AV83" s="252"/>
      <c r="AW83" s="252"/>
      <c r="AX83" s="252"/>
      <c r="AY83" s="252"/>
      <c r="BF83" s="251"/>
      <c r="BG83" s="251"/>
      <c r="BH83" s="251"/>
      <c r="BI83" s="251"/>
      <c r="BJ83" s="251"/>
      <c r="BK83" s="252"/>
    </row>
    <row r="84" spans="1:64" x14ac:dyDescent="0.25">
      <c r="A84" s="54" t="s">
        <v>84</v>
      </c>
      <c r="B84" s="65">
        <v>7</v>
      </c>
      <c r="C84" s="65">
        <v>7</v>
      </c>
      <c r="D84" s="65">
        <v>7</v>
      </c>
      <c r="E84" s="76">
        <v>7</v>
      </c>
      <c r="F84" s="76">
        <v>7</v>
      </c>
      <c r="G84" s="76">
        <v>43.7</v>
      </c>
      <c r="H84" s="76">
        <v>42.2</v>
      </c>
      <c r="I84" s="76">
        <v>40</v>
      </c>
      <c r="J84" s="76">
        <v>37.4</v>
      </c>
      <c r="K84" s="76">
        <v>27.8</v>
      </c>
      <c r="L84" s="76">
        <v>24</v>
      </c>
      <c r="M84" s="76">
        <v>25</v>
      </c>
      <c r="N84" s="76">
        <v>28</v>
      </c>
      <c r="O84" s="76">
        <v>38</v>
      </c>
      <c r="P84" s="76">
        <v>46</v>
      </c>
      <c r="Q84" s="76">
        <v>52</v>
      </c>
      <c r="R84" s="76">
        <v>44</v>
      </c>
      <c r="S84" s="76">
        <v>46</v>
      </c>
      <c r="T84" s="76">
        <v>45</v>
      </c>
      <c r="U84" s="76">
        <v>43.1</v>
      </c>
      <c r="V84" s="76">
        <v>26</v>
      </c>
      <c r="W84" s="76">
        <v>20</v>
      </c>
      <c r="X84" s="76">
        <v>20</v>
      </c>
      <c r="Y84" s="76">
        <v>23</v>
      </c>
      <c r="Z84" s="76">
        <v>22.1</v>
      </c>
      <c r="AA84" s="76">
        <v>21.3</v>
      </c>
      <c r="AB84" s="76">
        <v>25</v>
      </c>
      <c r="AC84" s="76">
        <v>29</v>
      </c>
      <c r="AD84" s="65">
        <v>34.4</v>
      </c>
      <c r="AE84" s="76">
        <v>45</v>
      </c>
      <c r="AF84" s="76">
        <v>40</v>
      </c>
      <c r="AG84" s="75"/>
      <c r="AH84" s="47">
        <f t="shared" si="2"/>
        <v>52</v>
      </c>
      <c r="AI84" s="48">
        <f t="shared" si="3"/>
        <v>7</v>
      </c>
      <c r="AK84" s="50"/>
      <c r="AS84" s="249"/>
      <c r="AT84" s="252"/>
      <c r="AU84" s="252"/>
      <c r="AV84" s="252"/>
      <c r="AW84" s="252"/>
      <c r="AX84" s="252"/>
      <c r="AY84" s="252"/>
      <c r="BF84" s="251"/>
      <c r="BG84" s="252">
        <f t="array" ref="BG84:BL107">TRANSPOSE(AZ68:BW73)</f>
        <v>65</v>
      </c>
      <c r="BH84" s="252">
        <v>0</v>
      </c>
      <c r="BI84" s="252">
        <v>360</v>
      </c>
      <c r="BJ84" s="252">
        <v>7</v>
      </c>
      <c r="BK84" s="252">
        <v>0</v>
      </c>
      <c r="BL84" s="252">
        <v>0</v>
      </c>
    </row>
    <row r="85" spans="1:64" x14ac:dyDescent="0.25">
      <c r="A85" s="54" t="s">
        <v>85</v>
      </c>
      <c r="B85" s="45">
        <v>16.2</v>
      </c>
      <c r="C85" s="45">
        <v>0</v>
      </c>
      <c r="D85" s="45">
        <v>0</v>
      </c>
      <c r="E85" s="45">
        <v>0</v>
      </c>
      <c r="F85" s="45">
        <v>0</v>
      </c>
      <c r="G85" s="45">
        <v>0</v>
      </c>
      <c r="H85" s="45">
        <v>0</v>
      </c>
      <c r="I85" s="45">
        <v>0</v>
      </c>
      <c r="J85" s="45"/>
      <c r="K85" s="45"/>
      <c r="L85" s="45"/>
      <c r="M85" s="45">
        <v>0</v>
      </c>
      <c r="N85" s="45">
        <v>0</v>
      </c>
      <c r="O85" s="45">
        <v>0</v>
      </c>
      <c r="P85" s="45">
        <v>0</v>
      </c>
      <c r="Q85" s="45">
        <v>110</v>
      </c>
      <c r="R85" s="45">
        <v>95</v>
      </c>
      <c r="S85" s="45">
        <v>54.5</v>
      </c>
      <c r="T85" s="45">
        <v>65</v>
      </c>
      <c r="U85" s="45">
        <v>76.099999999999994</v>
      </c>
      <c r="V85" s="45">
        <v>57</v>
      </c>
      <c r="W85" s="45">
        <v>30</v>
      </c>
      <c r="X85" s="45">
        <v>30</v>
      </c>
      <c r="Y85" s="45">
        <v>34</v>
      </c>
      <c r="Z85" s="45">
        <v>36</v>
      </c>
      <c r="AA85" s="45">
        <v>36</v>
      </c>
      <c r="AB85" s="45">
        <v>34</v>
      </c>
      <c r="AC85" s="45">
        <v>34</v>
      </c>
      <c r="AD85" s="45">
        <v>80.599999999999994</v>
      </c>
      <c r="AE85" s="45">
        <v>114</v>
      </c>
      <c r="AF85" s="45">
        <v>104</v>
      </c>
      <c r="AG85" s="75"/>
      <c r="AH85" s="47">
        <f t="shared" ref="AH85:AH130" si="32">MAX(B85:AF85)</f>
        <v>114</v>
      </c>
      <c r="AI85" s="48">
        <f t="shared" ref="AI85:AI130" si="33">MIN(B85:AF85)</f>
        <v>0</v>
      </c>
      <c r="AK85" s="50"/>
      <c r="AS85" s="249"/>
      <c r="AT85" s="252"/>
      <c r="AU85" s="252"/>
      <c r="AV85" s="252"/>
      <c r="AW85" s="252"/>
      <c r="AX85" s="252"/>
      <c r="AY85" s="252"/>
      <c r="BF85" s="251"/>
      <c r="BG85" s="252">
        <v>65.599999999999994</v>
      </c>
      <c r="BH85" s="252">
        <v>0</v>
      </c>
      <c r="BI85" s="252">
        <v>388.8</v>
      </c>
      <c r="BJ85" s="252">
        <v>7</v>
      </c>
      <c r="BK85" s="252">
        <v>0</v>
      </c>
      <c r="BL85" s="252">
        <v>0</v>
      </c>
    </row>
    <row r="86" spans="1:64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/>
      <c r="Z86" s="77"/>
      <c r="AA86" s="77"/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/>
      <c r="AH86" s="47">
        <f>MAX(B91:AF91)</f>
        <v>77.599999999999994</v>
      </c>
      <c r="AI86" s="48">
        <f>MIN(B91:AF91)</f>
        <v>0</v>
      </c>
      <c r="AK86" s="50"/>
      <c r="AS86" s="249"/>
      <c r="AT86" s="252"/>
      <c r="AU86" s="252"/>
      <c r="AV86" s="252"/>
      <c r="AW86" s="252"/>
      <c r="AX86" s="252"/>
      <c r="AY86" s="252"/>
      <c r="BF86" s="251"/>
      <c r="BG86" s="252">
        <v>68.900000000000006</v>
      </c>
      <c r="BH86" s="252">
        <v>0</v>
      </c>
      <c r="BI86" s="252">
        <v>400</v>
      </c>
      <c r="BJ86" s="252">
        <v>7</v>
      </c>
      <c r="BK86" s="252">
        <v>0</v>
      </c>
      <c r="BL86" s="252">
        <v>0</v>
      </c>
    </row>
    <row r="87" spans="1:64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>
        <v>0</v>
      </c>
      <c r="N87" s="77">
        <v>0</v>
      </c>
      <c r="O87" s="77">
        <v>0</v>
      </c>
      <c r="P87" s="77">
        <v>0</v>
      </c>
      <c r="Q87" s="77">
        <v>0</v>
      </c>
      <c r="R87" s="77">
        <v>0</v>
      </c>
      <c r="S87" s="77">
        <v>0</v>
      </c>
      <c r="T87" s="77">
        <v>0</v>
      </c>
      <c r="U87" s="77">
        <v>0</v>
      </c>
      <c r="V87" s="77">
        <v>0</v>
      </c>
      <c r="W87" s="77">
        <v>0</v>
      </c>
      <c r="X87" s="77">
        <v>0</v>
      </c>
      <c r="Y87" s="77"/>
      <c r="Z87" s="77"/>
      <c r="AA87" s="77"/>
      <c r="AB87" s="77">
        <v>0</v>
      </c>
      <c r="AC87" s="77">
        <v>0</v>
      </c>
      <c r="AD87" s="77">
        <v>0</v>
      </c>
      <c r="AE87" s="77">
        <v>0</v>
      </c>
      <c r="AF87" s="77">
        <v>0</v>
      </c>
      <c r="AG87" s="75"/>
      <c r="AH87" s="47">
        <f t="shared" si="32"/>
        <v>0</v>
      </c>
      <c r="AI87" s="48">
        <f t="shared" si="33"/>
        <v>0</v>
      </c>
      <c r="AK87" s="50"/>
      <c r="AL87" s="78" t="s">
        <v>88</v>
      </c>
      <c r="AM87" s="78"/>
      <c r="AS87" s="249"/>
      <c r="AT87" s="252"/>
      <c r="AU87" s="252"/>
      <c r="AV87" s="252"/>
      <c r="AW87" s="252"/>
      <c r="AX87" s="252"/>
      <c r="AY87" s="252"/>
      <c r="BF87" s="252"/>
      <c r="BG87" s="252">
        <v>66.900000000000006</v>
      </c>
      <c r="BH87" s="252">
        <v>0</v>
      </c>
      <c r="BI87" s="252">
        <v>381</v>
      </c>
      <c r="BJ87" s="252">
        <v>7</v>
      </c>
      <c r="BK87" s="252">
        <v>0</v>
      </c>
      <c r="BL87" s="252">
        <v>0</v>
      </c>
    </row>
    <row r="88" spans="1:64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>
        <v>0</v>
      </c>
      <c r="N88" s="77">
        <v>0</v>
      </c>
      <c r="O88" s="77">
        <v>0</v>
      </c>
      <c r="P88" s="77">
        <v>0</v>
      </c>
      <c r="Q88" s="77">
        <v>0</v>
      </c>
      <c r="R88" s="77">
        <v>0</v>
      </c>
      <c r="S88" s="77">
        <v>0</v>
      </c>
      <c r="T88" s="77">
        <v>0</v>
      </c>
      <c r="U88" s="77">
        <v>0</v>
      </c>
      <c r="V88" s="77">
        <v>0</v>
      </c>
      <c r="W88" s="77">
        <v>0</v>
      </c>
      <c r="X88" s="77">
        <v>0</v>
      </c>
      <c r="Y88" s="77"/>
      <c r="Z88" s="77"/>
      <c r="AA88" s="77"/>
      <c r="AB88" s="77">
        <v>0</v>
      </c>
      <c r="AC88" s="77">
        <v>0</v>
      </c>
      <c r="AD88" s="77">
        <v>0</v>
      </c>
      <c r="AE88" s="77">
        <v>0</v>
      </c>
      <c r="AF88" s="77">
        <v>0</v>
      </c>
      <c r="AG88" s="75"/>
      <c r="AH88" s="47">
        <f t="shared" si="32"/>
        <v>0</v>
      </c>
      <c r="AI88" s="48">
        <f t="shared" si="33"/>
        <v>0</v>
      </c>
      <c r="AK88" s="79"/>
      <c r="AL88" s="80"/>
      <c r="AM88" s="80"/>
      <c r="AN88" s="81"/>
      <c r="AS88" s="249"/>
      <c r="AT88" s="251"/>
      <c r="AU88" s="251"/>
      <c r="AV88" s="251"/>
      <c r="AW88" s="251"/>
      <c r="AX88" s="251"/>
      <c r="AY88" s="252"/>
      <c r="BF88" s="252"/>
      <c r="BG88" s="252">
        <v>62.3</v>
      </c>
      <c r="BH88" s="252">
        <v>0</v>
      </c>
      <c r="BI88" s="252">
        <v>384</v>
      </c>
      <c r="BJ88" s="252">
        <v>43.7</v>
      </c>
      <c r="BK88" s="252">
        <v>0</v>
      </c>
      <c r="BL88" s="252">
        <v>0</v>
      </c>
    </row>
    <row r="89" spans="1:64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>
        <v>0</v>
      </c>
      <c r="N89" s="77">
        <v>0</v>
      </c>
      <c r="O89" s="77">
        <v>0</v>
      </c>
      <c r="P89" s="77">
        <v>0</v>
      </c>
      <c r="Q89" s="77">
        <v>0</v>
      </c>
      <c r="R89" s="77">
        <v>0</v>
      </c>
      <c r="S89" s="77">
        <v>0</v>
      </c>
      <c r="T89" s="77">
        <v>0</v>
      </c>
      <c r="U89" s="77">
        <v>0</v>
      </c>
      <c r="V89" s="77">
        <v>0</v>
      </c>
      <c r="W89" s="77">
        <v>0</v>
      </c>
      <c r="X89" s="77">
        <v>0</v>
      </c>
      <c r="Y89" s="77"/>
      <c r="Z89" s="77"/>
      <c r="AA89" s="77"/>
      <c r="AB89" s="77">
        <v>0</v>
      </c>
      <c r="AC89" s="77">
        <v>0</v>
      </c>
      <c r="AD89" s="77">
        <v>0</v>
      </c>
      <c r="AE89" s="77">
        <v>0</v>
      </c>
      <c r="AF89" s="77">
        <v>0</v>
      </c>
      <c r="AG89" s="75"/>
      <c r="AH89" s="47">
        <f t="shared" si="32"/>
        <v>0</v>
      </c>
      <c r="AI89" s="48">
        <f t="shared" si="33"/>
        <v>0</v>
      </c>
      <c r="AK89" s="82" t="s">
        <v>91</v>
      </c>
      <c r="AL89" s="65"/>
      <c r="AM89" s="76"/>
      <c r="AN89" s="83"/>
      <c r="AS89" s="249"/>
      <c r="AT89" s="251"/>
      <c r="AU89" s="251"/>
      <c r="AV89" s="251"/>
      <c r="AW89" s="251"/>
      <c r="AX89" s="251"/>
      <c r="AY89" s="252"/>
      <c r="BF89" s="252"/>
      <c r="BG89" s="252">
        <v>62.1</v>
      </c>
      <c r="BH89" s="252">
        <v>0</v>
      </c>
      <c r="BI89" s="252">
        <v>384</v>
      </c>
      <c r="BJ89" s="252">
        <v>40</v>
      </c>
      <c r="BK89" s="252">
        <v>0</v>
      </c>
      <c r="BL89" s="252">
        <v>0</v>
      </c>
    </row>
    <row r="90" spans="1:64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>
        <v>0</v>
      </c>
      <c r="N90" s="77">
        <v>0</v>
      </c>
      <c r="O90" s="77">
        <v>0</v>
      </c>
      <c r="P90" s="77">
        <v>0</v>
      </c>
      <c r="Q90" s="77">
        <v>0</v>
      </c>
      <c r="R90" s="77">
        <v>0</v>
      </c>
      <c r="S90" s="77">
        <v>0</v>
      </c>
      <c r="T90" s="77">
        <v>0</v>
      </c>
      <c r="U90" s="77">
        <v>0</v>
      </c>
      <c r="V90" s="77">
        <v>0</v>
      </c>
      <c r="W90" s="77">
        <v>0</v>
      </c>
      <c r="X90" s="77">
        <v>0</v>
      </c>
      <c r="Y90" s="77"/>
      <c r="Z90" s="77"/>
      <c r="AA90" s="77"/>
      <c r="AB90" s="77">
        <v>0</v>
      </c>
      <c r="AC90" s="77">
        <v>0</v>
      </c>
      <c r="AD90" s="77">
        <v>0</v>
      </c>
      <c r="AE90" s="77">
        <v>0</v>
      </c>
      <c r="AF90" s="77">
        <v>0</v>
      </c>
      <c r="AG90" s="85"/>
      <c r="AH90" s="47">
        <f t="shared" si="32"/>
        <v>0</v>
      </c>
      <c r="AI90" s="48">
        <f t="shared" si="33"/>
        <v>0</v>
      </c>
      <c r="AK90" s="82" t="s">
        <v>93</v>
      </c>
      <c r="AL90" s="76"/>
      <c r="AM90" s="76"/>
      <c r="AN90" s="83"/>
      <c r="AS90" s="249"/>
      <c r="AT90" s="251"/>
      <c r="AU90" s="251"/>
      <c r="AV90" s="251"/>
      <c r="AW90" s="251"/>
      <c r="AX90" s="251"/>
      <c r="AY90" s="252"/>
      <c r="BF90" s="252"/>
      <c r="BG90" s="252">
        <v>54.3</v>
      </c>
      <c r="BH90" s="252">
        <v>0</v>
      </c>
      <c r="BI90" s="252">
        <v>372</v>
      </c>
      <c r="BJ90" s="252">
        <v>27.8</v>
      </c>
      <c r="BK90" s="252">
        <v>0</v>
      </c>
      <c r="BL90" s="252">
        <v>68.900000000000006</v>
      </c>
    </row>
    <row r="91" spans="1:64" ht="15.75" thickBot="1" x14ac:dyDescent="0.3">
      <c r="A91" s="84" t="s">
        <v>421</v>
      </c>
      <c r="B91" s="77">
        <v>52.6</v>
      </c>
      <c r="C91" s="77">
        <v>0</v>
      </c>
      <c r="D91" s="77">
        <v>0</v>
      </c>
      <c r="E91" s="77">
        <v>0</v>
      </c>
      <c r="F91" s="77"/>
      <c r="G91" s="77"/>
      <c r="H91" s="77"/>
      <c r="I91" s="77">
        <v>0</v>
      </c>
      <c r="J91" s="77">
        <v>63.6</v>
      </c>
      <c r="K91" s="77">
        <v>68.900000000000006</v>
      </c>
      <c r="L91" s="77">
        <v>73.599999999999994</v>
      </c>
      <c r="M91" s="77">
        <v>73.599999999999994</v>
      </c>
      <c r="N91" s="77">
        <v>77.599999999999994</v>
      </c>
      <c r="O91" s="77">
        <v>74.900000000000006</v>
      </c>
      <c r="P91" s="77">
        <v>76</v>
      </c>
      <c r="Q91" s="77">
        <v>71</v>
      </c>
      <c r="R91" s="77">
        <v>72.099999999999994</v>
      </c>
      <c r="S91" s="77">
        <v>74.2</v>
      </c>
      <c r="T91" s="77">
        <v>76</v>
      </c>
      <c r="U91" s="77">
        <v>76.099999999999994</v>
      </c>
      <c r="V91" s="77">
        <v>60</v>
      </c>
      <c r="W91" s="77">
        <v>57</v>
      </c>
      <c r="X91" s="77">
        <v>57</v>
      </c>
      <c r="Y91" s="77">
        <v>59.6</v>
      </c>
      <c r="Z91" s="77">
        <v>64.3</v>
      </c>
      <c r="AA91" s="77">
        <v>65</v>
      </c>
      <c r="AB91" s="77">
        <v>50</v>
      </c>
      <c r="AC91" s="77">
        <v>48.6</v>
      </c>
      <c r="AD91" s="77">
        <v>48</v>
      </c>
      <c r="AE91" s="77">
        <v>68.099999999999994</v>
      </c>
      <c r="AF91" s="77">
        <v>66.7</v>
      </c>
      <c r="AG91" s="85"/>
      <c r="AH91" s="47">
        <f t="shared" si="32"/>
        <v>77.599999999999994</v>
      </c>
      <c r="AI91" s="48">
        <f t="shared" si="33"/>
        <v>0</v>
      </c>
      <c r="AK91" s="86"/>
      <c r="AL91" s="45"/>
      <c r="AM91" s="45"/>
      <c r="AN91" s="87"/>
      <c r="AS91" s="249"/>
      <c r="AT91" s="251"/>
      <c r="AU91" s="251"/>
      <c r="AV91" s="251"/>
      <c r="AW91" s="251"/>
      <c r="AX91" s="251"/>
      <c r="AY91" s="252"/>
      <c r="BF91" s="252"/>
      <c r="BG91" s="252">
        <v>68.3</v>
      </c>
      <c r="BH91" s="252">
        <v>0</v>
      </c>
      <c r="BI91" s="252">
        <v>326.7</v>
      </c>
      <c r="BJ91" s="252">
        <v>25</v>
      </c>
      <c r="BK91" s="252">
        <v>0</v>
      </c>
      <c r="BL91" s="252">
        <v>73.599999999999994</v>
      </c>
    </row>
    <row r="92" spans="1:64" ht="15.75" thickBot="1" x14ac:dyDescent="0.3">
      <c r="A92" s="74" t="s">
        <v>95</v>
      </c>
      <c r="B92" s="60">
        <f t="shared" ref="B92:C92" si="34">SUMIF(B81:B91,"&gt;0")</f>
        <v>521.59999999999991</v>
      </c>
      <c r="C92" s="60">
        <f t="shared" si="34"/>
        <v>432.29999999999995</v>
      </c>
      <c r="D92" s="60">
        <f t="shared" ref="D92" si="35">SUMIF(D81:D91,"&gt;0")</f>
        <v>461.4</v>
      </c>
      <c r="E92" s="60">
        <f t="shared" ref="E92:AF92" si="36">SUMIF(E81:E91,"&gt;0")</f>
        <v>475.9</v>
      </c>
      <c r="F92" s="60">
        <f t="shared" si="36"/>
        <v>454.9</v>
      </c>
      <c r="G92" s="60">
        <f t="shared" si="36"/>
        <v>490</v>
      </c>
      <c r="H92" s="60">
        <f t="shared" si="36"/>
        <v>477.8</v>
      </c>
      <c r="I92" s="60">
        <f t="shared" si="36"/>
        <v>486.1</v>
      </c>
      <c r="J92" s="60">
        <f t="shared" si="36"/>
        <v>547.4</v>
      </c>
      <c r="K92" s="60">
        <f t="shared" si="36"/>
        <v>523</v>
      </c>
      <c r="L92" s="60">
        <f t="shared" si="36"/>
        <v>554.1</v>
      </c>
      <c r="M92" s="60">
        <f t="shared" si="36"/>
        <v>493.6</v>
      </c>
      <c r="N92" s="60">
        <f t="shared" si="36"/>
        <v>494.6</v>
      </c>
      <c r="O92" s="60">
        <f t="shared" si="36"/>
        <v>527.4</v>
      </c>
      <c r="P92" s="60">
        <f t="shared" si="36"/>
        <v>547.70000000000005</v>
      </c>
      <c r="Q92" s="60">
        <f t="shared" si="36"/>
        <v>716.8</v>
      </c>
      <c r="R92" s="60">
        <f t="shared" si="36"/>
        <v>646.4</v>
      </c>
      <c r="S92" s="60">
        <f t="shared" si="36"/>
        <v>692.7</v>
      </c>
      <c r="T92" s="60">
        <f t="shared" si="36"/>
        <v>673</v>
      </c>
      <c r="U92" s="60">
        <f t="shared" si="36"/>
        <v>640.1</v>
      </c>
      <c r="V92" s="60">
        <f t="shared" si="36"/>
        <v>592.4</v>
      </c>
      <c r="W92" s="60">
        <f t="shared" si="36"/>
        <v>552.20000000000005</v>
      </c>
      <c r="X92" s="60">
        <f t="shared" si="36"/>
        <v>551</v>
      </c>
      <c r="Y92" s="60">
        <f>SUMIF(Y81:Y91,"&gt;0")</f>
        <v>555.6</v>
      </c>
      <c r="Z92" s="60">
        <f>SUMIF(Z81:Z91,"&gt;0")</f>
        <v>553.4</v>
      </c>
      <c r="AA92" s="60">
        <f t="shared" si="36"/>
        <v>567</v>
      </c>
      <c r="AB92" s="60">
        <f t="shared" si="36"/>
        <v>508.09999999999997</v>
      </c>
      <c r="AC92" s="60">
        <f t="shared" si="36"/>
        <v>555.20000000000005</v>
      </c>
      <c r="AD92" s="60">
        <f t="shared" si="36"/>
        <v>591.6</v>
      </c>
      <c r="AE92" s="60">
        <f t="shared" si="36"/>
        <v>561.79999999999995</v>
      </c>
      <c r="AF92" s="60">
        <f t="shared" si="36"/>
        <v>555.70000000000005</v>
      </c>
      <c r="AG92" s="88">
        <f>SUM(AG81:AG91)</f>
        <v>0</v>
      </c>
      <c r="AH92" s="47">
        <f t="shared" si="32"/>
        <v>716.8</v>
      </c>
      <c r="AI92" s="48">
        <f t="shared" si="33"/>
        <v>432.29999999999995</v>
      </c>
      <c r="AK92" s="86"/>
      <c r="AL92" s="77"/>
      <c r="AM92" s="89"/>
      <c r="AN92" s="255"/>
      <c r="AS92" s="249"/>
      <c r="AT92" s="251"/>
      <c r="AU92" s="251"/>
      <c r="AV92" s="251"/>
      <c r="AW92" s="251"/>
      <c r="AX92" s="251"/>
      <c r="AY92" s="252"/>
      <c r="BF92" s="252"/>
      <c r="BG92" s="252">
        <v>57.9</v>
      </c>
      <c r="BH92" s="252">
        <v>0</v>
      </c>
      <c r="BI92" s="252">
        <v>331.1</v>
      </c>
      <c r="BJ92" s="252">
        <v>28</v>
      </c>
      <c r="BK92" s="252">
        <v>0</v>
      </c>
      <c r="BL92" s="252">
        <v>77.599999999999994</v>
      </c>
    </row>
    <row r="93" spans="1:64" x14ac:dyDescent="0.25">
      <c r="A93" s="44" t="s">
        <v>96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32"/>
        <v>0</v>
      </c>
      <c r="AI93" s="48">
        <f t="shared" si="33"/>
        <v>0</v>
      </c>
      <c r="AK93" s="86"/>
      <c r="AL93" s="77"/>
      <c r="AM93" s="77"/>
      <c r="AN93" s="256"/>
      <c r="BF93" s="252"/>
      <c r="BG93" s="252">
        <v>54.7</v>
      </c>
      <c r="BH93" s="252">
        <v>0</v>
      </c>
      <c r="BI93" s="252">
        <v>359.8</v>
      </c>
      <c r="BJ93" s="252">
        <v>38</v>
      </c>
      <c r="BK93" s="252">
        <v>0</v>
      </c>
      <c r="BL93" s="252">
        <v>74.900000000000006</v>
      </c>
    </row>
    <row r="94" spans="1:64" ht="15.75" thickBot="1" x14ac:dyDescent="0.3">
      <c r="A94" s="54" t="s">
        <v>97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32"/>
        <v>0</v>
      </c>
      <c r="AI94" s="48">
        <f t="shared" si="33"/>
        <v>0</v>
      </c>
      <c r="AK94" s="91"/>
      <c r="AL94" s="92"/>
      <c r="AM94" s="92"/>
      <c r="AN94" s="93"/>
      <c r="BF94" s="252"/>
      <c r="BG94" s="252">
        <v>50.7</v>
      </c>
      <c r="BH94" s="252">
        <v>0</v>
      </c>
      <c r="BI94" s="252">
        <v>375</v>
      </c>
      <c r="BJ94" s="252">
        <v>46</v>
      </c>
      <c r="BK94" s="252">
        <v>0</v>
      </c>
      <c r="BL94" s="252">
        <v>76</v>
      </c>
    </row>
    <row r="95" spans="1:64" ht="15.75" thickBot="1" x14ac:dyDescent="0.3">
      <c r="A95" s="84" t="s">
        <v>98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32"/>
        <v>0</v>
      </c>
      <c r="AI95" s="48">
        <f t="shared" si="33"/>
        <v>0</v>
      </c>
      <c r="BF95" s="252"/>
      <c r="BG95" s="252">
        <v>55.8</v>
      </c>
      <c r="BH95" s="252">
        <v>0</v>
      </c>
      <c r="BI95" s="252">
        <v>428</v>
      </c>
      <c r="BJ95" s="252">
        <v>52</v>
      </c>
      <c r="BK95" s="252">
        <v>110</v>
      </c>
      <c r="BL95" s="252">
        <v>71</v>
      </c>
    </row>
    <row r="96" spans="1:64" ht="15.75" thickBot="1" x14ac:dyDescent="0.3">
      <c r="A96" s="74" t="s">
        <v>99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32"/>
        <v>0</v>
      </c>
      <c r="AI96" s="48">
        <f t="shared" si="33"/>
        <v>0</v>
      </c>
      <c r="BF96" s="252"/>
      <c r="BG96" s="252">
        <v>59</v>
      </c>
      <c r="BH96" s="252">
        <v>0</v>
      </c>
      <c r="BI96" s="252">
        <v>376.3</v>
      </c>
      <c r="BJ96" s="252">
        <v>44</v>
      </c>
      <c r="BK96" s="252">
        <v>95</v>
      </c>
      <c r="BL96" s="252">
        <v>72.099999999999994</v>
      </c>
    </row>
    <row r="97" spans="1:64" ht="15.75" thickBot="1" x14ac:dyDescent="0.3">
      <c r="A97" s="74" t="s">
        <v>100</v>
      </c>
      <c r="B97" s="95">
        <f t="shared" ref="B97:C97" si="37">B58+B62+B80+B76+B92+B96</f>
        <v>1142.7399999999998</v>
      </c>
      <c r="C97" s="95">
        <f t="shared" si="37"/>
        <v>1053.44</v>
      </c>
      <c r="D97" s="95">
        <f t="shared" ref="D97" si="38">D58+D62+D80+D76+D92+D96</f>
        <v>1082.54</v>
      </c>
      <c r="E97" s="95">
        <f t="shared" ref="E97:AG97" si="39">E58+E62+E80+E76+E92+E96</f>
        <v>1099.44</v>
      </c>
      <c r="F97" s="95">
        <f t="shared" si="39"/>
        <v>1078.44</v>
      </c>
      <c r="G97" s="95">
        <f t="shared" si="39"/>
        <v>1140.1399999999999</v>
      </c>
      <c r="H97" s="95">
        <f t="shared" si="39"/>
        <v>1219.3399999999999</v>
      </c>
      <c r="I97" s="95">
        <f t="shared" si="39"/>
        <v>1301.7399999999998</v>
      </c>
      <c r="J97" s="95">
        <f t="shared" si="39"/>
        <v>1416.8400000000001</v>
      </c>
      <c r="K97" s="95">
        <f t="shared" si="39"/>
        <v>1409.1399999999999</v>
      </c>
      <c r="L97" s="95">
        <f t="shared" si="39"/>
        <v>1490.3400000000001</v>
      </c>
      <c r="M97" s="95">
        <f t="shared" si="39"/>
        <v>1550.1399999999999</v>
      </c>
      <c r="N97" s="95">
        <f t="shared" si="39"/>
        <v>1478.94</v>
      </c>
      <c r="O97" s="95">
        <f t="shared" si="39"/>
        <v>1459.2399999999998</v>
      </c>
      <c r="P97" s="95">
        <f t="shared" si="39"/>
        <v>1526.54</v>
      </c>
      <c r="Q97" s="95">
        <f t="shared" si="39"/>
        <v>1597.34</v>
      </c>
      <c r="R97" s="95">
        <f t="shared" si="39"/>
        <v>1485.2400000000002</v>
      </c>
      <c r="S97" s="95">
        <f t="shared" si="39"/>
        <v>1535.8400000000001</v>
      </c>
      <c r="T97" s="95">
        <f t="shared" si="39"/>
        <v>1533.24</v>
      </c>
      <c r="U97" s="95">
        <f t="shared" si="39"/>
        <v>1547.54</v>
      </c>
      <c r="V97" s="95">
        <f t="shared" si="39"/>
        <v>1394.14</v>
      </c>
      <c r="W97" s="95">
        <f t="shared" si="39"/>
        <v>1437.64</v>
      </c>
      <c r="X97" s="95">
        <f t="shared" si="39"/>
        <v>1546.24</v>
      </c>
      <c r="Y97" s="95">
        <f>Y58+Y62+Y80+Y76+Y92+Y96</f>
        <v>1633.52</v>
      </c>
      <c r="Z97" s="95">
        <f>Z58+Z62+Z80+Z76+Z92+Z96</f>
        <v>1605.1</v>
      </c>
      <c r="AA97" s="95">
        <f t="shared" si="39"/>
        <v>1593.14</v>
      </c>
      <c r="AB97" s="95">
        <f t="shared" si="39"/>
        <v>1505.04</v>
      </c>
      <c r="AC97" s="95">
        <f t="shared" si="39"/>
        <v>1481.24</v>
      </c>
      <c r="AD97" s="95">
        <f t="shared" si="39"/>
        <v>1516.04</v>
      </c>
      <c r="AE97" s="95">
        <f t="shared" si="39"/>
        <v>1355.3400000000001</v>
      </c>
      <c r="AF97" s="95">
        <f t="shared" si="39"/>
        <v>1215.04</v>
      </c>
      <c r="AG97" s="61">
        <f t="shared" si="39"/>
        <v>2231.81</v>
      </c>
      <c r="AH97" s="47">
        <f t="shared" si="32"/>
        <v>1633.52</v>
      </c>
      <c r="AI97" s="48">
        <f t="shared" si="33"/>
        <v>1053.44</v>
      </c>
      <c r="BF97" s="252"/>
      <c r="BG97" s="252">
        <v>76</v>
      </c>
      <c r="BH97" s="252">
        <v>0</v>
      </c>
      <c r="BI97" s="252">
        <v>442</v>
      </c>
      <c r="BJ97" s="252">
        <v>46</v>
      </c>
      <c r="BK97" s="252">
        <v>54.5</v>
      </c>
      <c r="BL97" s="252">
        <v>74.2</v>
      </c>
    </row>
    <row r="98" spans="1:64" ht="15.75" thickBot="1" x14ac:dyDescent="0.3">
      <c r="A98" s="96" t="s">
        <v>101</v>
      </c>
      <c r="B98" s="97">
        <v>0</v>
      </c>
      <c r="C98" s="97">
        <v>0</v>
      </c>
      <c r="D98" s="97">
        <v>0</v>
      </c>
      <c r="E98" s="97">
        <v>0</v>
      </c>
      <c r="F98" s="97"/>
      <c r="G98" s="97"/>
      <c r="H98" s="97"/>
      <c r="I98" s="97"/>
      <c r="J98" s="97"/>
      <c r="K98" s="97">
        <v>250</v>
      </c>
      <c r="L98" s="97">
        <v>250</v>
      </c>
      <c r="M98" s="97">
        <v>200</v>
      </c>
      <c r="N98" s="97">
        <v>150</v>
      </c>
      <c r="O98" s="97">
        <v>100</v>
      </c>
      <c r="P98" s="97">
        <v>70</v>
      </c>
      <c r="Q98" s="97"/>
      <c r="R98" s="97"/>
      <c r="S98" s="97"/>
      <c r="T98" s="97"/>
      <c r="U98" s="97"/>
      <c r="V98" s="97">
        <v>100</v>
      </c>
      <c r="W98" s="97">
        <v>150</v>
      </c>
      <c r="X98" s="97">
        <v>200</v>
      </c>
      <c r="Y98" s="97">
        <v>250</v>
      </c>
      <c r="Z98" s="97">
        <v>250</v>
      </c>
      <c r="AA98" s="97">
        <v>250</v>
      </c>
      <c r="AB98" s="97">
        <v>250</v>
      </c>
      <c r="AC98" s="97">
        <v>200</v>
      </c>
      <c r="AD98" s="97"/>
      <c r="AE98" s="97"/>
      <c r="AF98" s="97"/>
      <c r="AG98" s="88"/>
      <c r="AH98" s="47">
        <f t="shared" si="32"/>
        <v>250</v>
      </c>
      <c r="AI98" s="48">
        <f t="shared" si="33"/>
        <v>0</v>
      </c>
      <c r="BF98" s="252"/>
      <c r="BG98" s="252">
        <v>72</v>
      </c>
      <c r="BH98" s="252">
        <v>0</v>
      </c>
      <c r="BI98" s="252">
        <v>415</v>
      </c>
      <c r="BJ98" s="252">
        <v>45</v>
      </c>
      <c r="BK98" s="252">
        <v>65</v>
      </c>
      <c r="BL98" s="252">
        <v>76</v>
      </c>
    </row>
    <row r="99" spans="1:64" ht="15.75" thickBot="1" x14ac:dyDescent="0.3">
      <c r="A99" s="74" t="s">
        <v>102</v>
      </c>
      <c r="B99" s="95">
        <f t="shared" ref="B99:C99" si="40">B97+B98</f>
        <v>1142.7399999999998</v>
      </c>
      <c r="C99" s="95">
        <f t="shared" si="40"/>
        <v>1053.44</v>
      </c>
      <c r="D99" s="95">
        <f t="shared" ref="D99" si="41">D97+D98</f>
        <v>1082.54</v>
      </c>
      <c r="E99" s="95">
        <f t="shared" ref="E99:AF99" si="42">E97+E98</f>
        <v>1099.44</v>
      </c>
      <c r="F99" s="95">
        <f t="shared" si="42"/>
        <v>1078.44</v>
      </c>
      <c r="G99" s="95">
        <f t="shared" si="42"/>
        <v>1140.1399999999999</v>
      </c>
      <c r="H99" s="95">
        <f t="shared" si="42"/>
        <v>1219.3399999999999</v>
      </c>
      <c r="I99" s="95">
        <f t="shared" si="42"/>
        <v>1301.7399999999998</v>
      </c>
      <c r="J99" s="95">
        <f t="shared" si="42"/>
        <v>1416.8400000000001</v>
      </c>
      <c r="K99" s="95">
        <f t="shared" si="42"/>
        <v>1659.1399999999999</v>
      </c>
      <c r="L99" s="95">
        <f t="shared" si="42"/>
        <v>1740.3400000000001</v>
      </c>
      <c r="M99" s="95">
        <f t="shared" si="42"/>
        <v>1750.1399999999999</v>
      </c>
      <c r="N99" s="95">
        <f t="shared" si="42"/>
        <v>1628.94</v>
      </c>
      <c r="O99" s="95">
        <f t="shared" si="42"/>
        <v>1559.2399999999998</v>
      </c>
      <c r="P99" s="95">
        <f t="shared" si="42"/>
        <v>1596.54</v>
      </c>
      <c r="Q99" s="95">
        <f t="shared" si="42"/>
        <v>1597.34</v>
      </c>
      <c r="R99" s="95">
        <f t="shared" si="42"/>
        <v>1485.2400000000002</v>
      </c>
      <c r="S99" s="95">
        <f t="shared" si="42"/>
        <v>1535.8400000000001</v>
      </c>
      <c r="T99" s="95">
        <f t="shared" si="42"/>
        <v>1533.24</v>
      </c>
      <c r="U99" s="95">
        <f t="shared" si="42"/>
        <v>1547.54</v>
      </c>
      <c r="V99" s="95">
        <f t="shared" si="42"/>
        <v>1494.14</v>
      </c>
      <c r="W99" s="95">
        <f t="shared" si="42"/>
        <v>1587.64</v>
      </c>
      <c r="X99" s="95">
        <f t="shared" si="42"/>
        <v>1746.24</v>
      </c>
      <c r="Y99" s="95">
        <f>Y97+Y98</f>
        <v>1883.52</v>
      </c>
      <c r="Z99" s="95">
        <f>Z97+Z98</f>
        <v>1855.1</v>
      </c>
      <c r="AA99" s="95">
        <f t="shared" si="42"/>
        <v>1843.14</v>
      </c>
      <c r="AB99" s="95">
        <f t="shared" si="42"/>
        <v>1755.04</v>
      </c>
      <c r="AC99" s="95">
        <f t="shared" si="42"/>
        <v>1681.24</v>
      </c>
      <c r="AD99" s="95">
        <f t="shared" si="42"/>
        <v>1516.04</v>
      </c>
      <c r="AE99" s="95">
        <f t="shared" si="42"/>
        <v>1355.3400000000001</v>
      </c>
      <c r="AF99" s="95">
        <f t="shared" si="42"/>
        <v>1215.04</v>
      </c>
      <c r="AG99" s="88">
        <f>AG96+AG92+AG80+AG76+AG58+AG98</f>
        <v>1693.71</v>
      </c>
      <c r="AH99" s="47">
        <f t="shared" si="32"/>
        <v>1883.52</v>
      </c>
      <c r="AI99" s="48">
        <f t="shared" si="33"/>
        <v>1053.44</v>
      </c>
      <c r="BF99" s="252"/>
      <c r="BG99" s="252">
        <v>59.8</v>
      </c>
      <c r="BH99" s="252">
        <v>0</v>
      </c>
      <c r="BI99" s="252">
        <v>385</v>
      </c>
      <c r="BJ99" s="252">
        <v>43.1</v>
      </c>
      <c r="BK99" s="252">
        <v>76.099999999999994</v>
      </c>
      <c r="BL99" s="252">
        <v>76.099999999999994</v>
      </c>
    </row>
    <row r="100" spans="1:64" ht="15.75" thickBot="1" x14ac:dyDescent="0.3">
      <c r="A100" s="74" t="s">
        <v>103</v>
      </c>
      <c r="B100" s="95">
        <f t="shared" ref="B100:C100" si="43">B99-(B107)</f>
        <v>1142.7399999999998</v>
      </c>
      <c r="C100" s="95">
        <f t="shared" si="43"/>
        <v>1053.44</v>
      </c>
      <c r="D100" s="95">
        <f t="shared" ref="D100" si="44">D99-(D107)</f>
        <v>1082.54</v>
      </c>
      <c r="E100" s="95">
        <f t="shared" ref="E100:M100" si="45">E99-(E107)</f>
        <v>1099.44</v>
      </c>
      <c r="F100" s="95">
        <f t="shared" si="45"/>
        <v>1078.44</v>
      </c>
      <c r="G100" s="95">
        <f t="shared" si="45"/>
        <v>1140.1399999999999</v>
      </c>
      <c r="H100" s="95">
        <f t="shared" si="45"/>
        <v>1219.3399999999999</v>
      </c>
      <c r="I100" s="95">
        <f t="shared" si="45"/>
        <v>1301.7399999999998</v>
      </c>
      <c r="J100" s="95">
        <f t="shared" si="45"/>
        <v>1416.8400000000001</v>
      </c>
      <c r="K100" s="95">
        <f t="shared" si="45"/>
        <v>1659.1399999999999</v>
      </c>
      <c r="L100" s="95">
        <f t="shared" si="45"/>
        <v>1740.3400000000001</v>
      </c>
      <c r="M100" s="95">
        <f t="shared" si="45"/>
        <v>1750.1399999999999</v>
      </c>
      <c r="N100" s="95">
        <f>N99-(N107)</f>
        <v>1628.94</v>
      </c>
      <c r="O100" s="95">
        <f t="shared" ref="O100:AF100" si="46">O99-(O107)</f>
        <v>1559.2399999999998</v>
      </c>
      <c r="P100" s="95">
        <f t="shared" si="46"/>
        <v>1596.54</v>
      </c>
      <c r="Q100" s="95">
        <f t="shared" si="46"/>
        <v>1597.34</v>
      </c>
      <c r="R100" s="95">
        <f t="shared" si="46"/>
        <v>1485.2400000000002</v>
      </c>
      <c r="S100" s="95">
        <f t="shared" si="46"/>
        <v>1535.8400000000001</v>
      </c>
      <c r="T100" s="95">
        <f t="shared" si="46"/>
        <v>1533.24</v>
      </c>
      <c r="U100" s="95">
        <f t="shared" si="46"/>
        <v>1547.54</v>
      </c>
      <c r="V100" s="95">
        <f t="shared" si="46"/>
        <v>1494.14</v>
      </c>
      <c r="W100" s="95">
        <f t="shared" si="46"/>
        <v>1587.64</v>
      </c>
      <c r="X100" s="95">
        <f t="shared" si="46"/>
        <v>1746.24</v>
      </c>
      <c r="Y100" s="95">
        <f t="shared" si="46"/>
        <v>1883.52</v>
      </c>
      <c r="Z100" s="95">
        <f t="shared" si="46"/>
        <v>1855.1</v>
      </c>
      <c r="AA100" s="95">
        <f t="shared" si="46"/>
        <v>1843.14</v>
      </c>
      <c r="AB100" s="95">
        <f t="shared" si="46"/>
        <v>1755.04</v>
      </c>
      <c r="AC100" s="95">
        <f t="shared" si="46"/>
        <v>1681.24</v>
      </c>
      <c r="AD100" s="95">
        <f t="shared" si="46"/>
        <v>1516.04</v>
      </c>
      <c r="AE100" s="95">
        <f t="shared" si="46"/>
        <v>1355.3400000000001</v>
      </c>
      <c r="AF100" s="95">
        <f t="shared" si="46"/>
        <v>1215.04</v>
      </c>
      <c r="AG100" s="88"/>
      <c r="AH100" s="47">
        <f t="shared" si="32"/>
        <v>1883.52</v>
      </c>
      <c r="AI100" s="48">
        <f t="shared" si="33"/>
        <v>1053.44</v>
      </c>
      <c r="BF100" s="252"/>
      <c r="BG100" s="252">
        <v>58.4</v>
      </c>
      <c r="BH100" s="252">
        <v>0</v>
      </c>
      <c r="BI100" s="252">
        <v>391</v>
      </c>
      <c r="BJ100" s="252">
        <v>26</v>
      </c>
      <c r="BK100" s="252">
        <v>57</v>
      </c>
      <c r="BL100" s="252">
        <v>60</v>
      </c>
    </row>
    <row r="101" spans="1:64" x14ac:dyDescent="0.25">
      <c r="A101" s="44" t="s">
        <v>84</v>
      </c>
      <c r="B101" s="76">
        <f t="shared" ref="B101:C101" si="47">IF(B84&lt;0,B84*-1,0)</f>
        <v>0</v>
      </c>
      <c r="C101" s="76">
        <f t="shared" si="47"/>
        <v>0</v>
      </c>
      <c r="D101" s="76">
        <f t="shared" ref="D101" si="48">IF(D84&lt;0,D84*-1,0)</f>
        <v>0</v>
      </c>
      <c r="E101" s="76">
        <f t="shared" ref="E101:AF101" si="49">IF(E84&lt;0,E84*-1,0)</f>
        <v>0</v>
      </c>
      <c r="F101" s="76">
        <f t="shared" si="49"/>
        <v>0</v>
      </c>
      <c r="G101" s="76">
        <f t="shared" si="49"/>
        <v>0</v>
      </c>
      <c r="H101" s="76">
        <f t="shared" si="49"/>
        <v>0</v>
      </c>
      <c r="I101" s="76">
        <f t="shared" si="49"/>
        <v>0</v>
      </c>
      <c r="J101" s="76">
        <f t="shared" si="49"/>
        <v>0</v>
      </c>
      <c r="K101" s="76">
        <f t="shared" si="49"/>
        <v>0</v>
      </c>
      <c r="L101" s="76">
        <f t="shared" si="49"/>
        <v>0</v>
      </c>
      <c r="M101" s="76">
        <f t="shared" si="49"/>
        <v>0</v>
      </c>
      <c r="N101" s="76">
        <f t="shared" si="49"/>
        <v>0</v>
      </c>
      <c r="O101" s="76">
        <f t="shared" si="49"/>
        <v>0</v>
      </c>
      <c r="P101" s="76">
        <f t="shared" si="49"/>
        <v>0</v>
      </c>
      <c r="Q101" s="76">
        <f t="shared" si="49"/>
        <v>0</v>
      </c>
      <c r="R101" s="76">
        <f t="shared" si="49"/>
        <v>0</v>
      </c>
      <c r="S101" s="76">
        <f t="shared" si="49"/>
        <v>0</v>
      </c>
      <c r="T101" s="76">
        <f t="shared" si="49"/>
        <v>0</v>
      </c>
      <c r="U101" s="76">
        <f t="shared" si="49"/>
        <v>0</v>
      </c>
      <c r="V101" s="76">
        <f t="shared" si="49"/>
        <v>0</v>
      </c>
      <c r="W101" s="76">
        <f t="shared" si="49"/>
        <v>0</v>
      </c>
      <c r="X101" s="76">
        <f t="shared" si="49"/>
        <v>0</v>
      </c>
      <c r="Y101" s="76">
        <f t="shared" si="49"/>
        <v>0</v>
      </c>
      <c r="Z101" s="76">
        <f t="shared" si="49"/>
        <v>0</v>
      </c>
      <c r="AA101" s="76">
        <f t="shared" si="49"/>
        <v>0</v>
      </c>
      <c r="AB101" s="76">
        <f t="shared" si="49"/>
        <v>0</v>
      </c>
      <c r="AC101" s="76">
        <f t="shared" si="49"/>
        <v>0</v>
      </c>
      <c r="AD101" s="76">
        <f t="shared" si="49"/>
        <v>0</v>
      </c>
      <c r="AE101" s="76">
        <f t="shared" si="49"/>
        <v>0</v>
      </c>
      <c r="AF101" s="76">
        <f t="shared" si="49"/>
        <v>0</v>
      </c>
      <c r="AG101" s="52"/>
      <c r="AH101" s="47">
        <f t="shared" si="32"/>
        <v>0</v>
      </c>
      <c r="AI101" s="48">
        <f t="shared" si="33"/>
        <v>0</v>
      </c>
      <c r="BF101" s="251"/>
      <c r="BG101" s="252">
        <v>61</v>
      </c>
      <c r="BH101" s="252">
        <v>0</v>
      </c>
      <c r="BI101" s="252">
        <v>383</v>
      </c>
      <c r="BJ101" s="252">
        <v>20</v>
      </c>
      <c r="BK101" s="252">
        <v>30</v>
      </c>
      <c r="BL101" s="252">
        <v>57</v>
      </c>
    </row>
    <row r="102" spans="1:64" x14ac:dyDescent="0.25">
      <c r="A102" s="54" t="s">
        <v>82</v>
      </c>
      <c r="B102" s="76">
        <f t="shared" ref="B102:C102" si="50">IF(B82&lt;0,B82*-1,0)</f>
        <v>0</v>
      </c>
      <c r="C102" s="76">
        <f t="shared" si="50"/>
        <v>0</v>
      </c>
      <c r="D102" s="76">
        <f t="shared" ref="D102" si="51">IF(D82&lt;0,D82*-1,0)</f>
        <v>0</v>
      </c>
      <c r="E102" s="76">
        <f t="shared" ref="E102:AF102" si="52">IF(E82&lt;0,E82*-1,0)</f>
        <v>0</v>
      </c>
      <c r="F102" s="76">
        <f t="shared" si="52"/>
        <v>0</v>
      </c>
      <c r="G102" s="76">
        <f t="shared" si="52"/>
        <v>0</v>
      </c>
      <c r="H102" s="76">
        <f t="shared" si="52"/>
        <v>0</v>
      </c>
      <c r="I102" s="76">
        <f t="shared" si="52"/>
        <v>0</v>
      </c>
      <c r="J102" s="76">
        <f t="shared" si="52"/>
        <v>0</v>
      </c>
      <c r="K102" s="76">
        <f t="shared" si="52"/>
        <v>0</v>
      </c>
      <c r="L102" s="76">
        <f t="shared" si="52"/>
        <v>0</v>
      </c>
      <c r="M102" s="76">
        <f t="shared" si="52"/>
        <v>0</v>
      </c>
      <c r="N102" s="76">
        <f t="shared" si="52"/>
        <v>0</v>
      </c>
      <c r="O102" s="76">
        <f t="shared" si="52"/>
        <v>0</v>
      </c>
      <c r="P102" s="76">
        <f t="shared" si="52"/>
        <v>0</v>
      </c>
      <c r="Q102" s="76">
        <f t="shared" si="52"/>
        <v>0</v>
      </c>
      <c r="R102" s="76">
        <f t="shared" si="52"/>
        <v>0</v>
      </c>
      <c r="S102" s="76">
        <f t="shared" si="52"/>
        <v>0</v>
      </c>
      <c r="T102" s="76">
        <f t="shared" si="52"/>
        <v>0</v>
      </c>
      <c r="U102" s="76">
        <f t="shared" si="52"/>
        <v>0</v>
      </c>
      <c r="V102" s="76">
        <f t="shared" si="52"/>
        <v>0</v>
      </c>
      <c r="W102" s="76">
        <f t="shared" si="52"/>
        <v>0</v>
      </c>
      <c r="X102" s="76">
        <f t="shared" si="52"/>
        <v>0</v>
      </c>
      <c r="Y102" s="76">
        <f t="shared" si="52"/>
        <v>0</v>
      </c>
      <c r="Z102" s="76">
        <f t="shared" si="52"/>
        <v>0</v>
      </c>
      <c r="AA102" s="76">
        <f t="shared" si="52"/>
        <v>0</v>
      </c>
      <c r="AB102" s="76">
        <f t="shared" si="52"/>
        <v>0</v>
      </c>
      <c r="AC102" s="76">
        <f t="shared" si="52"/>
        <v>0</v>
      </c>
      <c r="AD102" s="76">
        <f t="shared" si="52"/>
        <v>0</v>
      </c>
      <c r="AE102" s="76">
        <f t="shared" si="52"/>
        <v>0</v>
      </c>
      <c r="AF102" s="76">
        <f t="shared" si="52"/>
        <v>0</v>
      </c>
      <c r="AG102" s="55"/>
      <c r="AH102" s="47">
        <f t="shared" si="32"/>
        <v>0</v>
      </c>
      <c r="AI102" s="48">
        <f t="shared" si="33"/>
        <v>0</v>
      </c>
      <c r="BF102" s="251"/>
      <c r="BG102" s="252">
        <v>55</v>
      </c>
      <c r="BH102" s="252">
        <v>0</v>
      </c>
      <c r="BI102" s="252">
        <v>376</v>
      </c>
      <c r="BJ102" s="252">
        <v>22.1</v>
      </c>
      <c r="BK102" s="252">
        <v>36</v>
      </c>
      <c r="BL102" s="252">
        <v>64.3</v>
      </c>
    </row>
    <row r="103" spans="1:64" x14ac:dyDescent="0.25">
      <c r="A103" s="84" t="s">
        <v>104</v>
      </c>
      <c r="B103" s="76">
        <f t="shared" ref="B103:C103" si="53">IF(B85&lt;0,B85*-1,0)</f>
        <v>0</v>
      </c>
      <c r="C103" s="76">
        <f t="shared" si="53"/>
        <v>0</v>
      </c>
      <c r="D103" s="76">
        <f t="shared" ref="D103" si="54">IF(D85&lt;0,D85*-1,0)</f>
        <v>0</v>
      </c>
      <c r="E103" s="76">
        <f t="shared" ref="E103:AF103" si="55">IF(E85&lt;0,E85*-1,0)</f>
        <v>0</v>
      </c>
      <c r="F103" s="76">
        <f t="shared" si="55"/>
        <v>0</v>
      </c>
      <c r="G103" s="76">
        <f t="shared" si="55"/>
        <v>0</v>
      </c>
      <c r="H103" s="76">
        <f t="shared" si="55"/>
        <v>0</v>
      </c>
      <c r="I103" s="76">
        <f t="shared" si="55"/>
        <v>0</v>
      </c>
      <c r="J103" s="76">
        <f t="shared" si="55"/>
        <v>0</v>
      </c>
      <c r="K103" s="76">
        <f t="shared" si="55"/>
        <v>0</v>
      </c>
      <c r="L103" s="76">
        <f t="shared" si="55"/>
        <v>0</v>
      </c>
      <c r="M103" s="76">
        <f t="shared" si="55"/>
        <v>0</v>
      </c>
      <c r="N103" s="76">
        <f t="shared" si="55"/>
        <v>0</v>
      </c>
      <c r="O103" s="76">
        <f t="shared" si="55"/>
        <v>0</v>
      </c>
      <c r="P103" s="76">
        <f t="shared" si="55"/>
        <v>0</v>
      </c>
      <c r="Q103" s="76">
        <f t="shared" si="55"/>
        <v>0</v>
      </c>
      <c r="R103" s="76">
        <f t="shared" si="55"/>
        <v>0</v>
      </c>
      <c r="S103" s="76">
        <f t="shared" si="55"/>
        <v>0</v>
      </c>
      <c r="T103" s="76">
        <f t="shared" si="55"/>
        <v>0</v>
      </c>
      <c r="U103" s="76">
        <f t="shared" si="55"/>
        <v>0</v>
      </c>
      <c r="V103" s="76">
        <f t="shared" si="55"/>
        <v>0</v>
      </c>
      <c r="W103" s="76">
        <f t="shared" si="55"/>
        <v>0</v>
      </c>
      <c r="X103" s="76">
        <f t="shared" si="55"/>
        <v>0</v>
      </c>
      <c r="Y103" s="76">
        <f t="shared" si="55"/>
        <v>0</v>
      </c>
      <c r="Z103" s="76">
        <f t="shared" si="55"/>
        <v>0</v>
      </c>
      <c r="AA103" s="76">
        <f t="shared" si="55"/>
        <v>0</v>
      </c>
      <c r="AB103" s="76">
        <f t="shared" si="55"/>
        <v>0</v>
      </c>
      <c r="AC103" s="76">
        <f t="shared" si="55"/>
        <v>0</v>
      </c>
      <c r="AD103" s="76">
        <f t="shared" si="55"/>
        <v>0</v>
      </c>
      <c r="AE103" s="76">
        <f t="shared" si="55"/>
        <v>0</v>
      </c>
      <c r="AF103" s="76">
        <f t="shared" si="55"/>
        <v>0</v>
      </c>
      <c r="AG103" s="98"/>
      <c r="AH103" s="47">
        <f t="shared" si="32"/>
        <v>0</v>
      </c>
      <c r="AI103" s="48">
        <f t="shared" si="33"/>
        <v>0</v>
      </c>
      <c r="BF103" s="251"/>
      <c r="BG103" s="252">
        <v>60.9</v>
      </c>
      <c r="BH103" s="252">
        <v>0</v>
      </c>
      <c r="BI103" s="252">
        <v>338.2</v>
      </c>
      <c r="BJ103" s="252">
        <v>25</v>
      </c>
      <c r="BK103" s="252">
        <v>34</v>
      </c>
      <c r="BL103" s="252">
        <v>50</v>
      </c>
    </row>
    <row r="104" spans="1:64" x14ac:dyDescent="0.25">
      <c r="A104" s="84" t="s">
        <v>105</v>
      </c>
      <c r="B104" s="76">
        <f t="shared" ref="B104:C104" si="56">IF(B83&lt;0,B83*-1,0)</f>
        <v>0</v>
      </c>
      <c r="C104" s="76">
        <f t="shared" si="56"/>
        <v>0</v>
      </c>
      <c r="D104" s="76">
        <f t="shared" ref="D104" si="57">IF(D83&lt;0,D83*-1,0)</f>
        <v>0</v>
      </c>
      <c r="E104" s="76">
        <f t="shared" ref="E104:AF104" si="58">IF(E83&lt;0,E83*-1,0)</f>
        <v>0</v>
      </c>
      <c r="F104" s="76">
        <f t="shared" si="58"/>
        <v>0</v>
      </c>
      <c r="G104" s="76">
        <f t="shared" si="58"/>
        <v>0</v>
      </c>
      <c r="H104" s="76">
        <f t="shared" si="58"/>
        <v>0</v>
      </c>
      <c r="I104" s="76">
        <f t="shared" si="58"/>
        <v>0</v>
      </c>
      <c r="J104" s="76">
        <f t="shared" si="58"/>
        <v>0</v>
      </c>
      <c r="K104" s="76">
        <f t="shared" si="58"/>
        <v>0</v>
      </c>
      <c r="L104" s="76">
        <f t="shared" si="58"/>
        <v>0</v>
      </c>
      <c r="M104" s="76">
        <f t="shared" si="58"/>
        <v>0</v>
      </c>
      <c r="N104" s="76">
        <f t="shared" si="58"/>
        <v>0</v>
      </c>
      <c r="O104" s="76">
        <f t="shared" si="58"/>
        <v>0</v>
      </c>
      <c r="P104" s="76">
        <f t="shared" si="58"/>
        <v>0</v>
      </c>
      <c r="Q104" s="76">
        <f t="shared" si="58"/>
        <v>0</v>
      </c>
      <c r="R104" s="76">
        <f t="shared" si="58"/>
        <v>0</v>
      </c>
      <c r="S104" s="76">
        <f t="shared" si="58"/>
        <v>0</v>
      </c>
      <c r="T104" s="76">
        <f t="shared" si="58"/>
        <v>0</v>
      </c>
      <c r="U104" s="76">
        <f t="shared" si="58"/>
        <v>0</v>
      </c>
      <c r="V104" s="76">
        <f t="shared" si="58"/>
        <v>0</v>
      </c>
      <c r="W104" s="76">
        <f t="shared" si="58"/>
        <v>0</v>
      </c>
      <c r="X104" s="76">
        <f t="shared" si="58"/>
        <v>0</v>
      </c>
      <c r="Y104" s="76">
        <f t="shared" si="58"/>
        <v>0</v>
      </c>
      <c r="Z104" s="76">
        <f t="shared" si="58"/>
        <v>0</v>
      </c>
      <c r="AA104" s="76">
        <f t="shared" si="58"/>
        <v>0</v>
      </c>
      <c r="AB104" s="76">
        <f t="shared" si="58"/>
        <v>0</v>
      </c>
      <c r="AC104" s="76">
        <f t="shared" si="58"/>
        <v>0</v>
      </c>
      <c r="AD104" s="76">
        <f t="shared" si="58"/>
        <v>0</v>
      </c>
      <c r="AE104" s="76">
        <f t="shared" si="58"/>
        <v>0</v>
      </c>
      <c r="AF104" s="76">
        <f t="shared" si="58"/>
        <v>0</v>
      </c>
      <c r="AG104" s="98"/>
      <c r="AH104" s="47">
        <f t="shared" si="32"/>
        <v>0</v>
      </c>
      <c r="AI104" s="48">
        <f t="shared" si="33"/>
        <v>0</v>
      </c>
      <c r="BF104" s="251"/>
      <c r="BG104" s="252">
        <v>68.599999999999994</v>
      </c>
      <c r="BH104" s="252">
        <v>0</v>
      </c>
      <c r="BI104" s="252">
        <v>360</v>
      </c>
      <c r="BJ104" s="252">
        <v>34.4</v>
      </c>
      <c r="BK104" s="252">
        <v>80.599999999999994</v>
      </c>
      <c r="BL104" s="252">
        <v>48</v>
      </c>
    </row>
    <row r="105" spans="1:64" x14ac:dyDescent="0.25">
      <c r="A105" s="84" t="s">
        <v>81</v>
      </c>
      <c r="B105" s="76">
        <f t="shared" ref="B105:C105" si="59">IF(B81&lt;0,B81*-1,0)</f>
        <v>0</v>
      </c>
      <c r="C105" s="76">
        <f t="shared" si="59"/>
        <v>0</v>
      </c>
      <c r="D105" s="76">
        <f t="shared" ref="D105" si="60">IF(D81&lt;0,D81*-1,0)</f>
        <v>0</v>
      </c>
      <c r="E105" s="76">
        <f t="shared" ref="E105:AF105" si="61">IF(E81&lt;0,E81*-1,0)</f>
        <v>0</v>
      </c>
      <c r="F105" s="76">
        <f t="shared" si="61"/>
        <v>0</v>
      </c>
      <c r="G105" s="76">
        <f t="shared" si="61"/>
        <v>0</v>
      </c>
      <c r="H105" s="76">
        <f t="shared" si="61"/>
        <v>0</v>
      </c>
      <c r="I105" s="76">
        <f t="shared" si="61"/>
        <v>0</v>
      </c>
      <c r="J105" s="76">
        <f t="shared" si="61"/>
        <v>0</v>
      </c>
      <c r="K105" s="76">
        <f t="shared" si="61"/>
        <v>0</v>
      </c>
      <c r="L105" s="76">
        <f t="shared" si="61"/>
        <v>0</v>
      </c>
      <c r="M105" s="76">
        <f t="shared" si="61"/>
        <v>0</v>
      </c>
      <c r="N105" s="76">
        <f t="shared" si="61"/>
        <v>0</v>
      </c>
      <c r="O105" s="76">
        <f t="shared" si="61"/>
        <v>0</v>
      </c>
      <c r="P105" s="76">
        <f t="shared" si="61"/>
        <v>0</v>
      </c>
      <c r="Q105" s="76">
        <f t="shared" si="61"/>
        <v>0</v>
      </c>
      <c r="R105" s="76">
        <f t="shared" si="61"/>
        <v>0</v>
      </c>
      <c r="S105" s="76">
        <f t="shared" si="61"/>
        <v>0</v>
      </c>
      <c r="T105" s="76">
        <f t="shared" si="61"/>
        <v>0</v>
      </c>
      <c r="U105" s="76">
        <f t="shared" si="61"/>
        <v>0</v>
      </c>
      <c r="V105" s="76">
        <f t="shared" si="61"/>
        <v>0</v>
      </c>
      <c r="W105" s="76">
        <f t="shared" si="61"/>
        <v>0</v>
      </c>
      <c r="X105" s="76">
        <f t="shared" si="61"/>
        <v>0</v>
      </c>
      <c r="Y105" s="76">
        <f t="shared" si="61"/>
        <v>0</v>
      </c>
      <c r="Z105" s="76">
        <f t="shared" si="61"/>
        <v>0</v>
      </c>
      <c r="AA105" s="76">
        <f t="shared" si="61"/>
        <v>0</v>
      </c>
      <c r="AB105" s="76">
        <f t="shared" si="61"/>
        <v>0</v>
      </c>
      <c r="AC105" s="76">
        <f t="shared" si="61"/>
        <v>0</v>
      </c>
      <c r="AD105" s="76">
        <f t="shared" si="61"/>
        <v>0</v>
      </c>
      <c r="AE105" s="76">
        <f t="shared" si="61"/>
        <v>0</v>
      </c>
      <c r="AF105" s="76">
        <f t="shared" si="61"/>
        <v>0</v>
      </c>
      <c r="AG105" s="98"/>
      <c r="AH105" s="47">
        <f t="shared" si="32"/>
        <v>0</v>
      </c>
      <c r="AI105" s="48">
        <f t="shared" si="33"/>
        <v>0</v>
      </c>
      <c r="BF105" s="251"/>
      <c r="BG105" s="252">
        <v>64.7</v>
      </c>
      <c r="BH105" s="252">
        <v>0</v>
      </c>
      <c r="BI105" s="252">
        <v>270</v>
      </c>
      <c r="BJ105" s="252">
        <v>45</v>
      </c>
      <c r="BK105" s="252">
        <v>114</v>
      </c>
      <c r="BL105" s="252">
        <v>68.099999999999994</v>
      </c>
    </row>
    <row r="106" spans="1:64" ht="15.75" thickBot="1" x14ac:dyDescent="0.3">
      <c r="A106" s="84" t="s">
        <v>106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0</v>
      </c>
      <c r="AB106" s="94">
        <v>0</v>
      </c>
      <c r="AC106" s="94">
        <v>0</v>
      </c>
      <c r="AD106" s="94">
        <v>0</v>
      </c>
      <c r="AE106" s="94">
        <v>0</v>
      </c>
      <c r="AF106" s="94">
        <v>0</v>
      </c>
      <c r="AG106" s="85"/>
      <c r="AH106" s="47">
        <f t="shared" si="32"/>
        <v>0</v>
      </c>
      <c r="AI106" s="48">
        <f t="shared" si="33"/>
        <v>0</v>
      </c>
      <c r="BG106" s="252">
        <v>70</v>
      </c>
      <c r="BH106" s="252">
        <v>0</v>
      </c>
      <c r="BI106" s="252">
        <v>275</v>
      </c>
      <c r="BJ106" s="252">
        <v>40</v>
      </c>
      <c r="BK106" s="252">
        <v>104</v>
      </c>
      <c r="BL106" s="252">
        <v>66.7</v>
      </c>
    </row>
    <row r="107" spans="1:64" ht="15.75" thickBot="1" x14ac:dyDescent="0.3">
      <c r="A107" s="99" t="s">
        <v>107</v>
      </c>
      <c r="B107" s="60">
        <f t="shared" ref="B107:C107" si="62">SUM(B101:B106)</f>
        <v>0</v>
      </c>
      <c r="C107" s="60">
        <f t="shared" si="62"/>
        <v>0</v>
      </c>
      <c r="D107" s="60">
        <f t="shared" ref="D107" si="63">SUM(D101:D106)</f>
        <v>0</v>
      </c>
      <c r="E107" s="60">
        <f t="shared" ref="E107:AF107" si="64">SUM(E101:E106)</f>
        <v>0</v>
      </c>
      <c r="F107" s="60">
        <f t="shared" si="64"/>
        <v>0</v>
      </c>
      <c r="G107" s="60">
        <f t="shared" si="64"/>
        <v>0</v>
      </c>
      <c r="H107" s="60">
        <f t="shared" si="64"/>
        <v>0</v>
      </c>
      <c r="I107" s="60">
        <f t="shared" si="64"/>
        <v>0</v>
      </c>
      <c r="J107" s="60">
        <f t="shared" si="64"/>
        <v>0</v>
      </c>
      <c r="K107" s="60">
        <f t="shared" si="64"/>
        <v>0</v>
      </c>
      <c r="L107" s="60">
        <f t="shared" si="64"/>
        <v>0</v>
      </c>
      <c r="M107" s="60">
        <f t="shared" si="64"/>
        <v>0</v>
      </c>
      <c r="N107" s="60">
        <f t="shared" si="64"/>
        <v>0</v>
      </c>
      <c r="O107" s="60">
        <f t="shared" si="64"/>
        <v>0</v>
      </c>
      <c r="P107" s="60">
        <f t="shared" si="64"/>
        <v>0</v>
      </c>
      <c r="Q107" s="60">
        <f t="shared" si="64"/>
        <v>0</v>
      </c>
      <c r="R107" s="60">
        <f t="shared" si="64"/>
        <v>0</v>
      </c>
      <c r="S107" s="60">
        <f t="shared" si="64"/>
        <v>0</v>
      </c>
      <c r="T107" s="60">
        <f t="shared" si="64"/>
        <v>0</v>
      </c>
      <c r="U107" s="60">
        <f t="shared" si="64"/>
        <v>0</v>
      </c>
      <c r="V107" s="60">
        <f t="shared" si="64"/>
        <v>0</v>
      </c>
      <c r="W107" s="60">
        <f t="shared" si="64"/>
        <v>0</v>
      </c>
      <c r="X107" s="60">
        <f t="shared" si="64"/>
        <v>0</v>
      </c>
      <c r="Y107" s="60">
        <f t="shared" si="64"/>
        <v>0</v>
      </c>
      <c r="Z107" s="60">
        <f t="shared" si="64"/>
        <v>0</v>
      </c>
      <c r="AA107" s="60">
        <f t="shared" si="64"/>
        <v>0</v>
      </c>
      <c r="AB107" s="60">
        <f t="shared" si="64"/>
        <v>0</v>
      </c>
      <c r="AC107" s="60">
        <f t="shared" si="64"/>
        <v>0</v>
      </c>
      <c r="AD107" s="60">
        <f t="shared" si="64"/>
        <v>0</v>
      </c>
      <c r="AE107" s="60">
        <f t="shared" si="64"/>
        <v>0</v>
      </c>
      <c r="AF107" s="60">
        <f t="shared" si="64"/>
        <v>0</v>
      </c>
      <c r="AG107" s="88"/>
      <c r="AH107" s="47">
        <f t="shared" si="32"/>
        <v>0</v>
      </c>
      <c r="AI107" s="48">
        <f t="shared" si="33"/>
        <v>0</v>
      </c>
      <c r="AK107" s="50"/>
      <c r="BG107" s="252">
        <v>62.9</v>
      </c>
      <c r="BH107" s="252">
        <v>0</v>
      </c>
      <c r="BI107" s="252">
        <v>382.9</v>
      </c>
      <c r="BJ107" s="252">
        <v>7</v>
      </c>
      <c r="BK107" s="252">
        <v>16.2</v>
      </c>
      <c r="BL107" s="252">
        <v>52.6</v>
      </c>
    </row>
    <row r="108" spans="1:64" ht="15.75" thickBot="1" x14ac:dyDescent="0.3">
      <c r="A108" s="74" t="s">
        <v>108</v>
      </c>
      <c r="B108" s="60">
        <f t="shared" ref="B108:C108" si="65">B92-B107</f>
        <v>521.59999999999991</v>
      </c>
      <c r="C108" s="60">
        <f t="shared" si="65"/>
        <v>432.29999999999995</v>
      </c>
      <c r="D108" s="60">
        <f t="shared" ref="D108" si="66">D92-D107</f>
        <v>461.4</v>
      </c>
      <c r="E108" s="60">
        <f t="shared" ref="E108:AF108" si="67">E92-E107</f>
        <v>475.9</v>
      </c>
      <c r="F108" s="60">
        <f t="shared" si="67"/>
        <v>454.9</v>
      </c>
      <c r="G108" s="60">
        <f t="shared" si="67"/>
        <v>490</v>
      </c>
      <c r="H108" s="60">
        <f t="shared" si="67"/>
        <v>477.8</v>
      </c>
      <c r="I108" s="60">
        <f t="shared" si="67"/>
        <v>486.1</v>
      </c>
      <c r="J108" s="60">
        <f t="shared" si="67"/>
        <v>547.4</v>
      </c>
      <c r="K108" s="60">
        <f t="shared" si="67"/>
        <v>523</v>
      </c>
      <c r="L108" s="60">
        <f t="shared" si="67"/>
        <v>554.1</v>
      </c>
      <c r="M108" s="60">
        <f t="shared" si="67"/>
        <v>493.6</v>
      </c>
      <c r="N108" s="60">
        <f t="shared" si="67"/>
        <v>494.6</v>
      </c>
      <c r="O108" s="60">
        <f t="shared" si="67"/>
        <v>527.4</v>
      </c>
      <c r="P108" s="60">
        <f t="shared" si="67"/>
        <v>547.70000000000005</v>
      </c>
      <c r="Q108" s="60">
        <f t="shared" si="67"/>
        <v>716.8</v>
      </c>
      <c r="R108" s="60">
        <f t="shared" si="67"/>
        <v>646.4</v>
      </c>
      <c r="S108" s="60">
        <f t="shared" si="67"/>
        <v>692.7</v>
      </c>
      <c r="T108" s="60">
        <f t="shared" si="67"/>
        <v>673</v>
      </c>
      <c r="U108" s="60">
        <f t="shared" si="67"/>
        <v>640.1</v>
      </c>
      <c r="V108" s="60">
        <f t="shared" si="67"/>
        <v>592.4</v>
      </c>
      <c r="W108" s="60">
        <f t="shared" si="67"/>
        <v>552.20000000000005</v>
      </c>
      <c r="X108" s="60">
        <f t="shared" si="67"/>
        <v>551</v>
      </c>
      <c r="Y108" s="60">
        <f>Y92-Y107</f>
        <v>555.6</v>
      </c>
      <c r="Z108" s="60">
        <f>Z92-Z107</f>
        <v>553.4</v>
      </c>
      <c r="AA108" s="60">
        <f t="shared" si="67"/>
        <v>567</v>
      </c>
      <c r="AB108" s="60">
        <f t="shared" si="67"/>
        <v>508.09999999999997</v>
      </c>
      <c r="AC108" s="60">
        <f t="shared" si="67"/>
        <v>555.20000000000005</v>
      </c>
      <c r="AD108" s="60">
        <f t="shared" si="67"/>
        <v>591.6</v>
      </c>
      <c r="AE108" s="60">
        <f t="shared" si="67"/>
        <v>561.79999999999995</v>
      </c>
      <c r="AF108" s="60">
        <f t="shared" si="67"/>
        <v>555.70000000000005</v>
      </c>
      <c r="AG108" s="88"/>
      <c r="AH108" s="47">
        <f t="shared" si="32"/>
        <v>716.8</v>
      </c>
      <c r="AI108" s="48">
        <f t="shared" si="33"/>
        <v>432.29999999999995</v>
      </c>
    </row>
    <row r="109" spans="1:64" x14ac:dyDescent="0.25">
      <c r="A109" s="100" t="s">
        <v>109</v>
      </c>
      <c r="B109" s="101">
        <v>49.92</v>
      </c>
      <c r="C109" s="101">
        <v>49.99</v>
      </c>
      <c r="D109" s="101">
        <v>49.93</v>
      </c>
      <c r="E109" s="101">
        <v>49.941000000000003</v>
      </c>
      <c r="F109" s="101">
        <v>49.908999999999999</v>
      </c>
      <c r="G109" s="101">
        <v>49.991</v>
      </c>
      <c r="H109" s="101">
        <v>50.067999999999998</v>
      </c>
      <c r="I109" s="101">
        <v>50.048000000000002</v>
      </c>
      <c r="J109" s="101">
        <v>50.183</v>
      </c>
      <c r="K109" s="101">
        <v>50.04</v>
      </c>
      <c r="L109" s="101">
        <v>50.024999999999999</v>
      </c>
      <c r="M109" s="101">
        <v>50.082999999999998</v>
      </c>
      <c r="N109" s="101">
        <v>49.905999999999999</v>
      </c>
      <c r="O109" s="101">
        <v>49.817999999999998</v>
      </c>
      <c r="P109" s="101">
        <v>50</v>
      </c>
      <c r="Q109" s="101">
        <v>50.055999999999997</v>
      </c>
      <c r="R109" s="101">
        <v>50.066000000000003</v>
      </c>
      <c r="S109" s="101">
        <v>50.073</v>
      </c>
      <c r="T109" s="101">
        <v>49.97</v>
      </c>
      <c r="U109" s="101">
        <v>49.911999999999999</v>
      </c>
      <c r="V109" s="101">
        <v>50.037999999999997</v>
      </c>
      <c r="W109" s="101">
        <v>49.963000000000001</v>
      </c>
      <c r="X109" s="101">
        <v>50</v>
      </c>
      <c r="Y109" s="101">
        <v>50.015000000000001</v>
      </c>
      <c r="Z109" s="101">
        <v>50.015000000000001</v>
      </c>
      <c r="AA109" s="101">
        <v>49.904000000000003</v>
      </c>
      <c r="AB109" s="101">
        <v>50.003999999999998</v>
      </c>
      <c r="AC109" s="101">
        <v>49.832999999999998</v>
      </c>
      <c r="AD109" s="101">
        <v>49.918999999999997</v>
      </c>
      <c r="AE109" s="101">
        <v>49.98</v>
      </c>
      <c r="AF109" s="101">
        <v>49.905999999999999</v>
      </c>
      <c r="AG109" s="102"/>
      <c r="AH109" s="47">
        <f t="shared" si="32"/>
        <v>50.183</v>
      </c>
      <c r="AI109" s="48">
        <f t="shared" si="33"/>
        <v>49.817999999999998</v>
      </c>
    </row>
    <row r="110" spans="1:64" x14ac:dyDescent="0.25">
      <c r="A110" s="103" t="s">
        <v>110</v>
      </c>
      <c r="B110" s="65">
        <v>127.7</v>
      </c>
      <c r="C110" s="65">
        <v>127.7</v>
      </c>
      <c r="D110" s="65">
        <v>125.1</v>
      </c>
      <c r="E110" s="65">
        <v>129.5</v>
      </c>
      <c r="F110" s="65">
        <v>128.19999999999999</v>
      </c>
      <c r="G110" s="65">
        <v>128.4</v>
      </c>
      <c r="H110" s="65">
        <v>129</v>
      </c>
      <c r="I110" s="65">
        <v>126.8</v>
      </c>
      <c r="J110" s="65">
        <v>127.1</v>
      </c>
      <c r="K110" s="65">
        <v>129.19999999999999</v>
      </c>
      <c r="L110" s="65">
        <v>125.3</v>
      </c>
      <c r="M110" s="65">
        <v>124.3</v>
      </c>
      <c r="N110" s="65">
        <v>124.9</v>
      </c>
      <c r="O110" s="65">
        <v>125</v>
      </c>
      <c r="P110" s="65">
        <v>125</v>
      </c>
      <c r="Q110" s="65">
        <v>122.9</v>
      </c>
      <c r="R110" s="65">
        <v>124</v>
      </c>
      <c r="S110" s="65">
        <v>122.5</v>
      </c>
      <c r="T110" s="65">
        <v>123.3</v>
      </c>
      <c r="U110" s="65">
        <v>125.1</v>
      </c>
      <c r="V110" s="65">
        <v>127.7</v>
      </c>
      <c r="W110" s="65">
        <v>128.5</v>
      </c>
      <c r="X110" s="65">
        <v>128</v>
      </c>
      <c r="Y110" s="65">
        <v>126.3</v>
      </c>
      <c r="Z110" s="65">
        <v>126.3</v>
      </c>
      <c r="AA110" s="65">
        <v>126.3</v>
      </c>
      <c r="AB110" s="65">
        <v>127.6</v>
      </c>
      <c r="AC110" s="65">
        <v>127.1</v>
      </c>
      <c r="AD110" s="65">
        <v>126</v>
      </c>
      <c r="AE110" s="65">
        <v>128</v>
      </c>
      <c r="AF110" s="65">
        <v>131</v>
      </c>
      <c r="AG110" s="104"/>
      <c r="AH110" s="47">
        <f t="shared" si="32"/>
        <v>131</v>
      </c>
      <c r="AI110" s="48">
        <f t="shared" si="33"/>
        <v>122.5</v>
      </c>
    </row>
    <row r="111" spans="1:64" x14ac:dyDescent="0.25">
      <c r="A111" s="103" t="s">
        <v>111</v>
      </c>
      <c r="B111" s="65">
        <v>131.19999999999999</v>
      </c>
      <c r="C111" s="65">
        <v>131.19999999999999</v>
      </c>
      <c r="D111" s="65">
        <v>130.1</v>
      </c>
      <c r="E111" s="65">
        <v>133.80000000000001</v>
      </c>
      <c r="F111" s="65">
        <v>132.9</v>
      </c>
      <c r="G111" s="65">
        <v>132.69999999999999</v>
      </c>
      <c r="H111" s="65">
        <v>132.80000000000001</v>
      </c>
      <c r="I111" s="65">
        <v>130.5</v>
      </c>
      <c r="J111" s="65">
        <v>130</v>
      </c>
      <c r="K111" s="65">
        <v>130.30000000000001</v>
      </c>
      <c r="L111" s="65">
        <v>126.3</v>
      </c>
      <c r="M111" s="65">
        <v>125.2</v>
      </c>
      <c r="N111" s="65">
        <v>126.1</v>
      </c>
      <c r="O111" s="65">
        <v>126.4</v>
      </c>
      <c r="P111" s="65">
        <v>126.4</v>
      </c>
      <c r="Q111" s="65">
        <v>124.9</v>
      </c>
      <c r="R111" s="65">
        <v>125.9</v>
      </c>
      <c r="S111" s="65">
        <v>124.6</v>
      </c>
      <c r="T111" s="65">
        <v>125.9</v>
      </c>
      <c r="U111" s="65">
        <v>126.8</v>
      </c>
      <c r="V111" s="65">
        <v>128.80000000000001</v>
      </c>
      <c r="W111" s="65">
        <v>130.5</v>
      </c>
      <c r="X111" s="65">
        <v>130.1</v>
      </c>
      <c r="Y111" s="65">
        <v>128</v>
      </c>
      <c r="Z111" s="65">
        <v>128</v>
      </c>
      <c r="AA111" s="65">
        <v>127.9</v>
      </c>
      <c r="AB111" s="65">
        <v>129.1</v>
      </c>
      <c r="AC111" s="65">
        <v>127.7</v>
      </c>
      <c r="AD111" s="65">
        <v>127.3</v>
      </c>
      <c r="AE111" s="65">
        <v>130.19999999999999</v>
      </c>
      <c r="AF111" s="65">
        <v>133.5</v>
      </c>
      <c r="AG111" s="104"/>
      <c r="AH111" s="47">
        <f t="shared" si="32"/>
        <v>133.80000000000001</v>
      </c>
      <c r="AI111" s="48">
        <f t="shared" si="33"/>
        <v>124.6</v>
      </c>
    </row>
    <row r="112" spans="1:64" x14ac:dyDescent="0.25">
      <c r="A112" s="103" t="s">
        <v>112</v>
      </c>
      <c r="B112" s="65">
        <v>131.19999999999999</v>
      </c>
      <c r="C112" s="65">
        <v>131.19999999999999</v>
      </c>
      <c r="D112" s="65">
        <v>130.30000000000001</v>
      </c>
      <c r="E112" s="65">
        <v>132.30000000000001</v>
      </c>
      <c r="F112" s="65">
        <v>130.4</v>
      </c>
      <c r="G112" s="65">
        <v>130.80000000000001</v>
      </c>
      <c r="H112" s="65">
        <v>132.1</v>
      </c>
      <c r="I112" s="65">
        <v>129.69999999999999</v>
      </c>
      <c r="J112" s="65">
        <v>126.9</v>
      </c>
      <c r="K112" s="65">
        <v>129.6</v>
      </c>
      <c r="L112" s="65">
        <v>128.6</v>
      </c>
      <c r="M112" s="65">
        <v>127.8</v>
      </c>
      <c r="N112" s="65">
        <v>129.69999999999999</v>
      </c>
      <c r="O112" s="65">
        <v>124.8</v>
      </c>
      <c r="P112" s="65">
        <v>124.8</v>
      </c>
      <c r="Q112" s="65">
        <v>127.3</v>
      </c>
      <c r="R112" s="65">
        <v>129.30000000000001</v>
      </c>
      <c r="S112" s="65">
        <v>126.2</v>
      </c>
      <c r="T112" s="65">
        <v>125.3</v>
      </c>
      <c r="U112" s="65">
        <v>125.9</v>
      </c>
      <c r="V112" s="65">
        <v>131.19999999999999</v>
      </c>
      <c r="W112" s="65">
        <v>128</v>
      </c>
      <c r="X112" s="65">
        <v>126</v>
      </c>
      <c r="Y112" s="65">
        <v>130</v>
      </c>
      <c r="Z112" s="65">
        <v>130</v>
      </c>
      <c r="AA112" s="65">
        <v>126.8</v>
      </c>
      <c r="AB112" s="65">
        <v>129.4</v>
      </c>
      <c r="AC112" s="65">
        <v>129.69999999999999</v>
      </c>
      <c r="AD112" s="65">
        <v>127.7</v>
      </c>
      <c r="AE112" s="65">
        <v>130</v>
      </c>
      <c r="AF112" s="65">
        <v>128.69999999999999</v>
      </c>
      <c r="AG112" s="104"/>
      <c r="AH112" s="47">
        <f t="shared" si="32"/>
        <v>132.30000000000001</v>
      </c>
      <c r="AI112" s="48">
        <f t="shared" si="33"/>
        <v>124.8</v>
      </c>
    </row>
    <row r="113" spans="1:35" x14ac:dyDescent="0.25">
      <c r="A113" s="105" t="s">
        <v>113</v>
      </c>
      <c r="B113" s="65">
        <v>132.80000000000001</v>
      </c>
      <c r="C113" s="65">
        <v>132.80000000000001</v>
      </c>
      <c r="D113" s="65">
        <v>132.6</v>
      </c>
      <c r="E113" s="65">
        <v>134.6</v>
      </c>
      <c r="F113" s="65">
        <v>133.9</v>
      </c>
      <c r="G113" s="65">
        <v>132.6</v>
      </c>
      <c r="H113" s="65">
        <v>133.4</v>
      </c>
      <c r="I113" s="65">
        <v>130.9</v>
      </c>
      <c r="J113" s="65">
        <v>128.5</v>
      </c>
      <c r="K113" s="65">
        <v>131.69999999999999</v>
      </c>
      <c r="L113" s="65">
        <v>130.4</v>
      </c>
      <c r="M113" s="65">
        <v>128.4</v>
      </c>
      <c r="N113" s="65">
        <v>129.9</v>
      </c>
      <c r="O113" s="65">
        <v>126.3</v>
      </c>
      <c r="P113" s="65">
        <v>126.3</v>
      </c>
      <c r="Q113" s="65">
        <v>129</v>
      </c>
      <c r="R113" s="65">
        <v>131.9</v>
      </c>
      <c r="S113" s="65">
        <v>128.5</v>
      </c>
      <c r="T113" s="65">
        <v>127.3</v>
      </c>
      <c r="U113" s="65">
        <v>126.8</v>
      </c>
      <c r="V113" s="65">
        <v>132</v>
      </c>
      <c r="W113" s="65">
        <v>129.1</v>
      </c>
      <c r="X113" s="65">
        <v>126</v>
      </c>
      <c r="Y113" s="65">
        <v>131</v>
      </c>
      <c r="Z113" s="65">
        <v>131</v>
      </c>
      <c r="AA113" s="65">
        <v>129</v>
      </c>
      <c r="AB113" s="65">
        <v>132.19999999999999</v>
      </c>
      <c r="AC113" s="65">
        <v>133.4</v>
      </c>
      <c r="AD113" s="65">
        <v>128.19999999999999</v>
      </c>
      <c r="AE113" s="65">
        <v>131.80000000000001</v>
      </c>
      <c r="AF113" s="65">
        <v>131.30000000000001</v>
      </c>
      <c r="AG113" s="104"/>
      <c r="AH113" s="47">
        <f t="shared" si="32"/>
        <v>134.6</v>
      </c>
      <c r="AI113" s="48">
        <f t="shared" si="33"/>
        <v>126</v>
      </c>
    </row>
    <row r="114" spans="1:35" x14ac:dyDescent="0.25">
      <c r="A114" s="105" t="s">
        <v>114</v>
      </c>
      <c r="B114" s="106">
        <v>132.4</v>
      </c>
      <c r="C114" s="106">
        <v>132.4</v>
      </c>
      <c r="D114" s="106">
        <v>132.6</v>
      </c>
      <c r="E114" s="106">
        <v>135.6</v>
      </c>
      <c r="F114" s="106">
        <v>132.6</v>
      </c>
      <c r="G114" s="106">
        <v>134.4</v>
      </c>
      <c r="H114" s="106">
        <v>136.19999999999999</v>
      </c>
      <c r="I114" s="106">
        <v>133.1</v>
      </c>
      <c r="J114" s="106">
        <v>132.9</v>
      </c>
      <c r="K114" s="106">
        <v>134.9</v>
      </c>
      <c r="L114" s="106">
        <v>132.4</v>
      </c>
      <c r="M114" s="106">
        <v>132.1</v>
      </c>
      <c r="N114" s="106">
        <v>131.9</v>
      </c>
      <c r="O114" s="106">
        <v>131.80000000000001</v>
      </c>
      <c r="P114" s="106">
        <v>131.80000000000001</v>
      </c>
      <c r="Q114" s="106">
        <v>132.69999999999999</v>
      </c>
      <c r="R114" s="106">
        <v>131.5</v>
      </c>
      <c r="S114" s="106">
        <v>133.6</v>
      </c>
      <c r="T114" s="106">
        <v>133.9</v>
      </c>
      <c r="U114" s="106">
        <v>134.1</v>
      </c>
      <c r="V114" s="106">
        <v>134.1</v>
      </c>
      <c r="W114" s="106">
        <v>132.4</v>
      </c>
      <c r="X114" s="106">
        <v>132.30000000000001</v>
      </c>
      <c r="Y114" s="106">
        <v>132</v>
      </c>
      <c r="Z114" s="106">
        <v>132</v>
      </c>
      <c r="AA114" s="106">
        <v>132.69999999999999</v>
      </c>
      <c r="AB114" s="106">
        <v>134.30000000000001</v>
      </c>
      <c r="AC114" s="106">
        <v>134.80000000000001</v>
      </c>
      <c r="AD114" s="106">
        <v>134.6</v>
      </c>
      <c r="AE114" s="106">
        <v>135.80000000000001</v>
      </c>
      <c r="AF114" s="106">
        <v>136.19999999999999</v>
      </c>
      <c r="AG114" s="107"/>
      <c r="AH114" s="47">
        <f t="shared" si="32"/>
        <v>136.19999999999999</v>
      </c>
      <c r="AI114" s="48">
        <f t="shared" si="33"/>
        <v>131.5</v>
      </c>
    </row>
    <row r="115" spans="1:35" x14ac:dyDescent="0.25">
      <c r="A115" s="103" t="s">
        <v>115</v>
      </c>
      <c r="B115" s="65">
        <v>128.69999999999999</v>
      </c>
      <c r="C115" s="65">
        <v>128.69999999999999</v>
      </c>
      <c r="D115" s="65">
        <v>129.30000000000001</v>
      </c>
      <c r="E115" s="65">
        <v>136.5</v>
      </c>
      <c r="F115" s="65">
        <v>131.19999999999999</v>
      </c>
      <c r="G115" s="65">
        <v>133</v>
      </c>
      <c r="H115" s="65">
        <v>132.1</v>
      </c>
      <c r="I115" s="65">
        <v>130.69999999999999</v>
      </c>
      <c r="J115" s="65">
        <v>131.1</v>
      </c>
      <c r="K115" s="65">
        <v>128.19999999999999</v>
      </c>
      <c r="L115" s="65">
        <v>130.69999999999999</v>
      </c>
      <c r="M115" s="65">
        <v>129.80000000000001</v>
      </c>
      <c r="N115" s="65">
        <v>137.19999999999999</v>
      </c>
      <c r="O115" s="65">
        <v>132.80000000000001</v>
      </c>
      <c r="P115" s="65">
        <v>132.80000000000001</v>
      </c>
      <c r="Q115" s="65">
        <v>130.4</v>
      </c>
      <c r="R115" s="65">
        <v>134.19999999999999</v>
      </c>
      <c r="S115" s="65">
        <v>136.19999999999999</v>
      </c>
      <c r="T115" s="65">
        <v>132.9</v>
      </c>
      <c r="U115" s="65">
        <v>131.30000000000001</v>
      </c>
      <c r="V115" s="65">
        <v>132.1</v>
      </c>
      <c r="W115" s="65">
        <v>130.4</v>
      </c>
      <c r="X115" s="65">
        <v>131</v>
      </c>
      <c r="Y115" s="65">
        <v>132</v>
      </c>
      <c r="Z115" s="65">
        <v>132</v>
      </c>
      <c r="AA115" s="65">
        <v>135</v>
      </c>
      <c r="AB115" s="65">
        <v>133.4</v>
      </c>
      <c r="AC115" s="65">
        <v>134.5</v>
      </c>
      <c r="AD115" s="65">
        <v>131.1</v>
      </c>
      <c r="AE115" s="65">
        <v>134.80000000000001</v>
      </c>
      <c r="AF115" s="65">
        <v>132</v>
      </c>
      <c r="AG115" s="104"/>
      <c r="AH115" s="47">
        <f t="shared" si="32"/>
        <v>137.19999999999999</v>
      </c>
      <c r="AI115" s="48">
        <f t="shared" si="33"/>
        <v>128.19999999999999</v>
      </c>
    </row>
    <row r="116" spans="1:35" ht="15.75" thickBot="1" x14ac:dyDescent="0.3">
      <c r="A116" s="103" t="s">
        <v>116</v>
      </c>
      <c r="B116" s="92">
        <v>66.3</v>
      </c>
      <c r="C116" s="92">
        <v>66.3</v>
      </c>
      <c r="D116" s="92">
        <v>65.8</v>
      </c>
      <c r="E116" s="92">
        <v>67.599999999999994</v>
      </c>
      <c r="F116" s="92">
        <v>66.900000000000006</v>
      </c>
      <c r="G116" s="92">
        <v>66.900000000000006</v>
      </c>
      <c r="H116" s="92">
        <v>66.900000000000006</v>
      </c>
      <c r="I116" s="92">
        <v>65.8</v>
      </c>
      <c r="J116" s="92">
        <v>65.5</v>
      </c>
      <c r="K116" s="92">
        <v>65.400000000000006</v>
      </c>
      <c r="L116" s="92">
        <v>62.9</v>
      </c>
      <c r="M116" s="92">
        <v>62.8</v>
      </c>
      <c r="N116" s="92">
        <v>63.3</v>
      </c>
      <c r="O116" s="92">
        <v>63.4</v>
      </c>
      <c r="P116" s="92">
        <v>63.4</v>
      </c>
      <c r="Q116" s="92">
        <v>62.9</v>
      </c>
      <c r="R116" s="92">
        <v>63.2</v>
      </c>
      <c r="S116" s="92">
        <v>62.5</v>
      </c>
      <c r="T116" s="92">
        <v>63.1</v>
      </c>
      <c r="U116" s="92">
        <v>63.7</v>
      </c>
      <c r="V116" s="92">
        <v>64.900000000000006</v>
      </c>
      <c r="W116" s="92">
        <v>65.599999999999994</v>
      </c>
      <c r="X116" s="92">
        <v>65.400000000000006</v>
      </c>
      <c r="Y116" s="92">
        <v>64</v>
      </c>
      <c r="Z116" s="92">
        <v>64</v>
      </c>
      <c r="AA116" s="92">
        <v>63.8</v>
      </c>
      <c r="AB116" s="92">
        <v>64.5</v>
      </c>
      <c r="AC116" s="92">
        <v>64</v>
      </c>
      <c r="AD116" s="92">
        <v>63.5</v>
      </c>
      <c r="AE116" s="92">
        <v>65.400000000000006</v>
      </c>
      <c r="AF116" s="92">
        <v>67.099999999999994</v>
      </c>
      <c r="AG116" s="108"/>
      <c r="AH116" s="47">
        <f t="shared" si="32"/>
        <v>67.599999999999994</v>
      </c>
      <c r="AI116" s="48">
        <f t="shared" si="33"/>
        <v>62.5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 t="s">
        <v>117</v>
      </c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32"/>
        <v>0</v>
      </c>
      <c r="AI117" s="48">
        <f t="shared" si="33"/>
        <v>0</v>
      </c>
    </row>
    <row r="118" spans="1:35" ht="15.75" thickBot="1" x14ac:dyDescent="0.3">
      <c r="A118" s="110" t="s">
        <v>118</v>
      </c>
      <c r="B118" s="111">
        <f t="shared" ref="B118:C118" si="68">SUM(B22,B28,B31:B32,B66,B68:B69,B71,B73,B119:B123,B155,B161,B167,B176,B178,B190,B197,B200:B201,B208,B210,B212,B216:B218,B220:B222,B227,B233:B234,B236:B238,B246,B251)</f>
        <v>154.29000000000002</v>
      </c>
      <c r="C118" s="111">
        <f t="shared" si="68"/>
        <v>141.34000000000003</v>
      </c>
      <c r="D118" s="111">
        <f t="shared" ref="D118" si="69">SUM(D22,D28,D31:D32,D66,D68:D69,D71,D73,D119:D123,D155,D161,D167,D176,D178,D190,D197,D200:D201,D208,D210,D212,D216:D218,D220:D222,D227,D233:D234,D236:D238,D246,D251)</f>
        <v>126.29</v>
      </c>
      <c r="E118" s="111">
        <f t="shared" ref="E118:O118" si="70">SUM(E22,E28,E31:E32,E66,E68:E69,E71,E73,E119:E123,E155,E161,E167,E176,E178,E190,E197,E200:E201,E208,E210,E212,E216:E218,E220:E222,E227,E233:E234,E236:E238,E246,E251)</f>
        <v>154.06819999999999</v>
      </c>
      <c r="F118" s="111">
        <f t="shared" si="70"/>
        <v>135.47999999999996</v>
      </c>
      <c r="G118" s="111">
        <f t="shared" si="70"/>
        <v>161.572</v>
      </c>
      <c r="H118" s="111">
        <f t="shared" si="70"/>
        <v>203.065</v>
      </c>
      <c r="I118" s="111">
        <f t="shared" si="70"/>
        <v>230.06799999999998</v>
      </c>
      <c r="J118" s="111">
        <f t="shared" si="70"/>
        <v>291.26</v>
      </c>
      <c r="K118" s="111">
        <f t="shared" si="70"/>
        <v>351.36700000000002</v>
      </c>
      <c r="L118" s="111">
        <f t="shared" si="70"/>
        <v>404.56700000000001</v>
      </c>
      <c r="M118" s="111">
        <f t="shared" si="70"/>
        <v>439.05800000000005</v>
      </c>
      <c r="N118" s="111">
        <f t="shared" si="70"/>
        <v>409.78</v>
      </c>
      <c r="O118" s="111">
        <f t="shared" si="70"/>
        <v>405.78500000000003</v>
      </c>
      <c r="P118" s="111">
        <v>42</v>
      </c>
      <c r="Q118" s="111">
        <f t="shared" ref="Q118:AD118" si="71">SUM(Q22,Q28,Q31:Q32,Q66,Q68:Q69,Q71,Q73,Q119:Q123,Q155,Q161,Q167,Q176,Q178,Q190,Q197,Q200:Q201,Q208,Q210,Q212,Q216:Q218,Q220:Q222,Q227,Q233:Q234,Q236:Q238,Q246,Q251)</f>
        <v>417.16199999999998</v>
      </c>
      <c r="R118" s="111">
        <f t="shared" si="71"/>
        <v>397.49499999999995</v>
      </c>
      <c r="S118" s="111">
        <f t="shared" si="71"/>
        <v>420.84</v>
      </c>
      <c r="T118" s="111">
        <f t="shared" si="71"/>
        <v>397.64000000000004</v>
      </c>
      <c r="U118" s="111">
        <f t="shared" si="71"/>
        <v>411.34</v>
      </c>
      <c r="V118" s="111">
        <f t="shared" si="71"/>
        <v>415.74</v>
      </c>
      <c r="W118" s="111">
        <f t="shared" si="71"/>
        <v>428.64000000000004</v>
      </c>
      <c r="X118" s="111">
        <f t="shared" si="71"/>
        <v>460.23999999999995</v>
      </c>
      <c r="Y118" s="111">
        <v>501.5675</v>
      </c>
      <c r="Z118" s="111">
        <f t="shared" ref="Z118" si="72">SUM(Z20,Z26,Z37:Z38,Z66,Z68:Z69,Z71,Z73,Z119:Z123,Z148,Z154,Z160,Z169,Z171,Z183,Z190,Z193:Z194,Z201,Z203,Z205,Z209:Z211,Z213:Z215,Z220,Z226:Z227,Z229:Z231,Z239,Z244)</f>
        <v>500.2</v>
      </c>
      <c r="AA118" s="111">
        <f t="shared" si="71"/>
        <v>480.59999999999997</v>
      </c>
      <c r="AB118" s="111">
        <f t="shared" si="71"/>
        <v>459.93900000000002</v>
      </c>
      <c r="AC118" s="111">
        <f t="shared" si="71"/>
        <v>439.858</v>
      </c>
      <c r="AD118" s="111">
        <f t="shared" si="71"/>
        <v>406.01600000000002</v>
      </c>
      <c r="AE118" s="111">
        <f>SUM(AE22,AE28,AE31:AE32,AE66,AE68:AE69,AE71,AE73,AE119:AE123,AE155,AE161,AE167,AE176,AE178,AE190,AE197,AE200:AE201,AE208,AE210,AE212,AE216:AE218,AE220:AE222,AE227,AE233:AE234,AE236:AE238,AE246,AE251)</f>
        <v>303.13</v>
      </c>
      <c r="AF118" s="111">
        <f>SUM(AF22,AF28,AF31:AF32,AF66,AF68:AF69,AF71,AF73,AF119:AF123,AF155,AF161,AF167,AF176,AF178,AF190,AF197,AF200:AF201,AF208,AF210,AF212,AF216:AF218,AF220:AF222,AF227,AF233:AF234,AF236:AF238,AF246,AF251)</f>
        <v>220.62099999999998</v>
      </c>
      <c r="AG118" s="112"/>
      <c r="AH118" s="47">
        <f t="shared" si="32"/>
        <v>501.5675</v>
      </c>
      <c r="AI118" s="48">
        <f t="shared" si="33"/>
        <v>42</v>
      </c>
    </row>
    <row r="119" spans="1:35" x14ac:dyDescent="0.25">
      <c r="A119" s="172" t="s">
        <v>119</v>
      </c>
      <c r="B119" s="113">
        <v>3.1</v>
      </c>
      <c r="C119" s="113">
        <v>-4.8</v>
      </c>
      <c r="D119" s="113">
        <v>-7.6</v>
      </c>
      <c r="E119" s="113">
        <v>-0.3</v>
      </c>
      <c r="F119" s="113">
        <v>-7.5</v>
      </c>
      <c r="G119" s="113">
        <v>3.7</v>
      </c>
      <c r="H119" s="113">
        <v>14.7</v>
      </c>
      <c r="I119" s="113">
        <v>20.2</v>
      </c>
      <c r="J119" s="113">
        <v>33.700000000000003</v>
      </c>
      <c r="K119" s="113">
        <v>39.5</v>
      </c>
      <c r="L119" s="113">
        <v>39.799999999999997</v>
      </c>
      <c r="M119" s="113">
        <v>48.6</v>
      </c>
      <c r="N119" s="113">
        <v>41.6</v>
      </c>
      <c r="O119" s="113">
        <v>39.4</v>
      </c>
      <c r="P119" s="113">
        <v>45.5</v>
      </c>
      <c r="Q119" s="113">
        <v>42.7</v>
      </c>
      <c r="R119" s="113">
        <v>39.1</v>
      </c>
      <c r="S119" s="113">
        <v>42.7</v>
      </c>
      <c r="T119" s="113">
        <v>39.6</v>
      </c>
      <c r="U119" s="113">
        <v>32.700000000000003</v>
      </c>
      <c r="V119" s="113">
        <v>28.4</v>
      </c>
      <c r="W119" s="113">
        <v>27</v>
      </c>
      <c r="X119" s="113">
        <v>40</v>
      </c>
      <c r="Y119" s="113">
        <v>45</v>
      </c>
      <c r="Z119" s="113">
        <v>45</v>
      </c>
      <c r="AA119" s="113">
        <v>42.5</v>
      </c>
      <c r="AB119" s="113">
        <v>41.8</v>
      </c>
      <c r="AC119" s="113">
        <v>39.299999999999997</v>
      </c>
      <c r="AD119" s="113">
        <v>28.7</v>
      </c>
      <c r="AE119" s="113">
        <v>13</v>
      </c>
      <c r="AF119" s="113">
        <v>11.6</v>
      </c>
      <c r="AG119" s="114">
        <v>75</v>
      </c>
      <c r="AH119" s="47">
        <f t="shared" si="32"/>
        <v>48.6</v>
      </c>
      <c r="AI119" s="48">
        <f t="shared" si="33"/>
        <v>-7.6</v>
      </c>
    </row>
    <row r="120" spans="1:35" x14ac:dyDescent="0.25">
      <c r="A120" s="173" t="s">
        <v>120</v>
      </c>
      <c r="B120" s="115">
        <v>5.4</v>
      </c>
      <c r="C120" s="115">
        <v>-4.5999999999999996</v>
      </c>
      <c r="D120" s="115">
        <v>-7.6</v>
      </c>
      <c r="E120" s="115">
        <v>0</v>
      </c>
      <c r="F120" s="115">
        <v>-8.1999999999999993</v>
      </c>
      <c r="G120" s="115">
        <v>3.9</v>
      </c>
      <c r="H120" s="115">
        <v>19</v>
      </c>
      <c r="I120" s="115">
        <v>25.4</v>
      </c>
      <c r="J120" s="115">
        <v>44.5</v>
      </c>
      <c r="K120" s="115">
        <v>53.8</v>
      </c>
      <c r="L120" s="115">
        <v>53.5</v>
      </c>
      <c r="M120" s="115">
        <v>65.8</v>
      </c>
      <c r="N120" s="115">
        <v>56.5</v>
      </c>
      <c r="O120" s="115">
        <v>52.4</v>
      </c>
      <c r="P120" s="115">
        <v>55.1</v>
      </c>
      <c r="Q120" s="115">
        <v>52.4</v>
      </c>
      <c r="R120" s="115">
        <v>49.5</v>
      </c>
      <c r="S120" s="115">
        <v>53</v>
      </c>
      <c r="T120" s="115">
        <v>51</v>
      </c>
      <c r="U120" s="115">
        <v>42.6</v>
      </c>
      <c r="V120" s="115">
        <v>38</v>
      </c>
      <c r="W120" s="115">
        <v>36</v>
      </c>
      <c r="X120" s="115">
        <v>54</v>
      </c>
      <c r="Y120" s="115">
        <v>60</v>
      </c>
      <c r="Z120" s="115">
        <v>60</v>
      </c>
      <c r="AA120" s="115">
        <v>56.2</v>
      </c>
      <c r="AB120" s="115">
        <v>54.5</v>
      </c>
      <c r="AC120" s="115">
        <v>52.3</v>
      </c>
      <c r="AD120" s="115">
        <v>35.6</v>
      </c>
      <c r="AE120" s="115">
        <v>17.899999999999999</v>
      </c>
      <c r="AF120" s="115">
        <v>15.7</v>
      </c>
      <c r="AG120" s="114">
        <v>240</v>
      </c>
      <c r="AH120" s="47">
        <f t="shared" si="32"/>
        <v>65.8</v>
      </c>
      <c r="AI120" s="48">
        <f t="shared" si="33"/>
        <v>-8.1999999999999993</v>
      </c>
    </row>
    <row r="121" spans="1:35" x14ac:dyDescent="0.25">
      <c r="A121" s="173" t="s">
        <v>121</v>
      </c>
      <c r="B121" s="115">
        <v>-33.5</v>
      </c>
      <c r="C121" s="115">
        <v>-39</v>
      </c>
      <c r="D121" s="115">
        <v>-45</v>
      </c>
      <c r="E121" s="115">
        <v>-48</v>
      </c>
      <c r="F121" s="115">
        <v>-47</v>
      </c>
      <c r="G121" s="115">
        <v>-41.3</v>
      </c>
      <c r="H121" s="115">
        <v>-34</v>
      </c>
      <c r="I121" s="115">
        <v>-34</v>
      </c>
      <c r="J121" s="115">
        <v>-9.4</v>
      </c>
      <c r="K121" s="115">
        <v>23</v>
      </c>
      <c r="L121" s="115">
        <f>17.9+19.4</f>
        <v>37.299999999999997</v>
      </c>
      <c r="M121" s="115">
        <v>41</v>
      </c>
      <c r="N121" s="115">
        <v>30</v>
      </c>
      <c r="O121" s="115">
        <v>29</v>
      </c>
      <c r="P121" s="115">
        <v>49</v>
      </c>
      <c r="Q121" s="115">
        <v>42.7</v>
      </c>
      <c r="R121" s="115">
        <v>37.1</v>
      </c>
      <c r="S121" s="115">
        <v>45</v>
      </c>
      <c r="T121" s="115">
        <v>37</v>
      </c>
      <c r="U121" s="115">
        <v>51</v>
      </c>
      <c r="V121" s="115">
        <v>68</v>
      </c>
      <c r="W121" s="115">
        <v>85</v>
      </c>
      <c r="X121" s="115">
        <v>77</v>
      </c>
      <c r="Y121" s="115">
        <v>87</v>
      </c>
      <c r="Z121" s="115">
        <v>87</v>
      </c>
      <c r="AA121" s="115">
        <v>90</v>
      </c>
      <c r="AB121" s="115">
        <v>82</v>
      </c>
      <c r="AC121" s="115">
        <f>30+33</f>
        <v>63</v>
      </c>
      <c r="AD121" s="115">
        <f>25+27.5</f>
        <v>52.5</v>
      </c>
      <c r="AE121" s="115">
        <v>18</v>
      </c>
      <c r="AF121" s="115">
        <v>-5</v>
      </c>
      <c r="AG121" s="114">
        <v>240</v>
      </c>
      <c r="AH121" s="47">
        <f t="shared" si="32"/>
        <v>90</v>
      </c>
      <c r="AI121" s="48">
        <f t="shared" si="33"/>
        <v>-48</v>
      </c>
    </row>
    <row r="122" spans="1:35" ht="15.75" thickBot="1" x14ac:dyDescent="0.3">
      <c r="A122" s="173" t="s">
        <v>122</v>
      </c>
      <c r="B122" s="115">
        <v>-7</v>
      </c>
      <c r="C122" s="115">
        <v>-5.8</v>
      </c>
      <c r="D122" s="115">
        <v>-10</v>
      </c>
      <c r="E122" s="115">
        <v>-9.8000000000000007</v>
      </c>
      <c r="F122" s="115">
        <v>-10.5</v>
      </c>
      <c r="G122" s="115">
        <v>-10.8</v>
      </c>
      <c r="H122" s="115">
        <v>-4.5</v>
      </c>
      <c r="I122" s="115">
        <v>-2.6</v>
      </c>
      <c r="J122" s="115">
        <v>4.2</v>
      </c>
      <c r="K122" s="115">
        <v>18.399999999999999</v>
      </c>
      <c r="L122" s="115">
        <v>23.9</v>
      </c>
      <c r="M122" s="115">
        <v>24.8</v>
      </c>
      <c r="N122" s="115">
        <v>20.7</v>
      </c>
      <c r="O122" s="115">
        <v>20.3</v>
      </c>
      <c r="P122" s="115">
        <v>18</v>
      </c>
      <c r="Q122" s="115">
        <v>14.3</v>
      </c>
      <c r="R122" s="115">
        <v>13.2</v>
      </c>
      <c r="S122" s="115">
        <v>18.2</v>
      </c>
      <c r="T122" s="115">
        <v>12</v>
      </c>
      <c r="U122" s="115">
        <v>27.1</v>
      </c>
      <c r="V122" s="115">
        <v>34</v>
      </c>
      <c r="W122" s="115">
        <v>43.4</v>
      </c>
      <c r="X122" s="115">
        <v>36</v>
      </c>
      <c r="Y122" s="115">
        <v>41</v>
      </c>
      <c r="Z122" s="115">
        <v>41</v>
      </c>
      <c r="AA122" s="115">
        <v>43.2</v>
      </c>
      <c r="AB122" s="115">
        <v>35.299999999999997</v>
      </c>
      <c r="AC122" s="115">
        <v>30.9</v>
      </c>
      <c r="AD122" s="115">
        <v>22.8</v>
      </c>
      <c r="AE122" s="115">
        <v>7.5</v>
      </c>
      <c r="AF122" s="115">
        <v>5.4</v>
      </c>
      <c r="AG122" s="114">
        <v>60</v>
      </c>
      <c r="AH122" s="47">
        <f t="shared" si="32"/>
        <v>43.4</v>
      </c>
      <c r="AI122" s="48">
        <f t="shared" si="33"/>
        <v>-10.8</v>
      </c>
    </row>
    <row r="123" spans="1:35" x14ac:dyDescent="0.25">
      <c r="A123" s="172" t="s">
        <v>260</v>
      </c>
      <c r="B123" s="117">
        <f>60.5*1.5</f>
        <v>90.75</v>
      </c>
      <c r="C123" s="117">
        <f>62.5*1.6</f>
        <v>100</v>
      </c>
      <c r="D123" s="117">
        <f>67.3*1.5</f>
        <v>100.94999999999999</v>
      </c>
      <c r="E123" s="117">
        <f>70.14*1.63</f>
        <v>114.3282</v>
      </c>
      <c r="F123" s="117">
        <f>68*1.63</f>
        <v>110.83999999999999</v>
      </c>
      <c r="G123" s="117">
        <f>66.4*1.63</f>
        <v>108.232</v>
      </c>
      <c r="H123" s="117">
        <f>67.5*1.63</f>
        <v>110.02499999999999</v>
      </c>
      <c r="I123" s="117">
        <f>75.6*1.63</f>
        <v>123.22799999999998</v>
      </c>
      <c r="J123" s="117">
        <f>74*1.63</f>
        <v>120.61999999999999</v>
      </c>
      <c r="K123" s="117">
        <f>72.9*1.63</f>
        <v>118.827</v>
      </c>
      <c r="L123" s="117">
        <f>92.9*1.63</f>
        <v>151.42699999999999</v>
      </c>
      <c r="M123" s="117">
        <f>95.4*1.67</f>
        <v>159.31800000000001</v>
      </c>
      <c r="N123" s="117">
        <f>92*1.67</f>
        <v>153.63999999999999</v>
      </c>
      <c r="O123" s="117">
        <f>93.5*1.67</f>
        <v>156.14499999999998</v>
      </c>
      <c r="P123" s="117">
        <v>139</v>
      </c>
      <c r="Q123" s="117">
        <f>96.6*1.67</f>
        <v>161.32199999999997</v>
      </c>
      <c r="R123" s="117">
        <f>96.5*1.67</f>
        <v>161.155</v>
      </c>
      <c r="S123" s="117">
        <f>101.5*1.6</f>
        <v>162.4</v>
      </c>
      <c r="T123" s="117">
        <f>100*1.6</f>
        <v>160</v>
      </c>
      <c r="U123" s="117">
        <v>161</v>
      </c>
      <c r="V123" s="117">
        <f>95*1.6</f>
        <v>152</v>
      </c>
      <c r="W123" s="117">
        <f>89*1.6</f>
        <v>142.4</v>
      </c>
      <c r="X123" s="117">
        <f>99*1.6</f>
        <v>158.4</v>
      </c>
      <c r="Y123" s="117">
        <v>164.8</v>
      </c>
      <c r="Z123" s="117">
        <v>164.8</v>
      </c>
      <c r="AA123" s="117">
        <f>95.1*1.6</f>
        <v>152.16</v>
      </c>
      <c r="AB123" s="117">
        <f>89.7*1.67</f>
        <v>149.79900000000001</v>
      </c>
      <c r="AC123" s="117">
        <f>98*1.641</f>
        <v>160.81800000000001</v>
      </c>
      <c r="AD123" s="117">
        <f>103.4*1.64</f>
        <v>169.57599999999999</v>
      </c>
      <c r="AE123" s="117">
        <f>87*1.67</f>
        <v>145.29</v>
      </c>
      <c r="AF123" s="117">
        <f>54.3*1.67</f>
        <v>90.680999999999997</v>
      </c>
      <c r="AG123" s="118">
        <v>120</v>
      </c>
      <c r="AH123" s="47">
        <f t="shared" si="32"/>
        <v>169.57599999999999</v>
      </c>
      <c r="AI123" s="48">
        <f t="shared" si="33"/>
        <v>90.680999999999997</v>
      </c>
    </row>
    <row r="124" spans="1:35" x14ac:dyDescent="0.25">
      <c r="A124" s="173" t="s">
        <v>259</v>
      </c>
      <c r="B124" s="117">
        <v>74.8</v>
      </c>
      <c r="C124" s="117">
        <v>76.599999999999994</v>
      </c>
      <c r="D124" s="117">
        <v>81.099999999999994</v>
      </c>
      <c r="E124" s="117">
        <v>84.28</v>
      </c>
      <c r="F124" s="117">
        <v>82.2</v>
      </c>
      <c r="G124" s="117">
        <v>81</v>
      </c>
      <c r="H124" s="117">
        <v>81.099999999999994</v>
      </c>
      <c r="I124" s="117">
        <v>87.9</v>
      </c>
      <c r="J124" s="117">
        <v>91.5</v>
      </c>
      <c r="K124" s="117">
        <v>84.8</v>
      </c>
      <c r="L124" s="117">
        <v>100.5</v>
      </c>
      <c r="M124" s="117">
        <v>104</v>
      </c>
      <c r="N124" s="117">
        <v>98.4</v>
      </c>
      <c r="O124" s="117">
        <v>101.8</v>
      </c>
      <c r="P124" s="117">
        <v>94.2</v>
      </c>
      <c r="Q124" s="117">
        <v>103.3</v>
      </c>
      <c r="R124" s="117">
        <v>103.3</v>
      </c>
      <c r="S124" s="117">
        <v>107.3</v>
      </c>
      <c r="T124" s="117">
        <v>105</v>
      </c>
      <c r="U124" s="117">
        <v>107.1</v>
      </c>
      <c r="V124" s="117">
        <v>103</v>
      </c>
      <c r="W124" s="117">
        <v>98.1</v>
      </c>
      <c r="X124" s="117">
        <v>106</v>
      </c>
      <c r="Y124" s="117">
        <v>108</v>
      </c>
      <c r="Z124" s="117">
        <v>108</v>
      </c>
      <c r="AA124" s="117">
        <v>102</v>
      </c>
      <c r="AB124" s="117">
        <v>98.2</v>
      </c>
      <c r="AC124" s="117">
        <v>104.9</v>
      </c>
      <c r="AD124" s="117">
        <v>110</v>
      </c>
      <c r="AE124" s="117">
        <v>96.6</v>
      </c>
      <c r="AF124" s="117">
        <v>70.599999999999994</v>
      </c>
      <c r="AG124" s="118"/>
      <c r="AH124" s="47"/>
      <c r="AI124" s="48"/>
    </row>
    <row r="125" spans="1:35" x14ac:dyDescent="0.25">
      <c r="A125" s="173" t="s">
        <v>256</v>
      </c>
      <c r="B125" s="117">
        <v>59.3</v>
      </c>
      <c r="C125" s="117">
        <v>70.099999999999994</v>
      </c>
      <c r="D125" s="117">
        <v>80</v>
      </c>
      <c r="E125" s="117">
        <v>80</v>
      </c>
      <c r="F125" s="117">
        <v>74.5</v>
      </c>
      <c r="G125" s="117">
        <v>58.2</v>
      </c>
      <c r="H125" s="117">
        <v>38</v>
      </c>
      <c r="I125" s="117">
        <v>32</v>
      </c>
      <c r="J125" s="117">
        <v>2</v>
      </c>
      <c r="K125" s="117">
        <v>-36.299999999999997</v>
      </c>
      <c r="L125" s="117">
        <v>-38.9</v>
      </c>
      <c r="M125" s="117">
        <v>-49.8</v>
      </c>
      <c r="N125" s="117">
        <v>-25.2</v>
      </c>
      <c r="O125" s="117">
        <v>-18.7</v>
      </c>
      <c r="P125" s="117">
        <v>-36.4</v>
      </c>
      <c r="Q125" s="117">
        <v>-15.7</v>
      </c>
      <c r="R125" s="117">
        <v>-7.6</v>
      </c>
      <c r="S125" s="117">
        <v>-17.399999999999999</v>
      </c>
      <c r="T125" s="117">
        <v>-12</v>
      </c>
      <c r="U125" s="117">
        <v>-17.100000000000001</v>
      </c>
      <c r="V125" s="117">
        <v>-25</v>
      </c>
      <c r="W125" s="117">
        <v>-47</v>
      </c>
      <c r="X125" s="117">
        <v>-52</v>
      </c>
      <c r="Y125" s="117">
        <v>-58.3</v>
      </c>
      <c r="Z125" s="117">
        <v>-58.3</v>
      </c>
      <c r="AA125" s="117">
        <v>-54</v>
      </c>
      <c r="AB125" s="117">
        <v>-56.8</v>
      </c>
      <c r="AC125" s="117">
        <v>-34.1</v>
      </c>
      <c r="AD125" s="117">
        <v>-4.8</v>
      </c>
      <c r="AE125" s="117">
        <v>26.8</v>
      </c>
      <c r="AF125" s="117">
        <v>25.6</v>
      </c>
      <c r="AG125" s="118"/>
      <c r="AH125" s="47"/>
      <c r="AI125" s="48"/>
    </row>
    <row r="126" spans="1:35" ht="15.75" thickBot="1" x14ac:dyDescent="0.3">
      <c r="A126" s="173" t="s">
        <v>255</v>
      </c>
      <c r="B126" s="117">
        <v>90.1</v>
      </c>
      <c r="C126" s="117">
        <v>90.1</v>
      </c>
      <c r="D126" s="117">
        <v>97.8</v>
      </c>
      <c r="E126" s="117">
        <v>104</v>
      </c>
      <c r="F126" s="117">
        <v>101</v>
      </c>
      <c r="G126" s="117">
        <v>101.2</v>
      </c>
      <c r="H126" s="117">
        <v>95</v>
      </c>
      <c r="I126" s="117">
        <v>99</v>
      </c>
      <c r="J126" s="117">
        <v>96.7</v>
      </c>
      <c r="K126" s="117">
        <v>83.9</v>
      </c>
      <c r="L126" s="117">
        <v>100.4</v>
      </c>
      <c r="M126" s="117">
        <v>96.8</v>
      </c>
      <c r="N126" s="117">
        <v>105.5</v>
      </c>
      <c r="O126" s="117">
        <v>96.8</v>
      </c>
      <c r="P126" s="117">
        <v>77</v>
      </c>
      <c r="Q126" s="117">
        <v>97.5</v>
      </c>
      <c r="R126" s="117">
        <v>95.6</v>
      </c>
      <c r="S126" s="117">
        <v>100</v>
      </c>
      <c r="T126" s="117">
        <v>96</v>
      </c>
      <c r="U126" s="117">
        <v>91.3</v>
      </c>
      <c r="V126" s="117">
        <v>87</v>
      </c>
      <c r="W126" s="117">
        <v>89</v>
      </c>
      <c r="X126" s="117">
        <v>91</v>
      </c>
      <c r="Y126" s="117">
        <v>98</v>
      </c>
      <c r="Z126" s="117">
        <v>98</v>
      </c>
      <c r="AA126" s="117">
        <v>97</v>
      </c>
      <c r="AB126" s="117">
        <v>103.7</v>
      </c>
      <c r="AC126" s="117">
        <v>85.8</v>
      </c>
      <c r="AD126" s="117">
        <v>91.4</v>
      </c>
      <c r="AE126" s="117">
        <v>81.400000000000006</v>
      </c>
      <c r="AF126" s="117">
        <v>56.3</v>
      </c>
      <c r="AG126" s="114"/>
      <c r="AH126" s="47">
        <f t="shared" si="32"/>
        <v>105.5</v>
      </c>
      <c r="AI126" s="48">
        <f t="shared" si="33"/>
        <v>56.3</v>
      </c>
    </row>
    <row r="127" spans="1:35" x14ac:dyDescent="0.25">
      <c r="A127" s="172" t="s">
        <v>257</v>
      </c>
      <c r="B127" s="117">
        <v>15</v>
      </c>
      <c r="C127" s="117">
        <v>28.9</v>
      </c>
      <c r="D127" s="117">
        <v>33.5</v>
      </c>
      <c r="E127" s="117">
        <v>36</v>
      </c>
      <c r="F127" s="117">
        <v>28.6</v>
      </c>
      <c r="G127" s="117">
        <v>15.5</v>
      </c>
      <c r="H127" s="117">
        <v>13</v>
      </c>
      <c r="I127" s="117">
        <v>10.8</v>
      </c>
      <c r="J127" s="117">
        <v>-8.6999999999999993</v>
      </c>
      <c r="K127" s="117">
        <v>-9.3000000000000007</v>
      </c>
      <c r="L127" s="117">
        <v>-6.5</v>
      </c>
      <c r="M127" s="117">
        <v>-12.9</v>
      </c>
      <c r="N127" s="117">
        <v>-4.4000000000000004</v>
      </c>
      <c r="O127" s="117">
        <v>-2.6</v>
      </c>
      <c r="P127" s="117">
        <v>-2.2999999999999998</v>
      </c>
      <c r="Q127" s="117">
        <v>-1.9</v>
      </c>
      <c r="R127" s="117">
        <v>-6</v>
      </c>
      <c r="S127" s="117">
        <v>-7.4</v>
      </c>
      <c r="T127" s="117">
        <v>-9</v>
      </c>
      <c r="U127" s="117">
        <v>-8</v>
      </c>
      <c r="V127" s="117">
        <v>-5</v>
      </c>
      <c r="W127" s="117">
        <v>-3</v>
      </c>
      <c r="X127" s="117">
        <v>-9</v>
      </c>
      <c r="Y127" s="117">
        <v>-7</v>
      </c>
      <c r="Z127" s="117">
        <v>-7</v>
      </c>
      <c r="AA127" s="117">
        <v>-5</v>
      </c>
      <c r="AB127" s="117">
        <v>0</v>
      </c>
      <c r="AC127" s="117">
        <v>-4.5999999999999996</v>
      </c>
      <c r="AD127" s="117">
        <v>-1.3</v>
      </c>
      <c r="AE127" s="117">
        <v>4.2</v>
      </c>
      <c r="AF127" s="106">
        <v>3.1</v>
      </c>
      <c r="AG127" s="114"/>
      <c r="AH127" s="47">
        <f t="shared" si="32"/>
        <v>36</v>
      </c>
      <c r="AI127" s="48">
        <f t="shared" si="33"/>
        <v>-12.9</v>
      </c>
    </row>
    <row r="128" spans="1:35" x14ac:dyDescent="0.25">
      <c r="A128" s="173" t="s">
        <v>124</v>
      </c>
      <c r="B128" s="106">
        <v>1.1000000000000001</v>
      </c>
      <c r="C128" s="106">
        <v>3.8</v>
      </c>
      <c r="D128" s="106">
        <v>2.2000000000000002</v>
      </c>
      <c r="E128" s="106">
        <v>2.9</v>
      </c>
      <c r="F128" s="106">
        <v>2.7</v>
      </c>
      <c r="G128" s="106">
        <v>-0.4</v>
      </c>
      <c r="H128" s="106">
        <v>-4.9000000000000004</v>
      </c>
      <c r="I128" s="106">
        <v>-10.9</v>
      </c>
      <c r="J128" s="106">
        <v>-19.5</v>
      </c>
      <c r="K128" s="106">
        <v>-27.7</v>
      </c>
      <c r="L128" s="106">
        <v>-33.6</v>
      </c>
      <c r="M128" s="106">
        <v>-35.1</v>
      </c>
      <c r="N128" s="106">
        <v>-25.1</v>
      </c>
      <c r="O128" s="106">
        <v>-17.8</v>
      </c>
      <c r="P128" s="106">
        <v>-16.399999999999999</v>
      </c>
      <c r="Q128" s="106">
        <v>-15.6</v>
      </c>
      <c r="R128" s="106">
        <v>-10.5</v>
      </c>
      <c r="S128" s="106">
        <v>-13.1</v>
      </c>
      <c r="T128" s="106">
        <v>-16</v>
      </c>
      <c r="U128" s="106">
        <v>-21</v>
      </c>
      <c r="V128" s="106">
        <v>-26</v>
      </c>
      <c r="W128" s="106">
        <v>-35</v>
      </c>
      <c r="X128" s="106">
        <v>-44</v>
      </c>
      <c r="Y128" s="106">
        <v>-40</v>
      </c>
      <c r="Z128" s="106">
        <v>-40</v>
      </c>
      <c r="AA128" s="106">
        <v>-31</v>
      </c>
      <c r="AB128" s="106">
        <v>-29.7</v>
      </c>
      <c r="AC128" s="106">
        <v>-27</v>
      </c>
      <c r="AD128" s="106">
        <v>-21.6</v>
      </c>
      <c r="AE128" s="106">
        <v>-8.5</v>
      </c>
      <c r="AF128" s="106">
        <v>-2.2999999999999998</v>
      </c>
      <c r="AG128" s="114"/>
      <c r="AH128" s="47">
        <f t="shared" si="32"/>
        <v>3.8</v>
      </c>
      <c r="AI128" s="48">
        <f t="shared" si="33"/>
        <v>-44</v>
      </c>
    </row>
    <row r="129" spans="1:37" x14ac:dyDescent="0.25">
      <c r="A129" s="173" t="s">
        <v>261</v>
      </c>
      <c r="B129" s="106">
        <v>24.7</v>
      </c>
      <c r="C129" s="106">
        <v>24.7</v>
      </c>
      <c r="D129" s="106">
        <v>24.8</v>
      </c>
      <c r="E129" s="106">
        <v>23.91</v>
      </c>
      <c r="F129" s="106">
        <v>22.7</v>
      </c>
      <c r="G129" s="106">
        <v>26.1</v>
      </c>
      <c r="H129" s="106">
        <v>27.4</v>
      </c>
      <c r="I129" s="106">
        <v>28.5</v>
      </c>
      <c r="J129" s="106">
        <v>24.6</v>
      </c>
      <c r="K129" s="106">
        <v>11.1</v>
      </c>
      <c r="L129" s="106">
        <v>11.6</v>
      </c>
      <c r="M129" s="106">
        <v>12.7</v>
      </c>
      <c r="N129" s="106">
        <v>12.9</v>
      </c>
      <c r="O129" s="106">
        <v>11.9</v>
      </c>
      <c r="P129" s="106">
        <v>11.8</v>
      </c>
      <c r="Q129" s="106">
        <v>20</v>
      </c>
      <c r="R129" s="106">
        <v>30</v>
      </c>
      <c r="S129" s="106">
        <v>30.5</v>
      </c>
      <c r="T129" s="106">
        <v>30</v>
      </c>
      <c r="U129" s="106">
        <v>30</v>
      </c>
      <c r="V129" s="106">
        <v>10</v>
      </c>
      <c r="W129" s="106">
        <v>12</v>
      </c>
      <c r="X129" s="106">
        <v>12</v>
      </c>
      <c r="Y129" s="106">
        <v>12</v>
      </c>
      <c r="Z129" s="106">
        <v>12</v>
      </c>
      <c r="AA129" s="106">
        <v>11</v>
      </c>
      <c r="AB129" s="106">
        <v>9.8000000000000007</v>
      </c>
      <c r="AC129" s="106">
        <v>9.6</v>
      </c>
      <c r="AD129" s="106">
        <v>13.6</v>
      </c>
      <c r="AE129" s="106">
        <v>20.8</v>
      </c>
      <c r="AF129" s="106">
        <v>26.4</v>
      </c>
      <c r="AG129" s="114"/>
      <c r="AH129" s="47">
        <f t="shared" si="32"/>
        <v>30.5</v>
      </c>
      <c r="AI129" s="48">
        <f t="shared" si="33"/>
        <v>9.6</v>
      </c>
    </row>
    <row r="130" spans="1:37" ht="15.75" thickBot="1" x14ac:dyDescent="0.3">
      <c r="A130" s="173" t="s">
        <v>258</v>
      </c>
      <c r="B130" s="106">
        <v>80.900000000000006</v>
      </c>
      <c r="C130" s="106">
        <v>77.5</v>
      </c>
      <c r="D130" s="106">
        <v>75.900000000000006</v>
      </c>
      <c r="E130" s="106">
        <v>72.099999999999994</v>
      </c>
      <c r="F130" s="106">
        <v>72</v>
      </c>
      <c r="G130" s="106">
        <v>79.7</v>
      </c>
      <c r="H130" s="106">
        <v>77.8</v>
      </c>
      <c r="I130" s="106">
        <v>84.5</v>
      </c>
      <c r="J130" s="106">
        <v>94</v>
      </c>
      <c r="K130" s="106">
        <v>90.8</v>
      </c>
      <c r="L130" s="106">
        <v>95.1</v>
      </c>
      <c r="M130" s="106">
        <v>99.8</v>
      </c>
      <c r="N130" s="106">
        <v>93.4</v>
      </c>
      <c r="O130" s="106">
        <v>104.5</v>
      </c>
      <c r="P130" s="106">
        <v>91.4</v>
      </c>
      <c r="Q130" s="106">
        <v>104</v>
      </c>
      <c r="R130" s="106">
        <v>96.8</v>
      </c>
      <c r="S130" s="106">
        <v>105</v>
      </c>
      <c r="T130" s="106">
        <v>107</v>
      </c>
      <c r="U130" s="106">
        <v>111</v>
      </c>
      <c r="V130" s="106">
        <v>94</v>
      </c>
      <c r="W130" s="106">
        <v>98.3</v>
      </c>
      <c r="X130" s="106">
        <v>115</v>
      </c>
      <c r="Y130" s="106">
        <v>111</v>
      </c>
      <c r="Z130" s="106">
        <v>111</v>
      </c>
      <c r="AA130" s="106">
        <v>117</v>
      </c>
      <c r="AB130" s="106">
        <v>116.9</v>
      </c>
      <c r="AC130" s="106">
        <v>110.6</v>
      </c>
      <c r="AD130" s="106">
        <v>113</v>
      </c>
      <c r="AE130" s="106">
        <v>97.7</v>
      </c>
      <c r="AF130" s="106">
        <v>87.2</v>
      </c>
      <c r="AG130" s="114"/>
      <c r="AH130" s="47">
        <f t="shared" si="32"/>
        <v>117</v>
      </c>
      <c r="AI130" s="48">
        <f t="shared" si="33"/>
        <v>72</v>
      </c>
    </row>
    <row r="131" spans="1:37" x14ac:dyDescent="0.25">
      <c r="A131" s="144" t="s">
        <v>238</v>
      </c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6"/>
      <c r="AG131" s="43"/>
      <c r="AH131" s="47"/>
      <c r="AI131" s="48"/>
    </row>
    <row r="132" spans="1:37" x14ac:dyDescent="0.25">
      <c r="A132" s="189" t="s">
        <v>368</v>
      </c>
      <c r="B132" s="147"/>
      <c r="C132" s="147">
        <v>1985.22</v>
      </c>
      <c r="D132" s="147">
        <v>1985.45</v>
      </c>
      <c r="E132" s="147">
        <v>1985.68</v>
      </c>
      <c r="F132" s="147">
        <v>1985.9</v>
      </c>
      <c r="G132" s="147">
        <v>1991.1</v>
      </c>
      <c r="H132" s="147"/>
      <c r="I132" s="147">
        <v>1991.25</v>
      </c>
      <c r="J132" s="147"/>
      <c r="K132" s="147">
        <v>1991.31</v>
      </c>
      <c r="L132" s="147"/>
      <c r="M132" s="147">
        <v>1991.27</v>
      </c>
      <c r="N132" s="147">
        <v>1991</v>
      </c>
      <c r="O132" s="147">
        <v>1985.83</v>
      </c>
      <c r="P132" s="147">
        <v>1985.674</v>
      </c>
      <c r="Q132" s="147">
        <v>1985.57</v>
      </c>
      <c r="R132" s="147">
        <v>1985.82</v>
      </c>
      <c r="S132" s="147">
        <v>1985.81</v>
      </c>
      <c r="T132" s="147">
        <v>1985.8</v>
      </c>
      <c r="U132" s="147">
        <v>1985.75</v>
      </c>
      <c r="V132" s="147"/>
      <c r="W132" s="147">
        <v>1985.7</v>
      </c>
      <c r="X132" s="147"/>
      <c r="Y132" s="147"/>
      <c r="Z132" s="147">
        <v>1985.49</v>
      </c>
      <c r="AA132" s="147"/>
      <c r="AB132" s="147">
        <v>1985.3</v>
      </c>
      <c r="AC132" s="147"/>
      <c r="AD132" s="147">
        <v>1985.12</v>
      </c>
      <c r="AE132" s="147">
        <v>1984.83</v>
      </c>
      <c r="AF132" s="148">
        <v>1984.75</v>
      </c>
      <c r="AG132" s="149"/>
      <c r="AH132" s="47"/>
      <c r="AI132" s="48"/>
    </row>
    <row r="133" spans="1:37" x14ac:dyDescent="0.25">
      <c r="A133" s="189" t="s">
        <v>239</v>
      </c>
      <c r="B133" s="150"/>
      <c r="C133" s="150">
        <v>520.74</v>
      </c>
      <c r="D133" s="150">
        <v>521.12</v>
      </c>
      <c r="E133" s="150">
        <v>521.48</v>
      </c>
      <c r="F133" s="150">
        <v>521.82000000000005</v>
      </c>
      <c r="G133" s="150">
        <v>522.14</v>
      </c>
      <c r="H133" s="150"/>
      <c r="I133" s="150">
        <v>522.34</v>
      </c>
      <c r="J133" s="150"/>
      <c r="K133" s="150"/>
      <c r="L133" s="150"/>
      <c r="M133" s="150">
        <v>522.12</v>
      </c>
      <c r="N133" s="150">
        <v>521.95000000000005</v>
      </c>
      <c r="O133" s="150">
        <v>521.9</v>
      </c>
      <c r="P133" s="150">
        <v>521.66</v>
      </c>
      <c r="Q133" s="150">
        <v>521.52</v>
      </c>
      <c r="R133" s="150">
        <v>521.29999999999995</v>
      </c>
      <c r="S133" s="150">
        <v>521.15</v>
      </c>
      <c r="T133" s="150">
        <v>520.91</v>
      </c>
      <c r="U133" s="150">
        <v>520.66</v>
      </c>
      <c r="V133" s="150"/>
      <c r="W133" s="150">
        <v>520.48</v>
      </c>
      <c r="X133" s="150"/>
      <c r="Y133" s="150"/>
      <c r="Z133" s="150"/>
      <c r="AA133" s="150"/>
      <c r="AB133" s="150">
        <v>519.72</v>
      </c>
      <c r="AC133" s="150"/>
      <c r="AD133" s="150">
        <v>519.55999999999995</v>
      </c>
      <c r="AE133" s="150">
        <v>519.67999999999995</v>
      </c>
      <c r="AF133" s="151">
        <v>520.14</v>
      </c>
      <c r="AG133" s="149"/>
      <c r="AH133" s="47"/>
      <c r="AI133" s="48"/>
    </row>
    <row r="134" spans="1:37" x14ac:dyDescent="0.25">
      <c r="A134" s="189" t="s">
        <v>240</v>
      </c>
      <c r="B134" s="150"/>
      <c r="C134" s="150">
        <v>622.57000000000005</v>
      </c>
      <c r="D134" s="150">
        <v>622.99</v>
      </c>
      <c r="E134" s="150">
        <v>623.5</v>
      </c>
      <c r="F134" s="150">
        <v>623.91</v>
      </c>
      <c r="G134" s="150">
        <v>624.22</v>
      </c>
      <c r="H134" s="150"/>
      <c r="I134" s="150">
        <v>624.37</v>
      </c>
      <c r="J134" s="150"/>
      <c r="K134" s="150">
        <v>624.26</v>
      </c>
      <c r="L134" s="150"/>
      <c r="M134" s="150">
        <v>623.91999999999996</v>
      </c>
      <c r="N134" s="150">
        <v>623.41</v>
      </c>
      <c r="O134" s="150"/>
      <c r="P134" s="150">
        <v>623.05999999999995</v>
      </c>
      <c r="Q134" s="150">
        <v>623.04</v>
      </c>
      <c r="R134" s="150">
        <v>623.01</v>
      </c>
      <c r="S134" s="150">
        <v>623.01</v>
      </c>
      <c r="T134" s="150">
        <v>622.99</v>
      </c>
      <c r="U134" s="150">
        <v>622.91</v>
      </c>
      <c r="V134" s="150"/>
      <c r="W134" s="150">
        <v>622.98</v>
      </c>
      <c r="X134" s="150"/>
      <c r="Y134" s="150"/>
      <c r="Z134" s="150"/>
      <c r="AA134" s="150"/>
      <c r="AB134" s="150">
        <v>621.71</v>
      </c>
      <c r="AC134" s="150"/>
      <c r="AD134" s="150">
        <v>621.38</v>
      </c>
      <c r="AE134" s="150">
        <v>622.27</v>
      </c>
      <c r="AF134" s="151">
        <v>622.83000000000004</v>
      </c>
      <c r="AG134" s="149"/>
      <c r="AH134" s="47"/>
      <c r="AI134" s="48"/>
    </row>
    <row r="135" spans="1:37" x14ac:dyDescent="0.25">
      <c r="A135" s="189" t="s">
        <v>241</v>
      </c>
      <c r="B135" s="150"/>
      <c r="C135" s="150">
        <v>336.22</v>
      </c>
      <c r="D135" s="150">
        <v>336.67</v>
      </c>
      <c r="E135" s="150">
        <v>337.09</v>
      </c>
      <c r="F135" s="150">
        <v>337.32</v>
      </c>
      <c r="G135" s="150">
        <v>337.46</v>
      </c>
      <c r="H135" s="150"/>
      <c r="I135" s="150">
        <v>337.43</v>
      </c>
      <c r="J135" s="150"/>
      <c r="K135" s="150">
        <v>337.27</v>
      </c>
      <c r="L135" s="150"/>
      <c r="M135" s="150">
        <v>336.99</v>
      </c>
      <c r="N135" s="150">
        <v>336.37</v>
      </c>
      <c r="O135" s="150">
        <v>335.99</v>
      </c>
      <c r="P135" s="150">
        <v>335.49</v>
      </c>
      <c r="Q135" s="150">
        <v>334.76</v>
      </c>
      <c r="R135" s="150">
        <v>334.57</v>
      </c>
      <c r="S135" s="150">
        <v>334.85</v>
      </c>
      <c r="T135" s="150">
        <v>334.99</v>
      </c>
      <c r="U135" s="150">
        <v>335.18</v>
      </c>
      <c r="V135" s="150">
        <v>335.39</v>
      </c>
      <c r="W135" s="150">
        <v>335.5</v>
      </c>
      <c r="X135" s="150"/>
      <c r="Y135" s="150"/>
      <c r="Z135" s="150"/>
      <c r="AA135" s="150"/>
      <c r="AB135" s="150">
        <v>335.04</v>
      </c>
      <c r="AC135" s="150"/>
      <c r="AD135" s="150">
        <v>334.91</v>
      </c>
      <c r="AE135" s="150">
        <v>334.88</v>
      </c>
      <c r="AF135" s="151">
        <v>335.16</v>
      </c>
      <c r="AG135" s="149"/>
      <c r="AH135" s="47"/>
      <c r="AI135" s="48"/>
    </row>
    <row r="136" spans="1:37" x14ac:dyDescent="0.25">
      <c r="A136" s="189" t="s">
        <v>407</v>
      </c>
      <c r="B136" s="150"/>
      <c r="C136" s="150">
        <v>883.9</v>
      </c>
      <c r="D136" s="150">
        <v>884.7</v>
      </c>
      <c r="E136" s="150">
        <v>885.5</v>
      </c>
      <c r="F136" s="150">
        <v>891</v>
      </c>
      <c r="G136" s="150">
        <v>891.4</v>
      </c>
      <c r="H136" s="150"/>
      <c r="I136" s="150">
        <v>891.4</v>
      </c>
      <c r="J136" s="150"/>
      <c r="K136" s="150">
        <v>885.9</v>
      </c>
      <c r="L136" s="150"/>
      <c r="M136" s="150">
        <v>884.7</v>
      </c>
      <c r="N136" s="150">
        <v>883.2</v>
      </c>
      <c r="O136" s="150">
        <v>882.2</v>
      </c>
      <c r="P136" s="150">
        <v>883.2</v>
      </c>
      <c r="Q136" s="150">
        <v>884</v>
      </c>
      <c r="R136" s="150">
        <v>884.7</v>
      </c>
      <c r="S136" s="150">
        <v>885.4</v>
      </c>
      <c r="T136" s="150">
        <v>885.9</v>
      </c>
      <c r="U136" s="150">
        <v>891.3</v>
      </c>
      <c r="V136" s="150"/>
      <c r="W136" s="150">
        <v>891.2</v>
      </c>
      <c r="X136" s="150"/>
      <c r="Y136" s="150"/>
      <c r="Z136" s="150">
        <v>884.8</v>
      </c>
      <c r="AA136" s="150"/>
      <c r="AB136" s="150">
        <v>884</v>
      </c>
      <c r="AC136" s="150"/>
      <c r="AD136" s="150">
        <v>884.3</v>
      </c>
      <c r="AE136" s="150">
        <v>884.9</v>
      </c>
      <c r="AF136" s="151">
        <v>885.6</v>
      </c>
      <c r="AG136" s="149"/>
      <c r="AH136" s="47"/>
      <c r="AI136" s="48"/>
    </row>
    <row r="137" spans="1:37" ht="15.75" thickBot="1" x14ac:dyDescent="0.3">
      <c r="A137" s="189" t="s">
        <v>242</v>
      </c>
      <c r="B137" s="152">
        <v>1518.85</v>
      </c>
      <c r="C137" s="152"/>
      <c r="D137" s="152"/>
      <c r="E137" s="152"/>
      <c r="F137" s="152"/>
      <c r="G137" s="152"/>
      <c r="H137" s="152"/>
      <c r="I137" s="152"/>
      <c r="J137" s="152"/>
      <c r="K137" s="152">
        <v>1518.87</v>
      </c>
      <c r="L137" s="152"/>
      <c r="M137" s="152">
        <v>1518.87</v>
      </c>
      <c r="N137" s="152"/>
      <c r="O137" s="152"/>
      <c r="P137" s="152">
        <v>1518.87</v>
      </c>
      <c r="Q137" s="152"/>
      <c r="R137" s="152">
        <v>1518.87</v>
      </c>
      <c r="S137" s="152">
        <v>1518.88</v>
      </c>
      <c r="T137" s="152"/>
      <c r="U137" s="152"/>
      <c r="V137" s="152"/>
      <c r="W137" s="152"/>
      <c r="X137" s="152"/>
      <c r="Y137" s="152"/>
      <c r="Z137" s="152"/>
      <c r="AA137" s="152"/>
      <c r="AB137" s="152">
        <v>1518.85</v>
      </c>
      <c r="AC137" s="152"/>
      <c r="AD137" s="152">
        <v>1518.85</v>
      </c>
      <c r="AE137" s="152"/>
      <c r="AF137" s="153"/>
      <c r="AG137" s="149"/>
      <c r="AH137" s="47"/>
      <c r="AI137" s="48"/>
    </row>
    <row r="138" spans="1:37" ht="15.75" thickBot="1" x14ac:dyDescent="0.3">
      <c r="A138" s="120" t="s">
        <v>125</v>
      </c>
      <c r="B138" s="121"/>
      <c r="C138" s="121"/>
      <c r="D138" s="121"/>
      <c r="E138" s="121"/>
      <c r="F138" s="170" t="s">
        <v>254</v>
      </c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74"/>
      <c r="AH138" s="47"/>
      <c r="AI138" s="48"/>
      <c r="AK138" s="50"/>
    </row>
    <row r="139" spans="1:37" x14ac:dyDescent="0.25">
      <c r="A139" s="122" t="s">
        <v>126</v>
      </c>
      <c r="B139" s="123"/>
      <c r="C139" s="124"/>
      <c r="D139" s="124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5">
        <v>9.94</v>
      </c>
      <c r="AH139" s="47"/>
      <c r="AI139" s="48"/>
      <c r="AK139" s="50"/>
    </row>
    <row r="140" spans="1:37" x14ac:dyDescent="0.25">
      <c r="A140" s="103" t="s">
        <v>127</v>
      </c>
      <c r="B140" s="123"/>
      <c r="C140" s="124"/>
      <c r="D140" s="124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5"/>
      <c r="AH140" s="47"/>
      <c r="AI140" s="48"/>
      <c r="AK140" s="50"/>
    </row>
    <row r="141" spans="1:37" x14ac:dyDescent="0.25">
      <c r="A141" s="103" t="s">
        <v>128</v>
      </c>
      <c r="B141" s="123"/>
      <c r="C141" s="124"/>
      <c r="D141" s="124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5"/>
      <c r="AH141" s="47"/>
      <c r="AI141" s="48"/>
      <c r="AK141" s="50"/>
    </row>
    <row r="142" spans="1:37" x14ac:dyDescent="0.25">
      <c r="A142" s="103" t="s">
        <v>129</v>
      </c>
      <c r="B142" s="123"/>
      <c r="C142" s="124"/>
      <c r="D142" s="124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5"/>
      <c r="AH142" s="47"/>
      <c r="AI142" s="48"/>
      <c r="AK142" s="50"/>
    </row>
    <row r="143" spans="1:37" x14ac:dyDescent="0.25">
      <c r="A143" s="103" t="s">
        <v>130</v>
      </c>
      <c r="B143" s="123"/>
      <c r="C143" s="124"/>
      <c r="D143" s="124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5"/>
      <c r="AH143" s="47"/>
      <c r="AI143" s="48"/>
      <c r="AK143" s="50"/>
    </row>
    <row r="144" spans="1:37" x14ac:dyDescent="0.25">
      <c r="A144" s="103" t="s">
        <v>131</v>
      </c>
      <c r="B144" s="123"/>
      <c r="C144" s="124"/>
      <c r="D144" s="124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5"/>
      <c r="AH144" s="47"/>
      <c r="AI144" s="48"/>
      <c r="AK144" s="50"/>
    </row>
    <row r="145" spans="1:37" x14ac:dyDescent="0.25">
      <c r="A145" s="103" t="s">
        <v>132</v>
      </c>
      <c r="B145" s="123"/>
      <c r="C145" s="124"/>
      <c r="D145" s="124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5"/>
      <c r="AH145" s="47"/>
      <c r="AI145" s="48"/>
      <c r="AK145" s="50"/>
    </row>
    <row r="146" spans="1:37" x14ac:dyDescent="0.25">
      <c r="A146" s="103" t="s">
        <v>133</v>
      </c>
      <c r="B146" s="123"/>
      <c r="C146" s="124"/>
      <c r="D146" s="124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5"/>
      <c r="AH146" s="47"/>
      <c r="AI146" s="48"/>
      <c r="AK146" s="50"/>
    </row>
    <row r="147" spans="1:37" x14ac:dyDescent="0.25">
      <c r="A147" s="103" t="s">
        <v>134</v>
      </c>
      <c r="B147" s="123"/>
      <c r="C147" s="124"/>
      <c r="D147" s="124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5"/>
      <c r="AH147" s="47"/>
      <c r="AI147" s="48"/>
      <c r="AK147" s="50"/>
    </row>
    <row r="148" spans="1:37" x14ac:dyDescent="0.25">
      <c r="A148" s="103" t="s">
        <v>135</v>
      </c>
      <c r="B148" s="123"/>
      <c r="C148" s="124"/>
      <c r="D148" s="124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5"/>
      <c r="AH148" s="47"/>
      <c r="AI148" s="48"/>
      <c r="AK148" s="50"/>
    </row>
    <row r="149" spans="1:37" x14ac:dyDescent="0.25">
      <c r="A149" s="103" t="s">
        <v>136</v>
      </c>
      <c r="B149" s="123"/>
      <c r="C149" s="124"/>
      <c r="D149" s="124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5"/>
      <c r="AH149" s="47"/>
      <c r="AI149" s="48"/>
      <c r="AK149" s="50"/>
    </row>
    <row r="150" spans="1:37" x14ac:dyDescent="0.25">
      <c r="A150" s="103" t="s">
        <v>137</v>
      </c>
      <c r="B150" s="123"/>
      <c r="C150" s="124"/>
      <c r="D150" s="124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5"/>
      <c r="AH150" s="47"/>
      <c r="AI150" s="48"/>
      <c r="AK150" s="50"/>
    </row>
    <row r="151" spans="1:37" x14ac:dyDescent="0.25">
      <c r="A151" s="103" t="s">
        <v>138</v>
      </c>
      <c r="B151" s="123"/>
      <c r="C151" s="124"/>
      <c r="D151" s="124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5"/>
      <c r="AH151" s="47"/>
      <c r="AI151" s="48"/>
      <c r="AK151" s="50"/>
    </row>
    <row r="152" spans="1:37" x14ac:dyDescent="0.25">
      <c r="A152" s="103" t="s">
        <v>139</v>
      </c>
      <c r="B152" s="123"/>
      <c r="C152" s="124"/>
      <c r="D152" s="124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5"/>
      <c r="AH152" s="47"/>
      <c r="AI152" s="48"/>
      <c r="AK152" s="50"/>
    </row>
    <row r="153" spans="1:37" x14ac:dyDescent="0.25">
      <c r="A153" s="103" t="s">
        <v>140</v>
      </c>
      <c r="B153" s="123"/>
      <c r="C153" s="124"/>
      <c r="D153" s="124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5"/>
      <c r="AH153" s="47"/>
      <c r="AI153" s="48"/>
      <c r="AK153" s="50"/>
    </row>
    <row r="154" spans="1:37" x14ac:dyDescent="0.25">
      <c r="A154" s="103" t="s">
        <v>141</v>
      </c>
      <c r="B154" s="123"/>
      <c r="C154" s="124"/>
      <c r="D154" s="124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5"/>
      <c r="AH154" s="47"/>
      <c r="AI154" s="48"/>
      <c r="AK154" s="50"/>
    </row>
    <row r="155" spans="1:37" x14ac:dyDescent="0.25">
      <c r="A155" s="103" t="s">
        <v>142</v>
      </c>
      <c r="B155" s="126"/>
      <c r="C155" s="127"/>
      <c r="D155" s="127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8">
        <v>9.9</v>
      </c>
      <c r="AH155" s="47"/>
      <c r="AI155" s="48"/>
      <c r="AK155" s="50"/>
    </row>
    <row r="156" spans="1:37" x14ac:dyDescent="0.25">
      <c r="A156" s="116" t="s">
        <v>143</v>
      </c>
      <c r="B156" s="126"/>
      <c r="C156" s="127"/>
      <c r="D156" s="127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9">
        <v>9.6579999999999995</v>
      </c>
      <c r="AH156" s="47"/>
      <c r="AI156" s="48"/>
      <c r="AK156" s="50"/>
    </row>
    <row r="157" spans="1:37" x14ac:dyDescent="0.25">
      <c r="A157" s="116" t="s">
        <v>144</v>
      </c>
      <c r="B157" s="126"/>
      <c r="C157" s="127"/>
      <c r="D157" s="127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9">
        <v>9.6</v>
      </c>
      <c r="AH157" s="47"/>
      <c r="AI157" s="48"/>
      <c r="AK157" s="50"/>
    </row>
    <row r="158" spans="1:37" x14ac:dyDescent="0.25">
      <c r="A158" s="116" t="s">
        <v>145</v>
      </c>
      <c r="B158" s="126"/>
      <c r="C158" s="127"/>
      <c r="D158" s="127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9">
        <v>9.51</v>
      </c>
      <c r="AH158" s="47"/>
      <c r="AI158" s="48"/>
      <c r="AK158" s="50"/>
    </row>
    <row r="159" spans="1:37" x14ac:dyDescent="0.25">
      <c r="A159" s="116" t="s">
        <v>146</v>
      </c>
      <c r="B159" s="126"/>
      <c r="C159" s="127"/>
      <c r="D159" s="127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9">
        <v>9.4</v>
      </c>
      <c r="AH159" s="47"/>
      <c r="AI159" s="48"/>
      <c r="AK159" s="50"/>
    </row>
    <row r="160" spans="1:37" x14ac:dyDescent="0.25">
      <c r="A160" s="116" t="s">
        <v>147</v>
      </c>
      <c r="B160" s="126"/>
      <c r="C160" s="127"/>
      <c r="D160" s="127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9">
        <v>8.8000000000000007</v>
      </c>
      <c r="AH160" s="47"/>
      <c r="AI160" s="48"/>
      <c r="AK160" s="50"/>
    </row>
    <row r="161" spans="1:37" x14ac:dyDescent="0.25">
      <c r="A161" s="116" t="s">
        <v>148</v>
      </c>
      <c r="B161" s="126"/>
      <c r="C161" s="127"/>
      <c r="D161" s="127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9">
        <v>8.5</v>
      </c>
      <c r="AH161" s="47"/>
      <c r="AI161" s="48"/>
      <c r="AK161" s="50"/>
    </row>
    <row r="162" spans="1:37" x14ac:dyDescent="0.25">
      <c r="A162" s="116" t="s">
        <v>149</v>
      </c>
      <c r="B162" s="126"/>
      <c r="C162" s="127"/>
      <c r="D162" s="127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9">
        <v>8.5</v>
      </c>
      <c r="AH162" s="47"/>
      <c r="AI162" s="48"/>
      <c r="AK162" s="50"/>
    </row>
    <row r="163" spans="1:37" x14ac:dyDescent="0.25">
      <c r="A163" s="116" t="s">
        <v>150</v>
      </c>
      <c r="B163" s="126"/>
      <c r="C163" s="127"/>
      <c r="D163" s="127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9">
        <v>8.4</v>
      </c>
      <c r="AH163" s="47"/>
      <c r="AI163" s="48"/>
      <c r="AK163" s="50"/>
    </row>
    <row r="164" spans="1:37" ht="13.5" customHeight="1" x14ac:dyDescent="0.25">
      <c r="A164" s="116" t="s">
        <v>151</v>
      </c>
      <c r="B164" s="126"/>
      <c r="C164" s="127"/>
      <c r="D164" s="127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9">
        <v>8</v>
      </c>
      <c r="AH164" s="47"/>
      <c r="AI164" s="48"/>
      <c r="AK164" s="50"/>
    </row>
    <row r="165" spans="1:37" x14ac:dyDescent="0.25">
      <c r="A165" s="116" t="s">
        <v>152</v>
      </c>
      <c r="B165" s="126"/>
      <c r="C165" s="127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9">
        <v>8</v>
      </c>
      <c r="AH165" s="47"/>
      <c r="AI165" s="48"/>
      <c r="AK165" s="50"/>
    </row>
    <row r="166" spans="1:37" x14ac:dyDescent="0.25">
      <c r="A166" s="116" t="s">
        <v>153</v>
      </c>
      <c r="B166" s="126"/>
      <c r="C166" s="127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9">
        <v>8</v>
      </c>
      <c r="AH166" s="47"/>
      <c r="AI166" s="48"/>
      <c r="AK166" s="50"/>
    </row>
    <row r="167" spans="1:37" x14ac:dyDescent="0.25">
      <c r="A167" s="116" t="s">
        <v>154</v>
      </c>
      <c r="B167" s="126"/>
      <c r="C167" s="127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9">
        <v>7.8</v>
      </c>
      <c r="AH167" s="47"/>
      <c r="AI167" s="48"/>
      <c r="AK167" s="50"/>
    </row>
    <row r="168" spans="1:37" x14ac:dyDescent="0.25">
      <c r="A168" s="116" t="s">
        <v>155</v>
      </c>
      <c r="B168" s="126"/>
      <c r="C168" s="127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9">
        <v>7.6</v>
      </c>
      <c r="AH168" s="47"/>
      <c r="AI168" s="48"/>
      <c r="AK168" s="50"/>
    </row>
    <row r="169" spans="1:37" x14ac:dyDescent="0.25">
      <c r="A169" s="116" t="s">
        <v>156</v>
      </c>
      <c r="B169" s="126"/>
      <c r="C169" s="127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9">
        <v>7.5</v>
      </c>
      <c r="AH169" s="47"/>
      <c r="AI169" s="48"/>
      <c r="AK169" s="50"/>
    </row>
    <row r="170" spans="1:37" x14ac:dyDescent="0.25">
      <c r="A170" s="116" t="s">
        <v>157</v>
      </c>
      <c r="B170" s="126"/>
      <c r="C170" s="127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9">
        <v>7.5</v>
      </c>
      <c r="AH170" s="47"/>
      <c r="AI170" s="48"/>
      <c r="AK170" s="50"/>
    </row>
    <row r="171" spans="1:37" x14ac:dyDescent="0.25">
      <c r="A171" s="116" t="s">
        <v>158</v>
      </c>
      <c r="B171" s="126"/>
      <c r="C171" s="127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9">
        <v>7</v>
      </c>
      <c r="AH171" s="47"/>
      <c r="AI171" s="48"/>
      <c r="AK171" s="50"/>
    </row>
    <row r="172" spans="1:37" x14ac:dyDescent="0.25">
      <c r="A172" s="116" t="s">
        <v>159</v>
      </c>
      <c r="B172" s="126"/>
      <c r="C172" s="127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9">
        <v>7</v>
      </c>
      <c r="AH172" s="47"/>
      <c r="AI172" s="48"/>
      <c r="AK172" s="50"/>
    </row>
    <row r="173" spans="1:37" x14ac:dyDescent="0.25">
      <c r="A173" s="116" t="s">
        <v>160</v>
      </c>
      <c r="B173" s="126"/>
      <c r="C173" s="127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9">
        <v>7</v>
      </c>
      <c r="AH173" s="47"/>
      <c r="AI173" s="48"/>
      <c r="AK173" s="50"/>
    </row>
    <row r="174" spans="1:37" x14ac:dyDescent="0.25">
      <c r="A174" s="116" t="s">
        <v>161</v>
      </c>
      <c r="B174" s="126"/>
      <c r="C174" s="127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9">
        <v>7</v>
      </c>
      <c r="AH174" s="47"/>
      <c r="AI174" s="48"/>
      <c r="AK174" s="50"/>
    </row>
    <row r="175" spans="1:37" x14ac:dyDescent="0.25">
      <c r="A175" s="116" t="s">
        <v>162</v>
      </c>
      <c r="B175" s="126"/>
      <c r="C175" s="127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9">
        <v>6.6</v>
      </c>
      <c r="AH175" s="47"/>
      <c r="AI175" s="48"/>
      <c r="AK175" s="50"/>
    </row>
    <row r="176" spans="1:37" x14ac:dyDescent="0.25">
      <c r="A176" s="116" t="s">
        <v>163</v>
      </c>
      <c r="B176" s="126"/>
      <c r="C176" s="127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9">
        <v>6.6</v>
      </c>
      <c r="AH176" s="47"/>
      <c r="AI176" s="48"/>
      <c r="AK176" s="50"/>
    </row>
    <row r="177" spans="1:37" x14ac:dyDescent="0.25">
      <c r="A177" s="116" t="s">
        <v>164</v>
      </c>
      <c r="B177" s="126"/>
      <c r="C177" s="127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9">
        <v>6.4</v>
      </c>
      <c r="AH177" s="47"/>
      <c r="AI177" s="48"/>
      <c r="AK177" s="50"/>
    </row>
    <row r="178" spans="1:37" x14ac:dyDescent="0.25">
      <c r="A178" s="116" t="s">
        <v>165</v>
      </c>
      <c r="B178" s="126"/>
      <c r="C178" s="127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9">
        <v>6</v>
      </c>
      <c r="AH178" s="47"/>
      <c r="AI178" s="48"/>
      <c r="AK178" s="50"/>
    </row>
    <row r="179" spans="1:37" x14ac:dyDescent="0.25">
      <c r="A179" s="116" t="s">
        <v>166</v>
      </c>
      <c r="B179" s="126"/>
      <c r="C179" s="127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9">
        <v>5.0999999999999996</v>
      </c>
      <c r="AH179" s="47"/>
      <c r="AI179" s="48"/>
      <c r="AK179" s="50"/>
    </row>
    <row r="180" spans="1:37" x14ac:dyDescent="0.25">
      <c r="A180" s="116" t="s">
        <v>167</v>
      </c>
      <c r="B180" s="126"/>
      <c r="C180" s="127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9">
        <v>5</v>
      </c>
      <c r="AH180" s="47"/>
      <c r="AI180" s="48"/>
      <c r="AK180" s="50"/>
    </row>
    <row r="181" spans="1:37" x14ac:dyDescent="0.25">
      <c r="A181" s="103" t="s">
        <v>168</v>
      </c>
      <c r="B181" s="126"/>
      <c r="C181" s="127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8">
        <v>5</v>
      </c>
      <c r="AH181" s="47"/>
      <c r="AI181" s="48"/>
      <c r="AK181" s="50"/>
    </row>
    <row r="182" spans="1:37" x14ac:dyDescent="0.25">
      <c r="A182" s="116" t="s">
        <v>169</v>
      </c>
      <c r="B182" s="126"/>
      <c r="C182" s="127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9">
        <v>5</v>
      </c>
      <c r="AH182" s="47"/>
      <c r="AI182" s="48"/>
      <c r="AK182" s="50"/>
    </row>
    <row r="183" spans="1:37" x14ac:dyDescent="0.25">
      <c r="A183" s="116" t="s">
        <v>170</v>
      </c>
      <c r="B183" s="126"/>
      <c r="C183" s="127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9">
        <v>5</v>
      </c>
      <c r="AH183" s="47"/>
      <c r="AI183" s="48"/>
      <c r="AK183" s="50"/>
    </row>
    <row r="184" spans="1:37" x14ac:dyDescent="0.25">
      <c r="A184" s="116" t="s">
        <v>171</v>
      </c>
      <c r="B184" s="126"/>
      <c r="C184" s="127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9">
        <v>5</v>
      </c>
      <c r="AH184" s="47"/>
      <c r="AI184" s="48"/>
      <c r="AK184" s="50"/>
    </row>
    <row r="185" spans="1:37" x14ac:dyDescent="0.25">
      <c r="A185" s="116" t="s">
        <v>172</v>
      </c>
      <c r="B185" s="126"/>
      <c r="C185" s="127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9">
        <v>5</v>
      </c>
      <c r="AH185" s="47"/>
      <c r="AI185" s="48"/>
      <c r="AK185" s="50"/>
    </row>
    <row r="186" spans="1:37" x14ac:dyDescent="0.25">
      <c r="A186" s="116" t="s">
        <v>173</v>
      </c>
      <c r="B186" s="126"/>
      <c r="C186" s="127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9">
        <v>5</v>
      </c>
      <c r="AH186" s="47"/>
      <c r="AI186" s="48"/>
      <c r="AK186" s="50"/>
    </row>
    <row r="187" spans="1:37" x14ac:dyDescent="0.25">
      <c r="A187" s="116" t="s">
        <v>174</v>
      </c>
      <c r="B187" s="126"/>
      <c r="C187" s="127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9">
        <v>4.9930000000000003</v>
      </c>
      <c r="AH187" s="47"/>
      <c r="AI187" s="48"/>
      <c r="AK187" s="50"/>
    </row>
    <row r="188" spans="1:37" x14ac:dyDescent="0.25">
      <c r="A188" s="116" t="s">
        <v>175</v>
      </c>
      <c r="B188" s="126"/>
      <c r="C188" s="127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9">
        <v>4.9800000000000004</v>
      </c>
      <c r="AH188" s="47"/>
      <c r="AI188" s="48"/>
      <c r="AK188" s="50"/>
    </row>
    <row r="189" spans="1:37" x14ac:dyDescent="0.25">
      <c r="A189" s="116" t="s">
        <v>176</v>
      </c>
      <c r="B189" s="126"/>
      <c r="C189" s="127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9">
        <v>4.95</v>
      </c>
      <c r="AH189" s="47"/>
      <c r="AI189" s="48"/>
      <c r="AK189" s="50"/>
    </row>
    <row r="190" spans="1:37" x14ac:dyDescent="0.25">
      <c r="A190" s="116" t="s">
        <v>177</v>
      </c>
      <c r="B190" s="126"/>
      <c r="C190" s="127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9">
        <v>4.95</v>
      </c>
      <c r="AH190" s="47"/>
      <c r="AI190" s="48"/>
      <c r="AK190" s="50"/>
    </row>
    <row r="191" spans="1:37" x14ac:dyDescent="0.25">
      <c r="A191" s="116" t="s">
        <v>178</v>
      </c>
      <c r="B191" s="126"/>
      <c r="C191" s="127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9">
        <v>4.8</v>
      </c>
      <c r="AH191" s="47"/>
      <c r="AI191" s="48"/>
      <c r="AK191" s="50"/>
    </row>
    <row r="192" spans="1:37" x14ac:dyDescent="0.25">
      <c r="A192" s="116" t="s">
        <v>179</v>
      </c>
      <c r="B192" s="126"/>
      <c r="C192" s="127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9">
        <v>4.8</v>
      </c>
      <c r="AH192" s="47"/>
      <c r="AI192" s="48"/>
      <c r="AK192" s="50"/>
    </row>
    <row r="193" spans="1:37" x14ac:dyDescent="0.25">
      <c r="A193" s="116" t="s">
        <v>180</v>
      </c>
      <c r="B193" s="126"/>
      <c r="C193" s="127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9">
        <v>4.8</v>
      </c>
      <c r="AH193" s="47"/>
      <c r="AI193" s="48"/>
      <c r="AK193" s="50"/>
    </row>
    <row r="194" spans="1:37" x14ac:dyDescent="0.25">
      <c r="A194" s="116" t="s">
        <v>181</v>
      </c>
      <c r="B194" s="126"/>
      <c r="C194" s="127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9">
        <v>4.5</v>
      </c>
      <c r="AH194" s="47"/>
      <c r="AI194" s="48"/>
      <c r="AK194" s="50"/>
    </row>
    <row r="195" spans="1:37" x14ac:dyDescent="0.25">
      <c r="A195" s="116" t="s">
        <v>182</v>
      </c>
      <c r="B195" s="126"/>
      <c r="C195" s="127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9">
        <v>4.5</v>
      </c>
      <c r="AH195" s="47"/>
      <c r="AI195" s="48"/>
      <c r="AK195" s="50"/>
    </row>
    <row r="196" spans="1:37" x14ac:dyDescent="0.25">
      <c r="A196" s="116" t="s">
        <v>183</v>
      </c>
      <c r="B196" s="126"/>
      <c r="C196" s="127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9">
        <v>4.4550000000000001</v>
      </c>
      <c r="AH196" s="47"/>
      <c r="AI196" s="48"/>
      <c r="AK196" s="50"/>
    </row>
    <row r="197" spans="1:37" x14ac:dyDescent="0.25">
      <c r="A197" s="116" t="s">
        <v>184</v>
      </c>
      <c r="B197" s="126"/>
      <c r="C197" s="127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9">
        <v>4.41</v>
      </c>
      <c r="AH197" s="47"/>
      <c r="AI197" s="48"/>
      <c r="AK197" s="50"/>
    </row>
    <row r="198" spans="1:37" x14ac:dyDescent="0.25">
      <c r="A198" s="116" t="s">
        <v>185</v>
      </c>
      <c r="B198" s="126"/>
      <c r="C198" s="127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9">
        <v>4.4000000000000004</v>
      </c>
      <c r="AH198" s="47"/>
      <c r="AI198" s="48"/>
      <c r="AK198" s="50"/>
    </row>
    <row r="199" spans="1:37" x14ac:dyDescent="0.25">
      <c r="A199" s="116" t="s">
        <v>186</v>
      </c>
      <c r="B199" s="126"/>
      <c r="C199" s="127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9">
        <v>4.3600000000000003</v>
      </c>
      <c r="AH199" s="47"/>
      <c r="AI199" s="48"/>
      <c r="AK199" s="50"/>
    </row>
    <row r="200" spans="1:37" x14ac:dyDescent="0.25">
      <c r="A200" s="116" t="s">
        <v>187</v>
      </c>
      <c r="B200" s="126"/>
      <c r="C200" s="127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9">
        <v>4.2</v>
      </c>
      <c r="AH200" s="47"/>
      <c r="AI200" s="48"/>
      <c r="AK200" s="50"/>
    </row>
    <row r="201" spans="1:37" x14ac:dyDescent="0.25">
      <c r="A201" s="116" t="s">
        <v>188</v>
      </c>
      <c r="B201" s="126"/>
      <c r="C201" s="127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9">
        <v>4</v>
      </c>
      <c r="AH201" s="47"/>
      <c r="AI201" s="48"/>
      <c r="AK201" s="50"/>
    </row>
    <row r="202" spans="1:37" x14ac:dyDescent="0.25">
      <c r="A202" s="116" t="s">
        <v>189</v>
      </c>
      <c r="B202" s="126"/>
      <c r="C202" s="127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9">
        <v>4</v>
      </c>
      <c r="AH202" s="47"/>
      <c r="AI202" s="48"/>
      <c r="AK202" s="50"/>
    </row>
    <row r="203" spans="1:37" x14ac:dyDescent="0.25">
      <c r="A203" s="116" t="s">
        <v>190</v>
      </c>
      <c r="B203" s="126"/>
      <c r="C203" s="127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9">
        <v>4</v>
      </c>
      <c r="AH203" s="47"/>
      <c r="AI203" s="48"/>
      <c r="AK203" s="50"/>
    </row>
    <row r="204" spans="1:37" x14ac:dyDescent="0.25">
      <c r="A204" s="116" t="s">
        <v>191</v>
      </c>
      <c r="B204" s="126"/>
      <c r="C204" s="127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9">
        <v>4</v>
      </c>
      <c r="AH204" s="47"/>
      <c r="AI204" s="48"/>
      <c r="AK204" s="50"/>
    </row>
    <row r="205" spans="1:37" x14ac:dyDescent="0.25">
      <c r="A205" s="116" t="s">
        <v>192</v>
      </c>
      <c r="B205" s="126"/>
      <c r="C205" s="127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9">
        <v>4</v>
      </c>
      <c r="AH205" s="47"/>
      <c r="AI205" s="48"/>
      <c r="AK205" s="50"/>
    </row>
    <row r="206" spans="1:37" x14ac:dyDescent="0.25">
      <c r="A206" s="116" t="s">
        <v>193</v>
      </c>
      <c r="B206" s="126"/>
      <c r="C206" s="127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9">
        <v>4</v>
      </c>
      <c r="AH206" s="47"/>
      <c r="AI206" s="48"/>
      <c r="AK206" s="50"/>
    </row>
    <row r="207" spans="1:37" x14ac:dyDescent="0.25">
      <c r="A207" s="116" t="s">
        <v>194</v>
      </c>
      <c r="B207" s="126"/>
      <c r="C207" s="127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9">
        <v>4</v>
      </c>
      <c r="AH207" s="47"/>
      <c r="AI207" s="48"/>
      <c r="AK207" s="50"/>
    </row>
    <row r="208" spans="1:37" x14ac:dyDescent="0.25">
      <c r="A208" s="116" t="s">
        <v>195</v>
      </c>
      <c r="B208" s="126"/>
      <c r="C208" s="127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9">
        <v>4</v>
      </c>
      <c r="AH208" s="47"/>
      <c r="AI208" s="48"/>
      <c r="AK208" s="50"/>
    </row>
    <row r="209" spans="1:37" x14ac:dyDescent="0.25">
      <c r="A209" s="116" t="s">
        <v>196</v>
      </c>
      <c r="B209" s="126"/>
      <c r="C209" s="127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9">
        <v>3.75</v>
      </c>
      <c r="AH209" s="47"/>
      <c r="AI209" s="48"/>
      <c r="AK209" s="50"/>
    </row>
    <row r="210" spans="1:37" x14ac:dyDescent="0.25">
      <c r="A210" s="116" t="s">
        <v>197</v>
      </c>
      <c r="B210" s="126"/>
      <c r="C210" s="127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9">
        <v>3.52</v>
      </c>
      <c r="AH210" s="47"/>
      <c r="AI210" s="48"/>
      <c r="AK210" s="50"/>
    </row>
    <row r="211" spans="1:37" x14ac:dyDescent="0.25">
      <c r="A211" s="116" t="s">
        <v>198</v>
      </c>
      <c r="B211" s="126"/>
      <c r="C211" s="127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9">
        <v>3.33</v>
      </c>
      <c r="AH211" s="47"/>
      <c r="AI211" s="48"/>
      <c r="AK211" s="50"/>
    </row>
    <row r="212" spans="1:37" x14ac:dyDescent="0.25">
      <c r="A212" s="116" t="s">
        <v>199</v>
      </c>
      <c r="B212" s="126"/>
      <c r="C212" s="127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9">
        <v>3.2</v>
      </c>
      <c r="AH212" s="47"/>
      <c r="AI212" s="48"/>
      <c r="AK212" s="50"/>
    </row>
    <row r="213" spans="1:37" x14ac:dyDescent="0.25">
      <c r="A213" s="116" t="s">
        <v>200</v>
      </c>
      <c r="B213" s="126"/>
      <c r="C213" s="127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9">
        <v>3</v>
      </c>
      <c r="AH213" s="47"/>
      <c r="AI213" s="48"/>
      <c r="AK213" s="50"/>
    </row>
    <row r="214" spans="1:37" x14ac:dyDescent="0.25">
      <c r="A214" s="116" t="s">
        <v>201</v>
      </c>
      <c r="B214" s="126"/>
      <c r="C214" s="127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9">
        <v>3</v>
      </c>
      <c r="AH214" s="47"/>
      <c r="AI214" s="48"/>
      <c r="AK214" s="50"/>
    </row>
    <row r="215" spans="1:37" x14ac:dyDescent="0.25">
      <c r="A215" s="116" t="s">
        <v>202</v>
      </c>
      <c r="B215" s="126"/>
      <c r="C215" s="127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9">
        <v>3</v>
      </c>
      <c r="AH215" s="47"/>
      <c r="AI215" s="48"/>
      <c r="AK215" s="50"/>
    </row>
    <row r="216" spans="1:37" x14ac:dyDescent="0.25">
      <c r="A216" s="116" t="s">
        <v>203</v>
      </c>
      <c r="B216" s="126"/>
      <c r="C216" s="127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9">
        <v>3</v>
      </c>
      <c r="AH216" s="47"/>
      <c r="AI216" s="48"/>
      <c r="AK216" s="50"/>
    </row>
    <row r="217" spans="1:37" x14ac:dyDescent="0.25">
      <c r="A217" s="116" t="s">
        <v>204</v>
      </c>
      <c r="B217" s="126"/>
      <c r="C217" s="127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9">
        <v>3</v>
      </c>
      <c r="AH217" s="47"/>
      <c r="AI217" s="48"/>
      <c r="AK217" s="50"/>
    </row>
    <row r="218" spans="1:37" x14ac:dyDescent="0.25">
      <c r="A218" s="116" t="s">
        <v>205</v>
      </c>
      <c r="B218" s="126"/>
      <c r="C218" s="127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9">
        <v>3</v>
      </c>
      <c r="AH218" s="47"/>
      <c r="AI218" s="48"/>
      <c r="AK218" s="50"/>
    </row>
    <row r="219" spans="1:37" x14ac:dyDescent="0.25">
      <c r="A219" s="116" t="s">
        <v>206</v>
      </c>
      <c r="B219" s="126"/>
      <c r="C219" s="127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9">
        <v>3</v>
      </c>
      <c r="AH219" s="47"/>
      <c r="AI219" s="48"/>
      <c r="AK219" s="50"/>
    </row>
    <row r="220" spans="1:37" x14ac:dyDescent="0.25">
      <c r="A220" s="116" t="s">
        <v>207</v>
      </c>
      <c r="B220" s="126"/>
      <c r="C220" s="127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9">
        <v>3</v>
      </c>
      <c r="AH220" s="47"/>
      <c r="AI220" s="48"/>
      <c r="AK220" s="50"/>
    </row>
    <row r="221" spans="1:37" x14ac:dyDescent="0.25">
      <c r="A221" s="116" t="s">
        <v>208</v>
      </c>
      <c r="B221" s="126"/>
      <c r="C221" s="127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9">
        <v>2.83</v>
      </c>
      <c r="AH221" s="47"/>
      <c r="AI221" s="48"/>
      <c r="AK221" s="50"/>
    </row>
    <row r="222" spans="1:37" x14ac:dyDescent="0.25">
      <c r="A222" s="116" t="s">
        <v>209</v>
      </c>
      <c r="B222" s="126"/>
      <c r="C222" s="127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9">
        <v>2.5</v>
      </c>
      <c r="AH222" s="47"/>
      <c r="AI222" s="48"/>
      <c r="AK222" s="50"/>
    </row>
    <row r="223" spans="1:37" x14ac:dyDescent="0.25">
      <c r="A223" s="116" t="s">
        <v>210</v>
      </c>
      <c r="B223" s="126"/>
      <c r="C223" s="127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9">
        <v>2.5</v>
      </c>
      <c r="AH223" s="47"/>
      <c r="AI223" s="48"/>
      <c r="AK223" s="50"/>
    </row>
    <row r="224" spans="1:37" x14ac:dyDescent="0.25">
      <c r="A224" s="116" t="s">
        <v>211</v>
      </c>
      <c r="B224" s="126"/>
      <c r="C224" s="127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9">
        <v>2.4</v>
      </c>
      <c r="AH224" s="47"/>
      <c r="AI224" s="48"/>
      <c r="AK224" s="50"/>
    </row>
    <row r="225" spans="1:37" x14ac:dyDescent="0.25">
      <c r="A225" s="116" t="s">
        <v>212</v>
      </c>
      <c r="B225" s="126"/>
      <c r="C225" s="127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9">
        <v>2.4</v>
      </c>
      <c r="AH225" s="47"/>
      <c r="AI225" s="48"/>
      <c r="AK225" s="50"/>
    </row>
    <row r="226" spans="1:37" x14ac:dyDescent="0.25">
      <c r="A226" s="116" t="s">
        <v>213</v>
      </c>
      <c r="B226" s="126"/>
      <c r="C226" s="127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9">
        <v>2.2000000000000002</v>
      </c>
      <c r="AH226" s="47"/>
      <c r="AI226" s="48"/>
      <c r="AK226" s="50"/>
    </row>
    <row r="227" spans="1:37" x14ac:dyDescent="0.25">
      <c r="A227" s="116" t="s">
        <v>214</v>
      </c>
      <c r="B227" s="126"/>
      <c r="C227" s="127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9">
        <v>2</v>
      </c>
      <c r="AH227" s="47"/>
      <c r="AI227" s="48"/>
      <c r="AK227" s="50"/>
    </row>
    <row r="228" spans="1:37" x14ac:dyDescent="0.25">
      <c r="A228" s="116" t="s">
        <v>215</v>
      </c>
      <c r="B228" s="126"/>
      <c r="C228" s="127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9">
        <v>2</v>
      </c>
      <c r="AH228" s="47"/>
      <c r="AI228" s="48"/>
      <c r="AK228" s="50"/>
    </row>
    <row r="229" spans="1:37" x14ac:dyDescent="0.25">
      <c r="A229" s="116" t="s">
        <v>216</v>
      </c>
      <c r="B229" s="126"/>
      <c r="C229" s="127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9">
        <v>2</v>
      </c>
      <c r="AH229" s="47"/>
      <c r="AI229" s="48"/>
      <c r="AK229" s="50"/>
    </row>
    <row r="230" spans="1:37" x14ac:dyDescent="0.25">
      <c r="A230" s="116" t="s">
        <v>217</v>
      </c>
      <c r="B230" s="126"/>
      <c r="C230" s="127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9">
        <v>1.8</v>
      </c>
      <c r="AH230" s="47"/>
      <c r="AI230" s="48"/>
      <c r="AK230" s="50"/>
    </row>
    <row r="231" spans="1:37" x14ac:dyDescent="0.25">
      <c r="A231" s="116" t="s">
        <v>218</v>
      </c>
      <c r="B231" s="126"/>
      <c r="C231" s="127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9">
        <v>1.8</v>
      </c>
      <c r="AH231" s="47"/>
      <c r="AI231" s="48"/>
      <c r="AK231" s="50"/>
    </row>
    <row r="232" spans="1:37" x14ac:dyDescent="0.25">
      <c r="A232" s="116" t="s">
        <v>219</v>
      </c>
      <c r="B232" s="126"/>
      <c r="C232" s="127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9">
        <v>1.65</v>
      </c>
      <c r="AH232" s="47"/>
      <c r="AI232" s="48"/>
      <c r="AK232" s="50"/>
    </row>
    <row r="233" spans="1:37" x14ac:dyDescent="0.25">
      <c r="A233" s="116" t="s">
        <v>220</v>
      </c>
      <c r="B233" s="126"/>
      <c r="C233" s="127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9">
        <v>1.5</v>
      </c>
      <c r="AH233" s="47"/>
      <c r="AI233" s="48"/>
      <c r="AK233" s="50"/>
    </row>
    <row r="234" spans="1:37" x14ac:dyDescent="0.25">
      <c r="A234" s="116" t="s">
        <v>221</v>
      </c>
      <c r="B234" s="126"/>
      <c r="C234" s="127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9">
        <v>0.998</v>
      </c>
      <c r="AH234" s="47"/>
      <c r="AI234" s="48"/>
      <c r="AK234" s="50"/>
    </row>
    <row r="235" spans="1:37" x14ac:dyDescent="0.25">
      <c r="A235" s="116" t="s">
        <v>222</v>
      </c>
      <c r="B235" s="126"/>
      <c r="C235" s="127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9">
        <v>0.997</v>
      </c>
      <c r="AH235" s="47"/>
      <c r="AI235" s="48"/>
      <c r="AK235" s="50"/>
    </row>
    <row r="236" spans="1:37" x14ac:dyDescent="0.25">
      <c r="A236" s="116" t="s">
        <v>223</v>
      </c>
      <c r="B236" s="126"/>
      <c r="C236" s="127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9">
        <v>0.997</v>
      </c>
      <c r="AH236" s="47"/>
      <c r="AI236" s="48"/>
      <c r="AK236" s="50"/>
    </row>
    <row r="237" spans="1:37" x14ac:dyDescent="0.25">
      <c r="A237" s="116" t="s">
        <v>224</v>
      </c>
      <c r="B237" s="126"/>
      <c r="C237" s="127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9">
        <v>0.996</v>
      </c>
      <c r="AH237" s="47"/>
      <c r="AI237" s="48"/>
      <c r="AK237" s="50"/>
    </row>
    <row r="238" spans="1:37" x14ac:dyDescent="0.25">
      <c r="A238" s="116" t="s">
        <v>225</v>
      </c>
      <c r="B238" s="126"/>
      <c r="C238" s="127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9">
        <v>0.996</v>
      </c>
      <c r="AH238" s="47"/>
      <c r="AI238" s="48"/>
      <c r="AK238" s="50"/>
    </row>
    <row r="239" spans="1:37" x14ac:dyDescent="0.25">
      <c r="A239" s="116" t="s">
        <v>226</v>
      </c>
      <c r="B239" s="126"/>
      <c r="C239" s="127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9">
        <v>0.996</v>
      </c>
      <c r="AH239" s="47"/>
      <c r="AI239" s="48"/>
      <c r="AK239" s="50"/>
    </row>
    <row r="240" spans="1:37" x14ac:dyDescent="0.25">
      <c r="A240" s="116" t="s">
        <v>227</v>
      </c>
      <c r="B240" s="126"/>
      <c r="C240" s="127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9">
        <v>0.995</v>
      </c>
      <c r="AH240" s="47"/>
      <c r="AI240" s="48"/>
      <c r="AK240" s="50"/>
    </row>
    <row r="241" spans="1:37" x14ac:dyDescent="0.25">
      <c r="A241" s="116" t="s">
        <v>228</v>
      </c>
      <c r="B241" s="126"/>
      <c r="C241" s="127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9">
        <v>0.99299999999999999</v>
      </c>
      <c r="AH241" s="47"/>
      <c r="AI241" s="48"/>
      <c r="AK241" s="50"/>
    </row>
    <row r="242" spans="1:37" x14ac:dyDescent="0.25">
      <c r="A242" s="116" t="s">
        <v>229</v>
      </c>
      <c r="B242" s="126"/>
      <c r="C242" s="124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9">
        <v>0.99</v>
      </c>
      <c r="AH242" s="47"/>
      <c r="AI242" s="48"/>
      <c r="AK242" s="50"/>
    </row>
    <row r="243" spans="1:37" ht="15.75" thickBot="1" x14ac:dyDescent="0.3">
      <c r="A243" s="116" t="s">
        <v>230</v>
      </c>
      <c r="B243" s="130"/>
      <c r="C243" s="131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29">
        <v>0.97899999999999998</v>
      </c>
      <c r="AH243" s="47"/>
      <c r="AI243" s="48"/>
      <c r="AK243" s="50"/>
    </row>
    <row r="244" spans="1:37" ht="15.75" thickBot="1" x14ac:dyDescent="0.3">
      <c r="A244" s="132" t="s">
        <v>231</v>
      </c>
      <c r="B244" s="133">
        <f t="shared" ref="B244:AG244" si="73">SUM(B139:B243)</f>
        <v>0</v>
      </c>
      <c r="C244" s="134">
        <f t="shared" si="73"/>
        <v>0</v>
      </c>
      <c r="D244" s="134">
        <f t="shared" si="73"/>
        <v>0</v>
      </c>
      <c r="E244" s="134">
        <f t="shared" si="73"/>
        <v>0</v>
      </c>
      <c r="F244" s="134">
        <f t="shared" si="73"/>
        <v>0</v>
      </c>
      <c r="G244" s="134">
        <f t="shared" si="73"/>
        <v>0</v>
      </c>
      <c r="H244" s="134">
        <f t="shared" si="73"/>
        <v>0</v>
      </c>
      <c r="I244" s="134">
        <f t="shared" si="73"/>
        <v>0</v>
      </c>
      <c r="J244" s="134">
        <f t="shared" si="73"/>
        <v>0</v>
      </c>
      <c r="K244" s="134">
        <f t="shared" si="73"/>
        <v>0</v>
      </c>
      <c r="L244" s="134">
        <f t="shared" si="73"/>
        <v>0</v>
      </c>
      <c r="M244" s="134">
        <f t="shared" si="73"/>
        <v>0</v>
      </c>
      <c r="N244" s="134">
        <f t="shared" si="73"/>
        <v>0</v>
      </c>
      <c r="O244" s="134">
        <f t="shared" si="73"/>
        <v>0</v>
      </c>
      <c r="P244" s="134">
        <f t="shared" si="73"/>
        <v>0</v>
      </c>
      <c r="Q244" s="134">
        <f t="shared" si="73"/>
        <v>0</v>
      </c>
      <c r="R244" s="134">
        <f t="shared" si="73"/>
        <v>0</v>
      </c>
      <c r="S244" s="134">
        <f t="shared" si="73"/>
        <v>0</v>
      </c>
      <c r="T244" s="134">
        <f t="shared" si="73"/>
        <v>0</v>
      </c>
      <c r="U244" s="134">
        <f t="shared" si="73"/>
        <v>0</v>
      </c>
      <c r="V244" s="134">
        <f t="shared" si="73"/>
        <v>0</v>
      </c>
      <c r="W244" s="134">
        <f t="shared" si="73"/>
        <v>0</v>
      </c>
      <c r="X244" s="134">
        <f t="shared" si="73"/>
        <v>0</v>
      </c>
      <c r="Y244" s="134">
        <f t="shared" si="73"/>
        <v>0</v>
      </c>
      <c r="Z244" s="134">
        <f t="shared" si="73"/>
        <v>0</v>
      </c>
      <c r="AA244" s="134">
        <f t="shared" si="73"/>
        <v>0</v>
      </c>
      <c r="AB244" s="134">
        <f t="shared" si="73"/>
        <v>0</v>
      </c>
      <c r="AC244" s="134">
        <f t="shared" si="73"/>
        <v>0</v>
      </c>
      <c r="AD244" s="134">
        <f t="shared" si="73"/>
        <v>0</v>
      </c>
      <c r="AE244" s="134">
        <f t="shared" si="73"/>
        <v>0</v>
      </c>
      <c r="AF244" s="135">
        <f t="shared" si="73"/>
        <v>0</v>
      </c>
      <c r="AG244" s="136">
        <f t="shared" si="73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19"/>
      <c r="AH245" s="47"/>
      <c r="AI245" s="48"/>
      <c r="AK245" s="50"/>
    </row>
    <row r="246" spans="1:37" x14ac:dyDescent="0.25">
      <c r="A246" s="100" t="s">
        <v>232</v>
      </c>
      <c r="B246" s="138">
        <f t="shared" ref="B246:B251" si="74">AF246</f>
        <v>0.3</v>
      </c>
      <c r="C246" s="138">
        <v>0.3</v>
      </c>
      <c r="D246" s="138">
        <f t="shared" ref="D246:S251" si="75">C246</f>
        <v>0.3</v>
      </c>
      <c r="E246" s="138">
        <f t="shared" si="75"/>
        <v>0.3</v>
      </c>
      <c r="F246" s="138">
        <f t="shared" si="75"/>
        <v>0.3</v>
      </c>
      <c r="G246" s="138">
        <f t="shared" si="75"/>
        <v>0.3</v>
      </c>
      <c r="H246" s="138">
        <f t="shared" si="75"/>
        <v>0.3</v>
      </c>
      <c r="I246" s="138">
        <f t="shared" si="75"/>
        <v>0.3</v>
      </c>
      <c r="J246" s="138">
        <f t="shared" si="75"/>
        <v>0.3</v>
      </c>
      <c r="K246" s="138">
        <f t="shared" si="75"/>
        <v>0.3</v>
      </c>
      <c r="L246" s="138">
        <f t="shared" si="75"/>
        <v>0.3</v>
      </c>
      <c r="M246" s="138">
        <f t="shared" si="75"/>
        <v>0.3</v>
      </c>
      <c r="N246" s="138">
        <f t="shared" si="75"/>
        <v>0.3</v>
      </c>
      <c r="O246" s="138">
        <f t="shared" si="75"/>
        <v>0.3</v>
      </c>
      <c r="P246" s="138">
        <f t="shared" si="75"/>
        <v>0.3</v>
      </c>
      <c r="Q246" s="138">
        <f t="shared" si="75"/>
        <v>0.3</v>
      </c>
      <c r="R246" s="138">
        <f t="shared" si="75"/>
        <v>0.3</v>
      </c>
      <c r="S246" s="138">
        <f t="shared" si="75"/>
        <v>0.3</v>
      </c>
      <c r="T246" s="138">
        <f t="shared" ref="T246:AF251" si="76">S246</f>
        <v>0.3</v>
      </c>
      <c r="U246" s="138">
        <f t="shared" si="76"/>
        <v>0.3</v>
      </c>
      <c r="V246" s="138">
        <f t="shared" si="76"/>
        <v>0.3</v>
      </c>
      <c r="W246" s="138">
        <f t="shared" si="76"/>
        <v>0.3</v>
      </c>
      <c r="X246" s="138">
        <f t="shared" si="76"/>
        <v>0.3</v>
      </c>
      <c r="Y246" s="138">
        <f t="shared" si="76"/>
        <v>0.3</v>
      </c>
      <c r="Z246" s="138">
        <f t="shared" si="76"/>
        <v>0.3</v>
      </c>
      <c r="AA246" s="138">
        <f t="shared" si="76"/>
        <v>0.3</v>
      </c>
      <c r="AB246" s="138">
        <f t="shared" si="76"/>
        <v>0.3</v>
      </c>
      <c r="AC246" s="138">
        <f t="shared" si="76"/>
        <v>0.3</v>
      </c>
      <c r="AD246" s="138">
        <f t="shared" si="76"/>
        <v>0.3</v>
      </c>
      <c r="AE246" s="138">
        <f t="shared" si="76"/>
        <v>0.3</v>
      </c>
      <c r="AF246" s="138">
        <f t="shared" si="76"/>
        <v>0.3</v>
      </c>
      <c r="AG246" s="139">
        <v>2.4</v>
      </c>
      <c r="AH246" s="47"/>
      <c r="AI246" s="48"/>
      <c r="AK246" s="50"/>
    </row>
    <row r="247" spans="1:37" x14ac:dyDescent="0.25">
      <c r="A247" s="103" t="s">
        <v>233</v>
      </c>
      <c r="B247" s="126">
        <f t="shared" si="74"/>
        <v>0.4</v>
      </c>
      <c r="C247" s="126">
        <v>0.4</v>
      </c>
      <c r="D247" s="126">
        <f t="shared" si="75"/>
        <v>0.4</v>
      </c>
      <c r="E247" s="126">
        <f t="shared" si="75"/>
        <v>0.4</v>
      </c>
      <c r="F247" s="126">
        <f t="shared" si="75"/>
        <v>0.4</v>
      </c>
      <c r="G247" s="126">
        <f t="shared" si="75"/>
        <v>0.4</v>
      </c>
      <c r="H247" s="126">
        <f t="shared" si="75"/>
        <v>0.4</v>
      </c>
      <c r="I247" s="126">
        <f t="shared" si="75"/>
        <v>0.4</v>
      </c>
      <c r="J247" s="126">
        <f t="shared" si="75"/>
        <v>0.4</v>
      </c>
      <c r="K247" s="126">
        <f t="shared" si="75"/>
        <v>0.4</v>
      </c>
      <c r="L247" s="126">
        <f t="shared" si="75"/>
        <v>0.4</v>
      </c>
      <c r="M247" s="126">
        <f t="shared" si="75"/>
        <v>0.4</v>
      </c>
      <c r="N247" s="126">
        <f t="shared" si="75"/>
        <v>0.4</v>
      </c>
      <c r="O247" s="126">
        <f t="shared" si="75"/>
        <v>0.4</v>
      </c>
      <c r="P247" s="126">
        <f t="shared" si="75"/>
        <v>0.4</v>
      </c>
      <c r="Q247" s="126">
        <f t="shared" si="75"/>
        <v>0.4</v>
      </c>
      <c r="R247" s="126">
        <f t="shared" si="75"/>
        <v>0.4</v>
      </c>
      <c r="S247" s="126">
        <f t="shared" si="75"/>
        <v>0.4</v>
      </c>
      <c r="T247" s="126">
        <f t="shared" si="76"/>
        <v>0.4</v>
      </c>
      <c r="U247" s="126">
        <f t="shared" si="76"/>
        <v>0.4</v>
      </c>
      <c r="V247" s="126">
        <f t="shared" si="76"/>
        <v>0.4</v>
      </c>
      <c r="W247" s="126">
        <f t="shared" si="76"/>
        <v>0.4</v>
      </c>
      <c r="X247" s="126">
        <f t="shared" si="76"/>
        <v>0.4</v>
      </c>
      <c r="Y247" s="126">
        <f t="shared" si="76"/>
        <v>0.4</v>
      </c>
      <c r="Z247" s="126">
        <f t="shared" si="76"/>
        <v>0.4</v>
      </c>
      <c r="AA247" s="126">
        <f t="shared" si="76"/>
        <v>0.4</v>
      </c>
      <c r="AB247" s="126">
        <f t="shared" si="76"/>
        <v>0.4</v>
      </c>
      <c r="AC247" s="126">
        <f t="shared" si="76"/>
        <v>0.4</v>
      </c>
      <c r="AD247" s="126">
        <f t="shared" si="76"/>
        <v>0.4</v>
      </c>
      <c r="AE247" s="126">
        <f t="shared" si="76"/>
        <v>0.4</v>
      </c>
      <c r="AF247" s="126">
        <f t="shared" si="76"/>
        <v>0.4</v>
      </c>
      <c r="AG247" s="140">
        <v>2</v>
      </c>
      <c r="AH247" s="47"/>
      <c r="AI247" s="48"/>
      <c r="AK247" s="50"/>
    </row>
    <row r="248" spans="1:37" x14ac:dyDescent="0.25">
      <c r="A248" s="103" t="s">
        <v>234</v>
      </c>
      <c r="B248" s="126">
        <f t="shared" si="74"/>
        <v>1.5</v>
      </c>
      <c r="C248" s="126">
        <v>1.5</v>
      </c>
      <c r="D248" s="126">
        <f t="shared" si="75"/>
        <v>1.5</v>
      </c>
      <c r="E248" s="126">
        <f t="shared" si="75"/>
        <v>1.5</v>
      </c>
      <c r="F248" s="126">
        <f t="shared" si="75"/>
        <v>1.5</v>
      </c>
      <c r="G248" s="126">
        <f t="shared" si="75"/>
        <v>1.5</v>
      </c>
      <c r="H248" s="126">
        <f t="shared" si="75"/>
        <v>1.5</v>
      </c>
      <c r="I248" s="126">
        <f t="shared" si="75"/>
        <v>1.5</v>
      </c>
      <c r="J248" s="126">
        <f t="shared" si="75"/>
        <v>1.5</v>
      </c>
      <c r="K248" s="126">
        <f t="shared" si="75"/>
        <v>1.5</v>
      </c>
      <c r="L248" s="126">
        <f t="shared" si="75"/>
        <v>1.5</v>
      </c>
      <c r="M248" s="126">
        <f t="shared" si="75"/>
        <v>1.5</v>
      </c>
      <c r="N248" s="126">
        <f t="shared" si="75"/>
        <v>1.5</v>
      </c>
      <c r="O248" s="126">
        <f t="shared" si="75"/>
        <v>1.5</v>
      </c>
      <c r="P248" s="126">
        <f t="shared" si="75"/>
        <v>1.5</v>
      </c>
      <c r="Q248" s="126">
        <f t="shared" si="75"/>
        <v>1.5</v>
      </c>
      <c r="R248" s="126">
        <f t="shared" si="75"/>
        <v>1.5</v>
      </c>
      <c r="S248" s="126">
        <f t="shared" si="75"/>
        <v>1.5</v>
      </c>
      <c r="T248" s="126">
        <f t="shared" si="76"/>
        <v>1.5</v>
      </c>
      <c r="U248" s="126">
        <f t="shared" si="76"/>
        <v>1.5</v>
      </c>
      <c r="V248" s="126">
        <f t="shared" si="76"/>
        <v>1.5</v>
      </c>
      <c r="W248" s="126">
        <f t="shared" si="76"/>
        <v>1.5</v>
      </c>
      <c r="X248" s="126">
        <f t="shared" si="76"/>
        <v>1.5</v>
      </c>
      <c r="Y248" s="126">
        <f t="shared" si="76"/>
        <v>1.5</v>
      </c>
      <c r="Z248" s="126">
        <f t="shared" si="76"/>
        <v>1.5</v>
      </c>
      <c r="AA248" s="126">
        <f t="shared" si="76"/>
        <v>1.5</v>
      </c>
      <c r="AB248" s="126">
        <f t="shared" si="76"/>
        <v>1.5</v>
      </c>
      <c r="AC248" s="126">
        <f t="shared" si="76"/>
        <v>1.5</v>
      </c>
      <c r="AD248" s="126">
        <f t="shared" si="76"/>
        <v>1.5</v>
      </c>
      <c r="AE248" s="126">
        <f t="shared" si="76"/>
        <v>1.5</v>
      </c>
      <c r="AF248" s="126">
        <f t="shared" si="76"/>
        <v>1.5</v>
      </c>
      <c r="AG248" s="140">
        <v>1.5</v>
      </c>
      <c r="AH248" s="47"/>
      <c r="AI248" s="48"/>
      <c r="AK248" s="50"/>
    </row>
    <row r="249" spans="1:37" x14ac:dyDescent="0.25">
      <c r="A249" s="103" t="s">
        <v>235</v>
      </c>
      <c r="B249" s="126">
        <f t="shared" si="74"/>
        <v>0.3</v>
      </c>
      <c r="C249" s="126">
        <v>0.3</v>
      </c>
      <c r="D249" s="126">
        <f t="shared" si="75"/>
        <v>0.3</v>
      </c>
      <c r="E249" s="126">
        <f t="shared" si="75"/>
        <v>0.3</v>
      </c>
      <c r="F249" s="126">
        <f t="shared" si="75"/>
        <v>0.3</v>
      </c>
      <c r="G249" s="126">
        <f t="shared" si="75"/>
        <v>0.3</v>
      </c>
      <c r="H249" s="126">
        <f t="shared" si="75"/>
        <v>0.3</v>
      </c>
      <c r="I249" s="126">
        <f t="shared" si="75"/>
        <v>0.3</v>
      </c>
      <c r="J249" s="126">
        <f t="shared" si="75"/>
        <v>0.3</v>
      </c>
      <c r="K249" s="126">
        <f t="shared" si="75"/>
        <v>0.3</v>
      </c>
      <c r="L249" s="126">
        <f t="shared" si="75"/>
        <v>0.3</v>
      </c>
      <c r="M249" s="126">
        <f t="shared" si="75"/>
        <v>0.3</v>
      </c>
      <c r="N249" s="126">
        <f t="shared" si="75"/>
        <v>0.3</v>
      </c>
      <c r="O249" s="126">
        <f t="shared" si="75"/>
        <v>0.3</v>
      </c>
      <c r="P249" s="126">
        <f t="shared" si="75"/>
        <v>0.3</v>
      </c>
      <c r="Q249" s="126">
        <f t="shared" si="75"/>
        <v>0.3</v>
      </c>
      <c r="R249" s="126">
        <f t="shared" si="75"/>
        <v>0.3</v>
      </c>
      <c r="S249" s="126">
        <f t="shared" si="75"/>
        <v>0.3</v>
      </c>
      <c r="T249" s="126">
        <f t="shared" si="76"/>
        <v>0.3</v>
      </c>
      <c r="U249" s="126">
        <f t="shared" si="76"/>
        <v>0.3</v>
      </c>
      <c r="V249" s="126">
        <f t="shared" si="76"/>
        <v>0.3</v>
      </c>
      <c r="W249" s="126">
        <f t="shared" si="76"/>
        <v>0.3</v>
      </c>
      <c r="X249" s="126">
        <f t="shared" si="76"/>
        <v>0.3</v>
      </c>
      <c r="Y249" s="126">
        <f t="shared" si="76"/>
        <v>0.3</v>
      </c>
      <c r="Z249" s="126">
        <f t="shared" si="76"/>
        <v>0.3</v>
      </c>
      <c r="AA249" s="126">
        <f t="shared" si="76"/>
        <v>0.3</v>
      </c>
      <c r="AB249" s="126">
        <f t="shared" si="76"/>
        <v>0.3</v>
      </c>
      <c r="AC249" s="126">
        <f t="shared" si="76"/>
        <v>0.3</v>
      </c>
      <c r="AD249" s="126">
        <f t="shared" si="76"/>
        <v>0.3</v>
      </c>
      <c r="AE249" s="126">
        <f t="shared" si="76"/>
        <v>0.3</v>
      </c>
      <c r="AF249" s="126">
        <f t="shared" si="76"/>
        <v>0.3</v>
      </c>
      <c r="AG249" s="140">
        <v>1</v>
      </c>
      <c r="AH249" s="47"/>
      <c r="AI249" s="48"/>
      <c r="AK249" s="50"/>
    </row>
    <row r="250" spans="1:37" x14ac:dyDescent="0.25">
      <c r="A250" s="103" t="s">
        <v>236</v>
      </c>
      <c r="B250" s="126">
        <f t="shared" si="74"/>
        <v>0.4</v>
      </c>
      <c r="C250" s="126">
        <v>0.4</v>
      </c>
      <c r="D250" s="126">
        <f t="shared" si="75"/>
        <v>0.4</v>
      </c>
      <c r="E250" s="126">
        <f t="shared" si="75"/>
        <v>0.4</v>
      </c>
      <c r="F250" s="126">
        <f t="shared" si="75"/>
        <v>0.4</v>
      </c>
      <c r="G250" s="126">
        <f t="shared" si="75"/>
        <v>0.4</v>
      </c>
      <c r="H250" s="126">
        <f t="shared" si="75"/>
        <v>0.4</v>
      </c>
      <c r="I250" s="126">
        <f t="shared" si="75"/>
        <v>0.4</v>
      </c>
      <c r="J250" s="126">
        <f t="shared" si="75"/>
        <v>0.4</v>
      </c>
      <c r="K250" s="126">
        <f t="shared" si="75"/>
        <v>0.4</v>
      </c>
      <c r="L250" s="126">
        <f t="shared" si="75"/>
        <v>0.4</v>
      </c>
      <c r="M250" s="126">
        <f t="shared" si="75"/>
        <v>0.4</v>
      </c>
      <c r="N250" s="126">
        <f t="shared" si="75"/>
        <v>0.4</v>
      </c>
      <c r="O250" s="126">
        <f t="shared" si="75"/>
        <v>0.4</v>
      </c>
      <c r="P250" s="126">
        <f t="shared" si="75"/>
        <v>0.4</v>
      </c>
      <c r="Q250" s="126">
        <f t="shared" si="75"/>
        <v>0.4</v>
      </c>
      <c r="R250" s="126">
        <f t="shared" si="75"/>
        <v>0.4</v>
      </c>
      <c r="S250" s="126">
        <f t="shared" si="75"/>
        <v>0.4</v>
      </c>
      <c r="T250" s="126">
        <f t="shared" si="76"/>
        <v>0.4</v>
      </c>
      <c r="U250" s="126">
        <f t="shared" si="76"/>
        <v>0.4</v>
      </c>
      <c r="V250" s="126">
        <f t="shared" si="76"/>
        <v>0.4</v>
      </c>
      <c r="W250" s="126">
        <f t="shared" si="76"/>
        <v>0.4</v>
      </c>
      <c r="X250" s="126">
        <f t="shared" si="76"/>
        <v>0.4</v>
      </c>
      <c r="Y250" s="126">
        <f t="shared" si="76"/>
        <v>0.4</v>
      </c>
      <c r="Z250" s="126">
        <f t="shared" si="76"/>
        <v>0.4</v>
      </c>
      <c r="AA250" s="126">
        <f t="shared" si="76"/>
        <v>0.4</v>
      </c>
      <c r="AB250" s="126">
        <f t="shared" si="76"/>
        <v>0.4</v>
      </c>
      <c r="AC250" s="126">
        <f t="shared" si="76"/>
        <v>0.4</v>
      </c>
      <c r="AD250" s="126">
        <f t="shared" si="76"/>
        <v>0.4</v>
      </c>
      <c r="AE250" s="126">
        <f t="shared" si="76"/>
        <v>0.4</v>
      </c>
      <c r="AF250" s="126">
        <f t="shared" si="76"/>
        <v>0.4</v>
      </c>
      <c r="AG250" s="140">
        <v>1</v>
      </c>
      <c r="AH250" s="47"/>
      <c r="AI250" s="48"/>
      <c r="AK250" s="50"/>
    </row>
    <row r="251" spans="1:37" ht="15.75" thickBot="1" x14ac:dyDescent="0.3">
      <c r="A251" s="116" t="s">
        <v>237</v>
      </c>
      <c r="B251" s="130">
        <f t="shared" si="74"/>
        <v>0.64</v>
      </c>
      <c r="C251" s="130">
        <v>0.64</v>
      </c>
      <c r="D251" s="130">
        <f t="shared" si="75"/>
        <v>0.64</v>
      </c>
      <c r="E251" s="130">
        <f t="shared" si="75"/>
        <v>0.64</v>
      </c>
      <c r="F251" s="130">
        <f t="shared" si="75"/>
        <v>0.64</v>
      </c>
      <c r="G251" s="130">
        <f t="shared" si="75"/>
        <v>0.64</v>
      </c>
      <c r="H251" s="130">
        <f t="shared" si="75"/>
        <v>0.64</v>
      </c>
      <c r="I251" s="130">
        <f t="shared" si="75"/>
        <v>0.64</v>
      </c>
      <c r="J251" s="130">
        <f t="shared" si="75"/>
        <v>0.64</v>
      </c>
      <c r="K251" s="130">
        <f t="shared" si="75"/>
        <v>0.64</v>
      </c>
      <c r="L251" s="130">
        <f t="shared" si="75"/>
        <v>0.64</v>
      </c>
      <c r="M251" s="130">
        <f t="shared" si="75"/>
        <v>0.64</v>
      </c>
      <c r="N251" s="130">
        <f t="shared" si="75"/>
        <v>0.64</v>
      </c>
      <c r="O251" s="130">
        <f t="shared" si="75"/>
        <v>0.64</v>
      </c>
      <c r="P251" s="130">
        <f t="shared" si="75"/>
        <v>0.64</v>
      </c>
      <c r="Q251" s="130">
        <f t="shared" si="75"/>
        <v>0.64</v>
      </c>
      <c r="R251" s="130">
        <f t="shared" si="75"/>
        <v>0.64</v>
      </c>
      <c r="S251" s="130">
        <f t="shared" si="75"/>
        <v>0.64</v>
      </c>
      <c r="T251" s="130">
        <f t="shared" si="76"/>
        <v>0.64</v>
      </c>
      <c r="U251" s="130">
        <f t="shared" si="76"/>
        <v>0.64</v>
      </c>
      <c r="V251" s="130">
        <f t="shared" si="76"/>
        <v>0.64</v>
      </c>
      <c r="W251" s="130">
        <f t="shared" si="76"/>
        <v>0.64</v>
      </c>
      <c r="X251" s="130">
        <f t="shared" si="76"/>
        <v>0.64</v>
      </c>
      <c r="Y251" s="130">
        <f t="shared" si="76"/>
        <v>0.64</v>
      </c>
      <c r="Z251" s="130">
        <f t="shared" si="76"/>
        <v>0.64</v>
      </c>
      <c r="AA251" s="130">
        <f t="shared" si="76"/>
        <v>0.64</v>
      </c>
      <c r="AB251" s="130">
        <f t="shared" si="76"/>
        <v>0.64</v>
      </c>
      <c r="AC251" s="130">
        <f t="shared" si="76"/>
        <v>0.64</v>
      </c>
      <c r="AD251" s="130">
        <f t="shared" si="76"/>
        <v>0.64</v>
      </c>
      <c r="AE251" s="130">
        <f t="shared" si="76"/>
        <v>0.64</v>
      </c>
      <c r="AF251" s="130">
        <f t="shared" si="76"/>
        <v>0.64</v>
      </c>
      <c r="AG251" s="141">
        <v>0.66</v>
      </c>
      <c r="AH251" s="47"/>
      <c r="AI251" s="48"/>
    </row>
    <row r="252" spans="1:37" ht="15.75" thickBot="1" x14ac:dyDescent="0.3">
      <c r="A252" s="142" t="s">
        <v>75</v>
      </c>
      <c r="B252" s="134">
        <f t="shared" ref="B252:AG252" si="77">SUM(B246:B251)</f>
        <v>3.54</v>
      </c>
      <c r="C252" s="134">
        <f t="shared" si="77"/>
        <v>3.54</v>
      </c>
      <c r="D252" s="134">
        <f t="shared" si="77"/>
        <v>3.54</v>
      </c>
      <c r="E252" s="134">
        <f t="shared" si="77"/>
        <v>3.54</v>
      </c>
      <c r="F252" s="134">
        <f t="shared" si="77"/>
        <v>3.54</v>
      </c>
      <c r="G252" s="134">
        <f t="shared" si="77"/>
        <v>3.54</v>
      </c>
      <c r="H252" s="134">
        <f t="shared" si="77"/>
        <v>3.54</v>
      </c>
      <c r="I252" s="134">
        <f t="shared" si="77"/>
        <v>3.54</v>
      </c>
      <c r="J252" s="134">
        <f t="shared" si="77"/>
        <v>3.54</v>
      </c>
      <c r="K252" s="134">
        <f t="shared" si="77"/>
        <v>3.54</v>
      </c>
      <c r="L252" s="134">
        <f t="shared" si="77"/>
        <v>3.54</v>
      </c>
      <c r="M252" s="134">
        <f t="shared" si="77"/>
        <v>3.54</v>
      </c>
      <c r="N252" s="134">
        <f t="shared" si="77"/>
        <v>3.54</v>
      </c>
      <c r="O252" s="134">
        <f t="shared" si="77"/>
        <v>3.54</v>
      </c>
      <c r="P252" s="134">
        <f t="shared" si="77"/>
        <v>3.54</v>
      </c>
      <c r="Q252" s="134">
        <f t="shared" si="77"/>
        <v>3.54</v>
      </c>
      <c r="R252" s="134">
        <f t="shared" si="77"/>
        <v>3.54</v>
      </c>
      <c r="S252" s="134">
        <f t="shared" si="77"/>
        <v>3.54</v>
      </c>
      <c r="T252" s="134">
        <f t="shared" si="77"/>
        <v>3.54</v>
      </c>
      <c r="U252" s="134">
        <f t="shared" si="77"/>
        <v>3.54</v>
      </c>
      <c r="V252" s="134">
        <f t="shared" si="77"/>
        <v>3.54</v>
      </c>
      <c r="W252" s="134">
        <f t="shared" si="77"/>
        <v>3.54</v>
      </c>
      <c r="X252" s="134">
        <f t="shared" si="77"/>
        <v>3.54</v>
      </c>
      <c r="Y252" s="134">
        <f t="shared" si="77"/>
        <v>3.54</v>
      </c>
      <c r="Z252" s="134">
        <f t="shared" si="77"/>
        <v>3.54</v>
      </c>
      <c r="AA252" s="134">
        <f t="shared" si="77"/>
        <v>3.54</v>
      </c>
      <c r="AB252" s="134">
        <f t="shared" si="77"/>
        <v>3.54</v>
      </c>
      <c r="AC252" s="134">
        <f t="shared" si="77"/>
        <v>3.54</v>
      </c>
      <c r="AD252" s="134">
        <f t="shared" si="77"/>
        <v>3.54</v>
      </c>
      <c r="AE252" s="134">
        <f t="shared" si="77"/>
        <v>3.54</v>
      </c>
      <c r="AF252" s="134">
        <f t="shared" si="77"/>
        <v>3.54</v>
      </c>
      <c r="AG252" s="143">
        <f t="shared" si="77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37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54" t="s">
        <v>243</v>
      </c>
      <c r="B256" s="155">
        <f>MAX(G99:N99)</f>
        <v>1750.1399999999999</v>
      </c>
      <c r="C256" s="156">
        <f>INDEX(G9:N9,1,MATCH(MAX(G99:N99),G99:N99,0))</f>
        <v>0.33333333333333331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50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157" t="str">
        <f ca="1">MID(CELL("filename",C7),FIND("]",CELL("filename",C7))+1,600)</f>
        <v>21</v>
      </c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50" x14ac:dyDescent="0.25">
      <c r="A258" s="257" t="s">
        <v>244</v>
      </c>
      <c r="B258" s="257"/>
      <c r="C258" s="43"/>
      <c r="D258" s="157" t="str">
        <f ca="1">"Pie Chart of Daily Peak Demand(Inclusive of Export) of Nepal ("&amp;A4&amp;" "&amp;B4&amp;")"</f>
        <v>Pie Chart of Daily Peak Demand(Inclusive of Export) of Nepal (Nepali Date: 2080/10/21)</v>
      </c>
      <c r="E258" s="43"/>
      <c r="F258" s="43"/>
      <c r="G258" s="157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157" t="str">
        <f ca="1">"Daily Load Curve(Excluding of Export) of Nepal ("&amp;A4&amp;" "&amp;B4&amp;")"</f>
        <v>Daily Load Curve(Excluding of Export) of Nepal (Nepali Date: 2080/10/21)</v>
      </c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50" ht="12.75" customHeight="1" thickBot="1" x14ac:dyDescent="0.3">
      <c r="A259" s="158" t="s">
        <v>7</v>
      </c>
      <c r="B259" s="159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50" ht="15.75" thickTop="1" x14ac:dyDescent="0.25">
      <c r="A260" s="158" t="s">
        <v>245</v>
      </c>
      <c r="B260" s="15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160" t="s">
        <v>246</v>
      </c>
      <c r="T260" s="161">
        <v>0</v>
      </c>
      <c r="U260" s="162">
        <v>4.1666666666666664E-2</v>
      </c>
      <c r="V260" s="163">
        <v>8.3333333333333301E-2</v>
      </c>
      <c r="W260" s="163">
        <v>0.125</v>
      </c>
      <c r="X260" s="163">
        <v>0.16666666666666699</v>
      </c>
      <c r="Y260" s="163">
        <v>0.20833333333333301</v>
      </c>
      <c r="Z260" s="163">
        <v>0.22916666666666666</v>
      </c>
      <c r="AA260" s="163">
        <v>0.25</v>
      </c>
      <c r="AB260" s="163">
        <v>0.27083333333333331</v>
      </c>
      <c r="AC260" s="163">
        <v>0.29166666666666669</v>
      </c>
      <c r="AD260" s="163">
        <v>0.3125</v>
      </c>
      <c r="AE260" s="164">
        <v>0.33333333333333331</v>
      </c>
      <c r="AF260" s="164">
        <v>0.375</v>
      </c>
      <c r="AG260" s="164">
        <v>0.41666666666666702</v>
      </c>
      <c r="AH260" s="164">
        <v>0.45833333333333298</v>
      </c>
      <c r="AI260" s="164">
        <v>0.5</v>
      </c>
      <c r="AJ260" s="164">
        <v>0.54166666666666696</v>
      </c>
      <c r="AK260" s="164">
        <v>0.58333333333333304</v>
      </c>
      <c r="AL260" s="164">
        <v>0.625</v>
      </c>
      <c r="AM260" s="164">
        <v>0.66666666666666696</v>
      </c>
      <c r="AN260" s="164">
        <v>0.70833333333333304</v>
      </c>
      <c r="AO260" s="164">
        <v>0.72916666666666663</v>
      </c>
      <c r="AP260" s="164">
        <v>0.75</v>
      </c>
      <c r="AQ260" s="164">
        <v>0.77083333333333337</v>
      </c>
      <c r="AR260" s="164">
        <v>0.79166666666666663</v>
      </c>
      <c r="AS260" s="164">
        <v>0.8125</v>
      </c>
      <c r="AT260" s="163">
        <v>0.83333333333333337</v>
      </c>
      <c r="AU260" s="163">
        <v>0.85416666666666663</v>
      </c>
      <c r="AV260" s="163">
        <v>0.875</v>
      </c>
      <c r="AW260" s="163">
        <v>0.91666666666666696</v>
      </c>
      <c r="AX260" s="163">
        <v>0.95833333333333304</v>
      </c>
    </row>
    <row r="261" spans="1:50" x14ac:dyDescent="0.25">
      <c r="A261" s="158" t="s">
        <v>247</v>
      </c>
      <c r="B261" s="15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 t="s">
        <v>248</v>
      </c>
      <c r="T261" s="165">
        <f t="shared" ref="T261:AX261" si="78">B99</f>
        <v>1142.7399999999998</v>
      </c>
      <c r="U261" s="165">
        <f t="shared" si="78"/>
        <v>1053.44</v>
      </c>
      <c r="V261" s="165">
        <f t="shared" si="78"/>
        <v>1082.54</v>
      </c>
      <c r="W261" s="165">
        <f t="shared" si="78"/>
        <v>1099.44</v>
      </c>
      <c r="X261" s="165">
        <f t="shared" si="78"/>
        <v>1078.44</v>
      </c>
      <c r="Y261" s="165">
        <f t="shared" si="78"/>
        <v>1140.1399999999999</v>
      </c>
      <c r="Z261" s="165">
        <f t="shared" si="78"/>
        <v>1219.3399999999999</v>
      </c>
      <c r="AA261" s="165">
        <f t="shared" si="78"/>
        <v>1301.7399999999998</v>
      </c>
      <c r="AB261" s="165">
        <f t="shared" si="78"/>
        <v>1416.8400000000001</v>
      </c>
      <c r="AC261" s="165">
        <f t="shared" si="78"/>
        <v>1659.1399999999999</v>
      </c>
      <c r="AD261" s="165">
        <f t="shared" si="78"/>
        <v>1740.3400000000001</v>
      </c>
      <c r="AE261" s="165">
        <f t="shared" si="78"/>
        <v>1750.1399999999999</v>
      </c>
      <c r="AF261" s="165">
        <f t="shared" si="78"/>
        <v>1628.94</v>
      </c>
      <c r="AG261" s="165">
        <f t="shared" si="78"/>
        <v>1559.2399999999998</v>
      </c>
      <c r="AH261" s="165">
        <f t="shared" si="78"/>
        <v>1596.54</v>
      </c>
      <c r="AI261" s="165">
        <f t="shared" si="78"/>
        <v>1597.34</v>
      </c>
      <c r="AJ261" s="165">
        <f t="shared" si="78"/>
        <v>1485.2400000000002</v>
      </c>
      <c r="AK261" s="165">
        <f t="shared" si="78"/>
        <v>1535.8400000000001</v>
      </c>
      <c r="AL261" s="165">
        <f t="shared" si="78"/>
        <v>1533.24</v>
      </c>
      <c r="AM261" s="165">
        <f t="shared" si="78"/>
        <v>1547.54</v>
      </c>
      <c r="AN261" s="165">
        <f t="shared" si="78"/>
        <v>1494.14</v>
      </c>
      <c r="AO261" s="165">
        <f t="shared" si="78"/>
        <v>1587.64</v>
      </c>
      <c r="AP261" s="165">
        <f t="shared" si="78"/>
        <v>1746.24</v>
      </c>
      <c r="AQ261" s="165">
        <f t="shared" si="78"/>
        <v>1883.52</v>
      </c>
      <c r="AR261" s="165">
        <f t="shared" si="78"/>
        <v>1855.1</v>
      </c>
      <c r="AS261" s="165">
        <f t="shared" si="78"/>
        <v>1843.14</v>
      </c>
      <c r="AT261" s="165">
        <f t="shared" si="78"/>
        <v>1755.04</v>
      </c>
      <c r="AU261" s="165">
        <f t="shared" si="78"/>
        <v>1681.24</v>
      </c>
      <c r="AV261" s="165">
        <f t="shared" si="78"/>
        <v>1516.04</v>
      </c>
      <c r="AW261" s="165">
        <f t="shared" si="78"/>
        <v>1355.3400000000001</v>
      </c>
      <c r="AX261" s="165">
        <f t="shared" si="78"/>
        <v>1215.04</v>
      </c>
    </row>
    <row r="262" spans="1:50" x14ac:dyDescent="0.25">
      <c r="A262" s="158" t="s">
        <v>249</v>
      </c>
      <c r="B262" s="15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50" x14ac:dyDescent="0.25">
      <c r="A263" s="158" t="s">
        <v>250</v>
      </c>
      <c r="B263" s="15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50" x14ac:dyDescent="0.25">
      <c r="A264" s="158" t="s">
        <v>251</v>
      </c>
      <c r="B264" s="15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50" x14ac:dyDescent="0.25">
      <c r="A265" s="158" t="s">
        <v>252</v>
      </c>
      <c r="B265" s="166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50" x14ac:dyDescent="0.25">
      <c r="A266" s="158" t="s">
        <v>253</v>
      </c>
      <c r="B266" s="15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50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50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50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50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50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50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1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1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1:34" x14ac:dyDescent="0.25">
      <c r="A282" s="167" t="s">
        <v>238</v>
      </c>
      <c r="B282" s="168">
        <f t="shared" ref="B282:AE282" si="79">C251</f>
        <v>0.64</v>
      </c>
      <c r="C282" s="168">
        <f t="shared" si="79"/>
        <v>0.64</v>
      </c>
      <c r="D282" s="168">
        <f t="shared" si="79"/>
        <v>0.64</v>
      </c>
      <c r="E282" s="168">
        <f t="shared" si="79"/>
        <v>0.64</v>
      </c>
      <c r="F282" s="168">
        <f t="shared" si="79"/>
        <v>0.64</v>
      </c>
      <c r="G282" s="168">
        <f t="shared" si="79"/>
        <v>0.64</v>
      </c>
      <c r="H282" s="168">
        <f t="shared" si="79"/>
        <v>0.64</v>
      </c>
      <c r="I282" s="168">
        <f t="shared" si="79"/>
        <v>0.64</v>
      </c>
      <c r="J282" s="168">
        <f t="shared" si="79"/>
        <v>0.64</v>
      </c>
      <c r="K282" s="168">
        <f t="shared" si="79"/>
        <v>0.64</v>
      </c>
      <c r="L282" s="168">
        <f t="shared" si="79"/>
        <v>0.64</v>
      </c>
      <c r="M282" s="168">
        <f t="shared" si="79"/>
        <v>0.64</v>
      </c>
      <c r="N282" s="168">
        <f t="shared" si="79"/>
        <v>0.64</v>
      </c>
      <c r="O282" s="168">
        <f t="shared" si="79"/>
        <v>0.64</v>
      </c>
      <c r="P282" s="168">
        <f t="shared" si="79"/>
        <v>0.64</v>
      </c>
      <c r="Q282" s="168">
        <f t="shared" si="79"/>
        <v>0.64</v>
      </c>
      <c r="R282" s="168">
        <f t="shared" si="79"/>
        <v>0.64</v>
      </c>
      <c r="S282" s="168">
        <f t="shared" si="79"/>
        <v>0.64</v>
      </c>
      <c r="T282" s="168">
        <f t="shared" si="79"/>
        <v>0.64</v>
      </c>
      <c r="U282" s="168">
        <f t="shared" si="79"/>
        <v>0.64</v>
      </c>
      <c r="V282" s="168">
        <f t="shared" si="79"/>
        <v>0.64</v>
      </c>
      <c r="W282" s="168">
        <f t="shared" si="79"/>
        <v>0.64</v>
      </c>
      <c r="X282" s="168">
        <f t="shared" si="79"/>
        <v>0.64</v>
      </c>
      <c r="Y282" s="168">
        <f t="shared" si="79"/>
        <v>0.64</v>
      </c>
      <c r="Z282" s="168">
        <f t="shared" si="79"/>
        <v>0.64</v>
      </c>
      <c r="AA282" s="168">
        <f t="shared" si="79"/>
        <v>0.64</v>
      </c>
      <c r="AB282" s="168">
        <f t="shared" si="79"/>
        <v>0.64</v>
      </c>
      <c r="AC282" s="168">
        <f t="shared" si="79"/>
        <v>0.64</v>
      </c>
      <c r="AD282" s="168">
        <f t="shared" si="79"/>
        <v>0.64</v>
      </c>
      <c r="AE282" s="168">
        <f t="shared" si="79"/>
        <v>0.64</v>
      </c>
      <c r="AF282" s="168">
        <f>B251</f>
        <v>0.64</v>
      </c>
      <c r="AG282" s="43"/>
      <c r="AH282" s="43"/>
    </row>
    <row r="283" spans="1:34" x14ac:dyDescent="0.25">
      <c r="A283" s="169" t="e">
        <f>#REF!</f>
        <v>#REF!</v>
      </c>
      <c r="B283" s="169" t="e">
        <f>IF(#REF!&lt;100,"",#REF!-520)</f>
        <v>#REF!</v>
      </c>
      <c r="C283" s="169" t="e">
        <f>IF(#REF!&lt;100,"",#REF!-520)</f>
        <v>#REF!</v>
      </c>
      <c r="D283" s="169" t="e">
        <f>IF(#REF!&lt;100,"",#REF!-520)</f>
        <v>#REF!</v>
      </c>
      <c r="E283" s="169" t="e">
        <f>IF(#REF!&lt;100,"",#REF!-520)</f>
        <v>#REF!</v>
      </c>
      <c r="F283" s="169" t="e">
        <f>IF(#REF!&lt;100,"",#REF!-520)</f>
        <v>#REF!</v>
      </c>
      <c r="G283" s="169" t="e">
        <f>IF(#REF!&lt;100,"",#REF!-520)</f>
        <v>#REF!</v>
      </c>
      <c r="H283" s="169" t="e">
        <f>IF(#REF!&lt;100,"",#REF!-520)</f>
        <v>#REF!</v>
      </c>
      <c r="I283" s="169" t="e">
        <f>IF(#REF!&lt;100,"",#REF!-520)</f>
        <v>#REF!</v>
      </c>
      <c r="J283" s="169" t="e">
        <f>IF(#REF!&lt;100,"",#REF!-520)</f>
        <v>#REF!</v>
      </c>
      <c r="K283" s="169" t="e">
        <f>IF(#REF!&lt;100,"",#REF!-520)</f>
        <v>#REF!</v>
      </c>
      <c r="L283" s="169" t="e">
        <f>IF(#REF!&lt;100,"",#REF!-520)</f>
        <v>#REF!</v>
      </c>
      <c r="M283" s="169" t="e">
        <f>IF(#REF!&lt;100,"",#REF!-520)</f>
        <v>#REF!</v>
      </c>
      <c r="N283" s="169" t="e">
        <f>IF(#REF!&lt;100,"",#REF!-520)</f>
        <v>#REF!</v>
      </c>
      <c r="O283" s="169" t="e">
        <f>IF(#REF!&lt;100,"",#REF!-520)</f>
        <v>#REF!</v>
      </c>
      <c r="P283" s="169" t="e">
        <f>IF(#REF!&lt;100,"",#REF!-520)</f>
        <v>#REF!</v>
      </c>
      <c r="Q283" s="169" t="e">
        <f>IF(#REF!&lt;100,"",#REF!-520)</f>
        <v>#REF!</v>
      </c>
      <c r="R283" s="169" t="e">
        <f>IF(#REF!&lt;100,"",#REF!-520)</f>
        <v>#REF!</v>
      </c>
      <c r="S283" s="169" t="e">
        <f>IF(#REF!&lt;100,"",#REF!-520)</f>
        <v>#REF!</v>
      </c>
      <c r="T283" s="169" t="e">
        <f>IF(#REF!&lt;100,"",#REF!-520)</f>
        <v>#REF!</v>
      </c>
      <c r="U283" s="169" t="e">
        <f>IF(#REF!&lt;100,"",#REF!-520)</f>
        <v>#REF!</v>
      </c>
      <c r="V283" s="169" t="e">
        <f>IF(#REF!&lt;100,"",#REF!-520)</f>
        <v>#REF!</v>
      </c>
      <c r="W283" s="169" t="e">
        <f>IF(#REF!&lt;100,"",#REF!-520)</f>
        <v>#REF!</v>
      </c>
      <c r="X283" s="169" t="e">
        <f>IF(#REF!&lt;100,"",#REF!-520)</f>
        <v>#REF!</v>
      </c>
      <c r="Y283" s="169" t="e">
        <f>IF(#REF!&lt;100,"",#REF!-520)</f>
        <v>#REF!</v>
      </c>
      <c r="Z283" s="169" t="e">
        <f>IF(#REF!&lt;100,"",#REF!-520)</f>
        <v>#REF!</v>
      </c>
      <c r="AA283" s="169" t="e">
        <f>IF(#REF!&lt;100,"",#REF!-520)</f>
        <v>#REF!</v>
      </c>
      <c r="AB283" s="169" t="e">
        <f>IF(#REF!&lt;100,"",#REF!-520)</f>
        <v>#REF!</v>
      </c>
      <c r="AC283" s="169" t="e">
        <f>IF(#REF!&lt;100,"",#REF!-520)</f>
        <v>#REF!</v>
      </c>
      <c r="AD283" s="169" t="e">
        <f>IF(#REF!&lt;100,"",#REF!-520)</f>
        <v>#REF!</v>
      </c>
      <c r="AE283" s="169" t="e">
        <f>IF(#REF!&lt;100,"",#REF!-520)</f>
        <v>#REF!</v>
      </c>
      <c r="AF283" s="169" t="e">
        <f>IF(#REF!&lt;100,"",#REF!-520)</f>
        <v>#REF!</v>
      </c>
      <c r="AG283" s="43"/>
      <c r="AH283" s="43"/>
    </row>
    <row r="284" spans="1:34" x14ac:dyDescent="0.25">
      <c r="A284" s="169" t="e">
        <f>#REF!</f>
        <v>#REF!</v>
      </c>
      <c r="B284" s="169" t="e">
        <f>IF(#REF!&lt;100,"",#REF!-620)</f>
        <v>#REF!</v>
      </c>
      <c r="C284" s="169" t="e">
        <f>IF(#REF!&lt;100,"",#REF!-620)</f>
        <v>#REF!</v>
      </c>
      <c r="D284" s="169" t="e">
        <f>IF(#REF!&lt;100,"",#REF!-620)</f>
        <v>#REF!</v>
      </c>
      <c r="E284" s="169" t="e">
        <f>IF(#REF!&lt;100,"",#REF!-620)</f>
        <v>#REF!</v>
      </c>
      <c r="F284" s="169" t="e">
        <f>IF(#REF!&lt;100,"",#REF!-620)</f>
        <v>#REF!</v>
      </c>
      <c r="G284" s="169" t="e">
        <f>IF(#REF!&lt;100,"",#REF!-620)</f>
        <v>#REF!</v>
      </c>
      <c r="H284" s="169" t="e">
        <f>IF(#REF!&lt;100,"",#REF!-620)</f>
        <v>#REF!</v>
      </c>
      <c r="I284" s="169" t="e">
        <f>IF(#REF!&lt;100,"",#REF!-620)</f>
        <v>#REF!</v>
      </c>
      <c r="J284" s="169" t="e">
        <f>IF(#REF!&lt;100,"",#REF!-620)</f>
        <v>#REF!</v>
      </c>
      <c r="K284" s="169" t="e">
        <f>IF(#REF!&lt;100,"",#REF!-620)</f>
        <v>#REF!</v>
      </c>
      <c r="L284" s="169" t="e">
        <f>IF(#REF!&lt;100,"",#REF!-620)</f>
        <v>#REF!</v>
      </c>
      <c r="M284" s="169" t="e">
        <f>IF(#REF!&lt;100,"",#REF!-620)</f>
        <v>#REF!</v>
      </c>
      <c r="N284" s="169" t="e">
        <f>IF(#REF!&lt;100,"",#REF!-620)</f>
        <v>#REF!</v>
      </c>
      <c r="O284" s="169" t="e">
        <f>IF(#REF!&lt;100,"",#REF!-620)</f>
        <v>#REF!</v>
      </c>
      <c r="P284" s="169" t="e">
        <f>IF(#REF!&lt;100,"",#REF!-620)</f>
        <v>#REF!</v>
      </c>
      <c r="Q284" s="169" t="e">
        <f>IF(#REF!&lt;100,"",#REF!-620)</f>
        <v>#REF!</v>
      </c>
      <c r="R284" s="169" t="e">
        <f>IF(#REF!&lt;100,"",#REF!-620)</f>
        <v>#REF!</v>
      </c>
      <c r="S284" s="169" t="e">
        <f>IF(#REF!&lt;100,"",#REF!-620)</f>
        <v>#REF!</v>
      </c>
      <c r="T284" s="169" t="e">
        <f>IF(#REF!&lt;100,"",#REF!-620)</f>
        <v>#REF!</v>
      </c>
      <c r="U284" s="169" t="e">
        <f>IF(#REF!&lt;100,"",#REF!-620)</f>
        <v>#REF!</v>
      </c>
      <c r="V284" s="169" t="e">
        <f>IF(#REF!&lt;100,"",#REF!-620)</f>
        <v>#REF!</v>
      </c>
      <c r="W284" s="169" t="e">
        <f>IF(#REF!&lt;100,"",#REF!-620)</f>
        <v>#REF!</v>
      </c>
      <c r="X284" s="169" t="e">
        <f>IF(#REF!&lt;100,"",#REF!-620)</f>
        <v>#REF!</v>
      </c>
      <c r="Y284" s="169" t="e">
        <f>IF(#REF!&lt;100,"",#REF!-620)</f>
        <v>#REF!</v>
      </c>
      <c r="Z284" s="169" t="e">
        <f>IF(#REF!&lt;100,"",#REF!-620)</f>
        <v>#REF!</v>
      </c>
      <c r="AA284" s="169" t="e">
        <f>IF(#REF!&lt;100,"",#REF!-620)</f>
        <v>#REF!</v>
      </c>
      <c r="AB284" s="169" t="e">
        <f>IF(#REF!&lt;100,"",#REF!-620)</f>
        <v>#REF!</v>
      </c>
      <c r="AC284" s="169" t="e">
        <f>IF(#REF!&lt;100,"",#REF!-620)</f>
        <v>#REF!</v>
      </c>
      <c r="AD284" s="169" t="e">
        <f>IF(#REF!&lt;100,"",#REF!-620)</f>
        <v>#REF!</v>
      </c>
      <c r="AE284" s="169" t="e">
        <f>IF(#REF!&lt;100,"",#REF!-620)</f>
        <v>#REF!</v>
      </c>
      <c r="AF284" s="169" t="e">
        <f>IF(#REF!&lt;100,"",#REF!-620)</f>
        <v>#REF!</v>
      </c>
      <c r="AG284" s="43"/>
      <c r="AH284" s="43"/>
    </row>
    <row r="285" spans="1:34" x14ac:dyDescent="0.25">
      <c r="A285" s="169" t="e">
        <f>#REF!</f>
        <v>#REF!</v>
      </c>
      <c r="B285" s="169" t="e">
        <f>IF(#REF!&lt;100,"",#REF!-330)</f>
        <v>#REF!</v>
      </c>
      <c r="C285" s="169" t="e">
        <f>IF(#REF!&lt;100,"",#REF!-330)</f>
        <v>#REF!</v>
      </c>
      <c r="D285" s="169" t="e">
        <f>IF(#REF!&lt;100,"",#REF!-330)</f>
        <v>#REF!</v>
      </c>
      <c r="E285" s="169" t="e">
        <f>IF(#REF!&lt;100,"",#REF!-330)</f>
        <v>#REF!</v>
      </c>
      <c r="F285" s="169" t="e">
        <f>IF(#REF!&lt;100,"",#REF!-330)</f>
        <v>#REF!</v>
      </c>
      <c r="G285" s="169" t="e">
        <f>IF(#REF!&lt;100,"",#REF!-330)</f>
        <v>#REF!</v>
      </c>
      <c r="H285" s="169" t="e">
        <f>IF(#REF!&lt;100,"",#REF!-330)</f>
        <v>#REF!</v>
      </c>
      <c r="I285" s="169" t="e">
        <f>IF(#REF!&lt;100,"",#REF!-330)</f>
        <v>#REF!</v>
      </c>
      <c r="J285" s="169" t="e">
        <f>IF(#REF!&lt;100,"",#REF!-330)</f>
        <v>#REF!</v>
      </c>
      <c r="K285" s="169" t="e">
        <f>IF(#REF!&lt;100,"",#REF!-330)</f>
        <v>#REF!</v>
      </c>
      <c r="L285" s="169" t="e">
        <f>IF(#REF!&lt;100,"",#REF!-330)</f>
        <v>#REF!</v>
      </c>
      <c r="M285" s="169" t="e">
        <f>IF(#REF!&lt;100,"",#REF!-330)</f>
        <v>#REF!</v>
      </c>
      <c r="N285" s="169" t="e">
        <f>IF(#REF!&lt;100,"",#REF!-330)</f>
        <v>#REF!</v>
      </c>
      <c r="O285" s="169" t="e">
        <f>IF(#REF!&lt;100,"",#REF!-330)</f>
        <v>#REF!</v>
      </c>
      <c r="P285" s="169" t="e">
        <f>IF(#REF!&lt;100,"",#REF!-330)</f>
        <v>#REF!</v>
      </c>
      <c r="Q285" s="169" t="e">
        <f>IF(#REF!&lt;100,"",#REF!-330)</f>
        <v>#REF!</v>
      </c>
      <c r="R285" s="169" t="e">
        <f>IF(#REF!&lt;100,"",#REF!-330)</f>
        <v>#REF!</v>
      </c>
      <c r="S285" s="169" t="e">
        <f>IF(#REF!&lt;100,"",#REF!-330)</f>
        <v>#REF!</v>
      </c>
      <c r="T285" s="169" t="e">
        <f>IF(#REF!&lt;100,"",#REF!-330)</f>
        <v>#REF!</v>
      </c>
      <c r="U285" s="169" t="e">
        <f>IF(#REF!&lt;100,"",#REF!-330)</f>
        <v>#REF!</v>
      </c>
      <c r="V285" s="169" t="e">
        <f>IF(#REF!&lt;100,"",#REF!-330)</f>
        <v>#REF!</v>
      </c>
      <c r="W285" s="169" t="e">
        <f>IF(#REF!&lt;100,"",#REF!-330)</f>
        <v>#REF!</v>
      </c>
      <c r="X285" s="169" t="e">
        <f>IF(#REF!&lt;100,"",#REF!-330)</f>
        <v>#REF!</v>
      </c>
      <c r="Y285" s="169" t="e">
        <f>IF(#REF!&lt;100,"",#REF!-330)</f>
        <v>#REF!</v>
      </c>
      <c r="Z285" s="169" t="e">
        <f>IF(#REF!&lt;100,"",#REF!-330)</f>
        <v>#REF!</v>
      </c>
      <c r="AA285" s="169" t="e">
        <f>IF(#REF!&lt;100,"",#REF!-330)</f>
        <v>#REF!</v>
      </c>
      <c r="AB285" s="169" t="e">
        <f>IF(#REF!&lt;100,"",#REF!-330)</f>
        <v>#REF!</v>
      </c>
      <c r="AC285" s="169" t="e">
        <f>IF(#REF!&lt;100,"",#REF!-330)</f>
        <v>#REF!</v>
      </c>
      <c r="AD285" s="169" t="e">
        <f>IF(#REF!&lt;100,"",#REF!-330)</f>
        <v>#REF!</v>
      </c>
      <c r="AE285" s="169" t="e">
        <f>IF(#REF!&lt;100,"",#REF!-330)</f>
        <v>#REF!</v>
      </c>
      <c r="AF285" s="169" t="e">
        <f>IF(#REF!&lt;100,"",#REF!-330)</f>
        <v>#REF!</v>
      </c>
      <c r="AG285" s="43"/>
      <c r="AH285" s="43"/>
    </row>
    <row r="286" spans="1:34" x14ac:dyDescent="0.25">
      <c r="A286" s="169" t="e">
        <f>#REF!</f>
        <v>#REF!</v>
      </c>
      <c r="B286" s="169" t="e">
        <f>IF(#REF!&lt;100,"",#REF!-1500)</f>
        <v>#REF!</v>
      </c>
      <c r="C286" s="169" t="e">
        <f>IF(#REF!&lt;100,"",#REF!-1500)</f>
        <v>#REF!</v>
      </c>
      <c r="D286" s="169" t="e">
        <f>IF(#REF!&lt;100,"",#REF!-1500)</f>
        <v>#REF!</v>
      </c>
      <c r="E286" s="169" t="e">
        <f>IF(#REF!&lt;100,"",#REF!-1500)</f>
        <v>#REF!</v>
      </c>
      <c r="F286" s="169" t="e">
        <f>IF(#REF!&lt;100,"",#REF!-1500)</f>
        <v>#REF!</v>
      </c>
      <c r="G286" s="169" t="e">
        <f>IF(#REF!&lt;100,"",#REF!-1500)</f>
        <v>#REF!</v>
      </c>
      <c r="H286" s="169" t="e">
        <f>IF(#REF!&lt;100,"",#REF!-1500)</f>
        <v>#REF!</v>
      </c>
      <c r="I286" s="169" t="e">
        <f>IF(#REF!&lt;100,"",#REF!-1500)</f>
        <v>#REF!</v>
      </c>
      <c r="J286" s="169" t="e">
        <f>IF(#REF!&lt;100,"",#REF!-1500)</f>
        <v>#REF!</v>
      </c>
      <c r="K286" s="169" t="e">
        <f>IF(#REF!&lt;100,"",#REF!-1500)</f>
        <v>#REF!</v>
      </c>
      <c r="L286" s="169" t="e">
        <f>IF(#REF!&lt;100,"",#REF!-1500)</f>
        <v>#REF!</v>
      </c>
      <c r="M286" s="169" t="e">
        <f>IF(#REF!&lt;100,"",#REF!-1500)</f>
        <v>#REF!</v>
      </c>
      <c r="N286" s="169" t="e">
        <f>IF(#REF!&lt;100,"",#REF!-1500)</f>
        <v>#REF!</v>
      </c>
      <c r="O286" s="169" t="e">
        <f>IF(#REF!&lt;100,"",#REF!-1500)</f>
        <v>#REF!</v>
      </c>
      <c r="P286" s="169" t="e">
        <f>IF(#REF!&lt;100,"",#REF!-1500)</f>
        <v>#REF!</v>
      </c>
      <c r="Q286" s="169" t="e">
        <f>IF(#REF!&lt;100,"",#REF!-1500)</f>
        <v>#REF!</v>
      </c>
      <c r="R286" s="169" t="e">
        <f>IF(#REF!&lt;100,"",#REF!-1500)</f>
        <v>#REF!</v>
      </c>
      <c r="S286" s="169" t="e">
        <f>IF(#REF!&lt;100,"",#REF!-1500)</f>
        <v>#REF!</v>
      </c>
      <c r="T286" s="169" t="e">
        <f>IF(#REF!&lt;100,"",#REF!-1500)</f>
        <v>#REF!</v>
      </c>
      <c r="U286" s="169" t="e">
        <f>IF(#REF!&lt;100,"",#REF!-1500)</f>
        <v>#REF!</v>
      </c>
      <c r="V286" s="169" t="e">
        <f>IF(#REF!&lt;100,"",#REF!-1500)</f>
        <v>#REF!</v>
      </c>
      <c r="W286" s="169" t="e">
        <f>IF(#REF!&lt;100,"",#REF!-1500)</f>
        <v>#REF!</v>
      </c>
      <c r="X286" s="169" t="e">
        <f>IF(#REF!&lt;100,"",#REF!-1500)</f>
        <v>#REF!</v>
      </c>
      <c r="Y286" s="169" t="e">
        <f>IF(#REF!&lt;100,"",#REF!-1500)</f>
        <v>#REF!</v>
      </c>
      <c r="Z286" s="169" t="e">
        <f>IF(#REF!&lt;100,"",#REF!-1500)</f>
        <v>#REF!</v>
      </c>
      <c r="AA286" s="169" t="e">
        <f>IF(#REF!&lt;100,"",#REF!-1500)</f>
        <v>#REF!</v>
      </c>
      <c r="AB286" s="169" t="e">
        <f>IF(#REF!&lt;100,"",#REF!-1500)</f>
        <v>#REF!</v>
      </c>
      <c r="AC286" s="169" t="e">
        <f>IF(#REF!&lt;100,"",#REF!-1500)</f>
        <v>#REF!</v>
      </c>
      <c r="AD286" s="169" t="e">
        <f>IF(#REF!&lt;100,"",#REF!-1500)</f>
        <v>#REF!</v>
      </c>
      <c r="AE286" s="169" t="e">
        <f>IF(#REF!&lt;100,"",#REF!-1500)</f>
        <v>#REF!</v>
      </c>
      <c r="AF286" s="169" t="e">
        <f>IF(#REF!&lt;100,"",#REF!-1500)</f>
        <v>#REF!</v>
      </c>
      <c r="AG286" s="43"/>
      <c r="AH286" s="43"/>
    </row>
    <row r="287" spans="1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1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2:34" x14ac:dyDescent="0.25"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2:34" x14ac:dyDescent="0.25"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2:34" x14ac:dyDescent="0.25"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2:34" x14ac:dyDescent="0.25"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2:34" x14ac:dyDescent="0.25"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604" priority="1">
      <formula>$AH11=0</formula>
    </cfRule>
  </conditionalFormatting>
  <conditionalFormatting sqref="A132:A253">
    <cfRule type="expression" dxfId="603" priority="6">
      <formula>$AH132=0</formula>
    </cfRule>
  </conditionalFormatting>
  <conditionalFormatting sqref="B8 M8 S8 AB8">
    <cfRule type="expression" dxfId="602" priority="116">
      <formula>C$9&lt;8/24</formula>
    </cfRule>
    <cfRule type="expression" dxfId="601" priority="115">
      <formula>AND(C$9&gt;=8/24,C$9&lt;14/24)</formula>
    </cfRule>
    <cfRule type="expression" dxfId="600" priority="114">
      <formula>AND(C$9&gt;=14/24,C$9&lt;20/24)</formula>
    </cfRule>
  </conditionalFormatting>
  <conditionalFormatting sqref="B63:I74 J64:J74 K68:K74 K69:L71 L69:X74">
    <cfRule type="expression" dxfId="599" priority="21">
      <formula>B$9&gt;=20/24</formula>
    </cfRule>
    <cfRule type="expression" dxfId="598" priority="22">
      <formula>AND(B$9&gt;=14/24,B$9&lt;20/24)</formula>
    </cfRule>
    <cfRule type="expression" dxfId="597" priority="23">
      <formula>AND(B$9&gt;=8/24,B$9&lt;14/24)</formula>
    </cfRule>
    <cfRule type="expression" dxfId="596" priority="24">
      <formula>B$9&lt;8/24</formula>
    </cfRule>
  </conditionalFormatting>
  <conditionalFormatting sqref="B11:X54">
    <cfRule type="expression" dxfId="595" priority="15">
      <formula>B11&gt;$AG11</formula>
    </cfRule>
  </conditionalFormatting>
  <conditionalFormatting sqref="B53:X54">
    <cfRule type="expression" dxfId="594" priority="14">
      <formula>B$9&lt;8/24</formula>
    </cfRule>
  </conditionalFormatting>
  <conditionalFormatting sqref="B55:X55">
    <cfRule type="expression" dxfId="593" priority="35">
      <formula>B55&gt;$AG55</formula>
    </cfRule>
  </conditionalFormatting>
  <conditionalFormatting sqref="B55:X57">
    <cfRule type="expression" dxfId="592" priority="34">
      <formula>B$9&lt;8/24</formula>
    </cfRule>
  </conditionalFormatting>
  <conditionalFormatting sqref="B9:AF52">
    <cfRule type="expression" dxfId="591" priority="26">
      <formula>B$9&gt;=20/24</formula>
    </cfRule>
    <cfRule type="expression" dxfId="590" priority="27">
      <formula>AND(B$9&gt;=14/24,B$9&lt;20/24)</formula>
    </cfRule>
    <cfRule type="expression" dxfId="589" priority="28">
      <formula>AND(B$9&gt;=8/24,B$9&lt;14/24)</formula>
    </cfRule>
    <cfRule type="expression" dxfId="588" priority="29">
      <formula>B$9&lt;8/24</formula>
    </cfRule>
  </conditionalFormatting>
  <conditionalFormatting sqref="B53:AF54">
    <cfRule type="expression" dxfId="587" priority="11">
      <formula>B$9&gt;=20/24</formula>
    </cfRule>
    <cfRule type="expression" dxfId="586" priority="12">
      <formula>AND(B$9&gt;=14/24,B$9&lt;20/24)</formula>
    </cfRule>
    <cfRule type="expression" dxfId="585" priority="13">
      <formula>AND(B$9&gt;=8/24,B$9&lt;14/24)</formula>
    </cfRule>
  </conditionalFormatting>
  <conditionalFormatting sqref="B55:AF57">
    <cfRule type="expression" dxfId="584" priority="33">
      <formula>AND(B$9&gt;=8/24,B$9&lt;14/24)</formula>
    </cfRule>
    <cfRule type="expression" dxfId="583" priority="31">
      <formula>B$9&gt;=20/24</formula>
    </cfRule>
    <cfRule type="expression" dxfId="582" priority="32">
      <formula>AND(B$9&gt;=14/24,B$9&lt;20/24)</formula>
    </cfRule>
  </conditionalFormatting>
  <conditionalFormatting sqref="B56:AF61">
    <cfRule type="expression" dxfId="581" priority="30">
      <formula>B56&gt;$AG56</formula>
    </cfRule>
  </conditionalFormatting>
  <conditionalFormatting sqref="B59:AF61">
    <cfRule type="expression" dxfId="580" priority="41">
      <formula>B$9&gt;=20/24</formula>
    </cfRule>
    <cfRule type="expression" dxfId="579" priority="42">
      <formula>AND(B$9&gt;=14/24,B$9&lt;20/24)</formula>
    </cfRule>
    <cfRule type="expression" dxfId="578" priority="43">
      <formula>AND(B$9&gt;=8/24,B$9&lt;14/24)</formula>
    </cfRule>
    <cfRule type="expression" dxfId="577" priority="44">
      <formula>B$9&lt;8/24</formula>
    </cfRule>
  </conditionalFormatting>
  <conditionalFormatting sqref="B63:AF74">
    <cfRule type="expression" dxfId="576" priority="20">
      <formula>B63&gt;$AG63</formula>
    </cfRule>
  </conditionalFormatting>
  <conditionalFormatting sqref="B77:AF79">
    <cfRule type="expression" dxfId="575" priority="47">
      <formula>AND(B$9&gt;=14/24,B$9&lt;20/24)</formula>
    </cfRule>
    <cfRule type="expression" dxfId="574" priority="45">
      <formula>B77&gt;$AG77</formula>
    </cfRule>
    <cfRule type="expression" dxfId="573" priority="46">
      <formula>B$9&gt;=20/24</formula>
    </cfRule>
    <cfRule type="expression" dxfId="572" priority="48">
      <formula>AND(B$9&gt;=8/24,B$9&lt;14/24)</formula>
    </cfRule>
    <cfRule type="expression" dxfId="571" priority="49">
      <formula>B$9&lt;8/24</formula>
    </cfRule>
  </conditionalFormatting>
  <conditionalFormatting sqref="B81:AF99">
    <cfRule type="expression" dxfId="570" priority="19">
      <formula>B$9&lt;8/24</formula>
    </cfRule>
    <cfRule type="expression" dxfId="569" priority="18">
      <formula>AND(B$9&gt;=8/24,B$9&lt;14/24)</formula>
    </cfRule>
    <cfRule type="expression" dxfId="568" priority="16">
      <formula>B$9&gt;=20/24</formula>
    </cfRule>
    <cfRule type="expression" dxfId="567" priority="17">
      <formula>AND(B$9&gt;=14/24,B$9&lt;20/24)</formula>
    </cfRule>
  </conditionalFormatting>
  <conditionalFormatting sqref="B101:AF117">
    <cfRule type="expression" dxfId="566" priority="7">
      <formula>B$9&gt;=20/24</formula>
    </cfRule>
    <cfRule type="expression" dxfId="565" priority="8">
      <formula>AND(B$9&gt;=14/24,B$9&lt;20/24)</formula>
    </cfRule>
    <cfRule type="expression" dxfId="564" priority="10">
      <formula>B$9&lt;8/24</formula>
    </cfRule>
    <cfRule type="expression" dxfId="563" priority="9">
      <formula>AND(B$9&gt;=8/24,B$9&lt;14/24)</formula>
    </cfRule>
  </conditionalFormatting>
  <conditionalFormatting sqref="B119:AF137">
    <cfRule type="expression" dxfId="562" priority="3">
      <formula>AND(B$9&gt;=14/24,B$9&lt;20/24)</formula>
    </cfRule>
    <cfRule type="expression" dxfId="561" priority="4">
      <formula>AND(B$9&gt;=8/24,B$9&lt;14/24)</formula>
    </cfRule>
    <cfRule type="expression" dxfId="560" priority="5">
      <formula>B$9&lt;8/24</formula>
    </cfRule>
    <cfRule type="expression" dxfId="559" priority="2">
      <formula>B$9&gt;=20/24</formula>
    </cfRule>
  </conditionalFormatting>
  <conditionalFormatting sqref="B244:AF244 B246:B252 D246:AF252 U260:AF260">
    <cfRule type="expression" dxfId="558" priority="110">
      <formula>B$9&lt;8/24</formula>
    </cfRule>
    <cfRule type="expression" dxfId="557" priority="109">
      <formula>AND(B$9&gt;=8/24,B$9&lt;14/24)</formula>
    </cfRule>
    <cfRule type="expression" dxfId="556" priority="108">
      <formula>AND(B$9&gt;=14/24,B$9&lt;20/24)</formula>
    </cfRule>
    <cfRule type="expression" dxfId="555" priority="107">
      <formula>B$9&gt;=20/24</formula>
    </cfRule>
  </conditionalFormatting>
  <conditionalFormatting sqref="B62:AG62">
    <cfRule type="expression" dxfId="554" priority="50">
      <formula>B62&gt;$AG62</formula>
    </cfRule>
    <cfRule type="expression" dxfId="553" priority="51">
      <formula>B$9&gt;=20/24</formula>
    </cfRule>
    <cfRule type="expression" dxfId="552" priority="52">
      <formula>AND(B$9&gt;=14/24,B$9&lt;20/24)</formula>
    </cfRule>
    <cfRule type="expression" dxfId="551" priority="53">
      <formula>AND(B$9&gt;=8/24,B$9&lt;14/24)</formula>
    </cfRule>
    <cfRule type="expression" dxfId="550" priority="54">
      <formula>B$9&lt;8/24</formula>
    </cfRule>
  </conditionalFormatting>
  <conditionalFormatting sqref="B75:AG76 B80:AG80">
    <cfRule type="expression" dxfId="549" priority="36">
      <formula>B75&gt;$AG75</formula>
    </cfRule>
  </conditionalFormatting>
  <conditionalFormatting sqref="B80:AG80">
    <cfRule type="expression" dxfId="548" priority="37">
      <formula>B$9&gt;=20/24</formula>
    </cfRule>
    <cfRule type="expression" dxfId="547" priority="40">
      <formula>B$9&lt;8/24</formula>
    </cfRule>
    <cfRule type="expression" dxfId="546" priority="39">
      <formula>AND(B$9&gt;=8/24,B$9&lt;14/24)</formula>
    </cfRule>
    <cfRule type="expression" dxfId="545" priority="38">
      <formula>AND(B$9&gt;=14/24,B$9&lt;20/24)</formula>
    </cfRule>
  </conditionalFormatting>
  <conditionalFormatting sqref="F63:L65">
    <cfRule type="expression" dxfId="544" priority="91">
      <formula>F$9&lt;8/24</formula>
    </cfRule>
    <cfRule type="expression" dxfId="543" priority="90">
      <formula>AND(F$9&gt;=8/24,F$9&lt;14/24)</formula>
    </cfRule>
    <cfRule type="expression" dxfId="542" priority="89">
      <formula>AND(F$9&gt;=14/24,F$9&lt;20/24)</formula>
    </cfRule>
    <cfRule type="expression" dxfId="541" priority="88">
      <formula>F$9&gt;=20/24</formula>
    </cfRule>
  </conditionalFormatting>
  <conditionalFormatting sqref="F68:X68">
    <cfRule type="expression" dxfId="540" priority="65">
      <formula>F$9&gt;=20/24</formula>
    </cfRule>
    <cfRule type="expression" dxfId="539" priority="66">
      <formula>AND(F$9&gt;=14/24,F$9&lt;20/24)</formula>
    </cfRule>
    <cfRule type="expression" dxfId="538" priority="67">
      <formula>AND(F$9&gt;=8/24,F$9&lt;14/24)</formula>
    </cfRule>
    <cfRule type="expression" dxfId="537" priority="68">
      <formula>F$9&lt;8/24</formula>
    </cfRule>
  </conditionalFormatting>
  <conditionalFormatting sqref="F69:AF74">
    <cfRule type="expression" dxfId="536" priority="55">
      <formula>F$9&gt;=20/24</formula>
    </cfRule>
    <cfRule type="expression" dxfId="535" priority="56">
      <formula>AND(F$9&gt;=14/24,F$9&lt;20/24)</formula>
    </cfRule>
    <cfRule type="expression" dxfId="534" priority="57">
      <formula>AND(F$9&gt;=8/24,F$9&lt;14/24)</formula>
    </cfRule>
    <cfRule type="expression" dxfId="533" priority="58">
      <formula>F$9&lt;8/24</formula>
    </cfRule>
  </conditionalFormatting>
  <conditionalFormatting sqref="M63:X67">
    <cfRule type="expression" dxfId="532" priority="93">
      <formula>AND(M$9&gt;=14/24,M$9&lt;20/24)</formula>
    </cfRule>
    <cfRule type="expression" dxfId="531" priority="92">
      <formula>M$9&gt;=20/24</formula>
    </cfRule>
    <cfRule type="expression" dxfId="530" priority="94">
      <formula>AND(M$9&gt;=8/24,M$9&lt;14/24)</formula>
    </cfRule>
    <cfRule type="expression" dxfId="529" priority="95">
      <formula>M$9&lt;8/24</formula>
    </cfRule>
  </conditionalFormatting>
  <conditionalFormatting sqref="O3:P3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528" priority="113">
      <formula>C$9&gt;=20/24</formula>
    </cfRule>
  </conditionalFormatting>
  <conditionalFormatting sqref="S8">
    <cfRule type="expression" dxfId="527" priority="101">
      <formula>AND(U$9&gt;=14/24,U$9&lt;20/24)</formula>
    </cfRule>
    <cfRule type="expression" dxfId="526" priority="103">
      <formula>U$9&lt;8/24</formula>
    </cfRule>
    <cfRule type="expression" dxfId="525" priority="102">
      <formula>AND(U$9&gt;=8/24,U$9&lt;14/24)</formula>
    </cfRule>
    <cfRule type="expression" dxfId="524" priority="100">
      <formula>U$9&gt;=20/24</formula>
    </cfRule>
  </conditionalFormatting>
  <conditionalFormatting sqref="S63:AF68">
    <cfRule type="expression" dxfId="523" priority="59">
      <formula>S$9&gt;=20/24</formula>
    </cfRule>
    <cfRule type="expression" dxfId="522" priority="60">
      <formula>AND(S$9&gt;=14/24,S$9&lt;20/24)</formula>
    </cfRule>
    <cfRule type="expression" dxfId="521" priority="62">
      <formula>S$9&lt;8/24</formula>
    </cfRule>
    <cfRule type="expression" dxfId="520" priority="61">
      <formula>AND(S$9&gt;=8/24,S$9&lt;14/24)</formula>
    </cfRule>
  </conditionalFormatting>
  <conditionalFormatting sqref="T260">
    <cfRule type="expression" dxfId="519" priority="128">
      <formula>AX$9&lt;8/24</formula>
    </cfRule>
    <cfRule type="expression" dxfId="518" priority="125">
      <formula>AX$9&gt;=20/24</formula>
    </cfRule>
    <cfRule type="expression" dxfId="517" priority="126">
      <formula>AND(AX$9&gt;=14/24,AX$9&lt;20/24)</formula>
    </cfRule>
    <cfRule type="expression" dxfId="516" priority="127">
      <formula>AND(AX$9&gt;=8/24,AX$9&lt;14/24)</formula>
    </cfRule>
  </conditionalFormatting>
  <conditionalFormatting sqref="V3 AB3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Y11:AF52">
    <cfRule type="expression" dxfId="515" priority="25">
      <formula>Y11&gt;$AG11</formula>
    </cfRule>
  </conditionalFormatting>
  <conditionalFormatting sqref="Y53:AF55">
    <cfRule type="expression" dxfId="514" priority="64">
      <formula>Y53&gt;$AG53</formula>
    </cfRule>
  </conditionalFormatting>
  <conditionalFormatting sqref="Y53:AF57">
    <cfRule type="expression" dxfId="513" priority="63">
      <formula>Y$9&lt;8/24</formula>
    </cfRule>
  </conditionalFormatting>
  <conditionalFormatting sqref="AB8">
    <cfRule type="expression" dxfId="512" priority="96">
      <formula>AD$9&gt;=20/24</formula>
    </cfRule>
    <cfRule type="expression" dxfId="511" priority="97">
      <formula>AND(AD$9&gt;=14/24,AD$9&lt;20/24)</formula>
    </cfRule>
    <cfRule type="expression" dxfId="510" priority="98">
      <formula>AND(AD$9&gt;=8/24,AD$9&lt;14/24)</formula>
    </cfRule>
    <cfRule type="expression" dxfId="509" priority="99">
      <formula>AD$9&lt;8/24</formula>
    </cfRule>
  </conditionalFormatting>
  <conditionalFormatting sqref="AG58">
    <cfRule type="expression" dxfId="508" priority="83">
      <formula>AG58&gt;$AG58</formula>
    </cfRule>
  </conditionalFormatting>
  <conditionalFormatting sqref="AG97">
    <cfRule type="expression" dxfId="507" priority="84">
      <formula>AG$9&gt;=20/24</formula>
    </cfRule>
    <cfRule type="expression" dxfId="506" priority="85">
      <formula>AND(AG$9&gt;=14/24,AG$9&lt;20/24)</formula>
    </cfRule>
    <cfRule type="expression" dxfId="505" priority="87">
      <formula>AG$9&lt;8/24</formula>
    </cfRule>
    <cfRule type="expression" dxfId="504" priority="86">
      <formula>AND(AG$9&gt;=8/24,AG$9&lt;14/24)</formula>
    </cfRule>
  </conditionalFormatting>
  <conditionalFormatting sqref="AG260">
    <cfRule type="expression" dxfId="503" priority="120">
      <formula>B$9&lt;8/24</formula>
    </cfRule>
    <cfRule type="expression" dxfId="502" priority="117">
      <formula>B$9&gt;=20/24</formula>
    </cfRule>
    <cfRule type="expression" dxfId="501" priority="118">
      <formula>AND(B$9&gt;=14/24,B$9&lt;20/24)</formula>
    </cfRule>
    <cfRule type="expression" dxfId="500" priority="119">
      <formula>AND(B$9&gt;=8/24,B$9&lt;14/24)</formula>
    </cfRule>
  </conditionalFormatting>
  <conditionalFormatting sqref="AH260:AX260">
    <cfRule type="expression" dxfId="499" priority="121">
      <formula>AG$9&gt;=20/24</formula>
    </cfRule>
    <cfRule type="expression" dxfId="498" priority="122">
      <formula>AND(AG$9&gt;=14/24,AG$9&lt;20/24)</formula>
    </cfRule>
    <cfRule type="expression" dxfId="497" priority="123">
      <formula>AND(AG$9&gt;=8/24,AG$9&lt;14/24)</formula>
    </cfRule>
    <cfRule type="expression" dxfId="496" priority="124">
      <formula>AG$9&lt;8/24</formula>
    </cfRule>
  </conditionalFormatting>
  <conditionalFormatting sqref="AL4:AL6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19:AL20">
    <cfRule type="iconSet" priority="71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8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70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8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82">
      <iconSet iconSet="3TrafficLights2" reverse="1">
        <cfvo type="percent" val="0"/>
        <cfvo type="num" val="1"/>
        <cfvo type="num" val="1"/>
      </iconSet>
    </cfRule>
  </conditionalFormatting>
  <conditionalFormatting sqref="AL48 AL45:AL46 AL21:AL24 AL7:AL18 AL26:AL37 AL39:AL43 AL54:AL55">
    <cfRule type="iconSet" priority="129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04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69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495" priority="130">
      <formula>AJ$9&gt;=20/24</formula>
    </cfRule>
    <cfRule type="expression" dxfId="494" priority="131">
      <formula>AND(AJ$9&gt;=14/24,AJ$9&lt;20/24)</formula>
    </cfRule>
    <cfRule type="expression" dxfId="493" priority="132">
      <formula>AND(AJ$9&gt;=8/24,AJ$9&lt;14/24)</formula>
    </cfRule>
    <cfRule type="expression" dxfId="492" priority="133">
      <formula>AJ$9&lt;8/24</formula>
    </cfRule>
  </conditionalFormatting>
  <conditionalFormatting sqref="AL88:AN88 AL94:AN94">
    <cfRule type="expression" dxfId="491" priority="79">
      <formula>AL$9&lt;8/24</formula>
    </cfRule>
    <cfRule type="expression" dxfId="490" priority="78">
      <formula>AND(AL$9&gt;=8/24,AL$9&lt;14/24)</formula>
    </cfRule>
    <cfRule type="expression" dxfId="489" priority="76">
      <formula>AL$9&gt;=20/24</formula>
    </cfRule>
    <cfRule type="expression" dxfId="488" priority="77">
      <formula>AND(AL$9&gt;=14/24,AL$9&lt;20/24)</formula>
    </cfRule>
  </conditionalFormatting>
  <conditionalFormatting sqref="AN89:AN92">
    <cfRule type="expression" dxfId="487" priority="75">
      <formula>AN$9&lt;8/24</formula>
    </cfRule>
    <cfRule type="expression" dxfId="486" priority="74">
      <formula>AND(AN$9&gt;=8/24,AN$9&lt;14/24)</formula>
    </cfRule>
    <cfRule type="expression" dxfId="485" priority="73">
      <formula>AND(AN$9&gt;=14/24,AN$9&lt;20/24)</formula>
    </cfRule>
    <cfRule type="expression" dxfId="484" priority="72">
      <formula>AN$9&gt;=20/24</formula>
    </cfRule>
  </conditionalFormatting>
  <pageMargins left="0.7" right="0.7" top="0.75" bottom="0.75" header="0.3" footer="0.3"/>
  <drawing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A71B8-FB58-4E4D-8C83-7EF971A24425}">
  <sheetPr codeName="Sheet21"/>
  <dimension ref="A1:CD293"/>
  <sheetViews>
    <sheetView zoomScale="90" zoomScaleNormal="90" workbookViewId="0">
      <pane xSplit="1" ySplit="10" topLeftCell="BD56" activePane="bottomRight" state="frozen"/>
      <selection activeCell="Z63" sqref="Z63"/>
      <selection pane="topRight" activeCell="Z63" sqref="Z63"/>
      <selection pane="bottomLeft" activeCell="Z63" sqref="Z63"/>
      <selection pane="bottomRight" activeCell="AY67" sqref="AY67:BW80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2" width="6" style="1" bestFit="1" customWidth="1"/>
    <col min="13" max="15" width="6.57031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2" ht="36" hidden="1" customHeight="1" thickBot="1" x14ac:dyDescent="0.25">
      <c r="A1" s="275" t="s">
        <v>0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  <c r="AD1" s="275"/>
      <c r="AE1" s="275"/>
      <c r="AF1" s="275"/>
      <c r="AG1" s="276" t="s">
        <v>1</v>
      </c>
      <c r="AH1" s="276"/>
      <c r="AI1" s="276"/>
      <c r="AL1" s="2"/>
    </row>
    <row r="2" spans="1:82" ht="20.25" hidden="1" x14ac:dyDescent="0.25">
      <c r="A2" s="3"/>
      <c r="B2" s="277" t="s">
        <v>2</v>
      </c>
      <c r="C2" s="4"/>
      <c r="D2" s="279" t="s">
        <v>3</v>
      </c>
      <c r="E2" s="4"/>
      <c r="F2" s="279" t="s">
        <v>4</v>
      </c>
      <c r="G2" s="4"/>
      <c r="H2" s="279" t="s">
        <v>5</v>
      </c>
      <c r="I2" s="5"/>
      <c r="J2" s="281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2" ht="19.5" hidden="1" thickBot="1" x14ac:dyDescent="0.3">
      <c r="A3" s="15"/>
      <c r="B3" s="278"/>
      <c r="C3" s="16"/>
      <c r="D3" s="280"/>
      <c r="E3" s="16"/>
      <c r="F3" s="280"/>
      <c r="G3" s="16"/>
      <c r="H3" s="280"/>
      <c r="I3" s="17"/>
      <c r="J3" s="281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</row>
    <row r="4" spans="1:82" ht="18" hidden="1" customHeight="1" x14ac:dyDescent="0.25">
      <c r="A4" s="25" t="s">
        <v>11</v>
      </c>
      <c r="B4" s="270" t="str">
        <f ca="1">"2080/"&amp;"10/"&amp;INT(MID(CELL("filename",D6),FIND("]",CELL("filename",D6))+1,200))</f>
        <v>2080/10/22</v>
      </c>
      <c r="C4" s="270"/>
      <c r="D4" s="270"/>
      <c r="E4" s="271" t="str">
        <f ca="1">"2080/"&amp;"10/"&amp;INT(MID(CELL("filename",G6),FIND("]",CELL("filename",G6))+1,200))</f>
        <v>2080/10/22</v>
      </c>
      <c r="F4" s="271"/>
      <c r="G4" s="271"/>
      <c r="H4" s="271" t="str">
        <f ca="1">TEXT(E4,"dddd")</f>
        <v>Tuesday</v>
      </c>
      <c r="I4" s="271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</row>
    <row r="5" spans="1:82" ht="15.75" hidden="1" customHeight="1" x14ac:dyDescent="0.25">
      <c r="A5" s="29"/>
      <c r="B5" s="30">
        <f t="shared" ref="B5:AE5" si="0">C92</f>
        <v>517.9</v>
      </c>
      <c r="C5" s="30">
        <f t="shared" si="0"/>
        <v>488.3</v>
      </c>
      <c r="D5" s="30">
        <f t="shared" si="0"/>
        <v>479</v>
      </c>
      <c r="E5" s="30">
        <f t="shared" si="0"/>
        <v>483.1</v>
      </c>
      <c r="F5" s="30">
        <f t="shared" si="0"/>
        <v>521.79999999999995</v>
      </c>
      <c r="G5" s="30">
        <f t="shared" si="0"/>
        <v>522</v>
      </c>
      <c r="H5" s="30">
        <f t="shared" si="0"/>
        <v>514.6</v>
      </c>
      <c r="I5" s="30">
        <f t="shared" si="0"/>
        <v>517</v>
      </c>
      <c r="J5" s="30">
        <f t="shared" si="0"/>
        <v>501</v>
      </c>
      <c r="K5" s="30">
        <f t="shared" si="0"/>
        <v>392.9</v>
      </c>
      <c r="L5" s="30">
        <f t="shared" si="0"/>
        <v>303.3</v>
      </c>
      <c r="M5" s="30">
        <f t="shared" si="0"/>
        <v>305</v>
      </c>
      <c r="N5" s="30">
        <f t="shared" si="0"/>
        <v>487.7</v>
      </c>
      <c r="O5" s="30">
        <f t="shared" si="0"/>
        <v>591</v>
      </c>
      <c r="P5" s="30">
        <f t="shared" si="0"/>
        <v>647.6</v>
      </c>
      <c r="Q5" s="30">
        <f t="shared" si="0"/>
        <v>611</v>
      </c>
      <c r="R5" s="30">
        <f t="shared" si="0"/>
        <v>693.2</v>
      </c>
      <c r="S5" s="30">
        <f t="shared" si="0"/>
        <v>644.79999999999995</v>
      </c>
      <c r="T5" s="30">
        <f t="shared" si="0"/>
        <v>600.4</v>
      </c>
      <c r="U5" s="30">
        <f t="shared" si="0"/>
        <v>526.9</v>
      </c>
      <c r="V5" s="30">
        <f t="shared" si="0"/>
        <v>502.8</v>
      </c>
      <c r="W5" s="30">
        <f t="shared" si="0"/>
        <v>458.3</v>
      </c>
      <c r="X5" s="30">
        <f t="shared" si="0"/>
        <v>498.20000000000005</v>
      </c>
      <c r="Y5" s="30">
        <f t="shared" si="0"/>
        <v>361.3</v>
      </c>
      <c r="Z5" s="30">
        <f t="shared" si="0"/>
        <v>377.6</v>
      </c>
      <c r="AA5" s="30">
        <f t="shared" si="0"/>
        <v>429</v>
      </c>
      <c r="AB5" s="30">
        <f t="shared" si="0"/>
        <v>556</v>
      </c>
      <c r="AC5" s="30">
        <f t="shared" si="0"/>
        <v>563</v>
      </c>
      <c r="AD5" s="30">
        <f t="shared" si="0"/>
        <v>564</v>
      </c>
      <c r="AE5" s="30">
        <f t="shared" si="0"/>
        <v>568</v>
      </c>
      <c r="AF5" s="30">
        <f>B92</f>
        <v>511.5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</row>
    <row r="6" spans="1:82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1827MW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</row>
    <row r="7" spans="1:82" ht="16.5" thickBot="1" x14ac:dyDescent="0.3">
      <c r="A7" s="34" t="str">
        <f>"Base Load="&amp;ROUND(MIN($B$7:$AF$7),0)</f>
        <v>Base Load=1102</v>
      </c>
      <c r="B7" s="35">
        <f>B100</f>
        <v>1138.54</v>
      </c>
      <c r="C7" s="35">
        <f t="shared" ref="C7:AF7" si="1">C100</f>
        <v>1144.54</v>
      </c>
      <c r="D7" s="35">
        <f t="shared" si="1"/>
        <v>1111.3400000000001</v>
      </c>
      <c r="E7" s="35">
        <f t="shared" si="1"/>
        <v>1102.1399999999999</v>
      </c>
      <c r="F7" s="35">
        <f t="shared" si="1"/>
        <v>1122.94</v>
      </c>
      <c r="G7" s="35">
        <f t="shared" si="1"/>
        <v>1170.8400000000001</v>
      </c>
      <c r="H7" s="35">
        <f t="shared" si="1"/>
        <v>1295.44</v>
      </c>
      <c r="I7" s="35">
        <f t="shared" si="1"/>
        <v>1327.8400000000001</v>
      </c>
      <c r="J7" s="35">
        <f t="shared" si="1"/>
        <v>1466.1399999999999</v>
      </c>
      <c r="K7" s="35">
        <f t="shared" si="1"/>
        <v>1746.04</v>
      </c>
      <c r="L7" s="35">
        <f t="shared" si="1"/>
        <v>1826.6399999999999</v>
      </c>
      <c r="M7" s="35">
        <f t="shared" si="1"/>
        <v>1822.54</v>
      </c>
      <c r="N7" s="35">
        <f t="shared" si="1"/>
        <v>1762.24</v>
      </c>
      <c r="O7" s="35">
        <f t="shared" si="1"/>
        <v>1651.14</v>
      </c>
      <c r="P7" s="35">
        <f t="shared" si="1"/>
        <v>1617.6399999999999</v>
      </c>
      <c r="Q7" s="35">
        <f t="shared" si="1"/>
        <v>1398.1399999999999</v>
      </c>
      <c r="R7" s="35">
        <f t="shared" si="1"/>
        <v>1375.44</v>
      </c>
      <c r="S7" s="35">
        <f t="shared" si="1"/>
        <v>1457.88</v>
      </c>
      <c r="T7" s="35">
        <f t="shared" si="1"/>
        <v>1455.14</v>
      </c>
      <c r="U7" s="35">
        <f t="shared" si="1"/>
        <v>1439.94</v>
      </c>
      <c r="V7" s="35">
        <f t="shared" si="1"/>
        <v>1323.1399999999999</v>
      </c>
      <c r="W7" s="35">
        <f t="shared" si="1"/>
        <v>1572.44</v>
      </c>
      <c r="X7" s="35">
        <f t="shared" si="1"/>
        <v>1760.54</v>
      </c>
      <c r="Y7" s="35">
        <f t="shared" si="1"/>
        <v>1889.6000000000001</v>
      </c>
      <c r="Z7" s="35">
        <f t="shared" si="1"/>
        <v>1845</v>
      </c>
      <c r="AA7" s="35">
        <f t="shared" si="1"/>
        <v>1778.6399999999999</v>
      </c>
      <c r="AB7" s="35">
        <f t="shared" si="1"/>
        <v>1599.94</v>
      </c>
      <c r="AC7" s="35">
        <f t="shared" si="1"/>
        <v>1530.94</v>
      </c>
      <c r="AD7" s="35">
        <f t="shared" si="1"/>
        <v>1401.94</v>
      </c>
      <c r="AE7" s="35">
        <f t="shared" si="1"/>
        <v>1321.94</v>
      </c>
      <c r="AF7" s="35">
        <f t="shared" si="1"/>
        <v>1226.94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</row>
    <row r="8" spans="1:82" ht="17.25" thickTop="1" thickBot="1" x14ac:dyDescent="0.3">
      <c r="A8" s="38"/>
      <c r="B8" s="272" t="s">
        <v>14</v>
      </c>
      <c r="C8" s="273"/>
      <c r="D8" s="273"/>
      <c r="E8" s="273"/>
      <c r="F8" s="273"/>
      <c r="G8" s="273"/>
      <c r="H8" s="273"/>
      <c r="I8" s="273"/>
      <c r="J8" s="273"/>
      <c r="K8" s="273"/>
      <c r="L8" s="274"/>
      <c r="M8" s="265" t="s">
        <v>15</v>
      </c>
      <c r="N8" s="266"/>
      <c r="O8" s="266"/>
      <c r="P8" s="266"/>
      <c r="Q8" s="266"/>
      <c r="R8" s="267"/>
      <c r="S8" s="265" t="s">
        <v>16</v>
      </c>
      <c r="T8" s="266"/>
      <c r="U8" s="266"/>
      <c r="V8" s="266"/>
      <c r="W8" s="266"/>
      <c r="X8" s="266"/>
      <c r="Y8" s="266"/>
      <c r="Z8" s="266"/>
      <c r="AA8" s="267"/>
      <c r="AB8" s="265" t="s">
        <v>17</v>
      </c>
      <c r="AC8" s="266"/>
      <c r="AD8" s="266"/>
      <c r="AE8" s="266"/>
      <c r="AF8" s="267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</row>
    <row r="9" spans="1:82" ht="13.5" customHeight="1" thickTop="1" x14ac:dyDescent="0.25">
      <c r="A9" s="268" t="s">
        <v>18</v>
      </c>
      <c r="B9" s="264">
        <v>0</v>
      </c>
      <c r="C9" s="264">
        <v>4.1666666666666664E-2</v>
      </c>
      <c r="D9" s="264">
        <v>8.3333333333333301E-2</v>
      </c>
      <c r="E9" s="264">
        <v>0.125</v>
      </c>
      <c r="F9" s="264">
        <v>0.16666666666666699</v>
      </c>
      <c r="G9" s="264">
        <v>0.20833333333333301</v>
      </c>
      <c r="H9" s="264">
        <v>0.22916666666666666</v>
      </c>
      <c r="I9" s="264">
        <v>0.25</v>
      </c>
      <c r="J9" s="264">
        <v>0.27083333333333331</v>
      </c>
      <c r="K9" s="264">
        <v>0.29166666666666669</v>
      </c>
      <c r="L9" s="264">
        <v>0.3125</v>
      </c>
      <c r="M9" s="262">
        <v>0.33333333333333331</v>
      </c>
      <c r="N9" s="262">
        <v>0.375</v>
      </c>
      <c r="O9" s="262">
        <v>0.41666666666666702</v>
      </c>
      <c r="P9" s="262">
        <v>0.45833333333333298</v>
      </c>
      <c r="Q9" s="262">
        <v>0.5</v>
      </c>
      <c r="R9" s="262">
        <v>0.54166666666666696</v>
      </c>
      <c r="S9" s="258">
        <v>0.58333333333333304</v>
      </c>
      <c r="T9" s="258">
        <v>0.625</v>
      </c>
      <c r="U9" s="258">
        <v>0.66666666666666696</v>
      </c>
      <c r="V9" s="258">
        <v>0.70833333333333304</v>
      </c>
      <c r="W9" s="258">
        <v>0.72916666666666663</v>
      </c>
      <c r="X9" s="258">
        <v>0.75</v>
      </c>
      <c r="Y9" s="258">
        <v>0.77083333333333337</v>
      </c>
      <c r="Z9" s="258">
        <v>0.79166666666666663</v>
      </c>
      <c r="AA9" s="258">
        <v>0.8125</v>
      </c>
      <c r="AB9" s="258">
        <v>0.83333333333333337</v>
      </c>
      <c r="AC9" s="258">
        <v>0.85416666666666663</v>
      </c>
      <c r="AD9" s="258">
        <v>0.875</v>
      </c>
      <c r="AE9" s="258">
        <v>0.91666666666666696</v>
      </c>
      <c r="AF9" s="258">
        <v>0.95833333333333304</v>
      </c>
      <c r="AG9" s="260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</row>
    <row r="10" spans="1:82" ht="15.75" thickBot="1" x14ac:dyDescent="0.3">
      <c r="A10" s="269"/>
      <c r="B10" s="259"/>
      <c r="C10" s="259"/>
      <c r="D10" s="259"/>
      <c r="E10" s="259"/>
      <c r="F10" s="259"/>
      <c r="G10" s="259"/>
      <c r="H10" s="259"/>
      <c r="I10" s="259"/>
      <c r="J10" s="259"/>
      <c r="K10" s="259"/>
      <c r="L10" s="259"/>
      <c r="M10" s="263"/>
      <c r="N10" s="263"/>
      <c r="O10" s="263"/>
      <c r="P10" s="263"/>
      <c r="Q10" s="263"/>
      <c r="R10" s="263"/>
      <c r="S10" s="259"/>
      <c r="T10" s="259"/>
      <c r="U10" s="259"/>
      <c r="V10" s="259"/>
      <c r="W10" s="259"/>
      <c r="X10" s="259"/>
      <c r="Y10" s="259"/>
      <c r="Z10" s="259"/>
      <c r="AA10" s="259"/>
      <c r="AB10" s="259"/>
      <c r="AC10" s="259"/>
      <c r="AD10" s="259"/>
      <c r="AE10" s="259"/>
      <c r="AF10" s="259"/>
      <c r="AG10" s="261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</row>
    <row r="11" spans="1:82" ht="15.75" thickTop="1" x14ac:dyDescent="0.25">
      <c r="A11" s="44" t="s">
        <v>19</v>
      </c>
      <c r="B11" s="45">
        <v>30.6</v>
      </c>
      <c r="C11" s="45">
        <v>30.6</v>
      </c>
      <c r="D11" s="45">
        <v>30.6</v>
      </c>
      <c r="E11" s="45">
        <v>30.7</v>
      </c>
      <c r="F11" s="45">
        <v>37.200000000000003</v>
      </c>
      <c r="G11" s="45">
        <v>30.5</v>
      </c>
      <c r="H11" s="45">
        <v>30.7</v>
      </c>
      <c r="I11" s="45">
        <v>30.7</v>
      </c>
      <c r="J11" s="45">
        <v>30.7</v>
      </c>
      <c r="K11" s="45">
        <v>30.7</v>
      </c>
      <c r="L11" s="45">
        <v>30.9</v>
      </c>
      <c r="M11" s="45">
        <v>29.5</v>
      </c>
      <c r="N11" s="45">
        <v>29.5</v>
      </c>
      <c r="O11" s="45">
        <v>29.5</v>
      </c>
      <c r="P11" s="45">
        <v>29.5</v>
      </c>
      <c r="Q11" s="45">
        <v>29.5</v>
      </c>
      <c r="R11" s="45">
        <v>29.5</v>
      </c>
      <c r="S11" s="45">
        <v>29.5</v>
      </c>
      <c r="T11" s="45">
        <v>30.3</v>
      </c>
      <c r="U11" s="45">
        <v>30.3</v>
      </c>
      <c r="V11" s="45">
        <v>30.3</v>
      </c>
      <c r="W11" s="45">
        <v>30.3</v>
      </c>
      <c r="X11" s="45">
        <v>30.3</v>
      </c>
      <c r="Y11" s="45">
        <v>30.3</v>
      </c>
      <c r="Z11" s="45">
        <v>30.3</v>
      </c>
      <c r="AA11" s="45">
        <v>30.3</v>
      </c>
      <c r="AB11" s="45">
        <v>30.3</v>
      </c>
      <c r="AC11" s="45">
        <v>30.3</v>
      </c>
      <c r="AD11" s="45">
        <v>30.3</v>
      </c>
      <c r="AE11" s="45">
        <v>30.3</v>
      </c>
      <c r="AF11" s="45">
        <v>30.3</v>
      </c>
      <c r="AG11" s="46">
        <v>86</v>
      </c>
      <c r="AH11" s="47">
        <f t="shared" ref="AH11:AH84" si="2">MAX(B11:AF11)</f>
        <v>37.200000000000003</v>
      </c>
      <c r="AI11" s="48">
        <f t="shared" ref="AI11:AI84" si="3">MIN(B11:AF11)</f>
        <v>29.5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</row>
    <row r="12" spans="1:82" x14ac:dyDescent="0.25">
      <c r="A12" s="44" t="s">
        <v>262</v>
      </c>
      <c r="B12" s="45">
        <v>10.5</v>
      </c>
      <c r="C12" s="45">
        <v>10.5</v>
      </c>
      <c r="D12" s="45">
        <v>10.5</v>
      </c>
      <c r="E12" s="45">
        <v>10.5</v>
      </c>
      <c r="F12" s="45">
        <v>10.5</v>
      </c>
      <c r="G12" s="45">
        <v>10.5</v>
      </c>
      <c r="H12" s="45">
        <v>10.5</v>
      </c>
      <c r="I12" s="45">
        <v>10.5</v>
      </c>
      <c r="J12" s="45">
        <v>10.5</v>
      </c>
      <c r="K12" s="45">
        <v>10</v>
      </c>
      <c r="L12" s="45">
        <v>10</v>
      </c>
      <c r="M12" s="45">
        <v>10</v>
      </c>
      <c r="N12" s="45">
        <v>10</v>
      </c>
      <c r="O12" s="45">
        <v>10</v>
      </c>
      <c r="P12" s="45">
        <v>10</v>
      </c>
      <c r="Q12" s="45">
        <v>10</v>
      </c>
      <c r="R12" s="45">
        <v>10</v>
      </c>
      <c r="S12" s="45">
        <v>10</v>
      </c>
      <c r="T12" s="45">
        <v>10</v>
      </c>
      <c r="U12" s="45">
        <v>10</v>
      </c>
      <c r="V12" s="45">
        <v>10</v>
      </c>
      <c r="W12" s="45">
        <v>10</v>
      </c>
      <c r="X12" s="45">
        <v>10</v>
      </c>
      <c r="Y12" s="45">
        <v>10</v>
      </c>
      <c r="Z12" s="45">
        <v>10</v>
      </c>
      <c r="AA12" s="45">
        <v>10</v>
      </c>
      <c r="AB12" s="45">
        <v>10</v>
      </c>
      <c r="AC12" s="45">
        <v>10</v>
      </c>
      <c r="AD12" s="45">
        <v>10</v>
      </c>
      <c r="AE12" s="45">
        <v>10</v>
      </c>
      <c r="AF12" s="45">
        <v>10</v>
      </c>
      <c r="AG12" s="49">
        <v>54</v>
      </c>
      <c r="AH12" s="47">
        <f t="shared" si="2"/>
        <v>10.5</v>
      </c>
      <c r="AI12" s="48">
        <f t="shared" si="3"/>
        <v>10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</row>
    <row r="13" spans="1:82" x14ac:dyDescent="0.25">
      <c r="A13" s="44" t="s">
        <v>20</v>
      </c>
      <c r="B13" s="45">
        <v>12</v>
      </c>
      <c r="C13" s="45">
        <v>12</v>
      </c>
      <c r="D13" s="45">
        <v>12</v>
      </c>
      <c r="E13" s="45">
        <v>12</v>
      </c>
      <c r="F13" s="45">
        <v>12</v>
      </c>
      <c r="G13" s="45">
        <v>12</v>
      </c>
      <c r="H13" s="45">
        <v>12</v>
      </c>
      <c r="I13" s="45">
        <v>12</v>
      </c>
      <c r="J13" s="45">
        <v>12</v>
      </c>
      <c r="K13" s="45">
        <v>12</v>
      </c>
      <c r="L13" s="45">
        <v>12</v>
      </c>
      <c r="M13" s="45">
        <v>12</v>
      </c>
      <c r="N13" s="45">
        <v>12</v>
      </c>
      <c r="O13" s="45">
        <v>12</v>
      </c>
      <c r="P13" s="45">
        <v>12</v>
      </c>
      <c r="Q13" s="45">
        <v>12</v>
      </c>
      <c r="R13" s="45">
        <v>12</v>
      </c>
      <c r="S13" s="45">
        <v>12</v>
      </c>
      <c r="T13" s="45">
        <v>12</v>
      </c>
      <c r="U13" s="45">
        <v>12</v>
      </c>
      <c r="V13" s="45">
        <v>12</v>
      </c>
      <c r="W13" s="45">
        <v>12</v>
      </c>
      <c r="X13" s="45">
        <v>12</v>
      </c>
      <c r="Y13" s="45">
        <v>12</v>
      </c>
      <c r="Z13" s="45">
        <v>12</v>
      </c>
      <c r="AA13" s="45">
        <v>12</v>
      </c>
      <c r="AB13" s="45">
        <v>12</v>
      </c>
      <c r="AC13" s="45">
        <v>12</v>
      </c>
      <c r="AD13" s="45">
        <v>12</v>
      </c>
      <c r="AE13" s="45">
        <v>12</v>
      </c>
      <c r="AF13" s="45">
        <v>12</v>
      </c>
      <c r="AG13" s="49">
        <v>54</v>
      </c>
      <c r="AH13" s="47">
        <f t="shared" si="2"/>
        <v>12</v>
      </c>
      <c r="AI13" s="48">
        <f t="shared" si="3"/>
        <v>12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</row>
    <row r="14" spans="1:82" x14ac:dyDescent="0.25">
      <c r="A14" s="44" t="s">
        <v>21</v>
      </c>
      <c r="B14" s="45">
        <v>13</v>
      </c>
      <c r="C14" s="45">
        <v>13</v>
      </c>
      <c r="D14" s="45">
        <v>13</v>
      </c>
      <c r="E14" s="45">
        <v>13</v>
      </c>
      <c r="F14" s="45">
        <v>13</v>
      </c>
      <c r="G14" s="45">
        <v>13</v>
      </c>
      <c r="H14" s="45">
        <v>13</v>
      </c>
      <c r="I14" s="45">
        <v>13</v>
      </c>
      <c r="J14" s="45">
        <v>13</v>
      </c>
      <c r="K14" s="45">
        <v>13</v>
      </c>
      <c r="L14" s="45">
        <v>13</v>
      </c>
      <c r="M14" s="45">
        <v>14.2</v>
      </c>
      <c r="N14" s="45">
        <v>14.2</v>
      </c>
      <c r="O14" s="45">
        <v>14.2</v>
      </c>
      <c r="P14" s="45">
        <v>14.2</v>
      </c>
      <c r="Q14" s="45">
        <v>14.2</v>
      </c>
      <c r="R14" s="45">
        <v>14.2</v>
      </c>
      <c r="S14" s="45">
        <v>14.2</v>
      </c>
      <c r="T14" s="45">
        <v>14.2</v>
      </c>
      <c r="U14" s="45">
        <v>14.2</v>
      </c>
      <c r="V14" s="45">
        <v>14.2</v>
      </c>
      <c r="W14" s="45">
        <v>14.2</v>
      </c>
      <c r="X14" s="45">
        <v>14.2</v>
      </c>
      <c r="Y14" s="45">
        <v>14.2</v>
      </c>
      <c r="Z14" s="45">
        <v>14.2</v>
      </c>
      <c r="AA14" s="45">
        <v>14.2</v>
      </c>
      <c r="AB14" s="45">
        <v>14.2</v>
      </c>
      <c r="AC14" s="45">
        <v>14.2</v>
      </c>
      <c r="AD14" s="45">
        <v>14.2</v>
      </c>
      <c r="AE14" s="45">
        <v>14.2</v>
      </c>
      <c r="AF14" s="45">
        <v>14.2</v>
      </c>
      <c r="AG14" s="46">
        <v>52.4</v>
      </c>
      <c r="AH14" s="47">
        <f t="shared" si="2"/>
        <v>14.2</v>
      </c>
      <c r="AI14" s="48">
        <f t="shared" si="3"/>
        <v>13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</row>
    <row r="15" spans="1:82" x14ac:dyDescent="0.25">
      <c r="A15" s="44" t="s">
        <v>22</v>
      </c>
      <c r="B15" s="45">
        <v>31.2</v>
      </c>
      <c r="C15" s="45">
        <v>31.2</v>
      </c>
      <c r="D15" s="45">
        <v>31.2</v>
      </c>
      <c r="E15" s="45">
        <v>31.2</v>
      </c>
      <c r="F15" s="45">
        <v>31.2</v>
      </c>
      <c r="G15" s="45">
        <v>31.2</v>
      </c>
      <c r="H15" s="45">
        <v>31.2</v>
      </c>
      <c r="I15" s="45">
        <v>31.2</v>
      </c>
      <c r="J15" s="45">
        <v>31.2</v>
      </c>
      <c r="K15" s="45">
        <v>31.2</v>
      </c>
      <c r="L15" s="45">
        <v>31.2</v>
      </c>
      <c r="M15" s="51">
        <v>31.4</v>
      </c>
      <c r="N15" s="51">
        <v>31.4</v>
      </c>
      <c r="O15" s="51">
        <v>31.4</v>
      </c>
      <c r="P15" s="51">
        <v>31.4</v>
      </c>
      <c r="Q15" s="51">
        <v>31.4</v>
      </c>
      <c r="R15" s="51">
        <v>31.4</v>
      </c>
      <c r="S15" s="51">
        <v>31.4</v>
      </c>
      <c r="T15" s="51">
        <v>31.4</v>
      </c>
      <c r="U15" s="51">
        <v>31.4</v>
      </c>
      <c r="V15" s="51">
        <v>31.4</v>
      </c>
      <c r="W15" s="51">
        <v>31.4</v>
      </c>
      <c r="X15" s="51">
        <v>31.4</v>
      </c>
      <c r="Y15" s="51">
        <v>31.4</v>
      </c>
      <c r="Z15" s="51">
        <v>31.4</v>
      </c>
      <c r="AA15" s="51">
        <v>31.4</v>
      </c>
      <c r="AB15" s="51">
        <v>31.4</v>
      </c>
      <c r="AC15" s="51">
        <v>31.4</v>
      </c>
      <c r="AD15" s="51">
        <v>31.4</v>
      </c>
      <c r="AE15" s="51">
        <v>31.4</v>
      </c>
      <c r="AF15" s="51">
        <v>31.4</v>
      </c>
      <c r="AG15" s="49">
        <v>50</v>
      </c>
      <c r="AH15" s="47">
        <f t="shared" si="2"/>
        <v>31.4</v>
      </c>
      <c r="AI15" s="48">
        <f t="shared" si="3"/>
        <v>31.2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</row>
    <row r="16" spans="1:82" x14ac:dyDescent="0.25">
      <c r="A16" s="44" t="s">
        <v>23</v>
      </c>
      <c r="B16" s="45">
        <v>15.8</v>
      </c>
      <c r="C16" s="45">
        <v>15.8</v>
      </c>
      <c r="D16" s="45">
        <v>15.8</v>
      </c>
      <c r="E16" s="45">
        <v>15.8</v>
      </c>
      <c r="F16" s="45">
        <v>15.8</v>
      </c>
      <c r="G16" s="45">
        <v>15.8</v>
      </c>
      <c r="H16" s="45">
        <v>15.8</v>
      </c>
      <c r="I16" s="45">
        <v>15.8</v>
      </c>
      <c r="J16" s="45">
        <v>15.8</v>
      </c>
      <c r="K16" s="45">
        <v>15.8</v>
      </c>
      <c r="L16" s="45">
        <v>15.8</v>
      </c>
      <c r="M16" s="45">
        <v>15.8</v>
      </c>
      <c r="N16" s="45">
        <v>15.8</v>
      </c>
      <c r="O16" s="45">
        <v>15.8</v>
      </c>
      <c r="P16" s="45">
        <v>15.8</v>
      </c>
      <c r="Q16" s="45">
        <v>15.8</v>
      </c>
      <c r="R16" s="45">
        <v>15.8</v>
      </c>
      <c r="S16" s="45">
        <v>15.8</v>
      </c>
      <c r="T16" s="45">
        <v>15.8</v>
      </c>
      <c r="U16" s="45">
        <v>15.8</v>
      </c>
      <c r="V16" s="45">
        <v>15.8</v>
      </c>
      <c r="W16" s="45">
        <v>15.8</v>
      </c>
      <c r="X16" s="45">
        <v>15.8</v>
      </c>
      <c r="Y16" s="45">
        <v>15.8</v>
      </c>
      <c r="Z16" s="45">
        <v>15.8</v>
      </c>
      <c r="AA16" s="45">
        <v>15.8</v>
      </c>
      <c r="AB16" s="45">
        <v>15.8</v>
      </c>
      <c r="AC16" s="45">
        <v>15.8</v>
      </c>
      <c r="AD16" s="45">
        <v>15.8</v>
      </c>
      <c r="AE16" s="45">
        <v>15.8</v>
      </c>
      <c r="AF16" s="45">
        <v>15.8</v>
      </c>
      <c r="AG16" s="49">
        <v>45</v>
      </c>
      <c r="AH16" s="47">
        <f t="shared" si="2"/>
        <v>15.8</v>
      </c>
      <c r="AI16" s="48">
        <f t="shared" si="3"/>
        <v>15.8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</row>
    <row r="17" spans="1:82" x14ac:dyDescent="0.25">
      <c r="A17" s="44" t="s">
        <v>24</v>
      </c>
      <c r="B17" s="45">
        <v>16.5</v>
      </c>
      <c r="C17" s="45">
        <v>16.5</v>
      </c>
      <c r="D17" s="45">
        <v>16.5</v>
      </c>
      <c r="E17" s="45">
        <v>16.5</v>
      </c>
      <c r="F17" s="45">
        <v>16.5</v>
      </c>
      <c r="G17" s="45">
        <v>16.5</v>
      </c>
      <c r="H17" s="45">
        <v>16.5</v>
      </c>
      <c r="I17" s="45">
        <v>16.5</v>
      </c>
      <c r="J17" s="45">
        <v>16.5</v>
      </c>
      <c r="K17" s="45">
        <v>16.5</v>
      </c>
      <c r="L17" s="45">
        <v>16.5</v>
      </c>
      <c r="M17" s="45">
        <v>16.5</v>
      </c>
      <c r="N17" s="45">
        <v>16.5</v>
      </c>
      <c r="O17" s="45">
        <v>16.5</v>
      </c>
      <c r="P17" s="45">
        <v>16.5</v>
      </c>
      <c r="Q17" s="45">
        <v>16.5</v>
      </c>
      <c r="R17" s="45">
        <v>16.5</v>
      </c>
      <c r="S17" s="45">
        <v>14</v>
      </c>
      <c r="T17" s="45">
        <v>14</v>
      </c>
      <c r="U17" s="45">
        <v>14</v>
      </c>
      <c r="V17" s="45">
        <v>14</v>
      </c>
      <c r="W17" s="45">
        <v>14</v>
      </c>
      <c r="X17" s="45">
        <v>14</v>
      </c>
      <c r="Y17" s="45">
        <v>14</v>
      </c>
      <c r="Z17" s="45">
        <v>14</v>
      </c>
      <c r="AA17" s="45">
        <v>14</v>
      </c>
      <c r="AB17" s="45">
        <v>14</v>
      </c>
      <c r="AC17" s="45">
        <v>14</v>
      </c>
      <c r="AD17" s="45">
        <v>14</v>
      </c>
      <c r="AE17" s="45">
        <v>14</v>
      </c>
      <c r="AF17" s="45">
        <v>14</v>
      </c>
      <c r="AG17" s="49">
        <v>44</v>
      </c>
      <c r="AH17" s="47">
        <f>MAX(B17:AG17)</f>
        <v>44</v>
      </c>
      <c r="AI17" s="48">
        <f>MIN(B17:AG17)</f>
        <v>14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</row>
    <row r="18" spans="1:82" x14ac:dyDescent="0.25">
      <c r="A18" s="44" t="s">
        <v>25</v>
      </c>
      <c r="B18" s="45">
        <v>7.5</v>
      </c>
      <c r="C18" s="45">
        <v>7.5</v>
      </c>
      <c r="D18" s="45">
        <v>7.5</v>
      </c>
      <c r="E18" s="45">
        <v>7.5</v>
      </c>
      <c r="F18" s="45">
        <v>7.5</v>
      </c>
      <c r="G18" s="45">
        <v>7.5</v>
      </c>
      <c r="H18" s="45">
        <v>7.5</v>
      </c>
      <c r="I18" s="45">
        <v>7.5</v>
      </c>
      <c r="J18" s="45">
        <v>7.5</v>
      </c>
      <c r="K18" s="45">
        <v>7.5</v>
      </c>
      <c r="L18" s="45">
        <v>7.5</v>
      </c>
      <c r="M18" s="45">
        <v>7.9</v>
      </c>
      <c r="N18" s="45">
        <v>7.9</v>
      </c>
      <c r="O18" s="45">
        <v>7.9</v>
      </c>
      <c r="P18" s="45">
        <v>7.9</v>
      </c>
      <c r="Q18" s="45">
        <v>7.9</v>
      </c>
      <c r="R18" s="45">
        <v>7.9</v>
      </c>
      <c r="S18" s="45">
        <v>7.9</v>
      </c>
      <c r="T18" s="45">
        <v>7.9</v>
      </c>
      <c r="U18" s="45">
        <v>7.9</v>
      </c>
      <c r="V18" s="45">
        <v>7.9</v>
      </c>
      <c r="W18" s="45">
        <v>7.9</v>
      </c>
      <c r="X18" s="45">
        <v>7.9</v>
      </c>
      <c r="Y18" s="45">
        <v>7.9</v>
      </c>
      <c r="Z18" s="45">
        <v>7.9</v>
      </c>
      <c r="AA18" s="45">
        <v>7.9</v>
      </c>
      <c r="AB18" s="45">
        <v>7.9</v>
      </c>
      <c r="AC18" s="45">
        <v>7.9</v>
      </c>
      <c r="AD18" s="45">
        <v>7.9</v>
      </c>
      <c r="AE18" s="45">
        <v>7.9</v>
      </c>
      <c r="AF18" s="45">
        <v>7.9</v>
      </c>
      <c r="AG18" s="49">
        <v>42</v>
      </c>
      <c r="AH18" s="47">
        <f t="shared" si="2"/>
        <v>7.9</v>
      </c>
      <c r="AI18" s="48">
        <f t="shared" si="3"/>
        <v>7.5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</row>
    <row r="19" spans="1:82" x14ac:dyDescent="0.25">
      <c r="A19" s="44" t="s">
        <v>263</v>
      </c>
      <c r="B19" s="45">
        <v>15</v>
      </c>
      <c r="C19" s="45">
        <v>15</v>
      </c>
      <c r="D19" s="45">
        <v>15</v>
      </c>
      <c r="E19" s="45">
        <v>15</v>
      </c>
      <c r="F19" s="45">
        <v>15</v>
      </c>
      <c r="G19" s="45">
        <v>15</v>
      </c>
      <c r="H19" s="45">
        <v>15</v>
      </c>
      <c r="I19" s="45">
        <v>15</v>
      </c>
      <c r="J19" s="45">
        <v>15</v>
      </c>
      <c r="K19" s="45">
        <v>15</v>
      </c>
      <c r="L19" s="45">
        <v>15</v>
      </c>
      <c r="M19" s="45">
        <v>15</v>
      </c>
      <c r="N19" s="45">
        <v>15</v>
      </c>
      <c r="O19" s="45">
        <v>15</v>
      </c>
      <c r="P19" s="45">
        <v>15</v>
      </c>
      <c r="Q19" s="45">
        <v>15</v>
      </c>
      <c r="R19" s="45">
        <v>15</v>
      </c>
      <c r="S19" s="45">
        <v>15</v>
      </c>
      <c r="T19" s="45">
        <v>15</v>
      </c>
      <c r="U19" s="45">
        <v>15</v>
      </c>
      <c r="V19" s="45">
        <v>15</v>
      </c>
      <c r="W19" s="45">
        <v>15</v>
      </c>
      <c r="X19" s="45">
        <v>15</v>
      </c>
      <c r="Y19" s="45">
        <v>15</v>
      </c>
      <c r="Z19" s="45">
        <v>15</v>
      </c>
      <c r="AA19" s="45">
        <v>15</v>
      </c>
      <c r="AB19" s="45">
        <v>15</v>
      </c>
      <c r="AC19" s="45">
        <v>15</v>
      </c>
      <c r="AD19" s="45">
        <v>15</v>
      </c>
      <c r="AE19" s="45">
        <v>15</v>
      </c>
      <c r="AF19" s="45">
        <v>15</v>
      </c>
      <c r="AG19" s="49">
        <v>38.46</v>
      </c>
      <c r="AH19" s="47">
        <f t="shared" si="2"/>
        <v>15</v>
      </c>
      <c r="AI19" s="48">
        <f t="shared" si="3"/>
        <v>15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</row>
    <row r="20" spans="1:82" x14ac:dyDescent="0.25">
      <c r="A20" s="44" t="s">
        <v>26</v>
      </c>
      <c r="B20" s="45">
        <v>10</v>
      </c>
      <c r="C20" s="45">
        <v>10</v>
      </c>
      <c r="D20" s="45">
        <v>10</v>
      </c>
      <c r="E20" s="45">
        <v>10</v>
      </c>
      <c r="F20" s="45">
        <v>10</v>
      </c>
      <c r="G20" s="45">
        <v>10</v>
      </c>
      <c r="H20" s="45">
        <v>10</v>
      </c>
      <c r="I20" s="45">
        <v>10</v>
      </c>
      <c r="J20" s="45">
        <v>10</v>
      </c>
      <c r="K20" s="45">
        <v>10</v>
      </c>
      <c r="L20" s="45">
        <v>10</v>
      </c>
      <c r="M20" s="45">
        <v>10</v>
      </c>
      <c r="N20" s="45">
        <v>10</v>
      </c>
      <c r="O20" s="45">
        <v>10</v>
      </c>
      <c r="P20" s="45">
        <v>10</v>
      </c>
      <c r="Q20" s="45">
        <v>10</v>
      </c>
      <c r="R20" s="45">
        <v>10</v>
      </c>
      <c r="S20" s="45">
        <v>10</v>
      </c>
      <c r="T20" s="45">
        <v>10</v>
      </c>
      <c r="U20" s="45">
        <v>10</v>
      </c>
      <c r="V20" s="45">
        <v>10</v>
      </c>
      <c r="W20" s="45">
        <v>10</v>
      </c>
      <c r="X20" s="45">
        <v>10</v>
      </c>
      <c r="Y20" s="45">
        <v>10</v>
      </c>
      <c r="Z20" s="45">
        <v>10</v>
      </c>
      <c r="AA20" s="45">
        <v>10</v>
      </c>
      <c r="AB20" s="45">
        <v>10</v>
      </c>
      <c r="AC20" s="45">
        <v>10</v>
      </c>
      <c r="AD20" s="45">
        <v>10</v>
      </c>
      <c r="AE20" s="45">
        <v>10</v>
      </c>
      <c r="AF20" s="45">
        <v>10</v>
      </c>
      <c r="AG20" s="49">
        <v>38.46</v>
      </c>
      <c r="AH20" s="47">
        <f t="shared" si="2"/>
        <v>10</v>
      </c>
      <c r="AI20" s="48">
        <f t="shared" si="3"/>
        <v>10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</row>
    <row r="21" spans="1:82" x14ac:dyDescent="0.25">
      <c r="A21" s="44" t="s">
        <v>27</v>
      </c>
      <c r="B21" s="45">
        <v>13</v>
      </c>
      <c r="C21" s="45">
        <v>13</v>
      </c>
      <c r="D21" s="45">
        <v>13</v>
      </c>
      <c r="E21" s="45">
        <v>13</v>
      </c>
      <c r="F21" s="45">
        <v>13</v>
      </c>
      <c r="G21" s="45">
        <v>13</v>
      </c>
      <c r="H21" s="45">
        <v>13</v>
      </c>
      <c r="I21" s="45">
        <v>13</v>
      </c>
      <c r="J21" s="45">
        <v>13</v>
      </c>
      <c r="K21" s="45">
        <v>13</v>
      </c>
      <c r="L21" s="45">
        <v>13</v>
      </c>
      <c r="M21" s="45">
        <v>13</v>
      </c>
      <c r="N21" s="45">
        <v>13</v>
      </c>
      <c r="O21" s="45">
        <v>13</v>
      </c>
      <c r="P21" s="45">
        <v>13</v>
      </c>
      <c r="Q21" s="45">
        <v>13</v>
      </c>
      <c r="R21" s="45">
        <v>13</v>
      </c>
      <c r="S21" s="45">
        <v>13</v>
      </c>
      <c r="T21" s="45">
        <v>13</v>
      </c>
      <c r="U21" s="45">
        <v>13</v>
      </c>
      <c r="V21" s="45">
        <v>13</v>
      </c>
      <c r="W21" s="45">
        <v>13</v>
      </c>
      <c r="X21" s="45">
        <v>13</v>
      </c>
      <c r="Y21" s="45">
        <v>13</v>
      </c>
      <c r="Z21" s="45">
        <v>13</v>
      </c>
      <c r="AA21" s="45">
        <v>13</v>
      </c>
      <c r="AB21" s="45">
        <v>13</v>
      </c>
      <c r="AC21" s="45">
        <v>13</v>
      </c>
      <c r="AD21" s="45">
        <v>13</v>
      </c>
      <c r="AE21" s="45">
        <v>13</v>
      </c>
      <c r="AF21" s="45">
        <v>13</v>
      </c>
      <c r="AG21" s="49">
        <v>36</v>
      </c>
      <c r="AH21" s="47">
        <f t="shared" si="2"/>
        <v>13</v>
      </c>
      <c r="AI21" s="48">
        <f t="shared" si="3"/>
        <v>13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</row>
    <row r="22" spans="1:82" x14ac:dyDescent="0.25">
      <c r="A22" s="44" t="s">
        <v>28</v>
      </c>
      <c r="B22" s="45">
        <v>8.4</v>
      </c>
      <c r="C22" s="45">
        <v>8.4</v>
      </c>
      <c r="D22" s="45">
        <v>8.4</v>
      </c>
      <c r="E22" s="45">
        <v>8.4</v>
      </c>
      <c r="F22" s="45">
        <v>8.4</v>
      </c>
      <c r="G22" s="45">
        <v>8.4</v>
      </c>
      <c r="H22" s="45">
        <v>8.4</v>
      </c>
      <c r="I22" s="45">
        <v>8.4</v>
      </c>
      <c r="J22" s="45">
        <v>8.4</v>
      </c>
      <c r="K22" s="45">
        <v>8.4</v>
      </c>
      <c r="L22" s="45">
        <v>8.4</v>
      </c>
      <c r="M22" s="45">
        <v>8.4</v>
      </c>
      <c r="N22" s="45">
        <v>8.4</v>
      </c>
      <c r="O22" s="45">
        <v>8.4</v>
      </c>
      <c r="P22" s="45">
        <v>8.4</v>
      </c>
      <c r="Q22" s="45">
        <v>8.4</v>
      </c>
      <c r="R22" s="45">
        <v>8.4</v>
      </c>
      <c r="S22" s="45">
        <v>8.4</v>
      </c>
      <c r="T22" s="45">
        <v>8.4</v>
      </c>
      <c r="U22" s="45">
        <v>8.4</v>
      </c>
      <c r="V22" s="45">
        <v>8.4</v>
      </c>
      <c r="W22" s="45">
        <v>8.4</v>
      </c>
      <c r="X22" s="45">
        <v>8.4</v>
      </c>
      <c r="Y22" s="45">
        <v>8.4</v>
      </c>
      <c r="Z22" s="45">
        <v>8.4</v>
      </c>
      <c r="AA22" s="45">
        <v>8.4</v>
      </c>
      <c r="AB22" s="45">
        <v>8.4</v>
      </c>
      <c r="AC22" s="45">
        <v>8.4</v>
      </c>
      <c r="AD22" s="45">
        <v>8.4</v>
      </c>
      <c r="AE22" s="45">
        <v>8.4</v>
      </c>
      <c r="AF22" s="45">
        <v>8.4</v>
      </c>
      <c r="AG22" s="52">
        <v>30</v>
      </c>
      <c r="AH22" s="47">
        <f t="shared" si="2"/>
        <v>8.4</v>
      </c>
      <c r="AI22" s="48">
        <f t="shared" si="3"/>
        <v>8.4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</row>
    <row r="23" spans="1:82" x14ac:dyDescent="0.25">
      <c r="A23" s="44" t="s">
        <v>29</v>
      </c>
      <c r="B23" s="45">
        <v>9</v>
      </c>
      <c r="C23" s="45">
        <v>9</v>
      </c>
      <c r="D23" s="45">
        <v>9</v>
      </c>
      <c r="E23" s="45">
        <v>9</v>
      </c>
      <c r="F23" s="45">
        <v>9</v>
      </c>
      <c r="G23" s="45">
        <v>9</v>
      </c>
      <c r="H23" s="45">
        <v>9</v>
      </c>
      <c r="I23" s="45">
        <v>9</v>
      </c>
      <c r="J23" s="45">
        <v>9</v>
      </c>
      <c r="K23" s="45">
        <v>9</v>
      </c>
      <c r="L23" s="45">
        <v>9</v>
      </c>
      <c r="M23" s="45">
        <v>9</v>
      </c>
      <c r="N23" s="45">
        <v>9</v>
      </c>
      <c r="O23" s="45">
        <v>9</v>
      </c>
      <c r="P23" s="45">
        <v>9</v>
      </c>
      <c r="Q23" s="45">
        <v>9</v>
      </c>
      <c r="R23" s="45">
        <v>9</v>
      </c>
      <c r="S23" s="45">
        <v>9</v>
      </c>
      <c r="T23" s="45">
        <v>9</v>
      </c>
      <c r="U23" s="45">
        <v>9</v>
      </c>
      <c r="V23" s="45">
        <v>9</v>
      </c>
      <c r="W23" s="45">
        <v>9</v>
      </c>
      <c r="X23" s="45">
        <v>9</v>
      </c>
      <c r="Y23" s="45">
        <v>9</v>
      </c>
      <c r="Z23" s="45">
        <v>9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9</v>
      </c>
      <c r="AG23" s="49">
        <v>24.2</v>
      </c>
      <c r="AH23" s="47">
        <f t="shared" si="2"/>
        <v>9</v>
      </c>
      <c r="AI23" s="48">
        <f t="shared" si="3"/>
        <v>9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</row>
    <row r="24" spans="1:82" x14ac:dyDescent="0.25">
      <c r="A24" s="44" t="s">
        <v>30</v>
      </c>
      <c r="B24" s="45">
        <v>8.1999999999999993</v>
      </c>
      <c r="C24" s="45">
        <v>8.1999999999999993</v>
      </c>
      <c r="D24" s="45">
        <v>8.1999999999999993</v>
      </c>
      <c r="E24" s="45">
        <v>8.1999999999999993</v>
      </c>
      <c r="F24" s="45">
        <v>8.1999999999999993</v>
      </c>
      <c r="G24" s="45">
        <v>8.1999999999999993</v>
      </c>
      <c r="H24" s="45">
        <v>8.1999999999999993</v>
      </c>
      <c r="I24" s="45">
        <v>8.1999999999999993</v>
      </c>
      <c r="J24" s="45">
        <v>8.1999999999999993</v>
      </c>
      <c r="K24" s="45">
        <v>8.1999999999999993</v>
      </c>
      <c r="L24" s="45">
        <v>8.1999999999999993</v>
      </c>
      <c r="M24" s="45">
        <v>9.4</v>
      </c>
      <c r="N24" s="45">
        <v>9.4</v>
      </c>
      <c r="O24" s="45">
        <v>9.4</v>
      </c>
      <c r="P24" s="45">
        <v>9.4</v>
      </c>
      <c r="Q24" s="45">
        <v>9.4</v>
      </c>
      <c r="R24" s="45">
        <v>9.4</v>
      </c>
      <c r="S24" s="45">
        <v>9.4</v>
      </c>
      <c r="T24" s="45">
        <v>9.4</v>
      </c>
      <c r="U24" s="45">
        <v>9.4</v>
      </c>
      <c r="V24" s="45">
        <v>9.4</v>
      </c>
      <c r="W24" s="45">
        <v>9.4</v>
      </c>
      <c r="X24" s="45">
        <v>9.4</v>
      </c>
      <c r="Y24" s="45">
        <v>9.4</v>
      </c>
      <c r="Z24" s="45">
        <v>9.4</v>
      </c>
      <c r="AA24" s="45">
        <v>9.4</v>
      </c>
      <c r="AB24" s="45">
        <v>9.4</v>
      </c>
      <c r="AC24" s="45">
        <v>9.4</v>
      </c>
      <c r="AD24" s="45">
        <v>9.4</v>
      </c>
      <c r="AE24" s="45">
        <v>9.4</v>
      </c>
      <c r="AF24" s="45">
        <v>9.4</v>
      </c>
      <c r="AG24" s="49">
        <v>28</v>
      </c>
      <c r="AH24" s="47">
        <f t="shared" si="2"/>
        <v>9.4</v>
      </c>
      <c r="AI24" s="48">
        <f t="shared" si="3"/>
        <v>8.1999999999999993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</row>
    <row r="25" spans="1:82" x14ac:dyDescent="0.25">
      <c r="A25" s="44" t="s">
        <v>31</v>
      </c>
      <c r="B25" s="45">
        <v>7.3</v>
      </c>
      <c r="C25" s="45">
        <v>7.3</v>
      </c>
      <c r="D25" s="45">
        <v>7.3</v>
      </c>
      <c r="E25" s="45">
        <v>7.3</v>
      </c>
      <c r="F25" s="45">
        <v>7.3</v>
      </c>
      <c r="G25" s="45">
        <v>7.3</v>
      </c>
      <c r="H25" s="45">
        <v>7.3</v>
      </c>
      <c r="I25" s="45">
        <v>7.3</v>
      </c>
      <c r="J25" s="45">
        <v>7.3</v>
      </c>
      <c r="K25" s="45">
        <v>7.3</v>
      </c>
      <c r="L25" s="45">
        <v>7.3</v>
      </c>
      <c r="M25" s="45">
        <v>7.3</v>
      </c>
      <c r="N25" s="45">
        <v>7.3</v>
      </c>
      <c r="O25" s="45">
        <v>7.3</v>
      </c>
      <c r="P25" s="45">
        <v>7.3</v>
      </c>
      <c r="Q25" s="45">
        <v>7.3</v>
      </c>
      <c r="R25" s="45">
        <v>7.3</v>
      </c>
      <c r="S25" s="45">
        <v>7.3</v>
      </c>
      <c r="T25" s="45">
        <v>7.3</v>
      </c>
      <c r="U25" s="45">
        <v>7.3</v>
      </c>
      <c r="V25" s="45">
        <v>7.3</v>
      </c>
      <c r="W25" s="45">
        <v>7.3</v>
      </c>
      <c r="X25" s="45">
        <v>7.3</v>
      </c>
      <c r="Y25" s="45">
        <v>7.3</v>
      </c>
      <c r="Z25" s="45">
        <v>7.3</v>
      </c>
      <c r="AA25" s="45">
        <v>7.3</v>
      </c>
      <c r="AB25" s="45">
        <v>7.3</v>
      </c>
      <c r="AC25" s="45">
        <v>7.3</v>
      </c>
      <c r="AD25" s="45">
        <v>7.3</v>
      </c>
      <c r="AE25" s="45">
        <v>7.3</v>
      </c>
      <c r="AF25" s="45">
        <v>7.3</v>
      </c>
      <c r="AG25" s="52">
        <v>30</v>
      </c>
      <c r="AH25" s="47">
        <f t="shared" si="2"/>
        <v>7.3</v>
      </c>
      <c r="AI25" s="48">
        <f t="shared" si="3"/>
        <v>7.3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</row>
    <row r="26" spans="1:82" x14ac:dyDescent="0.25">
      <c r="A26" s="44" t="s">
        <v>32</v>
      </c>
      <c r="B26" s="45">
        <v>8.5</v>
      </c>
      <c r="C26" s="45">
        <v>8.5</v>
      </c>
      <c r="D26" s="45">
        <v>8.5</v>
      </c>
      <c r="E26" s="45">
        <v>8.5</v>
      </c>
      <c r="F26" s="45">
        <v>8.5</v>
      </c>
      <c r="G26" s="45">
        <v>8.5</v>
      </c>
      <c r="H26" s="45">
        <v>8.5</v>
      </c>
      <c r="I26" s="45">
        <v>8.5</v>
      </c>
      <c r="J26" s="45">
        <v>8.5</v>
      </c>
      <c r="K26" s="45">
        <v>8.5</v>
      </c>
      <c r="L26" s="45">
        <v>8.5</v>
      </c>
      <c r="M26" s="45">
        <v>8.5</v>
      </c>
      <c r="N26" s="45">
        <v>8.5</v>
      </c>
      <c r="O26" s="45">
        <v>8.5</v>
      </c>
      <c r="P26" s="45">
        <v>8.5</v>
      </c>
      <c r="Q26" s="45">
        <v>8.5</v>
      </c>
      <c r="R26" s="45">
        <v>8.5</v>
      </c>
      <c r="S26" s="45">
        <v>8.5</v>
      </c>
      <c r="T26" s="45">
        <v>8.5</v>
      </c>
      <c r="U26" s="45">
        <v>8.5</v>
      </c>
      <c r="V26" s="45">
        <v>8.5</v>
      </c>
      <c r="W26" s="45">
        <v>8.5</v>
      </c>
      <c r="X26" s="45">
        <v>8.5</v>
      </c>
      <c r="Y26" s="45">
        <v>8.5</v>
      </c>
      <c r="Z26" s="45">
        <v>8.5</v>
      </c>
      <c r="AA26" s="45">
        <v>8.5</v>
      </c>
      <c r="AB26" s="45">
        <v>8.5</v>
      </c>
      <c r="AC26" s="45">
        <v>8.5</v>
      </c>
      <c r="AD26" s="45">
        <v>8.5</v>
      </c>
      <c r="AE26" s="45">
        <v>8.5</v>
      </c>
      <c r="AF26" s="45">
        <v>8.5</v>
      </c>
      <c r="AG26" s="49">
        <v>25</v>
      </c>
      <c r="AH26" s="47">
        <f t="shared" si="2"/>
        <v>8.5</v>
      </c>
      <c r="AI26" s="48">
        <f t="shared" si="3"/>
        <v>8.5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</row>
    <row r="27" spans="1:82" x14ac:dyDescent="0.25">
      <c r="A27" s="44" t="s">
        <v>33</v>
      </c>
      <c r="B27" s="45">
        <v>5</v>
      </c>
      <c r="C27" s="45">
        <v>5</v>
      </c>
      <c r="D27" s="45">
        <v>5</v>
      </c>
      <c r="E27" s="45">
        <v>5</v>
      </c>
      <c r="F27" s="45">
        <v>5</v>
      </c>
      <c r="G27" s="45">
        <v>5</v>
      </c>
      <c r="H27" s="45">
        <v>5</v>
      </c>
      <c r="I27" s="45">
        <v>5</v>
      </c>
      <c r="J27" s="45">
        <v>5</v>
      </c>
      <c r="K27" s="45">
        <v>5</v>
      </c>
      <c r="L27" s="45">
        <v>5</v>
      </c>
      <c r="M27" s="45">
        <v>5</v>
      </c>
      <c r="N27" s="45">
        <v>5</v>
      </c>
      <c r="O27" s="45">
        <v>5</v>
      </c>
      <c r="P27" s="45">
        <v>5</v>
      </c>
      <c r="Q27" s="45">
        <v>5</v>
      </c>
      <c r="R27" s="45">
        <v>5</v>
      </c>
      <c r="S27" s="45">
        <v>5</v>
      </c>
      <c r="T27" s="45">
        <v>5</v>
      </c>
      <c r="U27" s="45">
        <v>5</v>
      </c>
      <c r="V27" s="45">
        <v>5</v>
      </c>
      <c r="W27" s="45">
        <v>5</v>
      </c>
      <c r="X27" s="45">
        <v>5</v>
      </c>
      <c r="Y27" s="45">
        <v>5</v>
      </c>
      <c r="Z27" s="45">
        <v>5</v>
      </c>
      <c r="AA27" s="45">
        <v>5</v>
      </c>
      <c r="AB27" s="45">
        <v>5</v>
      </c>
      <c r="AC27" s="45">
        <v>5</v>
      </c>
      <c r="AD27" s="45">
        <v>5</v>
      </c>
      <c r="AE27" s="45">
        <v>5</v>
      </c>
      <c r="AF27" s="45">
        <v>5</v>
      </c>
      <c r="AG27" s="49">
        <v>25</v>
      </c>
      <c r="AH27" s="47">
        <f t="shared" si="2"/>
        <v>5</v>
      </c>
      <c r="AI27" s="48">
        <f t="shared" si="3"/>
        <v>5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</row>
    <row r="28" spans="1:82" x14ac:dyDescent="0.25">
      <c r="A28" s="44" t="s">
        <v>34</v>
      </c>
      <c r="B28" s="45">
        <v>6</v>
      </c>
      <c r="C28" s="45">
        <v>6</v>
      </c>
      <c r="D28" s="45">
        <v>6</v>
      </c>
      <c r="E28" s="45">
        <v>6</v>
      </c>
      <c r="F28" s="45">
        <v>6</v>
      </c>
      <c r="G28" s="45">
        <v>6</v>
      </c>
      <c r="H28" s="45">
        <v>6</v>
      </c>
      <c r="I28" s="45">
        <v>6</v>
      </c>
      <c r="J28" s="45">
        <v>6</v>
      </c>
      <c r="K28" s="45">
        <v>6</v>
      </c>
      <c r="L28" s="45">
        <v>6</v>
      </c>
      <c r="M28" s="45">
        <v>6</v>
      </c>
      <c r="N28" s="45">
        <v>6</v>
      </c>
      <c r="O28" s="45">
        <v>6</v>
      </c>
      <c r="P28" s="45">
        <v>6</v>
      </c>
      <c r="Q28" s="45">
        <v>6</v>
      </c>
      <c r="R28" s="45">
        <v>6</v>
      </c>
      <c r="S28" s="45">
        <v>6</v>
      </c>
      <c r="T28" s="45">
        <v>6</v>
      </c>
      <c r="U28" s="45">
        <v>6</v>
      </c>
      <c r="V28" s="45">
        <v>6</v>
      </c>
      <c r="W28" s="45">
        <v>6</v>
      </c>
      <c r="X28" s="45">
        <v>6</v>
      </c>
      <c r="Y28" s="45">
        <v>6</v>
      </c>
      <c r="Z28" s="45">
        <v>6</v>
      </c>
      <c r="AA28" s="45">
        <v>6</v>
      </c>
      <c r="AB28" s="45">
        <v>6</v>
      </c>
      <c r="AC28" s="45">
        <v>6</v>
      </c>
      <c r="AD28" s="45">
        <v>6</v>
      </c>
      <c r="AE28" s="45">
        <v>6</v>
      </c>
      <c r="AF28" s="45">
        <v>6</v>
      </c>
      <c r="AG28" s="49">
        <v>25</v>
      </c>
      <c r="AH28" s="47">
        <f t="shared" si="2"/>
        <v>6</v>
      </c>
      <c r="AI28" s="48">
        <f t="shared" si="3"/>
        <v>6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</row>
    <row r="29" spans="1:82" x14ac:dyDescent="0.25">
      <c r="A29" s="44" t="s">
        <v>35</v>
      </c>
      <c r="B29" s="45">
        <v>8.1</v>
      </c>
      <c r="C29" s="45">
        <v>8.1</v>
      </c>
      <c r="D29" s="45">
        <v>8.1</v>
      </c>
      <c r="E29" s="45">
        <v>8.1</v>
      </c>
      <c r="F29" s="45">
        <v>8.1</v>
      </c>
      <c r="G29" s="45">
        <v>8.1</v>
      </c>
      <c r="H29" s="45">
        <v>8.1</v>
      </c>
      <c r="I29" s="45">
        <v>8.1</v>
      </c>
      <c r="J29" s="45">
        <v>8.1</v>
      </c>
      <c r="K29" s="45">
        <v>8.1</v>
      </c>
      <c r="L29" s="45">
        <v>8.1</v>
      </c>
      <c r="M29" s="45">
        <v>7.9</v>
      </c>
      <c r="N29" s="45">
        <v>7.9</v>
      </c>
      <c r="O29" s="45">
        <v>7.9</v>
      </c>
      <c r="P29" s="45">
        <v>7.9</v>
      </c>
      <c r="Q29" s="45">
        <v>7.9</v>
      </c>
      <c r="R29" s="45">
        <v>7.9</v>
      </c>
      <c r="S29" s="45">
        <v>7.9</v>
      </c>
      <c r="T29" s="45">
        <v>7.9</v>
      </c>
      <c r="U29" s="45">
        <v>7.9</v>
      </c>
      <c r="V29" s="45">
        <v>7.9</v>
      </c>
      <c r="W29" s="45">
        <v>8.1999999999999993</v>
      </c>
      <c r="X29" s="45">
        <v>8.1999999999999993</v>
      </c>
      <c r="Y29" s="45">
        <v>8.1999999999999993</v>
      </c>
      <c r="Z29" s="45">
        <v>8.1999999999999993</v>
      </c>
      <c r="AA29" s="45">
        <v>8.1999999999999993</v>
      </c>
      <c r="AB29" s="45">
        <v>8.1999999999999993</v>
      </c>
      <c r="AC29" s="45">
        <v>8.1999999999999993</v>
      </c>
      <c r="AD29" s="45">
        <v>8.1999999999999993</v>
      </c>
      <c r="AE29" s="45">
        <v>8.1999999999999993</v>
      </c>
      <c r="AF29" s="45">
        <v>8.1999999999999993</v>
      </c>
      <c r="AG29" s="49">
        <v>25</v>
      </c>
      <c r="AH29" s="47">
        <f t="shared" si="2"/>
        <v>8.1999999999999993</v>
      </c>
      <c r="AI29" s="48">
        <f t="shared" si="3"/>
        <v>7.9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</row>
    <row r="30" spans="1:82" x14ac:dyDescent="0.25">
      <c r="A30" s="44" t="s">
        <v>36</v>
      </c>
      <c r="B30" s="45">
        <v>9.1</v>
      </c>
      <c r="C30" s="45">
        <v>9.1</v>
      </c>
      <c r="D30" s="45">
        <v>9.1</v>
      </c>
      <c r="E30" s="45">
        <v>9.1</v>
      </c>
      <c r="F30" s="45">
        <v>9.1</v>
      </c>
      <c r="G30" s="45">
        <v>9.1</v>
      </c>
      <c r="H30" s="45">
        <v>9.1</v>
      </c>
      <c r="I30" s="45">
        <v>9.1</v>
      </c>
      <c r="J30" s="45">
        <v>9.1</v>
      </c>
      <c r="K30" s="45">
        <v>9.1</v>
      </c>
      <c r="L30" s="45">
        <v>9.1</v>
      </c>
      <c r="M30" s="45">
        <v>6.5</v>
      </c>
      <c r="N30" s="45">
        <v>6.5</v>
      </c>
      <c r="O30" s="45">
        <v>6.5</v>
      </c>
      <c r="P30" s="45">
        <v>6.5</v>
      </c>
      <c r="Q30" s="45">
        <v>6.5</v>
      </c>
      <c r="R30" s="45">
        <v>6.5</v>
      </c>
      <c r="S30" s="45">
        <v>6.5</v>
      </c>
      <c r="T30" s="45">
        <v>6.5</v>
      </c>
      <c r="U30" s="45">
        <v>6.5</v>
      </c>
      <c r="V30" s="45">
        <v>6.5</v>
      </c>
      <c r="W30" s="45">
        <v>6.5</v>
      </c>
      <c r="X30" s="45">
        <v>6.5</v>
      </c>
      <c r="Y30" s="45">
        <v>6.5</v>
      </c>
      <c r="Z30" s="45">
        <v>6.5</v>
      </c>
      <c r="AA30" s="45">
        <v>6.5</v>
      </c>
      <c r="AB30" s="45">
        <v>6.5</v>
      </c>
      <c r="AC30" s="45">
        <v>6.5</v>
      </c>
      <c r="AD30" s="45">
        <v>6.5</v>
      </c>
      <c r="AE30" s="45">
        <v>6.5</v>
      </c>
      <c r="AF30" s="45">
        <v>6.5</v>
      </c>
      <c r="AG30" s="49">
        <v>23.5</v>
      </c>
      <c r="AH30" s="47">
        <f t="shared" si="2"/>
        <v>9.1</v>
      </c>
      <c r="AI30" s="48">
        <f t="shared" si="3"/>
        <v>6.5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</row>
    <row r="31" spans="1:82" x14ac:dyDescent="0.25">
      <c r="A31" s="44" t="s">
        <v>37</v>
      </c>
      <c r="B31" s="45">
        <v>4.5</v>
      </c>
      <c r="C31" s="45">
        <v>4.5</v>
      </c>
      <c r="D31" s="45">
        <v>4.5</v>
      </c>
      <c r="E31" s="45">
        <v>4.5</v>
      </c>
      <c r="F31" s="45">
        <v>4.5</v>
      </c>
      <c r="G31" s="45">
        <v>4.5</v>
      </c>
      <c r="H31" s="45">
        <v>4.5</v>
      </c>
      <c r="I31" s="45">
        <v>4.5</v>
      </c>
      <c r="J31" s="45">
        <v>4.5</v>
      </c>
      <c r="K31" s="45">
        <v>4.5</v>
      </c>
      <c r="L31" s="45">
        <v>4.5</v>
      </c>
      <c r="M31" s="45">
        <v>4.5</v>
      </c>
      <c r="N31" s="45">
        <v>4.5</v>
      </c>
      <c r="O31" s="45">
        <v>4.5</v>
      </c>
      <c r="P31" s="45">
        <v>4.5</v>
      </c>
      <c r="Q31" s="45">
        <v>4.5</v>
      </c>
      <c r="R31" s="45">
        <v>4.5</v>
      </c>
      <c r="S31" s="45">
        <v>4.5</v>
      </c>
      <c r="T31" s="45">
        <v>4.5</v>
      </c>
      <c r="U31" s="45">
        <v>4.5</v>
      </c>
      <c r="V31" s="45">
        <v>4.5</v>
      </c>
      <c r="W31" s="45">
        <v>4.5</v>
      </c>
      <c r="X31" s="45">
        <v>4.5</v>
      </c>
      <c r="Y31" s="45">
        <v>4.5</v>
      </c>
      <c r="Z31" s="45">
        <v>4.5</v>
      </c>
      <c r="AA31" s="45">
        <v>4.5</v>
      </c>
      <c r="AB31" s="45">
        <v>4.5</v>
      </c>
      <c r="AC31" s="45">
        <v>4.5</v>
      </c>
      <c r="AD31" s="45">
        <v>4.5</v>
      </c>
      <c r="AE31" s="45">
        <v>4.5</v>
      </c>
      <c r="AF31" s="45">
        <v>4.5</v>
      </c>
      <c r="AG31" s="49">
        <v>22.2</v>
      </c>
      <c r="AH31" s="47">
        <f t="shared" si="2"/>
        <v>4.5</v>
      </c>
      <c r="AI31" s="48">
        <f t="shared" si="3"/>
        <v>4.5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</row>
    <row r="32" spans="1:82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>
        <v>5.5</v>
      </c>
      <c r="N32" s="45">
        <v>5.5</v>
      </c>
      <c r="O32" s="45">
        <v>5.5</v>
      </c>
      <c r="P32" s="45">
        <v>5.5</v>
      </c>
      <c r="Q32" s="45">
        <v>5.5</v>
      </c>
      <c r="R32" s="45">
        <v>5.5</v>
      </c>
      <c r="S32" s="45">
        <v>5.5</v>
      </c>
      <c r="T32" s="45">
        <v>5.5</v>
      </c>
      <c r="U32" s="45">
        <v>5.5</v>
      </c>
      <c r="V32" s="45">
        <v>5.5</v>
      </c>
      <c r="W32" s="45">
        <v>5.5</v>
      </c>
      <c r="X32" s="45">
        <v>5.5</v>
      </c>
      <c r="Y32" s="45">
        <v>5.5</v>
      </c>
      <c r="Z32" s="45">
        <v>5.5</v>
      </c>
      <c r="AA32" s="45">
        <v>5.5</v>
      </c>
      <c r="AB32" s="45">
        <v>5.5</v>
      </c>
      <c r="AC32" s="45">
        <v>5.5</v>
      </c>
      <c r="AD32" s="45">
        <v>5.5</v>
      </c>
      <c r="AE32" s="45">
        <v>5.5</v>
      </c>
      <c r="AF32" s="45">
        <v>5.5</v>
      </c>
      <c r="AG32" s="49">
        <v>22.1</v>
      </c>
      <c r="AH32" s="47">
        <f t="shared" si="2"/>
        <v>5.5</v>
      </c>
      <c r="AI32" s="48">
        <f t="shared" si="3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</row>
    <row r="33" spans="1:82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22</v>
      </c>
      <c r="AH33" s="47">
        <f t="shared" si="2"/>
        <v>6</v>
      </c>
      <c r="AI33" s="48">
        <f t="shared" si="3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</row>
    <row r="34" spans="1:82" x14ac:dyDescent="0.25">
      <c r="A34" s="44" t="s">
        <v>40</v>
      </c>
      <c r="B34" s="45">
        <v>7.3</v>
      </c>
      <c r="C34" s="45">
        <v>7.3</v>
      </c>
      <c r="D34" s="45">
        <v>7.3</v>
      </c>
      <c r="E34" s="45">
        <v>7.3</v>
      </c>
      <c r="F34" s="45">
        <v>7.3</v>
      </c>
      <c r="G34" s="45">
        <v>7.3</v>
      </c>
      <c r="H34" s="45">
        <v>7.3</v>
      </c>
      <c r="I34" s="45">
        <v>7.3</v>
      </c>
      <c r="J34" s="45">
        <v>7.3</v>
      </c>
      <c r="K34" s="45">
        <v>7.3</v>
      </c>
      <c r="L34" s="45">
        <v>7.3</v>
      </c>
      <c r="M34" s="45">
        <v>8.1</v>
      </c>
      <c r="N34" s="45">
        <v>8.1</v>
      </c>
      <c r="O34" s="45">
        <v>8.1</v>
      </c>
      <c r="P34" s="45">
        <v>8.1</v>
      </c>
      <c r="Q34" s="45">
        <v>8.1</v>
      </c>
      <c r="R34" s="45">
        <v>8.1</v>
      </c>
      <c r="S34" s="45">
        <v>8.1</v>
      </c>
      <c r="T34" s="45">
        <v>8.1</v>
      </c>
      <c r="U34" s="45">
        <v>8.1</v>
      </c>
      <c r="V34" s="45">
        <v>8.1</v>
      </c>
      <c r="W34" s="45">
        <v>8.1</v>
      </c>
      <c r="X34" s="45">
        <v>8.1</v>
      </c>
      <c r="Y34" s="45">
        <v>8.1</v>
      </c>
      <c r="Z34" s="45">
        <v>8.1</v>
      </c>
      <c r="AA34" s="45">
        <v>8.1</v>
      </c>
      <c r="AB34" s="45">
        <v>8.1</v>
      </c>
      <c r="AC34" s="45">
        <v>8.1</v>
      </c>
      <c r="AD34" s="45">
        <v>8.1</v>
      </c>
      <c r="AE34" s="45">
        <v>8.1</v>
      </c>
      <c r="AF34" s="45">
        <v>8.1</v>
      </c>
      <c r="AG34" s="49">
        <v>22</v>
      </c>
      <c r="AH34" s="47">
        <f t="shared" si="2"/>
        <v>8.1</v>
      </c>
      <c r="AI34" s="48">
        <f t="shared" si="3"/>
        <v>7.3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</row>
    <row r="35" spans="1:82" x14ac:dyDescent="0.25">
      <c r="A35" s="44" t="s">
        <v>41</v>
      </c>
      <c r="B35" s="45">
        <v>6.5</v>
      </c>
      <c r="C35" s="45">
        <v>6.5</v>
      </c>
      <c r="D35" s="45">
        <v>6.5</v>
      </c>
      <c r="E35" s="45">
        <v>6.5</v>
      </c>
      <c r="F35" s="45">
        <v>6.5</v>
      </c>
      <c r="G35" s="45">
        <v>6.5</v>
      </c>
      <c r="H35" s="45">
        <v>6.5</v>
      </c>
      <c r="I35" s="45">
        <v>6.5</v>
      </c>
      <c r="J35" s="45">
        <v>6.5</v>
      </c>
      <c r="K35" s="45">
        <v>6.5</v>
      </c>
      <c r="L35" s="45">
        <v>6.5</v>
      </c>
      <c r="M35" s="45">
        <v>6.5</v>
      </c>
      <c r="N35" s="45">
        <v>6.5</v>
      </c>
      <c r="O35" s="45">
        <v>6.5</v>
      </c>
      <c r="P35" s="45">
        <v>6.5</v>
      </c>
      <c r="Q35" s="45">
        <v>6.5</v>
      </c>
      <c r="R35" s="45">
        <v>6.5</v>
      </c>
      <c r="S35" s="45">
        <v>6.5</v>
      </c>
      <c r="T35" s="45">
        <v>6.5</v>
      </c>
      <c r="U35" s="45">
        <v>6.5</v>
      </c>
      <c r="V35" s="45">
        <v>6.5</v>
      </c>
      <c r="W35" s="45">
        <v>6.5</v>
      </c>
      <c r="X35" s="45">
        <v>6.5</v>
      </c>
      <c r="Y35" s="45">
        <v>6.5</v>
      </c>
      <c r="Z35" s="45">
        <v>6.5</v>
      </c>
      <c r="AA35" s="45">
        <v>6.5</v>
      </c>
      <c r="AB35" s="45">
        <v>6.5</v>
      </c>
      <c r="AC35" s="45">
        <v>6.5</v>
      </c>
      <c r="AD35" s="45">
        <v>6.5</v>
      </c>
      <c r="AE35" s="45">
        <v>6.5</v>
      </c>
      <c r="AF35" s="45">
        <v>6.5</v>
      </c>
      <c r="AG35" s="49">
        <v>20</v>
      </c>
      <c r="AH35" s="47">
        <f t="shared" si="2"/>
        <v>6.5</v>
      </c>
      <c r="AI35" s="48">
        <f t="shared" si="3"/>
        <v>6.5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</row>
    <row r="36" spans="1:82" x14ac:dyDescent="0.25">
      <c r="A36" s="44" t="s">
        <v>264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2"/>
        <v>4</v>
      </c>
      <c r="AI36" s="48">
        <f t="shared" si="3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</row>
    <row r="37" spans="1:82" x14ac:dyDescent="0.25">
      <c r="A37" s="44" t="s">
        <v>42</v>
      </c>
      <c r="B37" s="45">
        <v>5.5</v>
      </c>
      <c r="C37" s="45">
        <v>5.5</v>
      </c>
      <c r="D37" s="45">
        <v>5.5</v>
      </c>
      <c r="E37" s="45">
        <v>5.5</v>
      </c>
      <c r="F37" s="45">
        <v>5.5</v>
      </c>
      <c r="G37" s="45">
        <v>5.5</v>
      </c>
      <c r="H37" s="45">
        <v>5.5</v>
      </c>
      <c r="I37" s="45">
        <v>5.5</v>
      </c>
      <c r="J37" s="45">
        <v>5.5</v>
      </c>
      <c r="K37" s="45">
        <v>5.5</v>
      </c>
      <c r="L37" s="45">
        <v>5.5</v>
      </c>
      <c r="M37" s="45">
        <v>5.5</v>
      </c>
      <c r="N37" s="45">
        <v>5.5</v>
      </c>
      <c r="O37" s="45">
        <v>5.5</v>
      </c>
      <c r="P37" s="45">
        <v>5.5</v>
      </c>
      <c r="Q37" s="45">
        <v>5.5</v>
      </c>
      <c r="R37" s="45">
        <v>5.5</v>
      </c>
      <c r="S37" s="45">
        <v>5.5</v>
      </c>
      <c r="T37" s="45">
        <v>5.5</v>
      </c>
      <c r="U37" s="45">
        <v>5.5</v>
      </c>
      <c r="V37" s="45">
        <v>5.5</v>
      </c>
      <c r="W37" s="45">
        <v>5.5</v>
      </c>
      <c r="X37" s="45">
        <v>5.5</v>
      </c>
      <c r="Y37" s="45">
        <v>5.5</v>
      </c>
      <c r="Z37" s="45">
        <v>5.5</v>
      </c>
      <c r="AA37" s="45">
        <v>5.5</v>
      </c>
      <c r="AB37" s="45">
        <v>5.5</v>
      </c>
      <c r="AC37" s="45">
        <v>5.5</v>
      </c>
      <c r="AD37" s="45">
        <v>5.5</v>
      </c>
      <c r="AE37" s="45">
        <v>5.5</v>
      </c>
      <c r="AF37" s="45">
        <v>5.5</v>
      </c>
      <c r="AG37" s="49">
        <v>18</v>
      </c>
      <c r="AH37" s="47">
        <f t="shared" si="2"/>
        <v>5.5</v>
      </c>
      <c r="AI37" s="48">
        <f t="shared" si="3"/>
        <v>5.5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</row>
    <row r="38" spans="1:82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>
        <v>7.2</v>
      </c>
      <c r="N38" s="45">
        <v>7.2</v>
      </c>
      <c r="O38" s="45">
        <v>7.2</v>
      </c>
      <c r="P38" s="45">
        <v>7.2</v>
      </c>
      <c r="Q38" s="45">
        <v>7.2</v>
      </c>
      <c r="R38" s="45">
        <v>7.2</v>
      </c>
      <c r="S38" s="45">
        <v>7.2</v>
      </c>
      <c r="T38" s="45">
        <v>7.2</v>
      </c>
      <c r="U38" s="45">
        <v>7.2</v>
      </c>
      <c r="V38" s="45">
        <v>7.2</v>
      </c>
      <c r="W38" s="45">
        <v>7.2</v>
      </c>
      <c r="X38" s="45">
        <v>7.2</v>
      </c>
      <c r="Y38" s="45">
        <v>7.2</v>
      </c>
      <c r="Z38" s="45">
        <v>7.2</v>
      </c>
      <c r="AA38" s="45">
        <v>7.2</v>
      </c>
      <c r="AB38" s="45">
        <v>7.2</v>
      </c>
      <c r="AC38" s="45">
        <v>7.2</v>
      </c>
      <c r="AD38" s="45">
        <v>7.2</v>
      </c>
      <c r="AE38" s="45">
        <v>7.2</v>
      </c>
      <c r="AF38" s="45">
        <v>7.2</v>
      </c>
      <c r="AG38" s="49">
        <v>14.9</v>
      </c>
      <c r="AH38" s="47">
        <f t="shared" si="2"/>
        <v>7.2</v>
      </c>
      <c r="AI38" s="48">
        <f t="shared" si="3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</row>
    <row r="39" spans="1:82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</row>
    <row r="40" spans="1:82" x14ac:dyDescent="0.25">
      <c r="A40" s="44" t="s">
        <v>265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2"/>
        <v>5</v>
      </c>
      <c r="AI40" s="48">
        <f t="shared" si="3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</row>
    <row r="41" spans="1:82" x14ac:dyDescent="0.25">
      <c r="A41" s="44" t="s">
        <v>266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>
        <v>4</v>
      </c>
      <c r="N41" s="45">
        <v>4</v>
      </c>
      <c r="O41" s="45">
        <v>4</v>
      </c>
      <c r="P41" s="45">
        <v>4</v>
      </c>
      <c r="Q41" s="45">
        <v>4</v>
      </c>
      <c r="R41" s="45">
        <v>4</v>
      </c>
      <c r="S41" s="45">
        <v>4</v>
      </c>
      <c r="T41" s="45">
        <v>4</v>
      </c>
      <c r="U41" s="45">
        <v>4</v>
      </c>
      <c r="V41" s="45">
        <v>4</v>
      </c>
      <c r="W41" s="45">
        <v>4</v>
      </c>
      <c r="X41" s="45">
        <v>4</v>
      </c>
      <c r="Y41" s="45">
        <v>4</v>
      </c>
      <c r="Z41" s="45">
        <v>4</v>
      </c>
      <c r="AA41" s="45">
        <v>4</v>
      </c>
      <c r="AB41" s="45">
        <v>4</v>
      </c>
      <c r="AC41" s="45">
        <v>4</v>
      </c>
      <c r="AD41" s="45">
        <v>4</v>
      </c>
      <c r="AE41" s="45">
        <v>4</v>
      </c>
      <c r="AF41" s="45">
        <v>4</v>
      </c>
      <c r="AG41" s="49">
        <v>14.9</v>
      </c>
      <c r="AH41" s="47">
        <f t="shared" si="2"/>
        <v>4</v>
      </c>
      <c r="AI41" s="48">
        <f t="shared" si="3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</row>
    <row r="42" spans="1:82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2"/>
        <v>1.8</v>
      </c>
      <c r="AI42" s="48">
        <f t="shared" si="3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</row>
    <row r="43" spans="1:82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2"/>
        <v>3.8</v>
      </c>
      <c r="AI43" s="48">
        <f t="shared" si="3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</row>
    <row r="44" spans="1:82" x14ac:dyDescent="0.25">
      <c r="A44" s="44" t="s">
        <v>47</v>
      </c>
      <c r="B44" s="45">
        <v>4</v>
      </c>
      <c r="C44" s="45">
        <v>4</v>
      </c>
      <c r="D44" s="45">
        <v>4</v>
      </c>
      <c r="E44" s="45">
        <v>4</v>
      </c>
      <c r="F44" s="45">
        <v>4</v>
      </c>
      <c r="G44" s="45">
        <v>4</v>
      </c>
      <c r="H44" s="45">
        <v>4</v>
      </c>
      <c r="I44" s="45">
        <v>4</v>
      </c>
      <c r="J44" s="45">
        <v>4</v>
      </c>
      <c r="K44" s="45">
        <v>4</v>
      </c>
      <c r="L44" s="45">
        <v>4</v>
      </c>
      <c r="M44" s="45">
        <v>4</v>
      </c>
      <c r="N44" s="45">
        <v>4</v>
      </c>
      <c r="O44" s="45">
        <v>4</v>
      </c>
      <c r="P44" s="45">
        <v>4</v>
      </c>
      <c r="Q44" s="45">
        <v>4</v>
      </c>
      <c r="R44" s="45">
        <v>4</v>
      </c>
      <c r="S44" s="45">
        <v>4</v>
      </c>
      <c r="T44" s="45">
        <v>4</v>
      </c>
      <c r="U44" s="45">
        <v>4</v>
      </c>
      <c r="V44" s="45">
        <v>4</v>
      </c>
      <c r="W44" s="45">
        <v>4</v>
      </c>
      <c r="X44" s="45">
        <v>4</v>
      </c>
      <c r="Y44" s="45">
        <v>4</v>
      </c>
      <c r="Z44" s="45">
        <v>4</v>
      </c>
      <c r="AA44" s="45">
        <v>4</v>
      </c>
      <c r="AB44" s="45">
        <v>4</v>
      </c>
      <c r="AC44" s="45">
        <v>4</v>
      </c>
      <c r="AD44" s="45">
        <v>4</v>
      </c>
      <c r="AE44" s="45">
        <v>4</v>
      </c>
      <c r="AF44" s="45">
        <v>4</v>
      </c>
      <c r="AG44" s="49">
        <v>12</v>
      </c>
      <c r="AH44" s="47">
        <f t="shared" si="2"/>
        <v>4</v>
      </c>
      <c r="AI44" s="48">
        <f t="shared" si="3"/>
        <v>4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</row>
    <row r="45" spans="1:82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49">
        <v>12</v>
      </c>
      <c r="AH45" s="47">
        <f t="shared" si="2"/>
        <v>9</v>
      </c>
      <c r="AI45" s="48">
        <f t="shared" si="3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</row>
    <row r="46" spans="1:82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2"/>
        <v>3</v>
      </c>
      <c r="AI46" s="48">
        <f t="shared" si="3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</row>
    <row r="47" spans="1:82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2"/>
        <v>3.5</v>
      </c>
      <c r="AI47" s="48">
        <f t="shared" si="3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</row>
    <row r="48" spans="1:82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>
        <v>5</v>
      </c>
      <c r="N48" s="45">
        <v>5</v>
      </c>
      <c r="O48" s="45">
        <v>5</v>
      </c>
      <c r="P48" s="45">
        <v>5</v>
      </c>
      <c r="Q48" s="45">
        <v>5</v>
      </c>
      <c r="R48" s="45">
        <v>5</v>
      </c>
      <c r="S48" s="45">
        <v>5</v>
      </c>
      <c r="T48" s="45">
        <v>5</v>
      </c>
      <c r="U48" s="45">
        <v>5</v>
      </c>
      <c r="V48" s="45">
        <v>5</v>
      </c>
      <c r="W48" s="45">
        <v>5</v>
      </c>
      <c r="X48" s="45">
        <v>5</v>
      </c>
      <c r="Y48" s="45">
        <v>5</v>
      </c>
      <c r="Z48" s="45">
        <v>5</v>
      </c>
      <c r="AA48" s="45">
        <v>5</v>
      </c>
      <c r="AB48" s="45">
        <v>5</v>
      </c>
      <c r="AC48" s="45">
        <v>5</v>
      </c>
      <c r="AD48" s="45">
        <v>5</v>
      </c>
      <c r="AE48" s="45">
        <v>5</v>
      </c>
      <c r="AF48" s="45">
        <v>5</v>
      </c>
      <c r="AG48" s="52">
        <v>11.88</v>
      </c>
      <c r="AH48" s="47">
        <f t="shared" si="2"/>
        <v>5</v>
      </c>
      <c r="AI48" s="48">
        <f t="shared" si="3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</row>
    <row r="49" spans="1:82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>
        <v>3</v>
      </c>
      <c r="N49" s="45">
        <v>3</v>
      </c>
      <c r="O49" s="45">
        <v>3</v>
      </c>
      <c r="P49" s="45">
        <v>3</v>
      </c>
      <c r="Q49" s="45">
        <v>3</v>
      </c>
      <c r="R49" s="45">
        <v>3</v>
      </c>
      <c r="S49" s="45">
        <v>3</v>
      </c>
      <c r="T49" s="45">
        <v>3</v>
      </c>
      <c r="U49" s="45">
        <v>3</v>
      </c>
      <c r="V49" s="45">
        <v>3</v>
      </c>
      <c r="W49" s="45">
        <v>3</v>
      </c>
      <c r="X49" s="45">
        <v>3</v>
      </c>
      <c r="Y49" s="45">
        <v>3</v>
      </c>
      <c r="Z49" s="45">
        <v>3</v>
      </c>
      <c r="AA49" s="45">
        <v>3</v>
      </c>
      <c r="AB49" s="45">
        <v>3</v>
      </c>
      <c r="AC49" s="45">
        <v>3</v>
      </c>
      <c r="AD49" s="45">
        <v>3</v>
      </c>
      <c r="AE49" s="45">
        <v>3</v>
      </c>
      <c r="AF49" s="45">
        <v>3</v>
      </c>
      <c r="AG49" s="55">
        <v>11</v>
      </c>
      <c r="AH49" s="47">
        <f t="shared" si="2"/>
        <v>3</v>
      </c>
      <c r="AI49" s="48">
        <f t="shared" si="3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</row>
    <row r="50" spans="1:82" ht="14.25" customHeight="1" x14ac:dyDescent="0.25">
      <c r="A50" s="54" t="s">
        <v>267</v>
      </c>
      <c r="B50" s="45">
        <v>3.3</v>
      </c>
      <c r="C50" s="45">
        <v>3.3</v>
      </c>
      <c r="D50" s="45">
        <v>3.3</v>
      </c>
      <c r="E50" s="45">
        <v>3.3</v>
      </c>
      <c r="F50" s="45">
        <v>3.3</v>
      </c>
      <c r="G50" s="45">
        <v>3.3</v>
      </c>
      <c r="H50" s="45">
        <v>3.3</v>
      </c>
      <c r="I50" s="45">
        <v>3.3</v>
      </c>
      <c r="J50" s="45">
        <v>3.3</v>
      </c>
      <c r="K50" s="45">
        <v>3.3</v>
      </c>
      <c r="L50" s="45">
        <v>3.3</v>
      </c>
      <c r="M50" s="45">
        <v>3.3</v>
      </c>
      <c r="N50" s="45">
        <v>3.3</v>
      </c>
      <c r="O50" s="45">
        <v>3.3</v>
      </c>
      <c r="P50" s="45">
        <v>3.3</v>
      </c>
      <c r="Q50" s="45">
        <v>3.3</v>
      </c>
      <c r="R50" s="45">
        <v>3.3</v>
      </c>
      <c r="S50" s="45">
        <v>3.3</v>
      </c>
      <c r="T50" s="45">
        <v>3.3</v>
      </c>
      <c r="U50" s="45">
        <v>3.3</v>
      </c>
      <c r="V50" s="45">
        <v>3.3</v>
      </c>
      <c r="W50" s="45">
        <v>3.3</v>
      </c>
      <c r="X50" s="45">
        <v>3.3</v>
      </c>
      <c r="Y50" s="45">
        <v>3.3</v>
      </c>
      <c r="Z50" s="45">
        <v>3.3</v>
      </c>
      <c r="AA50" s="45">
        <v>3.3</v>
      </c>
      <c r="AB50" s="45">
        <v>3.3</v>
      </c>
      <c r="AC50" s="45">
        <v>3.3</v>
      </c>
      <c r="AD50" s="45">
        <v>3.3</v>
      </c>
      <c r="AE50" s="45">
        <v>3.3</v>
      </c>
      <c r="AF50" s="45">
        <v>3.3</v>
      </c>
      <c r="AG50" s="55">
        <v>11</v>
      </c>
      <c r="AH50" s="47">
        <f t="shared" si="2"/>
        <v>3.3</v>
      </c>
      <c r="AI50" s="48">
        <f t="shared" si="3"/>
        <v>3.3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</row>
    <row r="51" spans="1:82" ht="14.25" customHeight="1" x14ac:dyDescent="0.25">
      <c r="A51" s="54" t="s">
        <v>268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"/>
        <v>3</v>
      </c>
      <c r="AI51" s="48">
        <f t="shared" si="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</row>
    <row r="52" spans="1:82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2"/>
        <v>4</v>
      </c>
      <c r="AI52" s="48">
        <f t="shared" si="3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</row>
    <row r="53" spans="1:82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"/>
        <v>4.5</v>
      </c>
      <c r="AI53" s="48">
        <f t="shared" si="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</row>
    <row r="54" spans="1:82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</row>
    <row r="55" spans="1:82" x14ac:dyDescent="0.25">
      <c r="A55" s="54" t="s">
        <v>269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"/>
        <v>0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</row>
    <row r="56" spans="1:82" x14ac:dyDescent="0.25">
      <c r="A56" s="56" t="s">
        <v>56</v>
      </c>
      <c r="B56" s="57">
        <v>150</v>
      </c>
      <c r="C56" s="57">
        <v>150</v>
      </c>
      <c r="D56" s="57">
        <v>150</v>
      </c>
      <c r="E56" s="57">
        <v>150</v>
      </c>
      <c r="F56" s="57">
        <v>150</v>
      </c>
      <c r="G56" s="57">
        <v>150</v>
      </c>
      <c r="H56" s="57">
        <v>150</v>
      </c>
      <c r="I56" s="57">
        <v>150</v>
      </c>
      <c r="J56" s="57">
        <v>150</v>
      </c>
      <c r="K56" s="57">
        <v>150</v>
      </c>
      <c r="L56" s="57">
        <v>150</v>
      </c>
      <c r="M56" s="57">
        <v>150</v>
      </c>
      <c r="N56" s="57">
        <v>150</v>
      </c>
      <c r="O56" s="57">
        <v>150</v>
      </c>
      <c r="P56" s="57">
        <v>150</v>
      </c>
      <c r="Q56" s="57">
        <v>150</v>
      </c>
      <c r="R56" s="57">
        <v>150</v>
      </c>
      <c r="S56" s="57">
        <v>150</v>
      </c>
      <c r="T56" s="57">
        <v>150</v>
      </c>
      <c r="U56" s="57">
        <v>150</v>
      </c>
      <c r="V56" s="57">
        <v>150</v>
      </c>
      <c r="W56" s="57">
        <v>150</v>
      </c>
      <c r="X56" s="57">
        <v>150</v>
      </c>
      <c r="Y56" s="57">
        <v>150</v>
      </c>
      <c r="Z56" s="57">
        <v>150</v>
      </c>
      <c r="AA56" s="57">
        <v>150</v>
      </c>
      <c r="AB56" s="57">
        <v>150</v>
      </c>
      <c r="AC56" s="57">
        <v>150</v>
      </c>
      <c r="AD56" s="57">
        <v>150</v>
      </c>
      <c r="AE56" s="57">
        <v>150</v>
      </c>
      <c r="AF56" s="57">
        <v>150</v>
      </c>
      <c r="AG56" s="55">
        <v>85</v>
      </c>
      <c r="AH56" s="47">
        <f t="shared" si="2"/>
        <v>150</v>
      </c>
      <c r="AI56" s="48">
        <f t="shared" si="3"/>
        <v>150</v>
      </c>
      <c r="AK56" s="50"/>
    </row>
    <row r="57" spans="1:82" ht="15.75" thickBot="1" x14ac:dyDescent="0.3">
      <c r="A57" s="58" t="s">
        <v>57</v>
      </c>
      <c r="B57" s="57">
        <v>20</v>
      </c>
      <c r="C57" s="57">
        <v>20</v>
      </c>
      <c r="D57" s="57">
        <v>20</v>
      </c>
      <c r="E57" s="57">
        <f>19.6+8.7</f>
        <v>28.3</v>
      </c>
      <c r="F57" s="57">
        <f>20.1+8.8</f>
        <v>28.900000000000002</v>
      </c>
      <c r="G57" s="57">
        <f>21.6+9.2</f>
        <v>30.8</v>
      </c>
      <c r="H57" s="57">
        <f>20.8+8.9</f>
        <v>29.700000000000003</v>
      </c>
      <c r="I57" s="57">
        <f>20.37+8.8</f>
        <v>29.17</v>
      </c>
      <c r="J57" s="57">
        <f>20.4+8.6</f>
        <v>29</v>
      </c>
      <c r="K57" s="51">
        <f>19.7+8.2</f>
        <v>27.9</v>
      </c>
      <c r="L57" s="51">
        <f>19.7+8.2</f>
        <v>27.9</v>
      </c>
      <c r="M57" s="51">
        <v>25.6</v>
      </c>
      <c r="N57" s="51">
        <v>25.6</v>
      </c>
      <c r="O57" s="51">
        <v>25.6</v>
      </c>
      <c r="P57" s="51">
        <v>25.6</v>
      </c>
      <c r="Q57" s="51">
        <v>25.6</v>
      </c>
      <c r="R57" s="51">
        <v>25.6</v>
      </c>
      <c r="S57" s="51">
        <v>25.6</v>
      </c>
      <c r="T57" s="51">
        <v>25.6</v>
      </c>
      <c r="U57" s="51">
        <v>25.6</v>
      </c>
      <c r="V57" s="51">
        <v>26.4</v>
      </c>
      <c r="W57" s="51">
        <v>26.4</v>
      </c>
      <c r="X57" s="51">
        <v>26.4</v>
      </c>
      <c r="Y57" s="51">
        <v>26.4</v>
      </c>
      <c r="Z57" s="51">
        <v>26.4</v>
      </c>
      <c r="AA57" s="51">
        <v>26.4</v>
      </c>
      <c r="AB57" s="51">
        <v>26.4</v>
      </c>
      <c r="AC57" s="51">
        <v>26.4</v>
      </c>
      <c r="AD57" s="51">
        <v>26.4</v>
      </c>
      <c r="AE57" s="51">
        <v>26.4</v>
      </c>
      <c r="AF57" s="51">
        <v>26.4</v>
      </c>
      <c r="AG57" s="55">
        <v>240</v>
      </c>
      <c r="AH57" s="47">
        <f t="shared" si="2"/>
        <v>30.8</v>
      </c>
      <c r="AI57" s="48">
        <f t="shared" si="3"/>
        <v>20</v>
      </c>
      <c r="AK57" s="50"/>
    </row>
    <row r="58" spans="1:82" ht="15.75" thickBot="1" x14ac:dyDescent="0.3">
      <c r="A58" s="59" t="s">
        <v>58</v>
      </c>
      <c r="B58" s="60">
        <f>SUM(B11:B56)</f>
        <v>498.1</v>
      </c>
      <c r="C58" s="60">
        <f>SUM(C11:C56)</f>
        <v>498.1</v>
      </c>
      <c r="D58" s="60">
        <f t="shared" ref="D58:AB58" si="4">SUM(D11:D56)</f>
        <v>498.1</v>
      </c>
      <c r="E58" s="60">
        <f t="shared" ref="E58" si="5">SUM(E11:E56)</f>
        <v>498.2</v>
      </c>
      <c r="F58" s="60">
        <f t="shared" si="4"/>
        <v>504.7</v>
      </c>
      <c r="G58" s="60">
        <f t="shared" si="4"/>
        <v>498.00000000000006</v>
      </c>
      <c r="H58" s="60">
        <f t="shared" si="4"/>
        <v>498.2</v>
      </c>
      <c r="I58" s="60">
        <f t="shared" si="4"/>
        <v>498.2</v>
      </c>
      <c r="J58" s="60">
        <f t="shared" si="4"/>
        <v>498.2</v>
      </c>
      <c r="K58" s="60">
        <f t="shared" si="4"/>
        <v>497.7</v>
      </c>
      <c r="L58" s="60">
        <f t="shared" si="4"/>
        <v>497.90000000000003</v>
      </c>
      <c r="M58" s="60">
        <f t="shared" si="4"/>
        <v>497.50000000000006</v>
      </c>
      <c r="N58" s="60">
        <f t="shared" si="4"/>
        <v>497.50000000000006</v>
      </c>
      <c r="O58" s="60">
        <f t="shared" si="4"/>
        <v>497.50000000000006</v>
      </c>
      <c r="P58" s="60">
        <f t="shared" si="4"/>
        <v>497.50000000000006</v>
      </c>
      <c r="Q58" s="60">
        <f t="shared" si="4"/>
        <v>497.50000000000006</v>
      </c>
      <c r="R58" s="60">
        <f t="shared" si="4"/>
        <v>497.50000000000006</v>
      </c>
      <c r="S58" s="60">
        <f t="shared" ref="S58" si="6">SUM(S11:S56)</f>
        <v>495.00000000000006</v>
      </c>
      <c r="T58" s="60">
        <f t="shared" si="4"/>
        <v>495.80000000000007</v>
      </c>
      <c r="U58" s="60">
        <f t="shared" si="4"/>
        <v>495.80000000000007</v>
      </c>
      <c r="V58" s="60">
        <f t="shared" si="4"/>
        <v>495.80000000000007</v>
      </c>
      <c r="W58" s="60">
        <f t="shared" ref="W58" si="7">SUM(W11:W56)</f>
        <v>496.1</v>
      </c>
      <c r="X58" s="60">
        <f t="shared" si="4"/>
        <v>496.1</v>
      </c>
      <c r="Y58" s="60">
        <f>SUM(Y11:Y56)</f>
        <v>496.1</v>
      </c>
      <c r="Z58" s="60">
        <f>SUM(Z11:Z56)</f>
        <v>496.1</v>
      </c>
      <c r="AA58" s="60">
        <f t="shared" si="4"/>
        <v>496.1</v>
      </c>
      <c r="AB58" s="60">
        <f t="shared" si="4"/>
        <v>496.1</v>
      </c>
      <c r="AC58" s="60">
        <f t="shared" ref="AC58:AD58" si="8">SUM(AC11:AC56)</f>
        <v>496.1</v>
      </c>
      <c r="AD58" s="60">
        <f t="shared" si="8"/>
        <v>496.1</v>
      </c>
      <c r="AE58" s="60">
        <f t="shared" ref="AE58:AF58" si="9">SUM(AE11:AE56)</f>
        <v>496.1</v>
      </c>
      <c r="AF58" s="60">
        <f t="shared" si="9"/>
        <v>496.1</v>
      </c>
      <c r="AG58" s="61">
        <f>SUM(AG14:AG56)</f>
        <v>1042.4000000000001</v>
      </c>
      <c r="AH58" s="47">
        <f t="shared" si="2"/>
        <v>504.7</v>
      </c>
      <c r="AI58" s="48">
        <f t="shared" si="3"/>
        <v>495.00000000000006</v>
      </c>
      <c r="AK58" s="50"/>
    </row>
    <row r="59" spans="1:82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90</v>
      </c>
      <c r="K59" s="45">
        <v>210</v>
      </c>
      <c r="L59" s="45">
        <v>280</v>
      </c>
      <c r="M59" s="45">
        <v>360</v>
      </c>
      <c r="N59" s="63">
        <v>320</v>
      </c>
      <c r="O59" s="63">
        <v>100</v>
      </c>
      <c r="P59" s="63">
        <v>15</v>
      </c>
      <c r="Q59" s="63">
        <v>0</v>
      </c>
      <c r="R59" s="63">
        <v>0</v>
      </c>
      <c r="S59" s="63">
        <v>15</v>
      </c>
      <c r="T59" s="45">
        <v>75</v>
      </c>
      <c r="U59" s="45">
        <v>75</v>
      </c>
      <c r="V59" s="45">
        <v>50</v>
      </c>
      <c r="W59" s="45">
        <v>120</v>
      </c>
      <c r="X59" s="45">
        <v>200</v>
      </c>
      <c r="Y59" s="45">
        <v>210</v>
      </c>
      <c r="Z59" s="45">
        <v>300</v>
      </c>
      <c r="AA59" s="45">
        <v>280</v>
      </c>
      <c r="AB59" s="45">
        <v>210</v>
      </c>
      <c r="AC59" s="45">
        <v>80</v>
      </c>
      <c r="AD59" s="45">
        <v>80</v>
      </c>
      <c r="AE59" s="45">
        <v>0</v>
      </c>
      <c r="AF59" s="45">
        <v>0</v>
      </c>
      <c r="AG59" s="52">
        <v>456</v>
      </c>
      <c r="AH59" s="47">
        <f t="shared" si="2"/>
        <v>360</v>
      </c>
      <c r="AI59" s="48">
        <f t="shared" si="3"/>
        <v>0</v>
      </c>
      <c r="AK59" s="50"/>
    </row>
    <row r="60" spans="1:82" x14ac:dyDescent="0.25">
      <c r="A60" s="64" t="s">
        <v>60</v>
      </c>
      <c r="B60" s="65">
        <v>30</v>
      </c>
      <c r="C60" s="65">
        <v>30</v>
      </c>
      <c r="D60" s="65">
        <v>30</v>
      </c>
      <c r="E60" s="65">
        <v>30</v>
      </c>
      <c r="F60" s="65">
        <v>30</v>
      </c>
      <c r="G60" s="65">
        <v>30</v>
      </c>
      <c r="H60" s="65">
        <v>30</v>
      </c>
      <c r="I60" s="65">
        <v>30</v>
      </c>
      <c r="J60" s="65">
        <v>30</v>
      </c>
      <c r="K60" s="65">
        <v>30</v>
      </c>
      <c r="L60" s="65">
        <v>30</v>
      </c>
      <c r="M60" s="65">
        <v>30</v>
      </c>
      <c r="N60" s="65">
        <v>30</v>
      </c>
      <c r="O60" s="65">
        <v>30</v>
      </c>
      <c r="P60" s="65">
        <v>30</v>
      </c>
      <c r="Q60" s="65">
        <v>30</v>
      </c>
      <c r="R60" s="65">
        <v>30</v>
      </c>
      <c r="S60" s="65">
        <v>30</v>
      </c>
      <c r="T60" s="65">
        <v>30</v>
      </c>
      <c r="U60" s="65">
        <v>30</v>
      </c>
      <c r="V60" s="65">
        <v>30</v>
      </c>
      <c r="W60" s="65">
        <v>30</v>
      </c>
      <c r="X60" s="65">
        <v>30</v>
      </c>
      <c r="Y60" s="65">
        <v>30</v>
      </c>
      <c r="Z60" s="65">
        <v>30</v>
      </c>
      <c r="AA60" s="65">
        <v>30</v>
      </c>
      <c r="AB60" s="65">
        <v>30</v>
      </c>
      <c r="AC60" s="65">
        <v>30</v>
      </c>
      <c r="AD60" s="65">
        <v>30</v>
      </c>
      <c r="AE60" s="65">
        <v>30</v>
      </c>
      <c r="AF60" s="65">
        <v>30</v>
      </c>
      <c r="AG60" s="55">
        <v>60</v>
      </c>
      <c r="AH60" s="47">
        <f t="shared" si="2"/>
        <v>30</v>
      </c>
      <c r="AI60" s="48">
        <f t="shared" si="3"/>
        <v>30</v>
      </c>
      <c r="AK60" s="50"/>
    </row>
    <row r="61" spans="1:82" ht="15.75" thickBot="1" x14ac:dyDescent="0.3">
      <c r="A61" s="66" t="s">
        <v>61</v>
      </c>
      <c r="B61" s="67">
        <v>10.199999999999999</v>
      </c>
      <c r="C61" s="67">
        <v>10.199999999999999</v>
      </c>
      <c r="D61" s="67">
        <v>10.199999999999999</v>
      </c>
      <c r="E61" s="67">
        <v>10.199999999999999</v>
      </c>
      <c r="F61" s="67">
        <v>10.1</v>
      </c>
      <c r="G61" s="67">
        <v>10.1</v>
      </c>
      <c r="H61" s="67">
        <v>10.199999999999999</v>
      </c>
      <c r="I61" s="67">
        <v>10.3</v>
      </c>
      <c r="J61" s="67">
        <v>10.199999999999999</v>
      </c>
      <c r="K61" s="67">
        <v>9.6999999999999993</v>
      </c>
      <c r="L61" s="67">
        <v>9.6999999999999993</v>
      </c>
      <c r="M61" s="67">
        <v>9.6999999999999993</v>
      </c>
      <c r="N61" s="67">
        <v>9.6999999999999993</v>
      </c>
      <c r="O61" s="67">
        <v>9.6999999999999993</v>
      </c>
      <c r="P61" s="67">
        <v>9.6999999999999993</v>
      </c>
      <c r="Q61" s="67">
        <v>9.6999999999999993</v>
      </c>
      <c r="R61" s="67">
        <v>9.6999999999999993</v>
      </c>
      <c r="S61" s="67">
        <v>9.6999999999999993</v>
      </c>
      <c r="T61" s="67">
        <v>7.7</v>
      </c>
      <c r="U61" s="67">
        <v>7.7</v>
      </c>
      <c r="V61" s="67">
        <v>7.8</v>
      </c>
      <c r="W61" s="67">
        <v>8.6999999999999993</v>
      </c>
      <c r="X61" s="67">
        <v>15.1</v>
      </c>
      <c r="Y61" s="67">
        <v>15.1</v>
      </c>
      <c r="Z61" s="67">
        <v>15.1</v>
      </c>
      <c r="AA61" s="67">
        <v>15.1</v>
      </c>
      <c r="AB61" s="67">
        <v>15</v>
      </c>
      <c r="AC61" s="67">
        <v>15</v>
      </c>
      <c r="AD61" s="67">
        <v>15</v>
      </c>
      <c r="AE61" s="67">
        <v>15</v>
      </c>
      <c r="AF61" s="67">
        <v>10</v>
      </c>
      <c r="AG61" s="68">
        <v>22.1</v>
      </c>
      <c r="AH61" s="47">
        <f t="shared" si="2"/>
        <v>15.1</v>
      </c>
      <c r="AI61" s="48">
        <f t="shared" si="3"/>
        <v>7.7</v>
      </c>
      <c r="AK61" s="50"/>
    </row>
    <row r="62" spans="1:82" ht="15.75" thickBot="1" x14ac:dyDescent="0.3">
      <c r="A62" s="69" t="s">
        <v>62</v>
      </c>
      <c r="B62" s="60">
        <f>SUM(B59:B61)</f>
        <v>40.200000000000003</v>
      </c>
      <c r="C62" s="60">
        <f t="shared" ref="C62:AG62" si="10">SUM(C59:C61)</f>
        <v>40.200000000000003</v>
      </c>
      <c r="D62" s="60">
        <f t="shared" si="10"/>
        <v>40.200000000000003</v>
      </c>
      <c r="E62" s="60">
        <f t="shared" ref="E62" si="11">SUM(E59:E61)</f>
        <v>40.200000000000003</v>
      </c>
      <c r="F62" s="60">
        <f t="shared" si="10"/>
        <v>40.1</v>
      </c>
      <c r="G62" s="60">
        <f t="shared" si="10"/>
        <v>40.1</v>
      </c>
      <c r="H62" s="60">
        <f t="shared" si="10"/>
        <v>40.200000000000003</v>
      </c>
      <c r="I62" s="60">
        <f t="shared" si="10"/>
        <v>40.299999999999997</v>
      </c>
      <c r="J62" s="60">
        <f t="shared" si="10"/>
        <v>130.19999999999999</v>
      </c>
      <c r="K62" s="60">
        <f t="shared" si="10"/>
        <v>249.7</v>
      </c>
      <c r="L62" s="60">
        <f t="shared" si="10"/>
        <v>319.7</v>
      </c>
      <c r="M62" s="60">
        <f t="shared" si="10"/>
        <v>399.7</v>
      </c>
      <c r="N62" s="60">
        <f>SUM(N59:N61)</f>
        <v>359.7</v>
      </c>
      <c r="O62" s="60">
        <f t="shared" si="10"/>
        <v>139.69999999999999</v>
      </c>
      <c r="P62" s="60">
        <f t="shared" si="10"/>
        <v>54.7</v>
      </c>
      <c r="Q62" s="60">
        <f t="shared" si="10"/>
        <v>39.700000000000003</v>
      </c>
      <c r="R62" s="60">
        <f t="shared" si="10"/>
        <v>39.700000000000003</v>
      </c>
      <c r="S62" s="60">
        <f t="shared" si="10"/>
        <v>54.7</v>
      </c>
      <c r="T62" s="60">
        <f t="shared" si="10"/>
        <v>112.7</v>
      </c>
      <c r="U62" s="60">
        <f t="shared" si="10"/>
        <v>112.7</v>
      </c>
      <c r="V62" s="60">
        <f t="shared" si="10"/>
        <v>87.8</v>
      </c>
      <c r="W62" s="60">
        <f t="shared" ref="W62" si="12">SUM(W59:W61)</f>
        <v>158.69999999999999</v>
      </c>
      <c r="X62" s="60">
        <f t="shared" si="10"/>
        <v>245.1</v>
      </c>
      <c r="Y62" s="60">
        <f>SUM(Y59:Y61)</f>
        <v>255.1</v>
      </c>
      <c r="Z62" s="60">
        <f>SUM(Z59:Z61)</f>
        <v>345.1</v>
      </c>
      <c r="AA62" s="60">
        <f t="shared" si="10"/>
        <v>325.10000000000002</v>
      </c>
      <c r="AB62" s="60">
        <f t="shared" si="10"/>
        <v>255</v>
      </c>
      <c r="AC62" s="60">
        <f t="shared" ref="AC62:AD62" si="13">SUM(AC59:AC61)</f>
        <v>125</v>
      </c>
      <c r="AD62" s="60">
        <f t="shared" si="13"/>
        <v>125</v>
      </c>
      <c r="AE62" s="60">
        <f t="shared" ref="AE62:AF62" si="14">SUM(AE59:AE61)</f>
        <v>45</v>
      </c>
      <c r="AF62" s="60">
        <f t="shared" si="14"/>
        <v>40</v>
      </c>
      <c r="AG62" s="61">
        <f t="shared" si="10"/>
        <v>538.1</v>
      </c>
      <c r="AH62" s="47">
        <f t="shared" si="2"/>
        <v>399.7</v>
      </c>
      <c r="AI62" s="48">
        <f t="shared" si="3"/>
        <v>39.700000000000003</v>
      </c>
      <c r="AK62" s="50"/>
    </row>
    <row r="63" spans="1:82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60.4</v>
      </c>
      <c r="I63" s="45">
        <v>60</v>
      </c>
      <c r="J63" s="45">
        <v>110</v>
      </c>
      <c r="K63" s="45">
        <v>105</v>
      </c>
      <c r="L63" s="45">
        <v>121</v>
      </c>
      <c r="M63" s="45">
        <v>121.8</v>
      </c>
      <c r="N63" s="45">
        <v>110</v>
      </c>
      <c r="O63" s="45">
        <v>61</v>
      </c>
      <c r="P63" s="45">
        <v>61.7</v>
      </c>
      <c r="Q63" s="45">
        <v>60.6</v>
      </c>
      <c r="R63" s="45">
        <v>60.6</v>
      </c>
      <c r="S63" s="45">
        <v>48.74</v>
      </c>
      <c r="T63" s="45">
        <v>48.4</v>
      </c>
      <c r="U63" s="45">
        <v>60.5</v>
      </c>
      <c r="V63" s="45">
        <v>61.2</v>
      </c>
      <c r="W63" s="45">
        <v>61.2</v>
      </c>
      <c r="X63" s="45">
        <v>96.2</v>
      </c>
      <c r="Y63" s="45">
        <v>140.5</v>
      </c>
      <c r="Z63" s="45">
        <v>142.9</v>
      </c>
      <c r="AA63" s="45">
        <v>110</v>
      </c>
      <c r="AB63" s="45">
        <v>98</v>
      </c>
      <c r="AC63" s="45">
        <v>70</v>
      </c>
      <c r="AD63" s="45">
        <v>60</v>
      </c>
      <c r="AE63" s="45">
        <v>60</v>
      </c>
      <c r="AF63" s="45">
        <v>0</v>
      </c>
      <c r="AG63" s="52">
        <v>144</v>
      </c>
      <c r="AH63" s="47">
        <f>MAX(B63:AF63)</f>
        <v>142.9</v>
      </c>
      <c r="AI63" s="48">
        <f>MIN(B63:AF63)</f>
        <v>0</v>
      </c>
      <c r="AK63" s="50"/>
    </row>
    <row r="64" spans="1:82" x14ac:dyDescent="0.25">
      <c r="A64" s="54" t="s">
        <v>64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35</v>
      </c>
      <c r="I64" s="65">
        <v>60</v>
      </c>
      <c r="J64" s="65">
        <v>60</v>
      </c>
      <c r="K64" s="65">
        <v>50</v>
      </c>
      <c r="L64" s="65">
        <v>70</v>
      </c>
      <c r="M64" s="65">
        <v>50</v>
      </c>
      <c r="N64" s="65">
        <v>50</v>
      </c>
      <c r="O64" s="65">
        <v>35</v>
      </c>
      <c r="P64" s="65">
        <v>25</v>
      </c>
      <c r="Q64" s="65">
        <v>25</v>
      </c>
      <c r="R64" s="65">
        <v>50</v>
      </c>
      <c r="S64" s="45">
        <v>50</v>
      </c>
      <c r="T64" s="45">
        <v>35</v>
      </c>
      <c r="U64" s="45">
        <v>35</v>
      </c>
      <c r="V64" s="45">
        <v>22</v>
      </c>
      <c r="W64" s="45">
        <v>25</v>
      </c>
      <c r="X64" s="45">
        <v>50</v>
      </c>
      <c r="Y64" s="45">
        <v>69</v>
      </c>
      <c r="Z64" s="45">
        <v>69</v>
      </c>
      <c r="AA64" s="45">
        <v>55</v>
      </c>
      <c r="AB64" s="45">
        <v>55</v>
      </c>
      <c r="AC64" s="45">
        <v>55</v>
      </c>
      <c r="AD64" s="45">
        <v>70</v>
      </c>
      <c r="AE64" s="45">
        <v>70</v>
      </c>
      <c r="AF64" s="45">
        <v>0</v>
      </c>
      <c r="AG64" s="55">
        <v>70</v>
      </c>
      <c r="AH64" s="47">
        <f t="shared" si="2"/>
        <v>70</v>
      </c>
      <c r="AI64" s="48">
        <f t="shared" si="3"/>
        <v>0</v>
      </c>
      <c r="AK64" s="50"/>
    </row>
    <row r="65" spans="1:75" x14ac:dyDescent="0.25">
      <c r="A65" s="54" t="s">
        <v>65</v>
      </c>
      <c r="B65" s="65">
        <v>0</v>
      </c>
      <c r="C65" s="65">
        <v>0</v>
      </c>
      <c r="D65" s="65">
        <v>0</v>
      </c>
      <c r="E65" s="65">
        <v>0</v>
      </c>
      <c r="F65" s="65">
        <v>0</v>
      </c>
      <c r="G65" s="65">
        <v>15.9</v>
      </c>
      <c r="H65" s="65">
        <v>45</v>
      </c>
      <c r="I65" s="65">
        <v>60</v>
      </c>
      <c r="J65" s="65">
        <v>51</v>
      </c>
      <c r="K65" s="65">
        <v>55</v>
      </c>
      <c r="L65" s="65">
        <v>67</v>
      </c>
      <c r="M65" s="65">
        <v>60.2</v>
      </c>
      <c r="N65" s="65">
        <v>50</v>
      </c>
      <c r="O65" s="65">
        <v>32</v>
      </c>
      <c r="P65" s="65">
        <v>16.399999999999999</v>
      </c>
      <c r="Q65" s="65">
        <v>16.399999999999999</v>
      </c>
      <c r="R65" s="65">
        <v>16.399999999999999</v>
      </c>
      <c r="S65" s="45">
        <v>16.7</v>
      </c>
      <c r="T65" s="45">
        <v>23.4</v>
      </c>
      <c r="U65" s="45">
        <v>44.8</v>
      </c>
      <c r="V65" s="45">
        <v>34.799999999999997</v>
      </c>
      <c r="W65" s="45">
        <v>34.799999999999997</v>
      </c>
      <c r="X65" s="45">
        <v>60</v>
      </c>
      <c r="Y65" s="45">
        <v>68.900000000000006</v>
      </c>
      <c r="Z65" s="45">
        <v>68.8</v>
      </c>
      <c r="AA65" s="45">
        <v>55</v>
      </c>
      <c r="AB65" s="45">
        <v>55</v>
      </c>
      <c r="AC65" s="45">
        <v>55</v>
      </c>
      <c r="AD65" s="45">
        <v>55</v>
      </c>
      <c r="AE65" s="45">
        <v>55</v>
      </c>
      <c r="AF65" s="45">
        <v>32</v>
      </c>
      <c r="AG65" s="55">
        <v>69</v>
      </c>
      <c r="AH65" s="47">
        <f t="shared" si="2"/>
        <v>68.900000000000006</v>
      </c>
      <c r="AI65" s="48">
        <f t="shared" si="3"/>
        <v>0</v>
      </c>
      <c r="AK65" s="50"/>
    </row>
    <row r="66" spans="1:75" x14ac:dyDescent="0.25">
      <c r="A66" s="54" t="s">
        <v>66</v>
      </c>
      <c r="B66" s="65">
        <v>45.1</v>
      </c>
      <c r="C66" s="65">
        <v>45.1</v>
      </c>
      <c r="D66" s="65">
        <v>41.1</v>
      </c>
      <c r="E66" s="65">
        <v>41.1</v>
      </c>
      <c r="F66" s="65">
        <v>41.4</v>
      </c>
      <c r="G66" s="65">
        <v>41.4</v>
      </c>
      <c r="H66" s="65">
        <v>41</v>
      </c>
      <c r="I66" s="65">
        <v>41.1</v>
      </c>
      <c r="J66" s="65">
        <v>41.1</v>
      </c>
      <c r="K66" s="57">
        <v>41</v>
      </c>
      <c r="L66" s="57">
        <v>41</v>
      </c>
      <c r="M66" s="65">
        <v>42.1</v>
      </c>
      <c r="N66" s="65">
        <v>42.1</v>
      </c>
      <c r="O66" s="65">
        <v>42.1</v>
      </c>
      <c r="P66" s="65">
        <v>42.1</v>
      </c>
      <c r="Q66" s="65">
        <v>42.1</v>
      </c>
      <c r="R66" s="65">
        <v>41</v>
      </c>
      <c r="S66" s="45">
        <v>41.3</v>
      </c>
      <c r="T66" s="45">
        <v>41.1</v>
      </c>
      <c r="U66" s="45">
        <v>41.3</v>
      </c>
      <c r="V66" s="45">
        <v>39.299999999999997</v>
      </c>
      <c r="W66" s="45">
        <v>39.299999999999997</v>
      </c>
      <c r="X66" s="45">
        <v>38.299999999999997</v>
      </c>
      <c r="Y66" s="45">
        <v>38.299999999999997</v>
      </c>
      <c r="Z66" s="45">
        <v>40.299999999999997</v>
      </c>
      <c r="AA66" s="45">
        <v>40.299999999999997</v>
      </c>
      <c r="AB66" s="45">
        <v>40.299999999999997</v>
      </c>
      <c r="AC66" s="45">
        <v>40.299999999999997</v>
      </c>
      <c r="AD66" s="45">
        <v>40.299999999999997</v>
      </c>
      <c r="AE66" s="45">
        <v>40.299999999999997</v>
      </c>
      <c r="AF66" s="45">
        <v>40.299999999999997</v>
      </c>
      <c r="AG66" s="55">
        <v>60</v>
      </c>
      <c r="AH66" s="47">
        <f t="shared" si="2"/>
        <v>45.1</v>
      </c>
      <c r="AI66" s="48">
        <f t="shared" si="3"/>
        <v>38.299999999999997</v>
      </c>
      <c r="AK66" s="50"/>
    </row>
    <row r="67" spans="1:75" x14ac:dyDescent="0.25">
      <c r="A67" s="54" t="s">
        <v>67</v>
      </c>
      <c r="B67" s="65">
        <v>0</v>
      </c>
      <c r="C67" s="65">
        <v>0</v>
      </c>
      <c r="D67" s="65">
        <v>0</v>
      </c>
      <c r="E67" s="65">
        <v>0</v>
      </c>
      <c r="F67" s="65">
        <v>10</v>
      </c>
      <c r="G67" s="65">
        <v>10</v>
      </c>
      <c r="H67" s="65">
        <v>10</v>
      </c>
      <c r="I67" s="65">
        <v>10</v>
      </c>
      <c r="J67" s="65">
        <v>15</v>
      </c>
      <c r="K67" s="57">
        <v>23</v>
      </c>
      <c r="L67" s="57">
        <v>23</v>
      </c>
      <c r="M67" s="65">
        <v>23</v>
      </c>
      <c r="N67" s="65">
        <v>23</v>
      </c>
      <c r="O67" s="65">
        <v>23</v>
      </c>
      <c r="P67" s="65">
        <v>10</v>
      </c>
      <c r="Q67" s="65">
        <v>10</v>
      </c>
      <c r="R67" s="65">
        <v>0</v>
      </c>
      <c r="S67" s="45">
        <v>0</v>
      </c>
      <c r="T67" s="45">
        <v>0</v>
      </c>
      <c r="U67" s="45">
        <v>0</v>
      </c>
      <c r="V67" s="45">
        <v>10</v>
      </c>
      <c r="W67" s="45">
        <v>10</v>
      </c>
      <c r="X67" s="45">
        <v>22</v>
      </c>
      <c r="Y67" s="45">
        <v>29</v>
      </c>
      <c r="Z67" s="45">
        <v>25</v>
      </c>
      <c r="AA67" s="45">
        <v>25</v>
      </c>
      <c r="AB67" s="45">
        <v>25</v>
      </c>
      <c r="AC67" s="45">
        <v>10</v>
      </c>
      <c r="AD67" s="45">
        <v>10</v>
      </c>
      <c r="AE67" s="45">
        <v>10</v>
      </c>
      <c r="AF67" s="45">
        <v>10</v>
      </c>
      <c r="AG67" s="55">
        <v>30</v>
      </c>
      <c r="AH67" s="47">
        <f t="shared" si="2"/>
        <v>29</v>
      </c>
      <c r="AI67" s="48">
        <f t="shared" si="3"/>
        <v>0</v>
      </c>
      <c r="AK67" s="50"/>
      <c r="AZ67" s="251">
        <v>1</v>
      </c>
      <c r="BA67" s="251">
        <v>2</v>
      </c>
      <c r="BB67" s="251">
        <v>3</v>
      </c>
      <c r="BC67" s="251">
        <v>4</v>
      </c>
      <c r="BD67" s="251">
        <v>5</v>
      </c>
      <c r="BE67" s="251">
        <v>6</v>
      </c>
      <c r="BF67" s="251">
        <v>7</v>
      </c>
      <c r="BG67" s="251">
        <v>8</v>
      </c>
      <c r="BH67" s="251">
        <v>9</v>
      </c>
      <c r="BI67" s="251">
        <v>10</v>
      </c>
      <c r="BJ67" s="251">
        <v>11</v>
      </c>
      <c r="BK67" s="251">
        <v>12</v>
      </c>
      <c r="BL67" s="251">
        <v>13</v>
      </c>
      <c r="BM67" s="251">
        <v>14</v>
      </c>
      <c r="BN67" s="251">
        <v>15</v>
      </c>
      <c r="BO67" s="251">
        <v>16</v>
      </c>
      <c r="BP67" s="251">
        <v>17</v>
      </c>
      <c r="BQ67" s="251">
        <v>18</v>
      </c>
      <c r="BR67" s="251">
        <v>19</v>
      </c>
      <c r="BS67" s="251">
        <v>20</v>
      </c>
      <c r="BT67" s="251">
        <v>21</v>
      </c>
      <c r="BU67" s="251">
        <v>22</v>
      </c>
      <c r="BV67" s="251">
        <v>23</v>
      </c>
      <c r="BW67" s="251">
        <v>24</v>
      </c>
    </row>
    <row r="68" spans="1:75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65">
        <v>0.5</v>
      </c>
      <c r="M68" s="65">
        <v>1.3</v>
      </c>
      <c r="N68" s="65">
        <v>1.3</v>
      </c>
      <c r="O68" s="65">
        <v>9.5</v>
      </c>
      <c r="P68" s="65">
        <v>15.6</v>
      </c>
      <c r="Q68" s="65">
        <v>15.6</v>
      </c>
      <c r="R68" s="65">
        <v>15.6</v>
      </c>
      <c r="S68" s="45">
        <v>14.5</v>
      </c>
      <c r="T68" s="45">
        <v>10.199999999999999</v>
      </c>
      <c r="U68" s="45">
        <v>4.9000000000000004</v>
      </c>
      <c r="V68" s="45">
        <v>0.8</v>
      </c>
      <c r="W68" s="45">
        <v>0</v>
      </c>
      <c r="X68" s="45">
        <v>0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55">
        <v>25</v>
      </c>
      <c r="AH68" s="47">
        <f t="shared" si="2"/>
        <v>15.6</v>
      </c>
      <c r="AI68" s="48">
        <f t="shared" si="3"/>
        <v>0</v>
      </c>
      <c r="AK68" s="50"/>
      <c r="AY68" s="1" t="s">
        <v>381</v>
      </c>
      <c r="AZ68" s="252">
        <f>ROUND(C81,0)</f>
        <v>73</v>
      </c>
      <c r="BA68" s="251">
        <f t="shared" ref="BA68:BD72" si="15">D81</f>
        <v>66.3</v>
      </c>
      <c r="BB68" s="251">
        <f t="shared" si="15"/>
        <v>59.4</v>
      </c>
      <c r="BC68" s="251">
        <f t="shared" si="15"/>
        <v>64.5</v>
      </c>
      <c r="BD68" s="251">
        <f t="shared" si="15"/>
        <v>69.8</v>
      </c>
      <c r="BE68" s="252">
        <f>I81</f>
        <v>68</v>
      </c>
      <c r="BF68" s="252">
        <f>K81</f>
        <v>58</v>
      </c>
      <c r="BG68" s="252">
        <f t="shared" ref="BG68:BP68" si="16">M81</f>
        <v>57.4</v>
      </c>
      <c r="BH68" s="252">
        <f t="shared" si="16"/>
        <v>65</v>
      </c>
      <c r="BI68" s="252">
        <f t="shared" si="16"/>
        <v>38</v>
      </c>
      <c r="BJ68" s="252">
        <f t="shared" si="16"/>
        <v>55</v>
      </c>
      <c r="BK68" s="252">
        <f t="shared" si="16"/>
        <v>58</v>
      </c>
      <c r="BL68" s="252">
        <f t="shared" si="16"/>
        <v>65</v>
      </c>
      <c r="BM68" s="252">
        <f t="shared" si="16"/>
        <v>61.7</v>
      </c>
      <c r="BN68" s="252">
        <f t="shared" si="16"/>
        <v>58.8</v>
      </c>
      <c r="BO68" s="252">
        <f t="shared" si="16"/>
        <v>61.2</v>
      </c>
      <c r="BP68" s="252">
        <f t="shared" si="16"/>
        <v>55</v>
      </c>
      <c r="BQ68" s="252">
        <f>X81</f>
        <v>56.3</v>
      </c>
      <c r="BR68" s="252">
        <f>Z81</f>
        <v>46</v>
      </c>
      <c r="BS68" s="251">
        <f>AB81</f>
        <v>44</v>
      </c>
      <c r="BT68" s="251">
        <f>AD81</f>
        <v>68</v>
      </c>
      <c r="BU68" s="251">
        <f>AE81</f>
        <v>70</v>
      </c>
      <c r="BV68" s="251">
        <f>AF81</f>
        <v>61</v>
      </c>
      <c r="BW68" s="251">
        <f>B81</f>
        <v>68.400000000000006</v>
      </c>
    </row>
    <row r="69" spans="1:75" x14ac:dyDescent="0.25">
      <c r="A69" s="54" t="s">
        <v>69</v>
      </c>
      <c r="B69" s="65">
        <v>15</v>
      </c>
      <c r="C69" s="65">
        <v>15</v>
      </c>
      <c r="D69" s="65">
        <v>15</v>
      </c>
      <c r="E69" s="65">
        <v>15</v>
      </c>
      <c r="F69" s="65">
        <v>15</v>
      </c>
      <c r="G69" s="65">
        <v>15</v>
      </c>
      <c r="H69" s="65">
        <v>15</v>
      </c>
      <c r="I69" s="65">
        <v>15</v>
      </c>
      <c r="J69" s="65">
        <v>15</v>
      </c>
      <c r="K69" s="65">
        <v>15</v>
      </c>
      <c r="L69" s="65">
        <v>15</v>
      </c>
      <c r="M69" s="65">
        <v>15</v>
      </c>
      <c r="N69" s="65">
        <v>15</v>
      </c>
      <c r="O69" s="65">
        <v>15</v>
      </c>
      <c r="P69" s="65">
        <v>15</v>
      </c>
      <c r="Q69" s="65">
        <v>15</v>
      </c>
      <c r="R69" s="65">
        <v>15</v>
      </c>
      <c r="S69" s="65">
        <v>15</v>
      </c>
      <c r="T69" s="65">
        <v>15</v>
      </c>
      <c r="U69" s="65">
        <v>15</v>
      </c>
      <c r="V69" s="65">
        <v>15</v>
      </c>
      <c r="W69" s="65">
        <v>15</v>
      </c>
      <c r="X69" s="65">
        <v>15</v>
      </c>
      <c r="Y69" s="65">
        <v>15</v>
      </c>
      <c r="Z69" s="65">
        <v>15</v>
      </c>
      <c r="AA69" s="65">
        <v>15</v>
      </c>
      <c r="AB69" s="65">
        <v>15</v>
      </c>
      <c r="AC69" s="65">
        <v>15</v>
      </c>
      <c r="AD69" s="65">
        <v>15</v>
      </c>
      <c r="AE69" s="65">
        <v>15</v>
      </c>
      <c r="AF69" s="65">
        <v>15</v>
      </c>
      <c r="AG69" s="55">
        <v>24</v>
      </c>
      <c r="AH69" s="47">
        <f t="shared" si="2"/>
        <v>15</v>
      </c>
      <c r="AI69" s="48">
        <f t="shared" si="3"/>
        <v>15</v>
      </c>
      <c r="AK69" s="50"/>
      <c r="AS69" s="249"/>
      <c r="AT69" s="252"/>
      <c r="AU69" s="252"/>
      <c r="AV69" s="252"/>
      <c r="AW69" s="252"/>
      <c r="AX69" s="252"/>
      <c r="AY69" s="1" t="s">
        <v>631</v>
      </c>
      <c r="AZ69" s="252">
        <f>ROUND(C82,0)</f>
        <v>0</v>
      </c>
      <c r="BA69" s="251">
        <f t="shared" si="15"/>
        <v>0</v>
      </c>
      <c r="BB69" s="251">
        <f t="shared" si="15"/>
        <v>0</v>
      </c>
      <c r="BC69" s="251">
        <f t="shared" si="15"/>
        <v>0</v>
      </c>
      <c r="BD69" s="251">
        <f t="shared" si="15"/>
        <v>0</v>
      </c>
      <c r="BE69" s="252">
        <f t="shared" ref="BE69:BE72" si="17">I82</f>
        <v>0</v>
      </c>
      <c r="BF69" s="252">
        <f t="shared" ref="BF69:BF72" si="18">K82</f>
        <v>0</v>
      </c>
      <c r="BG69" s="252">
        <f t="shared" ref="BG69:BG72" si="19">M82</f>
        <v>0</v>
      </c>
      <c r="BH69" s="252">
        <f t="shared" ref="BH69:BP72" si="20">N82</f>
        <v>0</v>
      </c>
      <c r="BI69" s="252">
        <f t="shared" si="20"/>
        <v>0</v>
      </c>
      <c r="BJ69" s="252">
        <f t="shared" si="20"/>
        <v>0</v>
      </c>
      <c r="BK69" s="252">
        <f t="shared" si="20"/>
        <v>0</v>
      </c>
      <c r="BL69" s="252">
        <f t="shared" si="20"/>
        <v>0</v>
      </c>
      <c r="BM69" s="252">
        <f t="shared" si="20"/>
        <v>0</v>
      </c>
      <c r="BN69" s="252">
        <f t="shared" si="20"/>
        <v>0</v>
      </c>
      <c r="BO69" s="252">
        <f t="shared" si="20"/>
        <v>0</v>
      </c>
      <c r="BP69" s="252">
        <f t="shared" si="20"/>
        <v>0</v>
      </c>
      <c r="BQ69" s="252">
        <f t="shared" ref="BQ69:BQ72" si="21">X82</f>
        <v>0</v>
      </c>
      <c r="BR69" s="252">
        <f t="shared" ref="BR69:BR72" si="22">Z82</f>
        <v>0</v>
      </c>
      <c r="BS69" s="251">
        <f t="shared" ref="BS69:BS72" si="23">AB82</f>
        <v>0</v>
      </c>
      <c r="BT69" s="251">
        <f t="shared" ref="BT69:BT72" si="24">AD82</f>
        <v>0</v>
      </c>
      <c r="BU69" s="251">
        <f t="shared" ref="BU69:BV72" si="25">AE82</f>
        <v>0</v>
      </c>
      <c r="BV69" s="251">
        <f t="shared" si="25"/>
        <v>0</v>
      </c>
      <c r="BW69" s="251">
        <f t="shared" ref="BW69:BW72" si="26">B82</f>
        <v>0</v>
      </c>
    </row>
    <row r="70" spans="1:75" x14ac:dyDescent="0.25">
      <c r="A70" s="54" t="s">
        <v>70</v>
      </c>
      <c r="B70" s="65">
        <v>4</v>
      </c>
      <c r="C70" s="65">
        <v>4</v>
      </c>
      <c r="D70" s="65">
        <v>4</v>
      </c>
      <c r="E70" s="65">
        <v>4</v>
      </c>
      <c r="F70" s="65">
        <v>4</v>
      </c>
      <c r="G70" s="65">
        <v>4</v>
      </c>
      <c r="H70" s="65">
        <v>4</v>
      </c>
      <c r="I70" s="65">
        <v>4</v>
      </c>
      <c r="J70" s="65">
        <v>4</v>
      </c>
      <c r="K70" s="65">
        <v>4</v>
      </c>
      <c r="L70" s="65">
        <v>4</v>
      </c>
      <c r="M70" s="65">
        <v>4</v>
      </c>
      <c r="N70" s="65">
        <v>4</v>
      </c>
      <c r="O70" s="65">
        <v>4</v>
      </c>
      <c r="P70" s="65">
        <v>4</v>
      </c>
      <c r="Q70" s="65">
        <v>4</v>
      </c>
      <c r="R70" s="65">
        <v>4</v>
      </c>
      <c r="S70" s="65">
        <v>4</v>
      </c>
      <c r="T70" s="65">
        <v>4</v>
      </c>
      <c r="U70" s="65">
        <v>4</v>
      </c>
      <c r="V70" s="65">
        <v>4</v>
      </c>
      <c r="W70" s="65">
        <v>4</v>
      </c>
      <c r="X70" s="65">
        <v>4</v>
      </c>
      <c r="Y70" s="65">
        <v>4</v>
      </c>
      <c r="Z70" s="65">
        <v>4</v>
      </c>
      <c r="AA70" s="65">
        <v>4</v>
      </c>
      <c r="AB70" s="65">
        <v>4</v>
      </c>
      <c r="AC70" s="65">
        <v>4</v>
      </c>
      <c r="AD70" s="65">
        <v>4</v>
      </c>
      <c r="AE70" s="65">
        <v>4</v>
      </c>
      <c r="AF70" s="65">
        <v>4</v>
      </c>
      <c r="AG70" s="55">
        <v>15</v>
      </c>
      <c r="AH70" s="47">
        <f t="shared" si="2"/>
        <v>4</v>
      </c>
      <c r="AI70" s="48">
        <f t="shared" si="3"/>
        <v>4</v>
      </c>
      <c r="AK70" s="50"/>
      <c r="AL70" s="70"/>
      <c r="AO70" s="70"/>
      <c r="AS70" s="249"/>
      <c r="AT70" s="251"/>
      <c r="AU70" s="251"/>
      <c r="AV70" s="251"/>
      <c r="AW70" s="251"/>
      <c r="AX70" s="251"/>
      <c r="AY70" s="1" t="s">
        <v>632</v>
      </c>
      <c r="AZ70" s="252">
        <f>ROUND(C83,0)</f>
        <v>406</v>
      </c>
      <c r="BA70" s="251">
        <f t="shared" si="15"/>
        <v>378</v>
      </c>
      <c r="BB70" s="251">
        <f t="shared" si="15"/>
        <v>374.6</v>
      </c>
      <c r="BC70" s="251">
        <f t="shared" si="15"/>
        <v>375.6</v>
      </c>
      <c r="BD70" s="251">
        <f t="shared" si="15"/>
        <v>410</v>
      </c>
      <c r="BE70" s="252">
        <f t="shared" si="17"/>
        <v>401.6</v>
      </c>
      <c r="BF70" s="252">
        <f t="shared" si="18"/>
        <v>340</v>
      </c>
      <c r="BG70" s="252">
        <f t="shared" si="19"/>
        <v>143.9</v>
      </c>
      <c r="BH70" s="252">
        <f t="shared" si="20"/>
        <v>154</v>
      </c>
      <c r="BI70" s="252">
        <f t="shared" si="20"/>
        <v>350</v>
      </c>
      <c r="BJ70" s="252">
        <f t="shared" si="20"/>
        <v>428</v>
      </c>
      <c r="BK70" s="252">
        <f t="shared" si="20"/>
        <v>474</v>
      </c>
      <c r="BL70" s="252">
        <f t="shared" si="20"/>
        <v>439</v>
      </c>
      <c r="BM70" s="252">
        <f t="shared" si="20"/>
        <v>412</v>
      </c>
      <c r="BN70" s="252">
        <f t="shared" si="20"/>
        <v>440</v>
      </c>
      <c r="BO70" s="252">
        <f t="shared" si="20"/>
        <v>414.7</v>
      </c>
      <c r="BP70" s="252">
        <f t="shared" si="20"/>
        <v>354</v>
      </c>
      <c r="BQ70" s="252">
        <f t="shared" si="21"/>
        <v>287</v>
      </c>
      <c r="BR70" s="252">
        <f t="shared" si="22"/>
        <v>200</v>
      </c>
      <c r="BS70" s="251">
        <f t="shared" si="23"/>
        <v>272</v>
      </c>
      <c r="BT70" s="251">
        <f t="shared" si="24"/>
        <v>385</v>
      </c>
      <c r="BU70" s="251">
        <f t="shared" si="25"/>
        <v>375</v>
      </c>
      <c r="BV70" s="251">
        <f t="shared" si="25"/>
        <v>397</v>
      </c>
      <c r="BW70" s="251">
        <f t="shared" si="26"/>
        <v>395.1</v>
      </c>
    </row>
    <row r="71" spans="1:75" s="70" customFormat="1" x14ac:dyDescent="0.25">
      <c r="A71" s="54" t="s">
        <v>71</v>
      </c>
      <c r="B71" s="65">
        <v>10.8</v>
      </c>
      <c r="C71" s="65">
        <v>10.4</v>
      </c>
      <c r="D71" s="65">
        <v>10.7</v>
      </c>
      <c r="E71" s="65">
        <v>10.7</v>
      </c>
      <c r="F71" s="65">
        <v>10.7</v>
      </c>
      <c r="G71" s="65">
        <v>10.7</v>
      </c>
      <c r="H71" s="65">
        <v>10.7</v>
      </c>
      <c r="I71" s="65">
        <v>10.7</v>
      </c>
      <c r="J71" s="65">
        <v>10.7</v>
      </c>
      <c r="K71" s="65">
        <v>10.7</v>
      </c>
      <c r="L71" s="65">
        <v>10.7</v>
      </c>
      <c r="M71" s="65">
        <v>10.7</v>
      </c>
      <c r="N71" s="65">
        <v>10.7</v>
      </c>
      <c r="O71" s="65">
        <v>10.7</v>
      </c>
      <c r="P71" s="65">
        <v>10.7</v>
      </c>
      <c r="Q71" s="65">
        <v>10.7</v>
      </c>
      <c r="R71" s="65">
        <v>10.7</v>
      </c>
      <c r="S71" s="65">
        <v>10.8</v>
      </c>
      <c r="T71" s="65">
        <v>10.8</v>
      </c>
      <c r="U71" s="65">
        <v>11.6</v>
      </c>
      <c r="V71" s="65">
        <v>11.6</v>
      </c>
      <c r="W71" s="65">
        <v>11.6</v>
      </c>
      <c r="X71" s="65">
        <v>11.6</v>
      </c>
      <c r="Y71" s="65">
        <v>11.6</v>
      </c>
      <c r="Z71" s="65">
        <v>11.6</v>
      </c>
      <c r="AA71" s="65">
        <v>11.6</v>
      </c>
      <c r="AB71" s="65">
        <v>11.6</v>
      </c>
      <c r="AC71" s="65">
        <v>11.6</v>
      </c>
      <c r="AD71" s="65">
        <v>11.6</v>
      </c>
      <c r="AE71" s="65">
        <v>11.6</v>
      </c>
      <c r="AF71" s="65">
        <v>11.6</v>
      </c>
      <c r="AG71" s="55">
        <v>14.1</v>
      </c>
      <c r="AH71" s="47">
        <f t="shared" si="2"/>
        <v>11.6</v>
      </c>
      <c r="AI71" s="48">
        <f t="shared" si="3"/>
        <v>10.4</v>
      </c>
      <c r="AJ71" s="1"/>
      <c r="AK71" s="50"/>
      <c r="AL71" s="1"/>
      <c r="AM71" s="1"/>
      <c r="AN71" s="1"/>
      <c r="AO71" s="1"/>
      <c r="AS71" s="250"/>
      <c r="AT71" s="251"/>
      <c r="AU71" s="251"/>
      <c r="AV71" s="251"/>
      <c r="AW71" s="251"/>
      <c r="AX71" s="251"/>
      <c r="AY71" s="70" t="s">
        <v>633</v>
      </c>
      <c r="AZ71" s="252">
        <f>ROUND(C84,0)</f>
        <v>39</v>
      </c>
      <c r="BA71" s="251">
        <f t="shared" si="15"/>
        <v>44</v>
      </c>
      <c r="BB71" s="251">
        <f t="shared" si="15"/>
        <v>45</v>
      </c>
      <c r="BC71" s="251">
        <f t="shared" si="15"/>
        <v>43</v>
      </c>
      <c r="BD71" s="251">
        <f t="shared" si="15"/>
        <v>42</v>
      </c>
      <c r="BE71" s="252">
        <f t="shared" si="17"/>
        <v>45</v>
      </c>
      <c r="BF71" s="252">
        <f t="shared" si="18"/>
        <v>25</v>
      </c>
      <c r="BG71" s="252">
        <f t="shared" si="19"/>
        <v>21</v>
      </c>
      <c r="BH71" s="252">
        <f t="shared" si="20"/>
        <v>14</v>
      </c>
      <c r="BI71" s="252">
        <f t="shared" si="20"/>
        <v>23.7</v>
      </c>
      <c r="BJ71" s="252">
        <f t="shared" si="20"/>
        <v>36</v>
      </c>
      <c r="BK71" s="252">
        <f t="shared" si="20"/>
        <v>47.6</v>
      </c>
      <c r="BL71" s="252">
        <f t="shared" si="20"/>
        <v>50</v>
      </c>
      <c r="BM71" s="252">
        <f t="shared" si="20"/>
        <v>50</v>
      </c>
      <c r="BN71" s="252">
        <f t="shared" si="20"/>
        <v>45</v>
      </c>
      <c r="BO71" s="252">
        <f t="shared" si="20"/>
        <v>22</v>
      </c>
      <c r="BP71" s="252">
        <f t="shared" si="20"/>
        <v>23</v>
      </c>
      <c r="BQ71" s="252">
        <f t="shared" si="21"/>
        <v>28</v>
      </c>
      <c r="BR71" s="252">
        <f t="shared" si="22"/>
        <v>25</v>
      </c>
      <c r="BS71" s="251">
        <f t="shared" si="23"/>
        <v>22</v>
      </c>
      <c r="BT71" s="251">
        <f t="shared" si="24"/>
        <v>20</v>
      </c>
      <c r="BU71" s="251">
        <f t="shared" si="25"/>
        <v>20</v>
      </c>
      <c r="BV71" s="251">
        <f t="shared" si="25"/>
        <v>13</v>
      </c>
      <c r="BW71" s="251">
        <f t="shared" si="26"/>
        <v>48</v>
      </c>
    </row>
    <row r="72" spans="1:75" x14ac:dyDescent="0.25">
      <c r="A72" s="71" t="s">
        <v>72</v>
      </c>
      <c r="B72" s="65">
        <v>3.3</v>
      </c>
      <c r="C72" s="65">
        <v>3.3</v>
      </c>
      <c r="D72" s="65">
        <v>3.4</v>
      </c>
      <c r="E72" s="65">
        <v>3.4</v>
      </c>
      <c r="F72" s="65">
        <v>3.4</v>
      </c>
      <c r="G72" s="65">
        <v>3.4</v>
      </c>
      <c r="H72" s="65">
        <v>3.4</v>
      </c>
      <c r="I72" s="65">
        <v>3.4</v>
      </c>
      <c r="J72" s="65">
        <v>3.4</v>
      </c>
      <c r="K72" s="65">
        <v>3.4</v>
      </c>
      <c r="L72" s="65">
        <v>3.4</v>
      </c>
      <c r="M72" s="65">
        <v>3.4</v>
      </c>
      <c r="N72" s="65">
        <v>3.4</v>
      </c>
      <c r="O72" s="65">
        <v>3.4</v>
      </c>
      <c r="P72" s="65">
        <v>3.4</v>
      </c>
      <c r="Q72" s="65">
        <v>3.4</v>
      </c>
      <c r="R72" s="65">
        <v>3.4</v>
      </c>
      <c r="S72" s="65">
        <v>3.4</v>
      </c>
      <c r="T72" s="65">
        <v>3.4</v>
      </c>
      <c r="U72" s="65">
        <v>3.4</v>
      </c>
      <c r="V72" s="65">
        <v>3.4</v>
      </c>
      <c r="W72" s="65">
        <v>3.4</v>
      </c>
      <c r="X72" s="65">
        <v>3.4</v>
      </c>
      <c r="Y72" s="65">
        <v>3.4</v>
      </c>
      <c r="Z72" s="65">
        <v>3.4</v>
      </c>
      <c r="AA72" s="65">
        <v>3.4</v>
      </c>
      <c r="AB72" s="65">
        <v>3.4</v>
      </c>
      <c r="AC72" s="65">
        <v>3.4</v>
      </c>
      <c r="AD72" s="65">
        <v>3.4</v>
      </c>
      <c r="AE72" s="65">
        <v>3.4</v>
      </c>
      <c r="AF72" s="65">
        <v>3.4</v>
      </c>
      <c r="AG72" s="55">
        <v>14</v>
      </c>
      <c r="AH72" s="47">
        <f t="shared" si="2"/>
        <v>3.4</v>
      </c>
      <c r="AI72" s="48">
        <f t="shared" si="3"/>
        <v>3.3</v>
      </c>
      <c r="AK72" s="50"/>
      <c r="AS72" s="249"/>
      <c r="AT72" s="251"/>
      <c r="AU72" s="251"/>
      <c r="AV72" s="251"/>
      <c r="AW72" s="251"/>
      <c r="AX72" s="251"/>
      <c r="AY72" s="1" t="s">
        <v>634</v>
      </c>
      <c r="AZ72" s="252">
        <f>ROUND(C85,0)</f>
        <v>0</v>
      </c>
      <c r="BA72" s="251">
        <f t="shared" si="15"/>
        <v>0</v>
      </c>
      <c r="BB72" s="251">
        <f t="shared" si="15"/>
        <v>0</v>
      </c>
      <c r="BC72" s="251">
        <f t="shared" si="15"/>
        <v>0</v>
      </c>
      <c r="BD72" s="251">
        <f t="shared" si="15"/>
        <v>0</v>
      </c>
      <c r="BE72" s="252">
        <f t="shared" si="17"/>
        <v>0</v>
      </c>
      <c r="BF72" s="252">
        <f t="shared" si="18"/>
        <v>0</v>
      </c>
      <c r="BG72" s="252">
        <f t="shared" si="19"/>
        <v>0</v>
      </c>
      <c r="BH72" s="252">
        <f t="shared" si="20"/>
        <v>0</v>
      </c>
      <c r="BI72" s="252">
        <f t="shared" si="20"/>
        <v>0</v>
      </c>
      <c r="BJ72" s="252">
        <f t="shared" si="20"/>
        <v>0</v>
      </c>
      <c r="BK72" s="252">
        <f t="shared" si="20"/>
        <v>0</v>
      </c>
      <c r="BL72" s="252">
        <f t="shared" si="20"/>
        <v>0</v>
      </c>
      <c r="BM72" s="252">
        <f t="shared" si="20"/>
        <v>100</v>
      </c>
      <c r="BN72" s="252">
        <f t="shared" si="20"/>
        <v>26</v>
      </c>
      <c r="BO72" s="252">
        <f t="shared" si="20"/>
        <v>30</v>
      </c>
      <c r="BP72" s="252">
        <f t="shared" si="20"/>
        <v>24</v>
      </c>
      <c r="BQ72" s="252">
        <f t="shared" si="21"/>
        <v>25</v>
      </c>
      <c r="BR72" s="252">
        <f t="shared" si="22"/>
        <v>23</v>
      </c>
      <c r="BS72" s="251">
        <f t="shared" si="23"/>
        <v>24</v>
      </c>
      <c r="BT72" s="251">
        <f t="shared" si="24"/>
        <v>22</v>
      </c>
      <c r="BU72" s="251">
        <f t="shared" si="25"/>
        <v>22</v>
      </c>
      <c r="BV72" s="251">
        <f t="shared" si="25"/>
        <v>24</v>
      </c>
      <c r="BW72" s="251">
        <f t="shared" si="26"/>
        <v>0</v>
      </c>
    </row>
    <row r="73" spans="1:75" x14ac:dyDescent="0.25">
      <c r="A73" s="54" t="s">
        <v>73</v>
      </c>
      <c r="B73" s="65">
        <v>5</v>
      </c>
      <c r="C73" s="65">
        <v>5</v>
      </c>
      <c r="D73" s="65">
        <v>5</v>
      </c>
      <c r="E73" s="65">
        <v>5</v>
      </c>
      <c r="F73" s="65">
        <v>5</v>
      </c>
      <c r="G73" s="65">
        <v>5</v>
      </c>
      <c r="H73" s="65">
        <v>5</v>
      </c>
      <c r="I73" s="65">
        <v>5</v>
      </c>
      <c r="J73" s="65">
        <v>5</v>
      </c>
      <c r="K73" s="65">
        <v>5</v>
      </c>
      <c r="L73" s="65">
        <v>5</v>
      </c>
      <c r="M73" s="65">
        <v>5</v>
      </c>
      <c r="N73" s="65">
        <v>5</v>
      </c>
      <c r="O73" s="65">
        <v>5</v>
      </c>
      <c r="P73" s="65">
        <v>5</v>
      </c>
      <c r="Q73" s="65">
        <v>5</v>
      </c>
      <c r="R73" s="65">
        <v>5</v>
      </c>
      <c r="S73" s="65">
        <v>5</v>
      </c>
      <c r="T73" s="65">
        <v>5</v>
      </c>
      <c r="U73" s="65">
        <v>5</v>
      </c>
      <c r="V73" s="65">
        <v>5</v>
      </c>
      <c r="W73" s="65">
        <v>5</v>
      </c>
      <c r="X73" s="65">
        <v>5</v>
      </c>
      <c r="Y73" s="65">
        <v>5</v>
      </c>
      <c r="Z73" s="65">
        <v>5</v>
      </c>
      <c r="AA73" s="65">
        <v>5</v>
      </c>
      <c r="AB73" s="65">
        <v>5</v>
      </c>
      <c r="AC73" s="65">
        <v>5</v>
      </c>
      <c r="AD73" s="65">
        <v>5</v>
      </c>
      <c r="AE73" s="65">
        <v>5</v>
      </c>
      <c r="AF73" s="65">
        <v>5</v>
      </c>
      <c r="AG73" s="55">
        <v>10.050000000000001</v>
      </c>
      <c r="AH73" s="47">
        <f t="shared" si="2"/>
        <v>5</v>
      </c>
      <c r="AI73" s="48">
        <f t="shared" si="3"/>
        <v>5</v>
      </c>
      <c r="AK73" s="50"/>
      <c r="AS73" s="249"/>
      <c r="AT73" s="251"/>
      <c r="AU73" s="251"/>
      <c r="AV73" s="251"/>
      <c r="AW73" s="251"/>
      <c r="AX73" s="251"/>
      <c r="AY73" s="1" t="s">
        <v>635</v>
      </c>
      <c r="AZ73" s="252">
        <f>ROUND(C91,0)</f>
        <v>0</v>
      </c>
      <c r="BA73" s="252">
        <f>D91</f>
        <v>0</v>
      </c>
      <c r="BB73" s="252">
        <f>E91</f>
        <v>0</v>
      </c>
      <c r="BC73" s="252">
        <f>F91</f>
        <v>0</v>
      </c>
      <c r="BD73" s="252">
        <f>G91</f>
        <v>0</v>
      </c>
      <c r="BE73" s="252">
        <f>I91</f>
        <v>0</v>
      </c>
      <c r="BF73" s="252">
        <f>K91</f>
        <v>78</v>
      </c>
      <c r="BG73" s="252">
        <f t="shared" ref="BG73:BP73" si="27">M91</f>
        <v>81</v>
      </c>
      <c r="BH73" s="252">
        <f t="shared" si="27"/>
        <v>72</v>
      </c>
      <c r="BI73" s="252">
        <f t="shared" si="27"/>
        <v>76</v>
      </c>
      <c r="BJ73" s="252">
        <f t="shared" si="27"/>
        <v>72</v>
      </c>
      <c r="BK73" s="252">
        <f t="shared" si="27"/>
        <v>68</v>
      </c>
      <c r="BL73" s="252">
        <f t="shared" si="27"/>
        <v>57</v>
      </c>
      <c r="BM73" s="252">
        <f t="shared" si="27"/>
        <v>69.5</v>
      </c>
      <c r="BN73" s="252">
        <f t="shared" si="27"/>
        <v>75</v>
      </c>
      <c r="BO73" s="252">
        <f t="shared" si="27"/>
        <v>72.5</v>
      </c>
      <c r="BP73" s="252">
        <f t="shared" si="27"/>
        <v>70.900000000000006</v>
      </c>
      <c r="BQ73" s="252">
        <f>X91</f>
        <v>62</v>
      </c>
      <c r="BR73" s="252">
        <f>Z91</f>
        <v>67.3</v>
      </c>
      <c r="BS73" s="252">
        <f>AB91</f>
        <v>67</v>
      </c>
      <c r="BT73" s="252">
        <f>AD91</f>
        <v>68</v>
      </c>
      <c r="BU73" s="252">
        <f>AE91</f>
        <v>77</v>
      </c>
      <c r="BV73" s="252">
        <f>AF91</f>
        <v>73</v>
      </c>
      <c r="BW73" s="252">
        <f>B91</f>
        <v>0</v>
      </c>
    </row>
    <row r="74" spans="1:75" x14ac:dyDescent="0.25">
      <c r="A74" s="54" t="s">
        <v>74</v>
      </c>
      <c r="B74" s="65">
        <v>2</v>
      </c>
      <c r="C74" s="65">
        <v>2</v>
      </c>
      <c r="D74" s="65">
        <v>2</v>
      </c>
      <c r="E74" s="65">
        <v>2</v>
      </c>
      <c r="F74" s="65">
        <v>2</v>
      </c>
      <c r="G74" s="65">
        <v>2</v>
      </c>
      <c r="H74" s="65">
        <v>2</v>
      </c>
      <c r="I74" s="65">
        <v>2</v>
      </c>
      <c r="J74" s="65">
        <v>2</v>
      </c>
      <c r="K74" s="65">
        <v>2</v>
      </c>
      <c r="L74" s="65">
        <v>2</v>
      </c>
      <c r="M74" s="65">
        <v>2</v>
      </c>
      <c r="N74" s="65">
        <v>2</v>
      </c>
      <c r="O74" s="65">
        <v>2</v>
      </c>
      <c r="P74" s="65">
        <v>2</v>
      </c>
      <c r="Q74" s="65">
        <v>2</v>
      </c>
      <c r="R74" s="65">
        <v>2</v>
      </c>
      <c r="S74" s="65">
        <v>2</v>
      </c>
      <c r="T74" s="65">
        <v>2</v>
      </c>
      <c r="U74" s="65">
        <v>2</v>
      </c>
      <c r="V74" s="65">
        <v>2</v>
      </c>
      <c r="W74" s="65">
        <v>2</v>
      </c>
      <c r="X74" s="65">
        <v>2</v>
      </c>
      <c r="Y74" s="65">
        <v>2</v>
      </c>
      <c r="Z74" s="65">
        <v>2</v>
      </c>
      <c r="AA74" s="65">
        <v>2</v>
      </c>
      <c r="AB74" s="65">
        <v>2</v>
      </c>
      <c r="AC74" s="65">
        <v>2</v>
      </c>
      <c r="AD74" s="65">
        <v>2</v>
      </c>
      <c r="AE74" s="65">
        <v>2</v>
      </c>
      <c r="AF74" s="65">
        <v>2</v>
      </c>
      <c r="AG74" s="55">
        <v>6.2</v>
      </c>
      <c r="AH74" s="47">
        <f t="shared" si="2"/>
        <v>2</v>
      </c>
      <c r="AI74" s="48">
        <f t="shared" si="3"/>
        <v>2</v>
      </c>
      <c r="AK74" s="50"/>
      <c r="AS74" s="249"/>
      <c r="AT74" s="252"/>
      <c r="AU74" s="252"/>
      <c r="AV74" s="252"/>
      <c r="AW74" s="252"/>
      <c r="AX74" s="252"/>
      <c r="AZ74" s="252"/>
      <c r="BA74" s="251"/>
      <c r="BB74" s="251"/>
      <c r="BC74" s="251"/>
      <c r="BD74" s="251"/>
      <c r="BE74" s="252"/>
      <c r="BF74" s="252"/>
      <c r="BG74" s="252"/>
      <c r="BH74" s="252"/>
      <c r="BI74" s="252"/>
      <c r="BJ74" s="252"/>
      <c r="BK74" s="252"/>
      <c r="BL74" s="252"/>
      <c r="BM74" s="252"/>
      <c r="BN74" s="252"/>
      <c r="BO74" s="252"/>
      <c r="BP74" s="252"/>
      <c r="BQ74" s="252"/>
      <c r="BR74" s="252"/>
      <c r="BS74" s="251"/>
      <c r="BT74" s="251"/>
      <c r="BU74" s="251"/>
      <c r="BV74" s="251"/>
      <c r="BW74" s="251"/>
    </row>
    <row r="75" spans="1:75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</v>
      </c>
      <c r="Z75" s="72">
        <v>5.5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2"/>
        <v>5.5</v>
      </c>
      <c r="AI75" s="48">
        <f t="shared" si="3"/>
        <v>3.5</v>
      </c>
      <c r="AK75" s="50"/>
      <c r="AS75" s="249"/>
      <c r="AT75" s="252"/>
      <c r="AU75" s="252"/>
      <c r="AV75" s="252"/>
      <c r="AW75" s="252"/>
      <c r="AX75" s="252"/>
      <c r="AZ75" s="252">
        <f>VALUE(AZ68)</f>
        <v>73</v>
      </c>
      <c r="BA75" s="252">
        <f t="shared" ref="BA75:BW75" si="28">VALUE(BA68)</f>
        <v>66.3</v>
      </c>
      <c r="BB75" s="252">
        <f t="shared" si="28"/>
        <v>59.4</v>
      </c>
      <c r="BC75" s="252">
        <f t="shared" si="28"/>
        <v>64.5</v>
      </c>
      <c r="BD75" s="252">
        <f t="shared" si="28"/>
        <v>69.8</v>
      </c>
      <c r="BE75" s="252">
        <f t="shared" si="28"/>
        <v>68</v>
      </c>
      <c r="BF75" s="252">
        <f t="shared" si="28"/>
        <v>58</v>
      </c>
      <c r="BG75" s="252">
        <f t="shared" si="28"/>
        <v>57.4</v>
      </c>
      <c r="BH75" s="252">
        <f t="shared" si="28"/>
        <v>65</v>
      </c>
      <c r="BI75" s="252">
        <f t="shared" si="28"/>
        <v>38</v>
      </c>
      <c r="BJ75" s="252">
        <f t="shared" si="28"/>
        <v>55</v>
      </c>
      <c r="BK75" s="252">
        <f t="shared" si="28"/>
        <v>58</v>
      </c>
      <c r="BL75" s="252">
        <f t="shared" si="28"/>
        <v>65</v>
      </c>
      <c r="BM75" s="252">
        <f t="shared" si="28"/>
        <v>61.7</v>
      </c>
      <c r="BN75" s="252">
        <f t="shared" si="28"/>
        <v>58.8</v>
      </c>
      <c r="BO75" s="252">
        <f t="shared" si="28"/>
        <v>61.2</v>
      </c>
      <c r="BP75" s="252">
        <f t="shared" si="28"/>
        <v>55</v>
      </c>
      <c r="BQ75" s="252">
        <f t="shared" si="28"/>
        <v>56.3</v>
      </c>
      <c r="BR75" s="252">
        <f t="shared" si="28"/>
        <v>46</v>
      </c>
      <c r="BS75" s="252">
        <f t="shared" si="28"/>
        <v>44</v>
      </c>
      <c r="BT75" s="252">
        <f t="shared" si="28"/>
        <v>68</v>
      </c>
      <c r="BU75" s="252">
        <f t="shared" si="28"/>
        <v>70</v>
      </c>
      <c r="BV75" s="252">
        <f t="shared" si="28"/>
        <v>61</v>
      </c>
      <c r="BW75" s="252">
        <f t="shared" si="28"/>
        <v>68.400000000000006</v>
      </c>
    </row>
    <row r="76" spans="1:75" ht="15.75" thickBot="1" x14ac:dyDescent="0.3">
      <c r="A76" s="74" t="s">
        <v>76</v>
      </c>
      <c r="B76" s="60">
        <f>SUM(B63:B75)</f>
        <v>88.74</v>
      </c>
      <c r="C76" s="60">
        <f t="shared" ref="C76:AG76" si="29">SUM(C63:C75)</f>
        <v>88.34</v>
      </c>
      <c r="D76" s="60">
        <f t="shared" si="29"/>
        <v>84.740000000000009</v>
      </c>
      <c r="E76" s="60">
        <f t="shared" si="29"/>
        <v>84.740000000000009</v>
      </c>
      <c r="F76" s="60">
        <f t="shared" si="29"/>
        <v>95.04000000000002</v>
      </c>
      <c r="G76" s="60">
        <f t="shared" si="29"/>
        <v>110.94000000000001</v>
      </c>
      <c r="H76" s="60">
        <f t="shared" si="29"/>
        <v>235.04</v>
      </c>
      <c r="I76" s="60">
        <f t="shared" si="29"/>
        <v>274.74</v>
      </c>
      <c r="J76" s="60">
        <f t="shared" si="29"/>
        <v>320.74</v>
      </c>
      <c r="K76" s="60">
        <f t="shared" si="29"/>
        <v>317.64</v>
      </c>
      <c r="L76" s="60">
        <f t="shared" si="29"/>
        <v>366.14</v>
      </c>
      <c r="M76" s="60">
        <f t="shared" si="29"/>
        <v>342.04</v>
      </c>
      <c r="N76" s="60">
        <f t="shared" si="29"/>
        <v>320.04000000000002</v>
      </c>
      <c r="O76" s="60">
        <f t="shared" si="29"/>
        <v>246.23999999999998</v>
      </c>
      <c r="P76" s="60">
        <f t="shared" si="29"/>
        <v>214.43999999999997</v>
      </c>
      <c r="Q76" s="60">
        <f t="shared" si="29"/>
        <v>213.33999999999997</v>
      </c>
      <c r="R76" s="60">
        <f t="shared" si="29"/>
        <v>227.23999999999998</v>
      </c>
      <c r="S76" s="60">
        <f t="shared" si="29"/>
        <v>214.98000000000002</v>
      </c>
      <c r="T76" s="60">
        <f t="shared" si="29"/>
        <v>201.84</v>
      </c>
      <c r="U76" s="60">
        <f t="shared" si="29"/>
        <v>231.04000000000002</v>
      </c>
      <c r="V76" s="60">
        <f t="shared" si="29"/>
        <v>212.64000000000001</v>
      </c>
      <c r="W76" s="60">
        <f t="shared" ref="W76" si="30">SUM(W63:W75)</f>
        <v>214.84</v>
      </c>
      <c r="X76" s="60">
        <f t="shared" si="29"/>
        <v>311.04000000000002</v>
      </c>
      <c r="Y76" s="60">
        <f>SUM(Y63:Y75)</f>
        <v>390.2</v>
      </c>
      <c r="Z76" s="60">
        <f>SUM(Z63:Z75)</f>
        <v>392.5</v>
      </c>
      <c r="AA76" s="60">
        <f t="shared" si="29"/>
        <v>329.84000000000003</v>
      </c>
      <c r="AB76" s="60">
        <f>SUM(AB64:AB75)</f>
        <v>219.84</v>
      </c>
      <c r="AC76" s="60">
        <f>SUM(AC64:AC75)</f>
        <v>204.84</v>
      </c>
      <c r="AD76" s="60">
        <f>SUM(AD64:AD75)</f>
        <v>219.84</v>
      </c>
      <c r="AE76" s="60">
        <f>SUM(AE64:AE75)</f>
        <v>219.84</v>
      </c>
      <c r="AF76" s="60">
        <f>SUM(AF64:AF75)</f>
        <v>126.84</v>
      </c>
      <c r="AG76" s="61">
        <f t="shared" si="29"/>
        <v>489.91</v>
      </c>
      <c r="AH76" s="47">
        <f t="shared" si="2"/>
        <v>392.5</v>
      </c>
      <c r="AI76" s="48">
        <f t="shared" si="3"/>
        <v>84.740000000000009</v>
      </c>
      <c r="AK76" s="50"/>
      <c r="AS76" s="249"/>
      <c r="AT76" s="252"/>
      <c r="AU76" s="252"/>
      <c r="AV76" s="252"/>
      <c r="AW76" s="252"/>
      <c r="AX76" s="252"/>
      <c r="AZ76" s="252">
        <f t="shared" ref="AZ76:BW76" si="31">VALUE(AZ69)</f>
        <v>0</v>
      </c>
      <c r="BA76" s="252">
        <f t="shared" si="31"/>
        <v>0</v>
      </c>
      <c r="BB76" s="252">
        <f t="shared" si="31"/>
        <v>0</v>
      </c>
      <c r="BC76" s="252">
        <f t="shared" si="31"/>
        <v>0</v>
      </c>
      <c r="BD76" s="252">
        <f t="shared" si="31"/>
        <v>0</v>
      </c>
      <c r="BE76" s="252">
        <f t="shared" si="31"/>
        <v>0</v>
      </c>
      <c r="BF76" s="252">
        <f t="shared" si="31"/>
        <v>0</v>
      </c>
      <c r="BG76" s="252">
        <f t="shared" si="31"/>
        <v>0</v>
      </c>
      <c r="BH76" s="252">
        <f t="shared" si="31"/>
        <v>0</v>
      </c>
      <c r="BI76" s="252">
        <f t="shared" si="31"/>
        <v>0</v>
      </c>
      <c r="BJ76" s="252">
        <f t="shared" si="31"/>
        <v>0</v>
      </c>
      <c r="BK76" s="252">
        <f t="shared" si="31"/>
        <v>0</v>
      </c>
      <c r="BL76" s="252">
        <f t="shared" si="31"/>
        <v>0</v>
      </c>
      <c r="BM76" s="252">
        <f t="shared" si="31"/>
        <v>0</v>
      </c>
      <c r="BN76" s="252">
        <f t="shared" si="31"/>
        <v>0</v>
      </c>
      <c r="BO76" s="252">
        <f t="shared" si="31"/>
        <v>0</v>
      </c>
      <c r="BP76" s="252">
        <f t="shared" si="31"/>
        <v>0</v>
      </c>
      <c r="BQ76" s="252">
        <f t="shared" si="31"/>
        <v>0</v>
      </c>
      <c r="BR76" s="252">
        <f t="shared" si="31"/>
        <v>0</v>
      </c>
      <c r="BS76" s="252">
        <f t="shared" si="31"/>
        <v>0</v>
      </c>
      <c r="BT76" s="252">
        <f t="shared" si="31"/>
        <v>0</v>
      </c>
      <c r="BU76" s="252">
        <f t="shared" si="31"/>
        <v>0</v>
      </c>
      <c r="BV76" s="252">
        <f t="shared" si="31"/>
        <v>0</v>
      </c>
      <c r="BW76" s="252">
        <f t="shared" si="31"/>
        <v>0</v>
      </c>
    </row>
    <row r="77" spans="1:75" x14ac:dyDescent="0.25">
      <c r="A77" s="44" t="s">
        <v>77</v>
      </c>
      <c r="B77" s="45">
        <v>0</v>
      </c>
      <c r="C77" s="45">
        <v>0</v>
      </c>
      <c r="D77" s="45">
        <v>0</v>
      </c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>
        <v>0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52">
        <v>60</v>
      </c>
      <c r="AH77" s="47">
        <f t="shared" si="2"/>
        <v>0</v>
      </c>
      <c r="AI77" s="48">
        <f t="shared" si="3"/>
        <v>0</v>
      </c>
      <c r="AK77" s="50"/>
      <c r="AS77" s="249"/>
      <c r="AT77" s="252"/>
      <c r="AU77" s="252"/>
      <c r="AV77" s="252"/>
      <c r="AW77" s="252"/>
      <c r="AX77" s="252"/>
      <c r="AZ77" s="252">
        <f t="shared" ref="AZ77:BW77" si="32">VALUE(AZ70)</f>
        <v>406</v>
      </c>
      <c r="BA77" s="252">
        <f t="shared" si="32"/>
        <v>378</v>
      </c>
      <c r="BB77" s="252">
        <f t="shared" si="32"/>
        <v>374.6</v>
      </c>
      <c r="BC77" s="252">
        <f t="shared" si="32"/>
        <v>375.6</v>
      </c>
      <c r="BD77" s="252">
        <f t="shared" si="32"/>
        <v>410</v>
      </c>
      <c r="BE77" s="252">
        <f t="shared" si="32"/>
        <v>401.6</v>
      </c>
      <c r="BF77" s="252">
        <f t="shared" si="32"/>
        <v>340</v>
      </c>
      <c r="BG77" s="252">
        <f t="shared" si="32"/>
        <v>143.9</v>
      </c>
      <c r="BH77" s="252">
        <f t="shared" si="32"/>
        <v>154</v>
      </c>
      <c r="BI77" s="252">
        <f t="shared" si="32"/>
        <v>350</v>
      </c>
      <c r="BJ77" s="252">
        <f t="shared" si="32"/>
        <v>428</v>
      </c>
      <c r="BK77" s="252">
        <f t="shared" si="32"/>
        <v>474</v>
      </c>
      <c r="BL77" s="252">
        <f t="shared" si="32"/>
        <v>439</v>
      </c>
      <c r="BM77" s="252">
        <f t="shared" si="32"/>
        <v>412</v>
      </c>
      <c r="BN77" s="252">
        <f t="shared" si="32"/>
        <v>440</v>
      </c>
      <c r="BO77" s="252">
        <f t="shared" si="32"/>
        <v>414.7</v>
      </c>
      <c r="BP77" s="252">
        <f t="shared" si="32"/>
        <v>354</v>
      </c>
      <c r="BQ77" s="252">
        <f t="shared" si="32"/>
        <v>287</v>
      </c>
      <c r="BR77" s="252">
        <f t="shared" si="32"/>
        <v>200</v>
      </c>
      <c r="BS77" s="252">
        <f t="shared" si="32"/>
        <v>272</v>
      </c>
      <c r="BT77" s="252">
        <f t="shared" si="32"/>
        <v>385</v>
      </c>
      <c r="BU77" s="252">
        <f t="shared" si="32"/>
        <v>375</v>
      </c>
      <c r="BV77" s="252">
        <f t="shared" si="32"/>
        <v>397</v>
      </c>
      <c r="BW77" s="252">
        <f t="shared" si="32"/>
        <v>395.1</v>
      </c>
    </row>
    <row r="78" spans="1:75" x14ac:dyDescent="0.25">
      <c r="A78" s="54" t="s">
        <v>78</v>
      </c>
      <c r="B78" s="65">
        <v>0</v>
      </c>
      <c r="C78" s="65">
        <v>0</v>
      </c>
      <c r="D78" s="65">
        <v>0</v>
      </c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>
        <v>0</v>
      </c>
      <c r="T78" s="65">
        <v>0</v>
      </c>
      <c r="U78" s="65">
        <v>0</v>
      </c>
      <c r="V78" s="65">
        <v>0</v>
      </c>
      <c r="W78" s="65">
        <v>0</v>
      </c>
      <c r="X78" s="65">
        <v>0</v>
      </c>
      <c r="Y78" s="65">
        <v>0</v>
      </c>
      <c r="Z78" s="65">
        <v>0</v>
      </c>
      <c r="AA78" s="65">
        <v>0</v>
      </c>
      <c r="AB78" s="65">
        <v>0</v>
      </c>
      <c r="AC78" s="65">
        <v>0</v>
      </c>
      <c r="AD78" s="65">
        <v>0</v>
      </c>
      <c r="AE78" s="65">
        <v>0</v>
      </c>
      <c r="AF78" s="65">
        <v>0</v>
      </c>
      <c r="AG78" s="55">
        <v>32</v>
      </c>
      <c r="AH78" s="47">
        <f t="shared" si="2"/>
        <v>0</v>
      </c>
      <c r="AI78" s="48">
        <f t="shared" si="3"/>
        <v>0</v>
      </c>
      <c r="AK78" s="50"/>
      <c r="AS78" s="249"/>
      <c r="AT78" s="252"/>
      <c r="AU78" s="252"/>
      <c r="AV78" s="252"/>
      <c r="AW78" s="252"/>
      <c r="AX78" s="252"/>
      <c r="AZ78" s="252">
        <f t="shared" ref="AZ78:BW78" si="33">VALUE(AZ71)</f>
        <v>39</v>
      </c>
      <c r="BA78" s="252">
        <f t="shared" si="33"/>
        <v>44</v>
      </c>
      <c r="BB78" s="252">
        <f t="shared" si="33"/>
        <v>45</v>
      </c>
      <c r="BC78" s="252">
        <f t="shared" si="33"/>
        <v>43</v>
      </c>
      <c r="BD78" s="252">
        <f t="shared" si="33"/>
        <v>42</v>
      </c>
      <c r="BE78" s="252">
        <f t="shared" si="33"/>
        <v>45</v>
      </c>
      <c r="BF78" s="252">
        <f t="shared" si="33"/>
        <v>25</v>
      </c>
      <c r="BG78" s="252">
        <f t="shared" si="33"/>
        <v>21</v>
      </c>
      <c r="BH78" s="252">
        <f t="shared" si="33"/>
        <v>14</v>
      </c>
      <c r="BI78" s="252">
        <f t="shared" si="33"/>
        <v>23.7</v>
      </c>
      <c r="BJ78" s="252">
        <f t="shared" si="33"/>
        <v>36</v>
      </c>
      <c r="BK78" s="252">
        <f t="shared" si="33"/>
        <v>47.6</v>
      </c>
      <c r="BL78" s="252">
        <f t="shared" si="33"/>
        <v>50</v>
      </c>
      <c r="BM78" s="252">
        <f t="shared" si="33"/>
        <v>50</v>
      </c>
      <c r="BN78" s="252">
        <f t="shared" si="33"/>
        <v>45</v>
      </c>
      <c r="BO78" s="252">
        <f t="shared" si="33"/>
        <v>22</v>
      </c>
      <c r="BP78" s="252">
        <f t="shared" si="33"/>
        <v>23</v>
      </c>
      <c r="BQ78" s="252">
        <f t="shared" si="33"/>
        <v>28</v>
      </c>
      <c r="BR78" s="252">
        <f t="shared" si="33"/>
        <v>25</v>
      </c>
      <c r="BS78" s="252">
        <f t="shared" si="33"/>
        <v>22</v>
      </c>
      <c r="BT78" s="252">
        <f t="shared" si="33"/>
        <v>20</v>
      </c>
      <c r="BU78" s="252">
        <f t="shared" si="33"/>
        <v>20</v>
      </c>
      <c r="BV78" s="252">
        <f t="shared" si="33"/>
        <v>13</v>
      </c>
      <c r="BW78" s="252">
        <f t="shared" si="33"/>
        <v>48</v>
      </c>
    </row>
    <row r="79" spans="1:75" ht="15.75" thickBot="1" x14ac:dyDescent="0.3">
      <c r="A79" s="71" t="s">
        <v>79</v>
      </c>
      <c r="B79" s="67">
        <v>0</v>
      </c>
      <c r="C79" s="67">
        <v>0</v>
      </c>
      <c r="D79" s="67">
        <v>0</v>
      </c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>
        <v>0</v>
      </c>
      <c r="T79" s="67">
        <v>0</v>
      </c>
      <c r="U79" s="67">
        <v>0</v>
      </c>
      <c r="V79" s="67">
        <v>0</v>
      </c>
      <c r="W79" s="67">
        <v>0</v>
      </c>
      <c r="X79" s="67">
        <v>0</v>
      </c>
      <c r="Y79" s="67">
        <v>0</v>
      </c>
      <c r="Z79" s="67">
        <v>0</v>
      </c>
      <c r="AA79" s="67">
        <v>0</v>
      </c>
      <c r="AB79" s="67">
        <v>0</v>
      </c>
      <c r="AC79" s="67">
        <v>0</v>
      </c>
      <c r="AD79" s="67">
        <v>0</v>
      </c>
      <c r="AE79" s="67">
        <v>0</v>
      </c>
      <c r="AF79" s="67">
        <v>0</v>
      </c>
      <c r="AG79" s="68">
        <v>14</v>
      </c>
      <c r="AH79" s="47">
        <f t="shared" si="2"/>
        <v>0</v>
      </c>
      <c r="AI79" s="48">
        <f t="shared" si="3"/>
        <v>0</v>
      </c>
      <c r="AK79" s="50"/>
      <c r="AS79" s="249"/>
      <c r="AT79" s="252"/>
      <c r="AU79" s="252"/>
      <c r="AV79" s="252"/>
      <c r="AW79" s="252"/>
      <c r="AX79" s="252"/>
      <c r="AZ79" s="252">
        <f t="shared" ref="AZ79:BW79" si="34">VALUE(AZ72)</f>
        <v>0</v>
      </c>
      <c r="BA79" s="252">
        <f t="shared" si="34"/>
        <v>0</v>
      </c>
      <c r="BB79" s="252">
        <f t="shared" si="34"/>
        <v>0</v>
      </c>
      <c r="BC79" s="252">
        <f t="shared" si="34"/>
        <v>0</v>
      </c>
      <c r="BD79" s="252">
        <f t="shared" si="34"/>
        <v>0</v>
      </c>
      <c r="BE79" s="252">
        <f t="shared" si="34"/>
        <v>0</v>
      </c>
      <c r="BF79" s="252">
        <f t="shared" si="34"/>
        <v>0</v>
      </c>
      <c r="BG79" s="252">
        <f t="shared" si="34"/>
        <v>0</v>
      </c>
      <c r="BH79" s="252">
        <f t="shared" si="34"/>
        <v>0</v>
      </c>
      <c r="BI79" s="252">
        <f t="shared" si="34"/>
        <v>0</v>
      </c>
      <c r="BJ79" s="252">
        <f t="shared" si="34"/>
        <v>0</v>
      </c>
      <c r="BK79" s="252">
        <f t="shared" si="34"/>
        <v>0</v>
      </c>
      <c r="BL79" s="252">
        <f t="shared" si="34"/>
        <v>0</v>
      </c>
      <c r="BM79" s="252">
        <f t="shared" si="34"/>
        <v>100</v>
      </c>
      <c r="BN79" s="252">
        <f t="shared" si="34"/>
        <v>26</v>
      </c>
      <c r="BO79" s="252">
        <f t="shared" si="34"/>
        <v>30</v>
      </c>
      <c r="BP79" s="252">
        <f t="shared" si="34"/>
        <v>24</v>
      </c>
      <c r="BQ79" s="252">
        <f t="shared" si="34"/>
        <v>25</v>
      </c>
      <c r="BR79" s="252">
        <f t="shared" si="34"/>
        <v>23</v>
      </c>
      <c r="BS79" s="252">
        <f t="shared" si="34"/>
        <v>24</v>
      </c>
      <c r="BT79" s="252">
        <f t="shared" si="34"/>
        <v>22</v>
      </c>
      <c r="BU79" s="252">
        <f t="shared" si="34"/>
        <v>22</v>
      </c>
      <c r="BV79" s="252">
        <f t="shared" si="34"/>
        <v>24</v>
      </c>
      <c r="BW79" s="252">
        <f t="shared" si="34"/>
        <v>0</v>
      </c>
    </row>
    <row r="80" spans="1:75" ht="15.75" thickBot="1" x14ac:dyDescent="0.3">
      <c r="A80" s="74" t="s">
        <v>80</v>
      </c>
      <c r="B80" s="60">
        <f t="shared" ref="B80:AB80" si="35">B77+B78+B79</f>
        <v>0</v>
      </c>
      <c r="C80" s="60">
        <f t="shared" si="35"/>
        <v>0</v>
      </c>
      <c r="D80" s="60">
        <f t="shared" si="35"/>
        <v>0</v>
      </c>
      <c r="E80" s="60">
        <f t="shared" si="35"/>
        <v>0</v>
      </c>
      <c r="F80" s="60">
        <f t="shared" si="35"/>
        <v>0</v>
      </c>
      <c r="G80" s="60">
        <f t="shared" si="35"/>
        <v>0</v>
      </c>
      <c r="H80" s="60">
        <f t="shared" si="35"/>
        <v>0</v>
      </c>
      <c r="I80" s="60">
        <f t="shared" si="35"/>
        <v>0</v>
      </c>
      <c r="J80" s="60">
        <f t="shared" si="35"/>
        <v>0</v>
      </c>
      <c r="K80" s="60">
        <f t="shared" si="35"/>
        <v>0</v>
      </c>
      <c r="L80" s="60">
        <f t="shared" si="35"/>
        <v>0</v>
      </c>
      <c r="M80" s="60">
        <f t="shared" si="35"/>
        <v>0</v>
      </c>
      <c r="N80" s="60">
        <f t="shared" si="35"/>
        <v>0</v>
      </c>
      <c r="O80" s="60">
        <f t="shared" si="35"/>
        <v>0</v>
      </c>
      <c r="P80" s="60">
        <f t="shared" si="35"/>
        <v>0</v>
      </c>
      <c r="Q80" s="60">
        <f t="shared" si="35"/>
        <v>0</v>
      </c>
      <c r="R80" s="60">
        <f t="shared" si="35"/>
        <v>0</v>
      </c>
      <c r="S80" s="60">
        <f t="shared" si="35"/>
        <v>0</v>
      </c>
      <c r="T80" s="60">
        <f t="shared" si="35"/>
        <v>0</v>
      </c>
      <c r="U80" s="60">
        <f t="shared" si="35"/>
        <v>0</v>
      </c>
      <c r="V80" s="60">
        <f t="shared" si="35"/>
        <v>0</v>
      </c>
      <c r="W80" s="60">
        <f t="shared" si="35"/>
        <v>0</v>
      </c>
      <c r="X80" s="60">
        <f t="shared" si="35"/>
        <v>0</v>
      </c>
      <c r="Y80" s="60">
        <f>Y77+Y78+Y79</f>
        <v>0</v>
      </c>
      <c r="Z80" s="60">
        <f>Z77+Z78+Z79</f>
        <v>0</v>
      </c>
      <c r="AA80" s="60">
        <f t="shared" si="35"/>
        <v>0</v>
      </c>
      <c r="AB80" s="60">
        <f t="shared" si="35"/>
        <v>0</v>
      </c>
      <c r="AC80" s="60">
        <f t="shared" ref="AC80:AD80" si="36">AC77+AC78+AC79</f>
        <v>0</v>
      </c>
      <c r="AD80" s="60">
        <f t="shared" si="36"/>
        <v>0</v>
      </c>
      <c r="AE80" s="60">
        <f t="shared" ref="AE80:AF80" si="37">AE77+AE78+AE79</f>
        <v>0</v>
      </c>
      <c r="AF80" s="60">
        <f t="shared" si="37"/>
        <v>0</v>
      </c>
      <c r="AG80" s="61">
        <f>SUM(AG77:AG79)</f>
        <v>106</v>
      </c>
      <c r="AH80" s="47">
        <f t="shared" si="2"/>
        <v>0</v>
      </c>
      <c r="AI80" s="48">
        <f t="shared" si="3"/>
        <v>0</v>
      </c>
      <c r="AK80" s="50"/>
      <c r="AS80" s="249"/>
      <c r="AT80" s="252"/>
      <c r="AU80" s="252"/>
      <c r="AV80" s="252"/>
      <c r="AW80" s="252"/>
      <c r="AX80" s="252"/>
      <c r="AZ80" s="252">
        <f t="shared" ref="AZ80:BW80" si="38">VALUE(AZ73)</f>
        <v>0</v>
      </c>
      <c r="BA80" s="252">
        <f t="shared" si="38"/>
        <v>0</v>
      </c>
      <c r="BB80" s="252">
        <f t="shared" si="38"/>
        <v>0</v>
      </c>
      <c r="BC80" s="252">
        <f t="shared" si="38"/>
        <v>0</v>
      </c>
      <c r="BD80" s="252">
        <f t="shared" si="38"/>
        <v>0</v>
      </c>
      <c r="BE80" s="252">
        <f t="shared" si="38"/>
        <v>0</v>
      </c>
      <c r="BF80" s="252">
        <f t="shared" si="38"/>
        <v>78</v>
      </c>
      <c r="BG80" s="252">
        <f t="shared" si="38"/>
        <v>81</v>
      </c>
      <c r="BH80" s="252">
        <f t="shared" si="38"/>
        <v>72</v>
      </c>
      <c r="BI80" s="252">
        <f t="shared" si="38"/>
        <v>76</v>
      </c>
      <c r="BJ80" s="252">
        <f t="shared" si="38"/>
        <v>72</v>
      </c>
      <c r="BK80" s="252">
        <f t="shared" si="38"/>
        <v>68</v>
      </c>
      <c r="BL80" s="252">
        <f t="shared" si="38"/>
        <v>57</v>
      </c>
      <c r="BM80" s="252">
        <f t="shared" si="38"/>
        <v>69.5</v>
      </c>
      <c r="BN80" s="252">
        <f t="shared" si="38"/>
        <v>75</v>
      </c>
      <c r="BO80" s="252">
        <f t="shared" si="38"/>
        <v>72.5</v>
      </c>
      <c r="BP80" s="252">
        <f t="shared" si="38"/>
        <v>70.900000000000006</v>
      </c>
      <c r="BQ80" s="252">
        <f t="shared" si="38"/>
        <v>62</v>
      </c>
      <c r="BR80" s="252">
        <f t="shared" si="38"/>
        <v>67.3</v>
      </c>
      <c r="BS80" s="252">
        <f t="shared" si="38"/>
        <v>67</v>
      </c>
      <c r="BT80" s="252">
        <f t="shared" si="38"/>
        <v>68</v>
      </c>
      <c r="BU80" s="252">
        <f t="shared" si="38"/>
        <v>77</v>
      </c>
      <c r="BV80" s="252">
        <f t="shared" si="38"/>
        <v>73</v>
      </c>
      <c r="BW80" s="252">
        <f t="shared" si="38"/>
        <v>0</v>
      </c>
    </row>
    <row r="81" spans="1:57" x14ac:dyDescent="0.25">
      <c r="A81" s="44" t="s">
        <v>81</v>
      </c>
      <c r="B81" s="45">
        <v>68.400000000000006</v>
      </c>
      <c r="C81" s="45">
        <v>73</v>
      </c>
      <c r="D81" s="45">
        <v>66.3</v>
      </c>
      <c r="E81" s="45">
        <v>59.4</v>
      </c>
      <c r="F81" s="45">
        <v>64.5</v>
      </c>
      <c r="G81" s="45">
        <v>69.8</v>
      </c>
      <c r="H81" s="45">
        <v>60</v>
      </c>
      <c r="I81" s="45">
        <v>68</v>
      </c>
      <c r="J81" s="45">
        <v>68</v>
      </c>
      <c r="K81" s="45">
        <v>58</v>
      </c>
      <c r="L81" s="45">
        <v>56.9</v>
      </c>
      <c r="M81" s="45">
        <v>57.4</v>
      </c>
      <c r="N81" s="45">
        <v>65</v>
      </c>
      <c r="O81" s="45">
        <v>38</v>
      </c>
      <c r="P81" s="45">
        <v>55</v>
      </c>
      <c r="Q81" s="45">
        <v>58</v>
      </c>
      <c r="R81" s="45">
        <v>65</v>
      </c>
      <c r="S81" s="45">
        <v>61.7</v>
      </c>
      <c r="T81" s="45">
        <v>58.8</v>
      </c>
      <c r="U81" s="45">
        <v>61.2</v>
      </c>
      <c r="V81" s="45">
        <v>55</v>
      </c>
      <c r="W81" s="45">
        <v>54.3</v>
      </c>
      <c r="X81" s="45">
        <v>56.3</v>
      </c>
      <c r="Y81" s="45">
        <v>70.400000000000006</v>
      </c>
      <c r="Z81" s="45">
        <v>46</v>
      </c>
      <c r="AA81" s="45">
        <v>42.7</v>
      </c>
      <c r="AB81" s="45">
        <v>44</v>
      </c>
      <c r="AC81" s="45">
        <v>61</v>
      </c>
      <c r="AD81" s="45">
        <v>68</v>
      </c>
      <c r="AE81" s="45">
        <v>70</v>
      </c>
      <c r="AF81" s="45">
        <v>61</v>
      </c>
      <c r="AG81" s="52"/>
      <c r="AH81" s="47">
        <f t="shared" si="2"/>
        <v>73</v>
      </c>
      <c r="AI81" s="48">
        <f t="shared" si="3"/>
        <v>38</v>
      </c>
      <c r="AK81" s="50"/>
      <c r="AS81" s="249"/>
      <c r="AT81" s="252"/>
      <c r="AU81" s="252"/>
      <c r="AV81" s="252"/>
      <c r="AW81" s="252"/>
      <c r="AX81" s="252"/>
    </row>
    <row r="82" spans="1:57" x14ac:dyDescent="0.25">
      <c r="A82" s="54" t="s">
        <v>82</v>
      </c>
      <c r="B82" s="65">
        <v>0</v>
      </c>
      <c r="C82" s="65">
        <v>0</v>
      </c>
      <c r="D82" s="65">
        <v>0</v>
      </c>
      <c r="E82" s="65">
        <v>0</v>
      </c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>
        <v>0</v>
      </c>
      <c r="T82" s="65">
        <v>0</v>
      </c>
      <c r="U82" s="65">
        <v>0</v>
      </c>
      <c r="V82" s="65">
        <v>0</v>
      </c>
      <c r="W82" s="65">
        <v>0</v>
      </c>
      <c r="X82" s="65">
        <v>0</v>
      </c>
      <c r="Y82" s="65">
        <v>0</v>
      </c>
      <c r="Z82" s="65">
        <v>0</v>
      </c>
      <c r="AA82" s="65">
        <v>0</v>
      </c>
      <c r="AB82" s="65">
        <v>0</v>
      </c>
      <c r="AC82" s="65">
        <v>0</v>
      </c>
      <c r="AD82" s="65">
        <v>0</v>
      </c>
      <c r="AE82" s="65">
        <v>0</v>
      </c>
      <c r="AF82" s="65">
        <v>0</v>
      </c>
      <c r="AG82" s="55"/>
      <c r="AH82" s="47">
        <f t="shared" si="2"/>
        <v>0</v>
      </c>
      <c r="AI82" s="48">
        <f t="shared" si="3"/>
        <v>0</v>
      </c>
      <c r="AK82" s="50"/>
      <c r="AS82" s="249"/>
      <c r="AT82" s="252"/>
      <c r="AU82" s="252"/>
      <c r="AV82" s="252"/>
      <c r="AW82" s="252"/>
      <c r="AX82" s="252"/>
      <c r="AZ82" s="252"/>
      <c r="BA82" s="252"/>
      <c r="BB82" s="252"/>
      <c r="BC82" s="252"/>
      <c r="BD82" s="252"/>
      <c r="BE82" s="252"/>
    </row>
    <row r="83" spans="1:57" x14ac:dyDescent="0.25">
      <c r="A83" s="54" t="s">
        <v>83</v>
      </c>
      <c r="B83" s="65">
        <v>395.1</v>
      </c>
      <c r="C83" s="65">
        <v>405.9</v>
      </c>
      <c r="D83" s="65">
        <v>378</v>
      </c>
      <c r="E83" s="65">
        <v>374.6</v>
      </c>
      <c r="F83" s="65">
        <v>375.6</v>
      </c>
      <c r="G83" s="65">
        <v>410</v>
      </c>
      <c r="H83" s="65">
        <v>421</v>
      </c>
      <c r="I83" s="65">
        <v>401.6</v>
      </c>
      <c r="J83" s="65">
        <v>380</v>
      </c>
      <c r="K83" s="65">
        <v>340</v>
      </c>
      <c r="L83" s="65">
        <v>240</v>
      </c>
      <c r="M83" s="65">
        <v>143.9</v>
      </c>
      <c r="N83" s="65">
        <v>154</v>
      </c>
      <c r="O83" s="65">
        <v>350</v>
      </c>
      <c r="P83" s="65">
        <v>428</v>
      </c>
      <c r="Q83" s="65">
        <v>474</v>
      </c>
      <c r="R83" s="65">
        <v>439</v>
      </c>
      <c r="S83" s="65">
        <v>412</v>
      </c>
      <c r="T83" s="65">
        <v>440</v>
      </c>
      <c r="U83" s="65">
        <v>414.7</v>
      </c>
      <c r="V83" s="65">
        <v>354</v>
      </c>
      <c r="W83" s="65">
        <v>319</v>
      </c>
      <c r="X83" s="65">
        <v>287</v>
      </c>
      <c r="Y83" s="65">
        <v>301.8</v>
      </c>
      <c r="Z83" s="65">
        <v>200</v>
      </c>
      <c r="AA83" s="65">
        <v>216</v>
      </c>
      <c r="AB83" s="65">
        <v>272</v>
      </c>
      <c r="AC83" s="65">
        <v>384</v>
      </c>
      <c r="AD83" s="65">
        <v>385</v>
      </c>
      <c r="AE83" s="65">
        <v>375</v>
      </c>
      <c r="AF83" s="65">
        <v>397</v>
      </c>
      <c r="AG83" s="75"/>
      <c r="AH83" s="47">
        <f t="shared" si="2"/>
        <v>474</v>
      </c>
      <c r="AI83" s="48">
        <f t="shared" si="3"/>
        <v>143.9</v>
      </c>
      <c r="AK83" s="50"/>
      <c r="AS83" s="249"/>
      <c r="AT83" s="252"/>
      <c r="AU83" s="252"/>
      <c r="AV83" s="252"/>
      <c r="AW83" s="252"/>
      <c r="AX83" s="252"/>
      <c r="AZ83" s="251"/>
      <c r="BA83" s="251"/>
      <c r="BB83" s="251"/>
      <c r="BC83" s="251"/>
      <c r="BD83" s="251"/>
      <c r="BE83" s="252"/>
    </row>
    <row r="84" spans="1:57" x14ac:dyDescent="0.25">
      <c r="A84" s="54" t="s">
        <v>84</v>
      </c>
      <c r="B84" s="65">
        <v>48</v>
      </c>
      <c r="C84" s="65">
        <v>39</v>
      </c>
      <c r="D84" s="65">
        <v>44</v>
      </c>
      <c r="E84" s="76">
        <v>45</v>
      </c>
      <c r="F84" s="76">
        <v>43</v>
      </c>
      <c r="G84" s="76">
        <v>42</v>
      </c>
      <c r="H84" s="76">
        <v>41</v>
      </c>
      <c r="I84" s="76">
        <v>45</v>
      </c>
      <c r="J84" s="76">
        <v>45</v>
      </c>
      <c r="K84" s="76">
        <v>25</v>
      </c>
      <c r="L84" s="76">
        <v>20</v>
      </c>
      <c r="M84" s="76">
        <v>21</v>
      </c>
      <c r="N84" s="76">
        <v>14</v>
      </c>
      <c r="O84" s="76">
        <v>23.7</v>
      </c>
      <c r="P84" s="76">
        <v>36</v>
      </c>
      <c r="Q84" s="76">
        <v>47.6</v>
      </c>
      <c r="R84" s="76">
        <v>50</v>
      </c>
      <c r="S84" s="76">
        <v>50</v>
      </c>
      <c r="T84" s="76">
        <v>45</v>
      </c>
      <c r="U84" s="76">
        <v>22</v>
      </c>
      <c r="V84" s="76">
        <v>23</v>
      </c>
      <c r="W84" s="76">
        <v>24.2</v>
      </c>
      <c r="X84" s="76">
        <v>28</v>
      </c>
      <c r="Y84" s="76">
        <v>30</v>
      </c>
      <c r="Z84" s="76">
        <v>25</v>
      </c>
      <c r="AA84" s="76">
        <v>27</v>
      </c>
      <c r="AB84" s="76">
        <v>22</v>
      </c>
      <c r="AC84" s="76">
        <v>21</v>
      </c>
      <c r="AD84" s="76">
        <v>20</v>
      </c>
      <c r="AE84" s="76">
        <v>20</v>
      </c>
      <c r="AF84" s="76">
        <v>13</v>
      </c>
      <c r="AG84" s="75"/>
      <c r="AH84" s="47">
        <f t="shared" si="2"/>
        <v>50</v>
      </c>
      <c r="AI84" s="48">
        <f t="shared" si="3"/>
        <v>13</v>
      </c>
      <c r="AK84" s="50"/>
      <c r="AS84" s="249"/>
      <c r="AT84" s="252"/>
      <c r="AU84" s="252"/>
      <c r="AV84" s="252"/>
      <c r="AW84" s="252"/>
      <c r="AX84" s="252"/>
      <c r="AZ84" s="251"/>
      <c r="BA84" s="251"/>
      <c r="BB84" s="251"/>
      <c r="BC84" s="251"/>
      <c r="BD84" s="251"/>
      <c r="BE84" s="252"/>
    </row>
    <row r="85" spans="1:57" x14ac:dyDescent="0.25">
      <c r="A85" s="54" t="s">
        <v>85</v>
      </c>
      <c r="B85" s="45">
        <v>0</v>
      </c>
      <c r="C85" s="45">
        <v>0</v>
      </c>
      <c r="D85" s="45">
        <v>0</v>
      </c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>
        <v>100</v>
      </c>
      <c r="T85" s="45">
        <v>26</v>
      </c>
      <c r="U85" s="45">
        <v>30</v>
      </c>
      <c r="V85" s="45">
        <v>24</v>
      </c>
      <c r="W85" s="45">
        <v>26.6</v>
      </c>
      <c r="X85" s="45">
        <v>25</v>
      </c>
      <c r="Y85" s="45">
        <v>26</v>
      </c>
      <c r="Z85" s="45">
        <v>23</v>
      </c>
      <c r="AA85" s="45">
        <v>24.6</v>
      </c>
      <c r="AB85" s="45">
        <v>24</v>
      </c>
      <c r="AC85" s="45">
        <v>22</v>
      </c>
      <c r="AD85" s="45">
        <v>22</v>
      </c>
      <c r="AE85" s="45">
        <v>22</v>
      </c>
      <c r="AF85" s="45">
        <v>24</v>
      </c>
      <c r="AG85" s="75"/>
      <c r="AH85" s="47">
        <f t="shared" ref="AH85:AH130" si="39">MAX(B85:AF85)</f>
        <v>100</v>
      </c>
      <c r="AI85" s="48">
        <f t="shared" ref="AI85:AI130" si="40">MIN(B85:AF85)</f>
        <v>0</v>
      </c>
      <c r="AK85" s="50"/>
      <c r="AS85" s="249"/>
      <c r="AT85" s="252"/>
      <c r="AU85" s="252"/>
      <c r="AV85" s="252"/>
      <c r="AW85" s="252"/>
      <c r="AX85" s="252"/>
      <c r="AZ85" s="251"/>
      <c r="BA85" s="251"/>
      <c r="BB85" s="251"/>
      <c r="BC85" s="251"/>
      <c r="BD85" s="251"/>
      <c r="BE85" s="252"/>
    </row>
    <row r="86" spans="1:57" x14ac:dyDescent="0.25">
      <c r="A86" s="54" t="s">
        <v>86</v>
      </c>
      <c r="B86" s="77">
        <v>0</v>
      </c>
      <c r="C86" s="77">
        <v>0</v>
      </c>
      <c r="D86" s="77">
        <v>0</v>
      </c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/>
      <c r="AH86" s="47">
        <f t="shared" si="39"/>
        <v>0</v>
      </c>
      <c r="AI86" s="48">
        <f t="shared" si="40"/>
        <v>0</v>
      </c>
      <c r="AK86" s="50"/>
      <c r="AS86" s="249"/>
      <c r="AT86" s="252"/>
      <c r="AU86" s="252"/>
      <c r="AV86" s="252"/>
      <c r="AW86" s="252"/>
      <c r="AX86" s="252"/>
      <c r="AZ86" s="251"/>
      <c r="BA86" s="251"/>
      <c r="BB86" s="251"/>
      <c r="BC86" s="251"/>
      <c r="BD86" s="251"/>
      <c r="BE86" s="252"/>
    </row>
    <row r="87" spans="1:57" ht="15.75" thickBot="1" x14ac:dyDescent="0.3">
      <c r="A87" s="54" t="s">
        <v>87</v>
      </c>
      <c r="B87" s="77">
        <v>0</v>
      </c>
      <c r="C87" s="77">
        <v>0</v>
      </c>
      <c r="D87" s="77">
        <v>0</v>
      </c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>
        <v>0</v>
      </c>
      <c r="T87" s="77">
        <v>0</v>
      </c>
      <c r="U87" s="77">
        <v>0</v>
      </c>
      <c r="V87" s="77">
        <v>0</v>
      </c>
      <c r="W87" s="77">
        <v>0</v>
      </c>
      <c r="X87" s="77">
        <v>0</v>
      </c>
      <c r="Y87" s="77">
        <v>0</v>
      </c>
      <c r="Z87" s="77">
        <v>0</v>
      </c>
      <c r="AA87" s="77">
        <v>0</v>
      </c>
      <c r="AB87" s="77">
        <v>0</v>
      </c>
      <c r="AC87" s="77">
        <v>0</v>
      </c>
      <c r="AD87" s="77">
        <v>0</v>
      </c>
      <c r="AE87" s="77">
        <v>0</v>
      </c>
      <c r="AF87" s="77">
        <v>0</v>
      </c>
      <c r="AG87" s="75"/>
      <c r="AH87" s="47">
        <f t="shared" si="39"/>
        <v>0</v>
      </c>
      <c r="AI87" s="48">
        <f t="shared" si="40"/>
        <v>0</v>
      </c>
      <c r="AK87" s="50"/>
      <c r="AL87" s="78" t="s">
        <v>88</v>
      </c>
      <c r="AM87" s="78"/>
      <c r="AS87" s="249"/>
      <c r="AT87" s="252"/>
      <c r="AU87" s="252"/>
      <c r="AV87" s="252"/>
      <c r="AW87" s="252"/>
      <c r="AX87" s="252"/>
      <c r="AZ87" s="252"/>
      <c r="BA87" s="252"/>
      <c r="BB87" s="252"/>
      <c r="BC87" s="252"/>
      <c r="BD87" s="252"/>
      <c r="BE87" s="252"/>
    </row>
    <row r="88" spans="1:57" x14ac:dyDescent="0.25">
      <c r="A88" s="54" t="s">
        <v>89</v>
      </c>
      <c r="B88" s="77">
        <v>0</v>
      </c>
      <c r="C88" s="77">
        <v>0</v>
      </c>
      <c r="D88" s="77">
        <v>0</v>
      </c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>
        <v>0</v>
      </c>
      <c r="T88" s="77">
        <v>0</v>
      </c>
      <c r="U88" s="77">
        <v>0</v>
      </c>
      <c r="V88" s="77">
        <v>0</v>
      </c>
      <c r="W88" s="77">
        <v>0</v>
      </c>
      <c r="X88" s="77">
        <v>0</v>
      </c>
      <c r="Y88" s="77">
        <v>0</v>
      </c>
      <c r="Z88" s="77">
        <v>0</v>
      </c>
      <c r="AA88" s="77">
        <v>0</v>
      </c>
      <c r="AB88" s="77">
        <v>0</v>
      </c>
      <c r="AC88" s="77">
        <v>0</v>
      </c>
      <c r="AD88" s="77">
        <v>0</v>
      </c>
      <c r="AE88" s="77">
        <v>0</v>
      </c>
      <c r="AF88" s="77">
        <v>0</v>
      </c>
      <c r="AG88" s="75"/>
      <c r="AH88" s="47">
        <f t="shared" si="39"/>
        <v>0</v>
      </c>
      <c r="AI88" s="48">
        <f t="shared" si="40"/>
        <v>0</v>
      </c>
      <c r="AK88" s="79"/>
      <c r="AL88" s="80"/>
      <c r="AM88" s="80"/>
      <c r="AN88" s="81"/>
      <c r="AS88" s="249"/>
      <c r="AT88" s="251"/>
      <c r="AU88" s="251"/>
      <c r="AV88" s="251"/>
      <c r="AW88" s="251"/>
      <c r="AX88" s="251"/>
      <c r="AZ88" s="252"/>
      <c r="BA88" s="252"/>
      <c r="BB88" s="252"/>
      <c r="BC88" s="252"/>
      <c r="BD88" s="252"/>
      <c r="BE88" s="252"/>
    </row>
    <row r="89" spans="1:57" x14ac:dyDescent="0.25">
      <c r="A89" s="54" t="s">
        <v>90</v>
      </c>
      <c r="B89" s="77">
        <v>0</v>
      </c>
      <c r="C89" s="77">
        <v>0</v>
      </c>
      <c r="D89" s="77">
        <v>0</v>
      </c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>
        <v>0</v>
      </c>
      <c r="T89" s="77">
        <v>0</v>
      </c>
      <c r="U89" s="77">
        <v>0</v>
      </c>
      <c r="V89" s="77">
        <v>0</v>
      </c>
      <c r="W89" s="77">
        <v>0</v>
      </c>
      <c r="X89" s="77">
        <v>0</v>
      </c>
      <c r="Y89" s="77">
        <v>0</v>
      </c>
      <c r="Z89" s="77">
        <v>0</v>
      </c>
      <c r="AA89" s="77">
        <v>0</v>
      </c>
      <c r="AB89" s="77">
        <v>0</v>
      </c>
      <c r="AC89" s="77">
        <v>0</v>
      </c>
      <c r="AD89" s="77">
        <v>0</v>
      </c>
      <c r="AE89" s="77">
        <v>0</v>
      </c>
      <c r="AF89" s="77">
        <v>0</v>
      </c>
      <c r="AG89" s="75"/>
      <c r="AH89" s="47">
        <f t="shared" si="39"/>
        <v>0</v>
      </c>
      <c r="AI89" s="48">
        <f t="shared" si="40"/>
        <v>0</v>
      </c>
      <c r="AK89" s="82" t="s">
        <v>91</v>
      </c>
      <c r="AL89" s="65"/>
      <c r="AM89" s="76"/>
      <c r="AN89" s="83"/>
      <c r="AS89" s="249"/>
      <c r="AT89" s="251"/>
      <c r="AU89" s="251"/>
      <c r="AV89" s="251"/>
      <c r="AW89" s="251"/>
      <c r="AX89" s="251"/>
      <c r="AZ89" s="252"/>
      <c r="BA89" s="252"/>
      <c r="BB89" s="252"/>
      <c r="BC89" s="252"/>
      <c r="BD89" s="252"/>
      <c r="BE89" s="252"/>
    </row>
    <row r="90" spans="1:57" x14ac:dyDescent="0.25">
      <c r="A90" s="84" t="s">
        <v>92</v>
      </c>
      <c r="B90" s="77">
        <v>0</v>
      </c>
      <c r="C90" s="77">
        <v>0</v>
      </c>
      <c r="D90" s="77">
        <v>0</v>
      </c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>
        <v>0</v>
      </c>
      <c r="T90" s="77">
        <v>0</v>
      </c>
      <c r="U90" s="77">
        <v>0</v>
      </c>
      <c r="V90" s="77">
        <v>0</v>
      </c>
      <c r="W90" s="77">
        <v>0</v>
      </c>
      <c r="X90" s="77">
        <v>0</v>
      </c>
      <c r="Y90" s="77">
        <v>0</v>
      </c>
      <c r="Z90" s="77">
        <v>0</v>
      </c>
      <c r="AA90" s="77">
        <v>0</v>
      </c>
      <c r="AB90" s="77">
        <v>0</v>
      </c>
      <c r="AC90" s="77">
        <v>0</v>
      </c>
      <c r="AD90" s="77">
        <v>0</v>
      </c>
      <c r="AE90" s="77">
        <v>0</v>
      </c>
      <c r="AF90" s="77">
        <v>0</v>
      </c>
      <c r="AG90" s="85"/>
      <c r="AH90" s="47">
        <f t="shared" si="39"/>
        <v>0</v>
      </c>
      <c r="AI90" s="48">
        <f t="shared" si="40"/>
        <v>0</v>
      </c>
      <c r="AK90" s="82" t="s">
        <v>93</v>
      </c>
      <c r="AL90" s="76"/>
      <c r="AM90" s="76"/>
      <c r="AN90" s="83"/>
      <c r="AS90" s="249"/>
      <c r="AT90" s="251"/>
      <c r="AU90" s="251"/>
      <c r="AV90" s="251"/>
      <c r="AW90" s="251"/>
      <c r="AX90" s="251"/>
      <c r="AZ90" s="252"/>
      <c r="BA90" s="252"/>
      <c r="BB90" s="252"/>
      <c r="BC90" s="252"/>
      <c r="BD90" s="252"/>
      <c r="BE90" s="252"/>
    </row>
    <row r="91" spans="1:57" ht="15.75" thickBot="1" x14ac:dyDescent="0.3">
      <c r="A91" s="84" t="s">
        <v>421</v>
      </c>
      <c r="B91" s="77">
        <v>0</v>
      </c>
      <c r="C91" s="77">
        <v>0</v>
      </c>
      <c r="D91" s="77">
        <v>0</v>
      </c>
      <c r="E91" s="77"/>
      <c r="F91" s="77"/>
      <c r="G91" s="77"/>
      <c r="H91" s="77"/>
      <c r="I91" s="77"/>
      <c r="J91" s="77">
        <v>24</v>
      </c>
      <c r="K91" s="77">
        <v>78</v>
      </c>
      <c r="L91" s="77">
        <v>76</v>
      </c>
      <c r="M91" s="77">
        <v>81</v>
      </c>
      <c r="N91" s="77">
        <v>72</v>
      </c>
      <c r="O91" s="77">
        <v>76</v>
      </c>
      <c r="P91" s="77">
        <v>72</v>
      </c>
      <c r="Q91" s="77">
        <v>68</v>
      </c>
      <c r="R91" s="77">
        <v>57</v>
      </c>
      <c r="S91" s="77">
        <v>69.5</v>
      </c>
      <c r="T91" s="77">
        <v>75</v>
      </c>
      <c r="U91" s="77">
        <v>72.5</v>
      </c>
      <c r="V91" s="77">
        <v>70.900000000000006</v>
      </c>
      <c r="W91" s="77">
        <v>78.7</v>
      </c>
      <c r="X91" s="77">
        <v>62</v>
      </c>
      <c r="Y91" s="77">
        <v>70</v>
      </c>
      <c r="Z91" s="77">
        <v>67.3</v>
      </c>
      <c r="AA91" s="77">
        <v>67.3</v>
      </c>
      <c r="AB91" s="77">
        <v>67</v>
      </c>
      <c r="AC91" s="77">
        <v>68</v>
      </c>
      <c r="AD91" s="77">
        <v>68</v>
      </c>
      <c r="AE91" s="77">
        <v>77</v>
      </c>
      <c r="AF91" s="77">
        <v>73</v>
      </c>
      <c r="AG91" s="85"/>
      <c r="AH91" s="47">
        <f t="shared" si="39"/>
        <v>81</v>
      </c>
      <c r="AI91" s="48">
        <f t="shared" si="40"/>
        <v>0</v>
      </c>
      <c r="AK91" s="86"/>
      <c r="AL91" s="45"/>
      <c r="AM91" s="45"/>
      <c r="AN91" s="87"/>
      <c r="AS91" s="249"/>
      <c r="AT91" s="251"/>
      <c r="AU91" s="251"/>
      <c r="AV91" s="251"/>
      <c r="AW91" s="251"/>
      <c r="AX91" s="251"/>
      <c r="AZ91" s="252"/>
      <c r="BA91" s="252"/>
      <c r="BB91" s="252"/>
      <c r="BC91" s="252"/>
      <c r="BD91" s="252"/>
      <c r="BE91" s="252"/>
    </row>
    <row r="92" spans="1:57" ht="15.75" thickBot="1" x14ac:dyDescent="0.3">
      <c r="A92" s="74" t="s">
        <v>95</v>
      </c>
      <c r="B92" s="60">
        <f t="shared" ref="B92:AB92" si="41">SUMIF(B81:B91,"&gt;0")</f>
        <v>511.5</v>
      </c>
      <c r="C92" s="60">
        <f t="shared" si="41"/>
        <v>517.9</v>
      </c>
      <c r="D92" s="60">
        <f t="shared" si="41"/>
        <v>488.3</v>
      </c>
      <c r="E92" s="60">
        <f t="shared" si="41"/>
        <v>479</v>
      </c>
      <c r="F92" s="60">
        <f t="shared" si="41"/>
        <v>483.1</v>
      </c>
      <c r="G92" s="60">
        <f t="shared" si="41"/>
        <v>521.79999999999995</v>
      </c>
      <c r="H92" s="60">
        <f t="shared" si="41"/>
        <v>522</v>
      </c>
      <c r="I92" s="60">
        <f t="shared" si="41"/>
        <v>514.6</v>
      </c>
      <c r="J92" s="60">
        <f t="shared" si="41"/>
        <v>517</v>
      </c>
      <c r="K92" s="60">
        <f t="shared" si="41"/>
        <v>501</v>
      </c>
      <c r="L92" s="60">
        <f t="shared" si="41"/>
        <v>392.9</v>
      </c>
      <c r="M92" s="60">
        <f t="shared" si="41"/>
        <v>303.3</v>
      </c>
      <c r="N92" s="60">
        <f t="shared" si="41"/>
        <v>305</v>
      </c>
      <c r="O92" s="60">
        <f t="shared" si="41"/>
        <v>487.7</v>
      </c>
      <c r="P92" s="60">
        <f t="shared" si="41"/>
        <v>591</v>
      </c>
      <c r="Q92" s="60">
        <f t="shared" si="41"/>
        <v>647.6</v>
      </c>
      <c r="R92" s="60">
        <f t="shared" si="41"/>
        <v>611</v>
      </c>
      <c r="S92" s="60">
        <f t="shared" si="41"/>
        <v>693.2</v>
      </c>
      <c r="T92" s="60">
        <f t="shared" si="41"/>
        <v>644.79999999999995</v>
      </c>
      <c r="U92" s="60">
        <f t="shared" si="41"/>
        <v>600.4</v>
      </c>
      <c r="V92" s="60">
        <f t="shared" si="41"/>
        <v>526.9</v>
      </c>
      <c r="W92" s="60">
        <f t="shared" si="41"/>
        <v>502.8</v>
      </c>
      <c r="X92" s="60">
        <f t="shared" si="41"/>
        <v>458.3</v>
      </c>
      <c r="Y92" s="60">
        <f>SUMIF(Y81:Y91,"&gt;0")</f>
        <v>498.20000000000005</v>
      </c>
      <c r="Z92" s="60">
        <f>SUMIF(Z81:Z91,"&gt;0")</f>
        <v>361.3</v>
      </c>
      <c r="AA92" s="60">
        <f t="shared" si="41"/>
        <v>377.6</v>
      </c>
      <c r="AB92" s="60">
        <f t="shared" si="41"/>
        <v>429</v>
      </c>
      <c r="AC92" s="60">
        <f t="shared" ref="AC92:AD92" si="42">SUMIF(AC81:AC91,"&gt;0")</f>
        <v>556</v>
      </c>
      <c r="AD92" s="60">
        <f t="shared" si="42"/>
        <v>563</v>
      </c>
      <c r="AE92" s="60">
        <f t="shared" ref="AE92:AF92" si="43">SUMIF(AE81:AE91,"&gt;0")</f>
        <v>564</v>
      </c>
      <c r="AF92" s="60">
        <f t="shared" si="43"/>
        <v>568</v>
      </c>
      <c r="AG92" s="88">
        <f>SUM(AG81:AG91)</f>
        <v>0</v>
      </c>
      <c r="AH92" s="47">
        <f t="shared" si="39"/>
        <v>693.2</v>
      </c>
      <c r="AI92" s="48">
        <f t="shared" si="40"/>
        <v>303.3</v>
      </c>
      <c r="AK92" s="86"/>
      <c r="AL92" s="77"/>
      <c r="AM92" s="89"/>
      <c r="AN92" s="255"/>
      <c r="AS92" s="249"/>
      <c r="AT92" s="251"/>
      <c r="AU92" s="251"/>
      <c r="AV92" s="251"/>
      <c r="AW92" s="251"/>
      <c r="AX92" s="251"/>
      <c r="AZ92" s="252"/>
      <c r="BA92" s="252"/>
      <c r="BB92" s="252"/>
      <c r="BC92" s="252"/>
      <c r="BD92" s="252"/>
      <c r="BE92" s="252"/>
    </row>
    <row r="93" spans="1:57" x14ac:dyDescent="0.25">
      <c r="A93" s="44" t="s">
        <v>96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39"/>
        <v>0</v>
      </c>
      <c r="AI93" s="48">
        <f t="shared" si="40"/>
        <v>0</v>
      </c>
      <c r="AK93" s="86"/>
      <c r="AL93" s="77"/>
      <c r="AM93" s="77"/>
      <c r="AN93" s="256"/>
      <c r="AZ93" s="252"/>
      <c r="BA93" s="252"/>
      <c r="BB93" s="252"/>
      <c r="BC93" s="252"/>
      <c r="BD93" s="252"/>
      <c r="BE93" s="252"/>
    </row>
    <row r="94" spans="1:57" ht="15.75" thickBot="1" x14ac:dyDescent="0.3">
      <c r="A94" s="54" t="s">
        <v>97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39"/>
        <v>0</v>
      </c>
      <c r="AI94" s="48">
        <f t="shared" si="40"/>
        <v>0</v>
      </c>
      <c r="AK94" s="91"/>
      <c r="AL94" s="92"/>
      <c r="AM94" s="92"/>
      <c r="AN94" s="93"/>
      <c r="AZ94" s="252"/>
      <c r="BA94" s="252"/>
      <c r="BB94" s="252"/>
      <c r="BC94" s="252"/>
      <c r="BD94" s="252"/>
      <c r="BE94" s="252"/>
    </row>
    <row r="95" spans="1:57" ht="15.75" thickBot="1" x14ac:dyDescent="0.3">
      <c r="A95" s="84" t="s">
        <v>98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39"/>
        <v>0</v>
      </c>
      <c r="AI95" s="48">
        <f t="shared" si="40"/>
        <v>0</v>
      </c>
    </row>
    <row r="96" spans="1:57" ht="15.75" thickBot="1" x14ac:dyDescent="0.3">
      <c r="A96" s="74" t="s">
        <v>99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>
        <v>0</v>
      </c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39"/>
        <v>0</v>
      </c>
      <c r="AI96" s="48">
        <f t="shared" si="40"/>
        <v>0</v>
      </c>
    </row>
    <row r="97" spans="1:37" ht="15.75" thickBot="1" x14ac:dyDescent="0.3">
      <c r="A97" s="74" t="s">
        <v>100</v>
      </c>
      <c r="B97" s="95">
        <f>B58+B62+B80+B76+B92+B96</f>
        <v>1138.54</v>
      </c>
      <c r="C97" s="95">
        <f t="shared" ref="C97:AG97" si="44">C58+C62+C80+C76+C92+C96</f>
        <v>1144.54</v>
      </c>
      <c r="D97" s="95">
        <f t="shared" si="44"/>
        <v>1111.3400000000001</v>
      </c>
      <c r="E97" s="95">
        <f t="shared" si="44"/>
        <v>1102.1399999999999</v>
      </c>
      <c r="F97" s="95">
        <f t="shared" si="44"/>
        <v>1122.94</v>
      </c>
      <c r="G97" s="95">
        <f t="shared" si="44"/>
        <v>1170.8400000000001</v>
      </c>
      <c r="H97" s="95">
        <f t="shared" si="44"/>
        <v>1295.44</v>
      </c>
      <c r="I97" s="95">
        <f t="shared" si="44"/>
        <v>1327.8400000000001</v>
      </c>
      <c r="J97" s="95">
        <f t="shared" si="44"/>
        <v>1466.1399999999999</v>
      </c>
      <c r="K97" s="95">
        <f t="shared" si="44"/>
        <v>1566.04</v>
      </c>
      <c r="L97" s="95">
        <f t="shared" si="44"/>
        <v>1576.6399999999999</v>
      </c>
      <c r="M97" s="95">
        <f t="shared" si="44"/>
        <v>1542.54</v>
      </c>
      <c r="N97" s="95">
        <f t="shared" si="44"/>
        <v>1482.24</v>
      </c>
      <c r="O97" s="95">
        <f t="shared" si="44"/>
        <v>1371.14</v>
      </c>
      <c r="P97" s="95">
        <f t="shared" si="44"/>
        <v>1357.6399999999999</v>
      </c>
      <c r="Q97" s="95">
        <f t="shared" si="44"/>
        <v>1398.1399999999999</v>
      </c>
      <c r="R97" s="95">
        <f t="shared" si="44"/>
        <v>1375.44</v>
      </c>
      <c r="S97" s="95">
        <f t="shared" si="44"/>
        <v>1457.88</v>
      </c>
      <c r="T97" s="95">
        <f t="shared" si="44"/>
        <v>1455.14</v>
      </c>
      <c r="U97" s="95">
        <f t="shared" si="44"/>
        <v>1439.94</v>
      </c>
      <c r="V97" s="95">
        <f t="shared" si="44"/>
        <v>1323.1399999999999</v>
      </c>
      <c r="W97" s="95">
        <f t="shared" si="44"/>
        <v>1372.44</v>
      </c>
      <c r="X97" s="95">
        <f t="shared" si="44"/>
        <v>1510.54</v>
      </c>
      <c r="Y97" s="95">
        <f>Y58+Y62+Y80+Y76+Y92+Y96</f>
        <v>1639.6000000000001</v>
      </c>
      <c r="Z97" s="95">
        <f>Z58+Z62+Z80+Z76+Z92+Z96</f>
        <v>1595</v>
      </c>
      <c r="AA97" s="95">
        <f t="shared" si="44"/>
        <v>1528.6399999999999</v>
      </c>
      <c r="AB97" s="95">
        <f t="shared" si="44"/>
        <v>1399.94</v>
      </c>
      <c r="AC97" s="95">
        <f t="shared" ref="AC97:AD97" si="45">AC58+AC62+AC80+AC76+AC92+AC96</f>
        <v>1381.94</v>
      </c>
      <c r="AD97" s="95">
        <f t="shared" si="45"/>
        <v>1403.94</v>
      </c>
      <c r="AE97" s="95">
        <f t="shared" ref="AE97:AF97" si="46">AE58+AE62+AE80+AE76+AE92+AE96</f>
        <v>1324.94</v>
      </c>
      <c r="AF97" s="95">
        <f t="shared" si="46"/>
        <v>1230.94</v>
      </c>
      <c r="AG97" s="61">
        <f t="shared" si="44"/>
        <v>2231.81</v>
      </c>
      <c r="AH97" s="47">
        <f t="shared" si="39"/>
        <v>1639.6000000000001</v>
      </c>
      <c r="AI97" s="48">
        <f t="shared" si="40"/>
        <v>1102.1399999999999</v>
      </c>
    </row>
    <row r="98" spans="1:37" ht="15.75" thickBot="1" x14ac:dyDescent="0.3">
      <c r="A98" s="96" t="s">
        <v>101</v>
      </c>
      <c r="B98" s="97"/>
      <c r="C98" s="97"/>
      <c r="D98" s="97"/>
      <c r="E98" s="97"/>
      <c r="F98" s="97"/>
      <c r="G98" s="97"/>
      <c r="H98" s="97"/>
      <c r="I98" s="97"/>
      <c r="J98" s="97"/>
      <c r="K98" s="97">
        <v>180</v>
      </c>
      <c r="L98" s="97">
        <v>250</v>
      </c>
      <c r="M98" s="97">
        <v>280</v>
      </c>
      <c r="N98" s="97">
        <v>280</v>
      </c>
      <c r="O98" s="97">
        <v>280</v>
      </c>
      <c r="P98" s="97">
        <v>260</v>
      </c>
      <c r="Q98" s="97"/>
      <c r="R98" s="97"/>
      <c r="S98" s="97"/>
      <c r="T98" s="97"/>
      <c r="U98" s="97"/>
      <c r="V98" s="97"/>
      <c r="W98" s="97">
        <v>200</v>
      </c>
      <c r="X98" s="97">
        <v>250</v>
      </c>
      <c r="Y98" s="97">
        <v>250</v>
      </c>
      <c r="Z98" s="97">
        <v>250</v>
      </c>
      <c r="AA98" s="97">
        <v>250</v>
      </c>
      <c r="AB98" s="97">
        <v>200</v>
      </c>
      <c r="AC98" s="97">
        <v>150</v>
      </c>
      <c r="AD98" s="97">
        <v>0</v>
      </c>
      <c r="AE98" s="97">
        <v>0</v>
      </c>
      <c r="AF98" s="97">
        <v>0</v>
      </c>
      <c r="AG98" s="88"/>
      <c r="AH98" s="47">
        <f t="shared" si="39"/>
        <v>280</v>
      </c>
      <c r="AI98" s="48">
        <f t="shared" si="40"/>
        <v>0</v>
      </c>
    </row>
    <row r="99" spans="1:37" ht="15.75" thickBot="1" x14ac:dyDescent="0.3">
      <c r="A99" s="74" t="s">
        <v>102</v>
      </c>
      <c r="B99" s="95">
        <f t="shared" ref="B99:AB99" si="47">B97+B98</f>
        <v>1138.54</v>
      </c>
      <c r="C99" s="95">
        <f t="shared" si="47"/>
        <v>1144.54</v>
      </c>
      <c r="D99" s="95">
        <f t="shared" si="47"/>
        <v>1111.3400000000001</v>
      </c>
      <c r="E99" s="95">
        <f t="shared" si="47"/>
        <v>1102.1399999999999</v>
      </c>
      <c r="F99" s="95">
        <f t="shared" si="47"/>
        <v>1122.94</v>
      </c>
      <c r="G99" s="95">
        <f t="shared" si="47"/>
        <v>1170.8400000000001</v>
      </c>
      <c r="H99" s="95">
        <f t="shared" si="47"/>
        <v>1295.44</v>
      </c>
      <c r="I99" s="95">
        <f t="shared" si="47"/>
        <v>1327.8400000000001</v>
      </c>
      <c r="J99" s="95">
        <f t="shared" si="47"/>
        <v>1466.1399999999999</v>
      </c>
      <c r="K99" s="95">
        <f t="shared" si="47"/>
        <v>1746.04</v>
      </c>
      <c r="L99" s="95">
        <f t="shared" si="47"/>
        <v>1826.6399999999999</v>
      </c>
      <c r="M99" s="95">
        <f t="shared" si="47"/>
        <v>1822.54</v>
      </c>
      <c r="N99" s="95">
        <f t="shared" si="47"/>
        <v>1762.24</v>
      </c>
      <c r="O99" s="95">
        <f t="shared" si="47"/>
        <v>1651.14</v>
      </c>
      <c r="P99" s="95">
        <f t="shared" si="47"/>
        <v>1617.6399999999999</v>
      </c>
      <c r="Q99" s="95">
        <f t="shared" si="47"/>
        <v>1398.1399999999999</v>
      </c>
      <c r="R99" s="95">
        <f t="shared" si="47"/>
        <v>1375.44</v>
      </c>
      <c r="S99" s="95">
        <f t="shared" si="47"/>
        <v>1457.88</v>
      </c>
      <c r="T99" s="95">
        <f t="shared" si="47"/>
        <v>1455.14</v>
      </c>
      <c r="U99" s="95">
        <f t="shared" si="47"/>
        <v>1439.94</v>
      </c>
      <c r="V99" s="95">
        <f t="shared" si="47"/>
        <v>1323.1399999999999</v>
      </c>
      <c r="W99" s="95">
        <f t="shared" si="47"/>
        <v>1572.44</v>
      </c>
      <c r="X99" s="95">
        <f t="shared" si="47"/>
        <v>1760.54</v>
      </c>
      <c r="Y99" s="95">
        <f>Y97+Y98</f>
        <v>1889.6000000000001</v>
      </c>
      <c r="Z99" s="95">
        <f>Z97+Z98</f>
        <v>1845</v>
      </c>
      <c r="AA99" s="95">
        <f t="shared" si="47"/>
        <v>1778.6399999999999</v>
      </c>
      <c r="AB99" s="95">
        <f t="shared" si="47"/>
        <v>1599.94</v>
      </c>
      <c r="AC99" s="95">
        <f t="shared" ref="AC99:AD99" si="48">AC97+AC98</f>
        <v>1531.94</v>
      </c>
      <c r="AD99" s="95">
        <f t="shared" si="48"/>
        <v>1403.94</v>
      </c>
      <c r="AE99" s="95">
        <f t="shared" ref="AE99:AF99" si="49">AE97+AE98</f>
        <v>1324.94</v>
      </c>
      <c r="AF99" s="95">
        <f t="shared" si="49"/>
        <v>1230.94</v>
      </c>
      <c r="AG99" s="88">
        <f>AG96+AG92+AG80+AG76+AG58+AG98</f>
        <v>1693.71</v>
      </c>
      <c r="AH99" s="47">
        <f t="shared" si="39"/>
        <v>1889.6000000000001</v>
      </c>
      <c r="AI99" s="48">
        <f t="shared" si="40"/>
        <v>1102.1399999999999</v>
      </c>
    </row>
    <row r="100" spans="1:37" ht="15.75" thickBot="1" x14ac:dyDescent="0.3">
      <c r="A100" s="74" t="s">
        <v>103</v>
      </c>
      <c r="B100" s="95">
        <f t="shared" ref="B100:M100" si="50">B99-(B107)</f>
        <v>1138.54</v>
      </c>
      <c r="C100" s="95">
        <f t="shared" si="50"/>
        <v>1144.54</v>
      </c>
      <c r="D100" s="95">
        <f t="shared" si="50"/>
        <v>1111.3400000000001</v>
      </c>
      <c r="E100" s="95">
        <f t="shared" si="50"/>
        <v>1102.1399999999999</v>
      </c>
      <c r="F100" s="95">
        <f t="shared" si="50"/>
        <v>1122.94</v>
      </c>
      <c r="G100" s="95">
        <f t="shared" si="50"/>
        <v>1170.8400000000001</v>
      </c>
      <c r="H100" s="95">
        <f t="shared" si="50"/>
        <v>1295.44</v>
      </c>
      <c r="I100" s="95">
        <f t="shared" si="50"/>
        <v>1327.8400000000001</v>
      </c>
      <c r="J100" s="95">
        <f t="shared" si="50"/>
        <v>1466.1399999999999</v>
      </c>
      <c r="K100" s="95">
        <f t="shared" si="50"/>
        <v>1746.04</v>
      </c>
      <c r="L100" s="95">
        <f t="shared" si="50"/>
        <v>1826.6399999999999</v>
      </c>
      <c r="M100" s="95">
        <f t="shared" si="50"/>
        <v>1822.54</v>
      </c>
      <c r="N100" s="95">
        <f>N99-(N107)</f>
        <v>1762.24</v>
      </c>
      <c r="O100" s="95">
        <f t="shared" ref="O100:AB100" si="51">O99-(O107)</f>
        <v>1651.14</v>
      </c>
      <c r="P100" s="95">
        <f t="shared" si="51"/>
        <v>1617.6399999999999</v>
      </c>
      <c r="Q100" s="95">
        <f t="shared" si="51"/>
        <v>1398.1399999999999</v>
      </c>
      <c r="R100" s="95">
        <f t="shared" si="51"/>
        <v>1375.44</v>
      </c>
      <c r="S100" s="95">
        <f t="shared" si="51"/>
        <v>1457.88</v>
      </c>
      <c r="T100" s="95">
        <f t="shared" si="51"/>
        <v>1455.14</v>
      </c>
      <c r="U100" s="95">
        <f t="shared" si="51"/>
        <v>1439.94</v>
      </c>
      <c r="V100" s="95">
        <f t="shared" si="51"/>
        <v>1323.1399999999999</v>
      </c>
      <c r="W100" s="95">
        <f t="shared" si="51"/>
        <v>1572.44</v>
      </c>
      <c r="X100" s="95">
        <f t="shared" si="51"/>
        <v>1760.54</v>
      </c>
      <c r="Y100" s="95">
        <f t="shared" si="51"/>
        <v>1889.6000000000001</v>
      </c>
      <c r="Z100" s="95">
        <f t="shared" si="51"/>
        <v>1845</v>
      </c>
      <c r="AA100" s="95">
        <f t="shared" si="51"/>
        <v>1778.6399999999999</v>
      </c>
      <c r="AB100" s="95">
        <f t="shared" si="51"/>
        <v>1599.94</v>
      </c>
      <c r="AC100" s="95">
        <f t="shared" ref="AC100:AD100" si="52">AC99-(AC107)</f>
        <v>1530.94</v>
      </c>
      <c r="AD100" s="95">
        <f t="shared" si="52"/>
        <v>1401.94</v>
      </c>
      <c r="AE100" s="95">
        <f t="shared" ref="AE100:AF100" si="53">AE99-(AE107)</f>
        <v>1321.94</v>
      </c>
      <c r="AF100" s="95">
        <f t="shared" si="53"/>
        <v>1226.94</v>
      </c>
      <c r="AG100" s="88"/>
      <c r="AH100" s="47">
        <f t="shared" si="39"/>
        <v>1889.6000000000001</v>
      </c>
      <c r="AI100" s="48">
        <f t="shared" si="40"/>
        <v>1102.1399999999999</v>
      </c>
    </row>
    <row r="101" spans="1:37" x14ac:dyDescent="0.25">
      <c r="A101" s="44" t="s">
        <v>84</v>
      </c>
      <c r="B101" s="76">
        <f>IF(B84&lt;0,B84*-1,0)</f>
        <v>0</v>
      </c>
      <c r="C101" s="76">
        <f t="shared" ref="C101:AB101" si="54">IF(C84&lt;0,C84*-1,0)</f>
        <v>0</v>
      </c>
      <c r="D101" s="76">
        <f t="shared" si="54"/>
        <v>0</v>
      </c>
      <c r="E101" s="76">
        <f t="shared" si="54"/>
        <v>0</v>
      </c>
      <c r="F101" s="76">
        <f t="shared" si="54"/>
        <v>0</v>
      </c>
      <c r="G101" s="76">
        <f t="shared" si="54"/>
        <v>0</v>
      </c>
      <c r="H101" s="76">
        <f t="shared" si="54"/>
        <v>0</v>
      </c>
      <c r="I101" s="76">
        <f t="shared" si="54"/>
        <v>0</v>
      </c>
      <c r="J101" s="76">
        <f t="shared" si="54"/>
        <v>0</v>
      </c>
      <c r="K101" s="76">
        <f t="shared" si="54"/>
        <v>0</v>
      </c>
      <c r="L101" s="76">
        <f t="shared" si="54"/>
        <v>0</v>
      </c>
      <c r="M101" s="76">
        <f t="shared" si="54"/>
        <v>0</v>
      </c>
      <c r="N101" s="76">
        <f t="shared" si="54"/>
        <v>0</v>
      </c>
      <c r="O101" s="76">
        <f t="shared" si="54"/>
        <v>0</v>
      </c>
      <c r="P101" s="76">
        <f t="shared" si="54"/>
        <v>0</v>
      </c>
      <c r="Q101" s="76">
        <f t="shared" si="54"/>
        <v>0</v>
      </c>
      <c r="R101" s="76">
        <f t="shared" si="54"/>
        <v>0</v>
      </c>
      <c r="S101" s="76">
        <f t="shared" si="54"/>
        <v>0</v>
      </c>
      <c r="T101" s="76">
        <f t="shared" si="54"/>
        <v>0</v>
      </c>
      <c r="U101" s="76">
        <f t="shared" si="54"/>
        <v>0</v>
      </c>
      <c r="V101" s="76">
        <f t="shared" si="54"/>
        <v>0</v>
      </c>
      <c r="W101" s="76">
        <f t="shared" si="54"/>
        <v>0</v>
      </c>
      <c r="X101" s="76">
        <f t="shared" si="54"/>
        <v>0</v>
      </c>
      <c r="Y101" s="76">
        <f t="shared" si="54"/>
        <v>0</v>
      </c>
      <c r="Z101" s="76">
        <f t="shared" si="54"/>
        <v>0</v>
      </c>
      <c r="AA101" s="76">
        <f t="shared" si="54"/>
        <v>0</v>
      </c>
      <c r="AB101" s="76">
        <f t="shared" si="54"/>
        <v>0</v>
      </c>
      <c r="AC101" s="76">
        <f t="shared" ref="AC101:AD101" si="55">IF(AC84&lt;0,AC84*-1,0)</f>
        <v>0</v>
      </c>
      <c r="AD101" s="76">
        <f t="shared" si="55"/>
        <v>0</v>
      </c>
      <c r="AE101" s="76">
        <f t="shared" ref="AE101:AF101" si="56">IF(AE84&lt;0,AE84*-1,0)</f>
        <v>0</v>
      </c>
      <c r="AF101" s="76">
        <f t="shared" si="56"/>
        <v>0</v>
      </c>
      <c r="AG101" s="52"/>
      <c r="AH101" s="47">
        <f t="shared" si="39"/>
        <v>0</v>
      </c>
      <c r="AI101" s="48">
        <f t="shared" si="40"/>
        <v>0</v>
      </c>
    </row>
    <row r="102" spans="1:37" x14ac:dyDescent="0.25">
      <c r="A102" s="54" t="s">
        <v>82</v>
      </c>
      <c r="B102" s="76">
        <f>IF(B82&lt;0,B82*-1,0)</f>
        <v>0</v>
      </c>
      <c r="C102" s="76">
        <f t="shared" ref="C102:AB102" si="57">IF(C82&lt;0,C82*-1,0)</f>
        <v>0</v>
      </c>
      <c r="D102" s="76">
        <f t="shared" si="57"/>
        <v>0</v>
      </c>
      <c r="E102" s="76">
        <f t="shared" si="57"/>
        <v>0</v>
      </c>
      <c r="F102" s="76">
        <f t="shared" si="57"/>
        <v>0</v>
      </c>
      <c r="G102" s="76">
        <f t="shared" si="57"/>
        <v>0</v>
      </c>
      <c r="H102" s="76">
        <f t="shared" si="57"/>
        <v>0</v>
      </c>
      <c r="I102" s="76">
        <f t="shared" si="57"/>
        <v>0</v>
      </c>
      <c r="J102" s="76">
        <f t="shared" si="57"/>
        <v>0</v>
      </c>
      <c r="K102" s="76">
        <f t="shared" si="57"/>
        <v>0</v>
      </c>
      <c r="L102" s="76">
        <f t="shared" si="57"/>
        <v>0</v>
      </c>
      <c r="M102" s="76">
        <f t="shared" si="57"/>
        <v>0</v>
      </c>
      <c r="N102" s="76">
        <f t="shared" si="57"/>
        <v>0</v>
      </c>
      <c r="O102" s="76">
        <f t="shared" si="57"/>
        <v>0</v>
      </c>
      <c r="P102" s="76">
        <f t="shared" si="57"/>
        <v>0</v>
      </c>
      <c r="Q102" s="76">
        <f t="shared" si="57"/>
        <v>0</v>
      </c>
      <c r="R102" s="76">
        <f t="shared" si="57"/>
        <v>0</v>
      </c>
      <c r="S102" s="76">
        <f t="shared" si="57"/>
        <v>0</v>
      </c>
      <c r="T102" s="76">
        <f t="shared" si="57"/>
        <v>0</v>
      </c>
      <c r="U102" s="76">
        <f t="shared" si="57"/>
        <v>0</v>
      </c>
      <c r="V102" s="76">
        <f t="shared" si="57"/>
        <v>0</v>
      </c>
      <c r="W102" s="76">
        <f t="shared" si="57"/>
        <v>0</v>
      </c>
      <c r="X102" s="76">
        <f t="shared" si="57"/>
        <v>0</v>
      </c>
      <c r="Y102" s="76">
        <f t="shared" si="57"/>
        <v>0</v>
      </c>
      <c r="Z102" s="76">
        <f t="shared" si="57"/>
        <v>0</v>
      </c>
      <c r="AA102" s="76">
        <f t="shared" si="57"/>
        <v>0</v>
      </c>
      <c r="AB102" s="76">
        <f t="shared" si="57"/>
        <v>0</v>
      </c>
      <c r="AC102" s="76">
        <f t="shared" ref="AC102:AD102" si="58">IF(AC82&lt;0,AC82*-1,0)</f>
        <v>0</v>
      </c>
      <c r="AD102" s="76">
        <f t="shared" si="58"/>
        <v>0</v>
      </c>
      <c r="AE102" s="76">
        <f t="shared" ref="AE102:AF102" si="59">IF(AE82&lt;0,AE82*-1,0)</f>
        <v>0</v>
      </c>
      <c r="AF102" s="76">
        <f t="shared" si="59"/>
        <v>0</v>
      </c>
      <c r="AG102" s="55"/>
      <c r="AH102" s="47">
        <f t="shared" si="39"/>
        <v>0</v>
      </c>
      <c r="AI102" s="48">
        <f t="shared" si="40"/>
        <v>0</v>
      </c>
    </row>
    <row r="103" spans="1:37" x14ac:dyDescent="0.25">
      <c r="A103" s="84" t="s">
        <v>104</v>
      </c>
      <c r="B103" s="76">
        <f>IF(B85&lt;0,B85*-1,0)</f>
        <v>0</v>
      </c>
      <c r="C103" s="76">
        <f t="shared" ref="C103:AB103" si="60">IF(C85&lt;0,C85*-1,0)</f>
        <v>0</v>
      </c>
      <c r="D103" s="76">
        <f t="shared" si="60"/>
        <v>0</v>
      </c>
      <c r="E103" s="76">
        <f t="shared" si="60"/>
        <v>0</v>
      </c>
      <c r="F103" s="76">
        <f t="shared" si="60"/>
        <v>0</v>
      </c>
      <c r="G103" s="76">
        <f t="shared" si="60"/>
        <v>0</v>
      </c>
      <c r="H103" s="76">
        <f t="shared" si="60"/>
        <v>0</v>
      </c>
      <c r="I103" s="76">
        <f t="shared" si="60"/>
        <v>0</v>
      </c>
      <c r="J103" s="76">
        <f t="shared" si="60"/>
        <v>0</v>
      </c>
      <c r="K103" s="76">
        <f t="shared" si="60"/>
        <v>0</v>
      </c>
      <c r="L103" s="76">
        <f t="shared" si="60"/>
        <v>0</v>
      </c>
      <c r="M103" s="76">
        <f t="shared" si="60"/>
        <v>0</v>
      </c>
      <c r="N103" s="76">
        <f t="shared" si="60"/>
        <v>0</v>
      </c>
      <c r="O103" s="76">
        <f t="shared" si="60"/>
        <v>0</v>
      </c>
      <c r="P103" s="76">
        <f t="shared" si="60"/>
        <v>0</v>
      </c>
      <c r="Q103" s="76">
        <f t="shared" si="60"/>
        <v>0</v>
      </c>
      <c r="R103" s="76">
        <f t="shared" si="60"/>
        <v>0</v>
      </c>
      <c r="S103" s="76">
        <f t="shared" si="60"/>
        <v>0</v>
      </c>
      <c r="T103" s="76">
        <f t="shared" si="60"/>
        <v>0</v>
      </c>
      <c r="U103" s="76">
        <f t="shared" si="60"/>
        <v>0</v>
      </c>
      <c r="V103" s="76">
        <f t="shared" si="60"/>
        <v>0</v>
      </c>
      <c r="W103" s="76">
        <f t="shared" si="60"/>
        <v>0</v>
      </c>
      <c r="X103" s="76">
        <f t="shared" si="60"/>
        <v>0</v>
      </c>
      <c r="Y103" s="76">
        <f t="shared" si="60"/>
        <v>0</v>
      </c>
      <c r="Z103" s="76">
        <f t="shared" si="60"/>
        <v>0</v>
      </c>
      <c r="AA103" s="76">
        <f t="shared" si="60"/>
        <v>0</v>
      </c>
      <c r="AB103" s="76">
        <f t="shared" si="60"/>
        <v>0</v>
      </c>
      <c r="AC103" s="76">
        <f t="shared" ref="AC103:AD103" si="61">IF(AC85&lt;0,AC85*-1,0)</f>
        <v>0</v>
      </c>
      <c r="AD103" s="76">
        <f t="shared" si="61"/>
        <v>0</v>
      </c>
      <c r="AE103" s="76">
        <f t="shared" ref="AE103:AF103" si="62">IF(AE85&lt;0,AE85*-1,0)</f>
        <v>0</v>
      </c>
      <c r="AF103" s="76">
        <f t="shared" si="62"/>
        <v>0</v>
      </c>
      <c r="AG103" s="98"/>
      <c r="AH103" s="47">
        <f t="shared" si="39"/>
        <v>0</v>
      </c>
      <c r="AI103" s="48">
        <f t="shared" si="40"/>
        <v>0</v>
      </c>
    </row>
    <row r="104" spans="1:37" x14ac:dyDescent="0.25">
      <c r="A104" s="84" t="s">
        <v>105</v>
      </c>
      <c r="B104" s="76">
        <f>IF(B83&lt;0,B83*-1,0)</f>
        <v>0</v>
      </c>
      <c r="C104" s="76">
        <f t="shared" ref="C104:AB104" si="63">IF(C83&lt;0,C83*-1,0)</f>
        <v>0</v>
      </c>
      <c r="D104" s="76">
        <f t="shared" si="63"/>
        <v>0</v>
      </c>
      <c r="E104" s="76">
        <f t="shared" si="63"/>
        <v>0</v>
      </c>
      <c r="F104" s="76">
        <f t="shared" si="63"/>
        <v>0</v>
      </c>
      <c r="G104" s="76">
        <f t="shared" si="63"/>
        <v>0</v>
      </c>
      <c r="H104" s="76">
        <f t="shared" si="63"/>
        <v>0</v>
      </c>
      <c r="I104" s="76">
        <f t="shared" si="63"/>
        <v>0</v>
      </c>
      <c r="J104" s="76">
        <f t="shared" si="63"/>
        <v>0</v>
      </c>
      <c r="K104" s="76">
        <f t="shared" si="63"/>
        <v>0</v>
      </c>
      <c r="L104" s="76">
        <f t="shared" si="63"/>
        <v>0</v>
      </c>
      <c r="M104" s="76">
        <f t="shared" si="63"/>
        <v>0</v>
      </c>
      <c r="N104" s="76">
        <f t="shared" si="63"/>
        <v>0</v>
      </c>
      <c r="O104" s="76">
        <f t="shared" si="63"/>
        <v>0</v>
      </c>
      <c r="P104" s="76">
        <f t="shared" si="63"/>
        <v>0</v>
      </c>
      <c r="Q104" s="76">
        <f t="shared" si="63"/>
        <v>0</v>
      </c>
      <c r="R104" s="76">
        <f t="shared" si="63"/>
        <v>0</v>
      </c>
      <c r="S104" s="76">
        <f t="shared" si="63"/>
        <v>0</v>
      </c>
      <c r="T104" s="76">
        <f t="shared" si="63"/>
        <v>0</v>
      </c>
      <c r="U104" s="76">
        <f t="shared" si="63"/>
        <v>0</v>
      </c>
      <c r="V104" s="76">
        <f t="shared" si="63"/>
        <v>0</v>
      </c>
      <c r="W104" s="76">
        <f t="shared" si="63"/>
        <v>0</v>
      </c>
      <c r="X104" s="76">
        <f t="shared" si="63"/>
        <v>0</v>
      </c>
      <c r="Y104" s="76">
        <f t="shared" si="63"/>
        <v>0</v>
      </c>
      <c r="Z104" s="76">
        <f t="shared" si="63"/>
        <v>0</v>
      </c>
      <c r="AA104" s="76">
        <f t="shared" si="63"/>
        <v>0</v>
      </c>
      <c r="AB104" s="76">
        <f t="shared" si="63"/>
        <v>0</v>
      </c>
      <c r="AC104" s="76">
        <f t="shared" ref="AC104:AD104" si="64">IF(AC83&lt;0,AC83*-1,0)</f>
        <v>0</v>
      </c>
      <c r="AD104" s="76">
        <f t="shared" si="64"/>
        <v>0</v>
      </c>
      <c r="AE104" s="76">
        <f t="shared" ref="AE104:AF104" si="65">IF(AE83&lt;0,AE83*-1,0)</f>
        <v>0</v>
      </c>
      <c r="AF104" s="76">
        <f t="shared" si="65"/>
        <v>0</v>
      </c>
      <c r="AG104" s="98"/>
      <c r="AH104" s="47">
        <f t="shared" si="39"/>
        <v>0</v>
      </c>
      <c r="AI104" s="48">
        <f t="shared" si="40"/>
        <v>0</v>
      </c>
    </row>
    <row r="105" spans="1:37" x14ac:dyDescent="0.25">
      <c r="A105" s="84" t="s">
        <v>81</v>
      </c>
      <c r="B105" s="76">
        <f>IF(B81&lt;0,B81*-1,0)</f>
        <v>0</v>
      </c>
      <c r="C105" s="76">
        <f t="shared" ref="C105:AB105" si="66">IF(C81&lt;0,C81*-1,0)</f>
        <v>0</v>
      </c>
      <c r="D105" s="76">
        <f t="shared" si="66"/>
        <v>0</v>
      </c>
      <c r="E105" s="76">
        <f t="shared" si="66"/>
        <v>0</v>
      </c>
      <c r="F105" s="76">
        <f t="shared" si="66"/>
        <v>0</v>
      </c>
      <c r="G105" s="76">
        <f t="shared" si="66"/>
        <v>0</v>
      </c>
      <c r="H105" s="76">
        <f t="shared" si="66"/>
        <v>0</v>
      </c>
      <c r="I105" s="76">
        <f t="shared" si="66"/>
        <v>0</v>
      </c>
      <c r="J105" s="76">
        <f t="shared" si="66"/>
        <v>0</v>
      </c>
      <c r="K105" s="76">
        <f t="shared" si="66"/>
        <v>0</v>
      </c>
      <c r="L105" s="76">
        <f t="shared" si="66"/>
        <v>0</v>
      </c>
      <c r="M105" s="76">
        <f t="shared" si="66"/>
        <v>0</v>
      </c>
      <c r="N105" s="76">
        <f t="shared" si="66"/>
        <v>0</v>
      </c>
      <c r="O105" s="76">
        <f t="shared" si="66"/>
        <v>0</v>
      </c>
      <c r="P105" s="76">
        <f t="shared" si="66"/>
        <v>0</v>
      </c>
      <c r="Q105" s="76">
        <f t="shared" si="66"/>
        <v>0</v>
      </c>
      <c r="R105" s="76">
        <f t="shared" si="66"/>
        <v>0</v>
      </c>
      <c r="S105" s="76">
        <f t="shared" si="66"/>
        <v>0</v>
      </c>
      <c r="T105" s="76">
        <f t="shared" si="66"/>
        <v>0</v>
      </c>
      <c r="U105" s="76">
        <f t="shared" si="66"/>
        <v>0</v>
      </c>
      <c r="V105" s="76">
        <f t="shared" si="66"/>
        <v>0</v>
      </c>
      <c r="W105" s="76">
        <f t="shared" si="66"/>
        <v>0</v>
      </c>
      <c r="X105" s="76">
        <f t="shared" si="66"/>
        <v>0</v>
      </c>
      <c r="Y105" s="76">
        <f t="shared" si="66"/>
        <v>0</v>
      </c>
      <c r="Z105" s="76">
        <f t="shared" si="66"/>
        <v>0</v>
      </c>
      <c r="AA105" s="76">
        <f t="shared" si="66"/>
        <v>0</v>
      </c>
      <c r="AB105" s="76">
        <f t="shared" si="66"/>
        <v>0</v>
      </c>
      <c r="AC105" s="76">
        <f t="shared" ref="AC105:AD105" si="67">IF(AC81&lt;0,AC81*-1,0)</f>
        <v>0</v>
      </c>
      <c r="AD105" s="76">
        <f t="shared" si="67"/>
        <v>0</v>
      </c>
      <c r="AE105" s="76">
        <f t="shared" ref="AE105:AF105" si="68">IF(AE81&lt;0,AE81*-1,0)</f>
        <v>0</v>
      </c>
      <c r="AF105" s="76">
        <f t="shared" si="68"/>
        <v>0</v>
      </c>
      <c r="AG105" s="98"/>
      <c r="AH105" s="47">
        <f t="shared" si="39"/>
        <v>0</v>
      </c>
      <c r="AI105" s="48">
        <f t="shared" si="40"/>
        <v>0</v>
      </c>
    </row>
    <row r="106" spans="1:37" ht="15.75" thickBot="1" x14ac:dyDescent="0.3">
      <c r="A106" s="84" t="s">
        <v>106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0</v>
      </c>
      <c r="AB106" s="94">
        <v>0</v>
      </c>
      <c r="AC106" s="94">
        <v>1</v>
      </c>
      <c r="AD106" s="94">
        <v>2</v>
      </c>
      <c r="AE106" s="94">
        <v>3</v>
      </c>
      <c r="AF106" s="94">
        <v>4</v>
      </c>
      <c r="AG106" s="85"/>
      <c r="AH106" s="47">
        <f t="shared" si="39"/>
        <v>4</v>
      </c>
      <c r="AI106" s="48">
        <f t="shared" si="40"/>
        <v>0</v>
      </c>
    </row>
    <row r="107" spans="1:37" ht="15.75" thickBot="1" x14ac:dyDescent="0.3">
      <c r="A107" s="99" t="s">
        <v>107</v>
      </c>
      <c r="B107" s="60">
        <f>SUM(B101:B106)</f>
        <v>0</v>
      </c>
      <c r="C107" s="60">
        <f t="shared" ref="C107:AB107" si="69">SUM(C101:C106)</f>
        <v>0</v>
      </c>
      <c r="D107" s="60">
        <f t="shared" si="69"/>
        <v>0</v>
      </c>
      <c r="E107" s="60">
        <f t="shared" si="69"/>
        <v>0</v>
      </c>
      <c r="F107" s="60">
        <f t="shared" si="69"/>
        <v>0</v>
      </c>
      <c r="G107" s="60">
        <f t="shared" si="69"/>
        <v>0</v>
      </c>
      <c r="H107" s="60">
        <f t="shared" si="69"/>
        <v>0</v>
      </c>
      <c r="I107" s="60">
        <f t="shared" si="69"/>
        <v>0</v>
      </c>
      <c r="J107" s="60">
        <f t="shared" si="69"/>
        <v>0</v>
      </c>
      <c r="K107" s="60">
        <f t="shared" si="69"/>
        <v>0</v>
      </c>
      <c r="L107" s="60">
        <f t="shared" si="69"/>
        <v>0</v>
      </c>
      <c r="M107" s="60">
        <f t="shared" si="69"/>
        <v>0</v>
      </c>
      <c r="N107" s="60">
        <f t="shared" si="69"/>
        <v>0</v>
      </c>
      <c r="O107" s="60">
        <f t="shared" si="69"/>
        <v>0</v>
      </c>
      <c r="P107" s="60">
        <f t="shared" si="69"/>
        <v>0</v>
      </c>
      <c r="Q107" s="60">
        <f t="shared" si="69"/>
        <v>0</v>
      </c>
      <c r="R107" s="60">
        <f t="shared" si="69"/>
        <v>0</v>
      </c>
      <c r="S107" s="60">
        <f t="shared" si="69"/>
        <v>0</v>
      </c>
      <c r="T107" s="60">
        <f t="shared" si="69"/>
        <v>0</v>
      </c>
      <c r="U107" s="60">
        <f t="shared" si="69"/>
        <v>0</v>
      </c>
      <c r="V107" s="60">
        <f t="shared" si="69"/>
        <v>0</v>
      </c>
      <c r="W107" s="60">
        <f t="shared" si="69"/>
        <v>0</v>
      </c>
      <c r="X107" s="60">
        <f t="shared" si="69"/>
        <v>0</v>
      </c>
      <c r="Y107" s="60">
        <f t="shared" si="69"/>
        <v>0</v>
      </c>
      <c r="Z107" s="60">
        <f t="shared" si="69"/>
        <v>0</v>
      </c>
      <c r="AA107" s="60">
        <f t="shared" si="69"/>
        <v>0</v>
      </c>
      <c r="AB107" s="60">
        <f t="shared" si="69"/>
        <v>0</v>
      </c>
      <c r="AC107" s="60">
        <f t="shared" ref="AC107:AD107" si="70">SUM(AC101:AC106)</f>
        <v>1</v>
      </c>
      <c r="AD107" s="60">
        <f t="shared" si="70"/>
        <v>2</v>
      </c>
      <c r="AE107" s="60">
        <f t="shared" ref="AE107:AF107" si="71">SUM(AE101:AE106)</f>
        <v>3</v>
      </c>
      <c r="AF107" s="60">
        <f t="shared" si="71"/>
        <v>4</v>
      </c>
      <c r="AG107" s="88"/>
      <c r="AH107" s="47">
        <f t="shared" si="39"/>
        <v>4</v>
      </c>
      <c r="AI107" s="48">
        <f t="shared" si="40"/>
        <v>0</v>
      </c>
      <c r="AK107" s="50"/>
    </row>
    <row r="108" spans="1:37" ht="15.75" thickBot="1" x14ac:dyDescent="0.3">
      <c r="A108" s="74" t="s">
        <v>108</v>
      </c>
      <c r="B108" s="60">
        <f t="shared" ref="B108:AB108" si="72">B92-B107</f>
        <v>511.5</v>
      </c>
      <c r="C108" s="60">
        <f t="shared" si="72"/>
        <v>517.9</v>
      </c>
      <c r="D108" s="60">
        <f t="shared" si="72"/>
        <v>488.3</v>
      </c>
      <c r="E108" s="60">
        <f t="shared" si="72"/>
        <v>479</v>
      </c>
      <c r="F108" s="60">
        <f t="shared" si="72"/>
        <v>483.1</v>
      </c>
      <c r="G108" s="60">
        <f t="shared" si="72"/>
        <v>521.79999999999995</v>
      </c>
      <c r="H108" s="60">
        <f t="shared" si="72"/>
        <v>522</v>
      </c>
      <c r="I108" s="60">
        <f t="shared" si="72"/>
        <v>514.6</v>
      </c>
      <c r="J108" s="60">
        <f t="shared" si="72"/>
        <v>517</v>
      </c>
      <c r="K108" s="60">
        <f t="shared" si="72"/>
        <v>501</v>
      </c>
      <c r="L108" s="60">
        <f t="shared" si="72"/>
        <v>392.9</v>
      </c>
      <c r="M108" s="60">
        <f t="shared" si="72"/>
        <v>303.3</v>
      </c>
      <c r="N108" s="60">
        <f t="shared" si="72"/>
        <v>305</v>
      </c>
      <c r="O108" s="60">
        <f t="shared" si="72"/>
        <v>487.7</v>
      </c>
      <c r="P108" s="60">
        <f t="shared" si="72"/>
        <v>591</v>
      </c>
      <c r="Q108" s="60">
        <f t="shared" si="72"/>
        <v>647.6</v>
      </c>
      <c r="R108" s="60">
        <f t="shared" si="72"/>
        <v>611</v>
      </c>
      <c r="S108" s="60">
        <f t="shared" si="72"/>
        <v>693.2</v>
      </c>
      <c r="T108" s="60">
        <f t="shared" si="72"/>
        <v>644.79999999999995</v>
      </c>
      <c r="U108" s="60">
        <f t="shared" si="72"/>
        <v>600.4</v>
      </c>
      <c r="V108" s="60">
        <f t="shared" si="72"/>
        <v>526.9</v>
      </c>
      <c r="W108" s="60">
        <f t="shared" si="72"/>
        <v>502.8</v>
      </c>
      <c r="X108" s="60">
        <f t="shared" si="72"/>
        <v>458.3</v>
      </c>
      <c r="Y108" s="60">
        <f>Y92-Y107</f>
        <v>498.20000000000005</v>
      </c>
      <c r="Z108" s="60">
        <f>Z92-Z107</f>
        <v>361.3</v>
      </c>
      <c r="AA108" s="60">
        <f t="shared" si="72"/>
        <v>377.6</v>
      </c>
      <c r="AB108" s="60">
        <f t="shared" si="72"/>
        <v>429</v>
      </c>
      <c r="AC108" s="60">
        <f t="shared" ref="AC108:AD108" si="73">AC92-AC107</f>
        <v>555</v>
      </c>
      <c r="AD108" s="60">
        <f t="shared" si="73"/>
        <v>561</v>
      </c>
      <c r="AE108" s="60">
        <f t="shared" ref="AE108:AF108" si="74">AE92-AE107</f>
        <v>561</v>
      </c>
      <c r="AF108" s="60">
        <f t="shared" si="74"/>
        <v>564</v>
      </c>
      <c r="AG108" s="88"/>
      <c r="AH108" s="47">
        <f t="shared" si="39"/>
        <v>693.2</v>
      </c>
      <c r="AI108" s="48">
        <f t="shared" si="40"/>
        <v>303.3</v>
      </c>
    </row>
    <row r="109" spans="1:37" x14ac:dyDescent="0.25">
      <c r="A109" s="100" t="s">
        <v>109</v>
      </c>
      <c r="B109" s="101">
        <v>49.927</v>
      </c>
      <c r="C109" s="101">
        <v>50.057000000000002</v>
      </c>
      <c r="D109" s="101">
        <v>50.116999999999997</v>
      </c>
      <c r="E109" s="101">
        <v>50.081000000000003</v>
      </c>
      <c r="F109" s="101">
        <v>50.034999999999997</v>
      </c>
      <c r="G109" s="101">
        <v>50.042999999999999</v>
      </c>
      <c r="H109" s="101">
        <v>49.991</v>
      </c>
      <c r="I109" s="101">
        <v>50.213000000000001</v>
      </c>
      <c r="J109" s="101">
        <v>49.962000000000003</v>
      </c>
      <c r="K109" s="101">
        <v>50.2</v>
      </c>
      <c r="L109" s="101">
        <v>50.006</v>
      </c>
      <c r="M109" s="101">
        <v>50.091999999999999</v>
      </c>
      <c r="N109" s="101">
        <v>50.040999999999997</v>
      </c>
      <c r="O109" s="101">
        <v>50.189</v>
      </c>
      <c r="P109" s="101">
        <v>50</v>
      </c>
      <c r="Q109" s="101">
        <v>49.912999999999997</v>
      </c>
      <c r="R109" s="101">
        <v>50.026000000000003</v>
      </c>
      <c r="S109" s="101">
        <v>50.036000000000001</v>
      </c>
      <c r="T109" s="101">
        <v>49.936999999999998</v>
      </c>
      <c r="U109" s="101">
        <v>49.991</v>
      </c>
      <c r="V109" s="101">
        <v>50.051000000000002</v>
      </c>
      <c r="W109" s="101">
        <v>50.055999999999997</v>
      </c>
      <c r="X109" s="101">
        <v>50.036999999999999</v>
      </c>
      <c r="Y109" s="101">
        <v>49.865000000000002</v>
      </c>
      <c r="Z109" s="101">
        <v>50.005000000000003</v>
      </c>
      <c r="AA109" s="101">
        <v>49.878</v>
      </c>
      <c r="AB109" s="101">
        <v>50.03</v>
      </c>
      <c r="AC109" s="101">
        <v>49.9</v>
      </c>
      <c r="AD109" s="101">
        <v>49.96</v>
      </c>
      <c r="AE109" s="101">
        <v>49.98</v>
      </c>
      <c r="AF109" s="101">
        <v>50.02</v>
      </c>
      <c r="AG109" s="102"/>
      <c r="AH109" s="47">
        <f t="shared" si="39"/>
        <v>50.213000000000001</v>
      </c>
      <c r="AI109" s="48">
        <f t="shared" si="40"/>
        <v>49.865000000000002</v>
      </c>
    </row>
    <row r="110" spans="1:37" x14ac:dyDescent="0.25">
      <c r="A110" s="103" t="s">
        <v>110</v>
      </c>
      <c r="B110" s="65">
        <v>125.6</v>
      </c>
      <c r="C110" s="65">
        <v>126.5</v>
      </c>
      <c r="D110" s="65">
        <v>129.5</v>
      </c>
      <c r="E110" s="65">
        <v>128.80000000000001</v>
      </c>
      <c r="F110" s="65">
        <v>128.5</v>
      </c>
      <c r="G110" s="65">
        <v>127.1</v>
      </c>
      <c r="H110" s="65">
        <v>126.8</v>
      </c>
      <c r="I110" s="65">
        <v>127.7</v>
      </c>
      <c r="J110" s="65">
        <v>124.7</v>
      </c>
      <c r="K110" s="65">
        <v>128.69999999999999</v>
      </c>
      <c r="L110" s="65">
        <v>124.9</v>
      </c>
      <c r="M110" s="65">
        <v>123.9</v>
      </c>
      <c r="N110" s="65">
        <v>123.1</v>
      </c>
      <c r="O110" s="65">
        <v>123.4</v>
      </c>
      <c r="P110" s="65">
        <v>124.4</v>
      </c>
      <c r="Q110" s="65">
        <v>122.5</v>
      </c>
      <c r="R110" s="65">
        <v>124.2</v>
      </c>
      <c r="S110" s="65">
        <v>124.8</v>
      </c>
      <c r="T110" s="65">
        <v>122.9</v>
      </c>
      <c r="U110" s="65">
        <v>122.9</v>
      </c>
      <c r="V110" s="65">
        <v>127.6</v>
      </c>
      <c r="W110" s="65">
        <v>126</v>
      </c>
      <c r="X110" s="65">
        <v>125</v>
      </c>
      <c r="Y110" s="65">
        <v>124.6</v>
      </c>
      <c r="Z110" s="65">
        <v>125.8</v>
      </c>
      <c r="AA110" s="65">
        <v>125.9</v>
      </c>
      <c r="AB110" s="65">
        <v>126.8</v>
      </c>
      <c r="AC110" s="65">
        <v>126.8</v>
      </c>
      <c r="AD110" s="65">
        <v>126.8</v>
      </c>
      <c r="AE110" s="65">
        <v>126.8</v>
      </c>
      <c r="AF110" s="65">
        <v>126.8</v>
      </c>
      <c r="AG110" s="104"/>
      <c r="AH110" s="47">
        <f t="shared" si="39"/>
        <v>129.5</v>
      </c>
      <c r="AI110" s="48">
        <f t="shared" si="40"/>
        <v>122.5</v>
      </c>
    </row>
    <row r="111" spans="1:37" x14ac:dyDescent="0.25">
      <c r="A111" s="103" t="s">
        <v>111</v>
      </c>
      <c r="B111" s="65">
        <v>130.19999999999999</v>
      </c>
      <c r="C111" s="65">
        <v>130.9</v>
      </c>
      <c r="D111" s="65">
        <v>133.30000000000001</v>
      </c>
      <c r="E111" s="65">
        <v>132.80000000000001</v>
      </c>
      <c r="F111" s="65">
        <v>132.4</v>
      </c>
      <c r="G111" s="65">
        <v>131.80000000000001</v>
      </c>
      <c r="H111" s="65">
        <v>130.4</v>
      </c>
      <c r="I111" s="65">
        <v>130.30000000000001</v>
      </c>
      <c r="J111" s="65">
        <v>127.8</v>
      </c>
      <c r="K111" s="65">
        <v>129.9</v>
      </c>
      <c r="L111" s="65">
        <v>127</v>
      </c>
      <c r="M111" s="65">
        <v>126.2</v>
      </c>
      <c r="N111" s="65">
        <v>124.7</v>
      </c>
      <c r="O111" s="65">
        <v>125.1</v>
      </c>
      <c r="P111" s="65">
        <v>125.9</v>
      </c>
      <c r="Q111" s="65">
        <v>125.1</v>
      </c>
      <c r="R111" s="65">
        <v>126.9</v>
      </c>
      <c r="S111" s="65">
        <v>127.4</v>
      </c>
      <c r="T111" s="65">
        <v>126</v>
      </c>
      <c r="U111" s="65">
        <v>125.8</v>
      </c>
      <c r="V111" s="65">
        <v>129.1</v>
      </c>
      <c r="W111" s="65">
        <v>127.8</v>
      </c>
      <c r="X111" s="65">
        <v>126.6</v>
      </c>
      <c r="Y111" s="65">
        <v>125.5</v>
      </c>
      <c r="Z111" s="65">
        <v>126.7</v>
      </c>
      <c r="AA111" s="65">
        <v>127.1</v>
      </c>
      <c r="AB111" s="65">
        <v>128</v>
      </c>
      <c r="AC111" s="65">
        <v>128</v>
      </c>
      <c r="AD111" s="65">
        <v>128</v>
      </c>
      <c r="AE111" s="65">
        <v>128</v>
      </c>
      <c r="AF111" s="65">
        <v>130</v>
      </c>
      <c r="AG111" s="104"/>
      <c r="AH111" s="47">
        <f t="shared" si="39"/>
        <v>133.30000000000001</v>
      </c>
      <c r="AI111" s="48">
        <f t="shared" si="40"/>
        <v>124.7</v>
      </c>
    </row>
    <row r="112" spans="1:37" x14ac:dyDescent="0.25">
      <c r="A112" s="103" t="s">
        <v>112</v>
      </c>
      <c r="B112" s="65">
        <v>127.1</v>
      </c>
      <c r="C112" s="65">
        <v>128.5</v>
      </c>
      <c r="D112" s="65">
        <v>131.6</v>
      </c>
      <c r="E112" s="65">
        <v>129.5</v>
      </c>
      <c r="F112" s="65">
        <v>129.19999999999999</v>
      </c>
      <c r="G112" s="65">
        <v>130.5</v>
      </c>
      <c r="H112" s="65">
        <v>126.5</v>
      </c>
      <c r="I112" s="65">
        <v>128.5</v>
      </c>
      <c r="J112" s="65">
        <v>128.6</v>
      </c>
      <c r="K112" s="65">
        <v>130.69999999999999</v>
      </c>
      <c r="L112" s="65">
        <v>126.3</v>
      </c>
      <c r="M112" s="65">
        <v>127.5</v>
      </c>
      <c r="N112" s="65">
        <v>127.5</v>
      </c>
      <c r="O112" s="65">
        <v>129.4</v>
      </c>
      <c r="P112" s="65">
        <v>127</v>
      </c>
      <c r="Q112" s="65">
        <v>128.19999999999999</v>
      </c>
      <c r="R112" s="65">
        <v>127.8</v>
      </c>
      <c r="S112" s="65">
        <v>125.7</v>
      </c>
      <c r="T112" s="65">
        <v>123.6</v>
      </c>
      <c r="U112" s="65">
        <v>129</v>
      </c>
      <c r="V112" s="65">
        <v>131.1</v>
      </c>
      <c r="W112" s="65">
        <v>126.1</v>
      </c>
      <c r="X112" s="65">
        <v>128.5</v>
      </c>
      <c r="Y112" s="65">
        <v>128.1</v>
      </c>
      <c r="Z112" s="65">
        <v>131.6</v>
      </c>
      <c r="AA112" s="65">
        <v>131.6</v>
      </c>
      <c r="AB112" s="65">
        <v>132</v>
      </c>
      <c r="AC112" s="65">
        <v>132</v>
      </c>
      <c r="AD112" s="65">
        <v>132</v>
      </c>
      <c r="AE112" s="65">
        <v>132</v>
      </c>
      <c r="AF112" s="65">
        <v>132</v>
      </c>
      <c r="AG112" s="104"/>
      <c r="AH112" s="47">
        <f t="shared" si="39"/>
        <v>132</v>
      </c>
      <c r="AI112" s="48">
        <f t="shared" si="40"/>
        <v>123.6</v>
      </c>
    </row>
    <row r="113" spans="1:35" x14ac:dyDescent="0.25">
      <c r="A113" s="105" t="s">
        <v>113</v>
      </c>
      <c r="B113" s="65">
        <v>129.5</v>
      </c>
      <c r="C113" s="65">
        <v>131.1</v>
      </c>
      <c r="D113" s="65">
        <v>133</v>
      </c>
      <c r="E113" s="65">
        <v>129.9</v>
      </c>
      <c r="F113" s="65">
        <v>129.9</v>
      </c>
      <c r="G113" s="65">
        <v>132.4</v>
      </c>
      <c r="H113" s="65">
        <v>128.1</v>
      </c>
      <c r="I113" s="65">
        <v>131.80000000000001</v>
      </c>
      <c r="J113" s="65">
        <v>128.6</v>
      </c>
      <c r="K113" s="65">
        <v>132.5</v>
      </c>
      <c r="L113" s="65">
        <v>126.9</v>
      </c>
      <c r="M113" s="65">
        <v>127.5</v>
      </c>
      <c r="N113" s="65">
        <v>128.19999999999999</v>
      </c>
      <c r="O113" s="65">
        <v>130.1</v>
      </c>
      <c r="P113" s="65">
        <v>128</v>
      </c>
      <c r="Q113" s="65">
        <v>130.4</v>
      </c>
      <c r="R113" s="65">
        <v>130.4</v>
      </c>
      <c r="S113" s="65">
        <v>129.4</v>
      </c>
      <c r="T113" s="65">
        <v>125.9</v>
      </c>
      <c r="U113" s="65">
        <v>131.30000000000001</v>
      </c>
      <c r="V113" s="65">
        <v>132.1</v>
      </c>
      <c r="W113" s="65">
        <v>130.69999999999999</v>
      </c>
      <c r="X113" s="65">
        <v>128.80000000000001</v>
      </c>
      <c r="Y113" s="65">
        <v>128.80000000000001</v>
      </c>
      <c r="Z113" s="65">
        <v>133.19999999999999</v>
      </c>
      <c r="AA113" s="65">
        <v>133.5</v>
      </c>
      <c r="AB113" s="65">
        <v>133.6</v>
      </c>
      <c r="AC113" s="65">
        <v>133.6</v>
      </c>
      <c r="AD113" s="65">
        <v>133.6</v>
      </c>
      <c r="AE113" s="65">
        <v>133.6</v>
      </c>
      <c r="AF113" s="65">
        <v>133</v>
      </c>
      <c r="AG113" s="104"/>
      <c r="AH113" s="47">
        <f t="shared" si="39"/>
        <v>133.6</v>
      </c>
      <c r="AI113" s="48">
        <f t="shared" si="40"/>
        <v>125.9</v>
      </c>
    </row>
    <row r="114" spans="1:35" x14ac:dyDescent="0.25">
      <c r="A114" s="105" t="s">
        <v>114</v>
      </c>
      <c r="B114" s="106">
        <v>131.5</v>
      </c>
      <c r="C114" s="106">
        <v>130.1</v>
      </c>
      <c r="D114" s="106">
        <v>132.30000000000001</v>
      </c>
      <c r="E114" s="106">
        <v>132.69999999999999</v>
      </c>
      <c r="F114" s="106">
        <v>131.9</v>
      </c>
      <c r="G114" s="106">
        <v>131.80000000000001</v>
      </c>
      <c r="H114" s="106">
        <v>132.80000000000001</v>
      </c>
      <c r="I114" s="106">
        <v>135.5</v>
      </c>
      <c r="J114" s="106">
        <v>133.6</v>
      </c>
      <c r="K114" s="106">
        <v>137.1</v>
      </c>
      <c r="L114" s="106">
        <v>135</v>
      </c>
      <c r="M114" s="106">
        <v>132.9</v>
      </c>
      <c r="N114" s="106">
        <v>132.19999999999999</v>
      </c>
      <c r="O114" s="106">
        <v>132.19999999999999</v>
      </c>
      <c r="P114" s="106">
        <v>134</v>
      </c>
      <c r="Q114" s="106">
        <v>132.9</v>
      </c>
      <c r="R114" s="106">
        <v>132.5</v>
      </c>
      <c r="S114" s="106">
        <v>133.1</v>
      </c>
      <c r="T114" s="106">
        <v>132.4</v>
      </c>
      <c r="U114" s="106">
        <v>131.30000000000001</v>
      </c>
      <c r="V114" s="106">
        <v>134.19999999999999</v>
      </c>
      <c r="W114" s="106">
        <v>135</v>
      </c>
      <c r="X114" s="106">
        <v>134.5</v>
      </c>
      <c r="Y114" s="106">
        <v>136.4</v>
      </c>
      <c r="Z114" s="106">
        <v>136.4</v>
      </c>
      <c r="AA114" s="106">
        <v>134.30000000000001</v>
      </c>
      <c r="AB114" s="106">
        <v>135.80000000000001</v>
      </c>
      <c r="AC114" s="106">
        <v>135.80000000000001</v>
      </c>
      <c r="AD114" s="106">
        <v>135.80000000000001</v>
      </c>
      <c r="AE114" s="106">
        <v>135.80000000000001</v>
      </c>
      <c r="AF114" s="106">
        <v>133</v>
      </c>
      <c r="AG114" s="107"/>
      <c r="AH114" s="47">
        <f t="shared" si="39"/>
        <v>137.1</v>
      </c>
      <c r="AI114" s="48">
        <f t="shared" si="40"/>
        <v>130.1</v>
      </c>
    </row>
    <row r="115" spans="1:35" x14ac:dyDescent="0.25">
      <c r="A115" s="103" t="s">
        <v>115</v>
      </c>
      <c r="B115" s="65">
        <v>134.9</v>
      </c>
      <c r="C115" s="65">
        <v>132.5</v>
      </c>
      <c r="D115" s="65">
        <v>125.9</v>
      </c>
      <c r="E115" s="65">
        <v>131.5</v>
      </c>
      <c r="F115" s="65">
        <v>128.6</v>
      </c>
      <c r="G115" s="65">
        <v>126.8</v>
      </c>
      <c r="H115" s="65">
        <v>135.5</v>
      </c>
      <c r="I115" s="65">
        <v>132.19999999999999</v>
      </c>
      <c r="J115" s="65">
        <v>126.8</v>
      </c>
      <c r="K115" s="65">
        <v>130.1</v>
      </c>
      <c r="L115" s="65">
        <v>127.6</v>
      </c>
      <c r="M115" s="65">
        <v>127</v>
      </c>
      <c r="N115" s="65">
        <v>137.80000000000001</v>
      </c>
      <c r="O115" s="65">
        <v>131</v>
      </c>
      <c r="P115" s="65">
        <v>134</v>
      </c>
      <c r="Q115" s="65">
        <v>133.4</v>
      </c>
      <c r="R115" s="65">
        <v>131.5</v>
      </c>
      <c r="S115" s="65">
        <v>135.19999999999999</v>
      </c>
      <c r="T115" s="65">
        <v>133.30000000000001</v>
      </c>
      <c r="U115" s="65">
        <v>134.4</v>
      </c>
      <c r="V115" s="65">
        <v>133.9</v>
      </c>
      <c r="W115" s="65">
        <v>133.6</v>
      </c>
      <c r="X115" s="65">
        <v>133.1</v>
      </c>
      <c r="Y115" s="65">
        <v>133.4</v>
      </c>
      <c r="Z115" s="65">
        <v>129.30000000000001</v>
      </c>
      <c r="AA115" s="65">
        <v>129.5</v>
      </c>
      <c r="AB115" s="65">
        <v>132</v>
      </c>
      <c r="AC115" s="65">
        <v>132</v>
      </c>
      <c r="AD115" s="65">
        <v>132</v>
      </c>
      <c r="AE115" s="65">
        <v>132</v>
      </c>
      <c r="AF115" s="65">
        <v>134</v>
      </c>
      <c r="AG115" s="104"/>
      <c r="AH115" s="47">
        <f t="shared" si="39"/>
        <v>137.80000000000001</v>
      </c>
      <c r="AI115" s="48">
        <f t="shared" si="40"/>
        <v>125.9</v>
      </c>
    </row>
    <row r="116" spans="1:35" ht="15.75" thickBot="1" x14ac:dyDescent="0.3">
      <c r="A116" s="103" t="s">
        <v>116</v>
      </c>
      <c r="B116" s="92">
        <v>65.3</v>
      </c>
      <c r="C116" s="92">
        <v>66.2</v>
      </c>
      <c r="D116" s="92">
        <v>67.099999999999994</v>
      </c>
      <c r="E116" s="92">
        <v>66.8</v>
      </c>
      <c r="F116" s="92">
        <v>66.7</v>
      </c>
      <c r="G116" s="92">
        <v>65.900000000000006</v>
      </c>
      <c r="H116" s="92">
        <v>65.400000000000006</v>
      </c>
      <c r="I116" s="92">
        <v>65.400000000000006</v>
      </c>
      <c r="J116" s="92">
        <v>64</v>
      </c>
      <c r="K116" s="92">
        <v>65.3</v>
      </c>
      <c r="L116" s="92">
        <v>63.5</v>
      </c>
      <c r="M116" s="92">
        <v>63</v>
      </c>
      <c r="N116" s="92">
        <v>62.5</v>
      </c>
      <c r="O116" s="92">
        <v>62.5</v>
      </c>
      <c r="P116" s="92">
        <v>62.7</v>
      </c>
      <c r="Q116" s="92">
        <v>62.3</v>
      </c>
      <c r="R116" s="92">
        <v>63.4</v>
      </c>
      <c r="S116" s="92">
        <v>64</v>
      </c>
      <c r="T116" s="92">
        <v>62.9</v>
      </c>
      <c r="U116" s="92">
        <v>62.8</v>
      </c>
      <c r="V116" s="92">
        <v>64.8</v>
      </c>
      <c r="W116" s="92">
        <v>64</v>
      </c>
      <c r="X116" s="92">
        <v>63.3</v>
      </c>
      <c r="Y116" s="92">
        <v>62.9</v>
      </c>
      <c r="Z116" s="92">
        <v>63.6</v>
      </c>
      <c r="AA116" s="92">
        <v>63.8</v>
      </c>
      <c r="AB116" s="92">
        <v>64.2</v>
      </c>
      <c r="AC116" s="92">
        <v>64.2</v>
      </c>
      <c r="AD116" s="92">
        <v>64.2</v>
      </c>
      <c r="AE116" s="92">
        <v>64.2</v>
      </c>
      <c r="AF116" s="92">
        <v>65</v>
      </c>
      <c r="AG116" s="108"/>
      <c r="AH116" s="47">
        <f t="shared" si="39"/>
        <v>67.099999999999994</v>
      </c>
      <c r="AI116" s="48">
        <f t="shared" si="40"/>
        <v>62.3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 t="s">
        <v>117</v>
      </c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39"/>
        <v>0</v>
      </c>
      <c r="AI117" s="48">
        <f t="shared" si="40"/>
        <v>0</v>
      </c>
    </row>
    <row r="118" spans="1:35" ht="15.75" thickBot="1" x14ac:dyDescent="0.3">
      <c r="A118" s="110" t="s">
        <v>118</v>
      </c>
      <c r="B118" s="111">
        <f t="shared" ref="B118:O118" si="75">SUM(B22,B28,B31:B32,B66,B68:B69,B71,B73,B119:B123,B155,B161,B167,B176,B178,B190,B197,B200:B201,B208,B210,B212,B216:B218,B220:B222,B227,B233:B234,B236:B238,B246,B251)</f>
        <v>174.98599999999999</v>
      </c>
      <c r="C118" s="111">
        <f t="shared" si="75"/>
        <v>156.89400000000001</v>
      </c>
      <c r="D118" s="111">
        <f t="shared" si="75"/>
        <v>150.33799999999999</v>
      </c>
      <c r="E118" s="111">
        <f t="shared" si="75"/>
        <v>143.84</v>
      </c>
      <c r="F118" s="111">
        <f t="shared" si="75"/>
        <v>150.32</v>
      </c>
      <c r="G118" s="111">
        <f t="shared" si="75"/>
        <v>178.26</v>
      </c>
      <c r="H118" s="111">
        <f t="shared" si="75"/>
        <v>234.8</v>
      </c>
      <c r="I118" s="111">
        <f t="shared" si="75"/>
        <v>283.5</v>
      </c>
      <c r="J118" s="111">
        <f t="shared" si="75"/>
        <v>324.21999999999997</v>
      </c>
      <c r="K118" s="111">
        <f t="shared" si="75"/>
        <v>319.95999999999998</v>
      </c>
      <c r="L118" s="111">
        <f t="shared" si="75"/>
        <v>298.7</v>
      </c>
      <c r="M118" s="111">
        <f t="shared" si="75"/>
        <v>446.94</v>
      </c>
      <c r="N118" s="111">
        <f t="shared" si="75"/>
        <v>395.44</v>
      </c>
      <c r="O118" s="111">
        <f t="shared" si="75"/>
        <v>416.68</v>
      </c>
      <c r="P118" s="111">
        <v>42</v>
      </c>
      <c r="Q118" s="111">
        <f t="shared" ref="Q118:AB118" si="76">SUM(Q22,Q28,Q31:Q32,Q66,Q68:Q69,Q71,Q73,Q119:Q123,Q155,Q161,Q167,Q176,Q178,Q190,Q197,Q200:Q201,Q208,Q210,Q212,Q216:Q218,Q220:Q222,Q227,Q233:Q234,Q236:Q238,Q246,Q251)</f>
        <v>328.64</v>
      </c>
      <c r="R118" s="111">
        <f t="shared" si="76"/>
        <v>295.94</v>
      </c>
      <c r="S118" s="111">
        <f t="shared" si="76"/>
        <v>320.09599999999995</v>
      </c>
      <c r="T118" s="111">
        <f t="shared" si="76"/>
        <v>328.81800000000004</v>
      </c>
      <c r="U118" s="111">
        <f t="shared" si="76"/>
        <v>340.60699999999997</v>
      </c>
      <c r="V118" s="111">
        <f t="shared" si="76"/>
        <v>248.44</v>
      </c>
      <c r="W118" s="111">
        <f t="shared" si="76"/>
        <v>375.5739999999999</v>
      </c>
      <c r="X118" s="111">
        <f t="shared" si="76"/>
        <v>427.52699999999999</v>
      </c>
      <c r="Y118" s="111">
        <f t="shared" ref="Y118:Z118" si="77">SUM(Y20,Y26,Y37:Y38,Y66,Y68:Y69,Y71,Y73,Y119:Y123,Y148,Y154,Y160,Y169,Y171,Y183,Y190,Y193:Y194,Y201,Y203,Y205,Y209:Y211,Y213:Y215,Y220,Y226:Y227,Y229:Y231,Y239,Y244)</f>
        <v>495.79999999999995</v>
      </c>
      <c r="Z118" s="111">
        <f t="shared" si="77"/>
        <v>484.62499999999994</v>
      </c>
      <c r="AA118" s="111">
        <f t="shared" si="76"/>
        <v>470.959</v>
      </c>
      <c r="AB118" s="111">
        <f t="shared" si="76"/>
        <v>437.53999999999996</v>
      </c>
      <c r="AC118" s="111">
        <f t="shared" ref="AC118:AD118" si="78">SUM(AC22,AC28,AC31:AC32,AC66,AC68:AC69,AC71,AC73,AC119:AC123,AC155,AC161,AC167,AC176,AC178,AC190,AC197,AC200:AC201,AC208,AC210,AC212,AC216:AC218,AC220:AC222,AC227,AC233:AC234,AC236:AC238,AC246,AC251)</f>
        <v>394.23999999999995</v>
      </c>
      <c r="AD118" s="111">
        <f t="shared" si="78"/>
        <v>394.23999999999995</v>
      </c>
      <c r="AE118" s="111">
        <f t="shared" ref="AE118:AF118" si="79">SUM(AE22,AE28,AE31:AE32,AE66,AE68:AE69,AE71,AE73,AE119:AE123,AE155,AE161,AE167,AE176,AE178,AE190,AE197,AE200:AE201,AE208,AE210,AE212,AE216:AE218,AE220:AE222,AE227,AE233:AE234,AE236:AE238,AE246,AE251)</f>
        <v>272.23999999999995</v>
      </c>
      <c r="AF118" s="111">
        <f t="shared" si="79"/>
        <v>177.23999999999998</v>
      </c>
      <c r="AG118" s="112"/>
      <c r="AH118" s="47">
        <f t="shared" si="39"/>
        <v>495.79999999999995</v>
      </c>
      <c r="AI118" s="48">
        <f t="shared" si="40"/>
        <v>42</v>
      </c>
    </row>
    <row r="119" spans="1:35" x14ac:dyDescent="0.25">
      <c r="A119" s="172" t="s">
        <v>119</v>
      </c>
      <c r="B119" s="113">
        <v>5.4</v>
      </c>
      <c r="C119" s="113">
        <v>1.4</v>
      </c>
      <c r="D119" s="113">
        <v>2</v>
      </c>
      <c r="E119" s="113">
        <v>1.2</v>
      </c>
      <c r="F119" s="113">
        <v>3.4</v>
      </c>
      <c r="G119" s="113">
        <v>5.2</v>
      </c>
      <c r="H119" s="113">
        <v>24.2</v>
      </c>
      <c r="I119" s="113">
        <v>39.5</v>
      </c>
      <c r="J119" s="113">
        <v>41.5</v>
      </c>
      <c r="K119" s="113">
        <v>40.700000000000003</v>
      </c>
      <c r="L119" s="113">
        <v>47.7</v>
      </c>
      <c r="M119" s="113">
        <v>47.9</v>
      </c>
      <c r="N119" s="113">
        <v>37</v>
      </c>
      <c r="O119" s="113">
        <v>35.9</v>
      </c>
      <c r="P119" s="113">
        <v>30.7</v>
      </c>
      <c r="Q119" s="113">
        <v>24.9</v>
      </c>
      <c r="R119" s="113">
        <v>22.4</v>
      </c>
      <c r="S119" s="113">
        <v>22.6</v>
      </c>
      <c r="T119" s="113">
        <v>26.4</v>
      </c>
      <c r="U119" s="113">
        <v>31.7</v>
      </c>
      <c r="V119" s="113">
        <v>34.299999999999997</v>
      </c>
      <c r="W119" s="113">
        <v>28.3</v>
      </c>
      <c r="X119" s="113">
        <v>43.6</v>
      </c>
      <c r="Y119" s="113">
        <v>58.3</v>
      </c>
      <c r="Z119" s="113">
        <v>57.3</v>
      </c>
      <c r="AA119" s="113">
        <v>48.2</v>
      </c>
      <c r="AB119" s="113">
        <v>62</v>
      </c>
      <c r="AC119" s="113">
        <v>64</v>
      </c>
      <c r="AD119" s="113">
        <v>64</v>
      </c>
      <c r="AE119" s="113">
        <v>63</v>
      </c>
      <c r="AF119" s="113">
        <v>27</v>
      </c>
      <c r="AG119" s="114">
        <v>75</v>
      </c>
      <c r="AH119" s="47">
        <f t="shared" si="39"/>
        <v>64</v>
      </c>
      <c r="AI119" s="48">
        <f t="shared" si="40"/>
        <v>1.2</v>
      </c>
    </row>
    <row r="120" spans="1:35" x14ac:dyDescent="0.25">
      <c r="A120" s="173" t="s">
        <v>120</v>
      </c>
      <c r="B120" s="115">
        <v>6.9</v>
      </c>
      <c r="C120" s="115">
        <v>2</v>
      </c>
      <c r="D120" s="115">
        <v>3.2</v>
      </c>
      <c r="E120" s="115">
        <v>1.5</v>
      </c>
      <c r="F120" s="115">
        <v>4.4000000000000004</v>
      </c>
      <c r="G120" s="115">
        <v>6</v>
      </c>
      <c r="H120" s="115">
        <v>32.1</v>
      </c>
      <c r="I120" s="115">
        <v>51.4</v>
      </c>
      <c r="J120" s="115">
        <v>55</v>
      </c>
      <c r="K120" s="115">
        <v>56.6</v>
      </c>
      <c r="L120" s="115">
        <v>65.400000000000006</v>
      </c>
      <c r="M120" s="115">
        <v>64.900000000000006</v>
      </c>
      <c r="N120" s="115">
        <v>52</v>
      </c>
      <c r="O120" s="115">
        <v>49</v>
      </c>
      <c r="P120" s="115">
        <v>40.299999999999997</v>
      </c>
      <c r="Q120" s="115">
        <v>32</v>
      </c>
      <c r="R120" s="115">
        <v>28.9</v>
      </c>
      <c r="S120" s="115">
        <v>28.25</v>
      </c>
      <c r="T120" s="115">
        <v>35.200000000000003</v>
      </c>
      <c r="U120" s="115">
        <v>40.5</v>
      </c>
      <c r="V120" s="115">
        <v>45.3</v>
      </c>
      <c r="W120" s="115">
        <v>39</v>
      </c>
      <c r="X120" s="115">
        <v>58.7</v>
      </c>
      <c r="Y120" s="115">
        <v>78.099999999999994</v>
      </c>
      <c r="Z120" s="115">
        <v>77.400000000000006</v>
      </c>
      <c r="AA120" s="115">
        <v>64.5</v>
      </c>
      <c r="AB120" s="115">
        <v>46.3</v>
      </c>
      <c r="AC120" s="115">
        <v>47</v>
      </c>
      <c r="AD120" s="115">
        <v>47</v>
      </c>
      <c r="AE120" s="115">
        <v>45</v>
      </c>
      <c r="AF120" s="115">
        <v>24</v>
      </c>
      <c r="AG120" s="114">
        <v>240</v>
      </c>
      <c r="AH120" s="47">
        <f t="shared" si="39"/>
        <v>78.099999999999994</v>
      </c>
      <c r="AI120" s="48">
        <f t="shared" si="40"/>
        <v>1.5</v>
      </c>
    </row>
    <row r="121" spans="1:35" x14ac:dyDescent="0.25">
      <c r="A121" s="173" t="s">
        <v>121</v>
      </c>
      <c r="B121" s="115">
        <v>-39.1</v>
      </c>
      <c r="C121" s="115">
        <v>-45.8</v>
      </c>
      <c r="D121" s="115">
        <v>-40</v>
      </c>
      <c r="E121" s="115">
        <f>-20-22.9</f>
        <v>-42.9</v>
      </c>
      <c r="F121" s="115">
        <f>-21-24</f>
        <v>-45</v>
      </c>
      <c r="G121" s="115">
        <f>-19-20.6</f>
        <v>-39.6</v>
      </c>
      <c r="H121" s="115">
        <f>-14-15</f>
        <v>-29</v>
      </c>
      <c r="I121" s="115">
        <f>-7.9-8.5</f>
        <v>-16.399999999999999</v>
      </c>
      <c r="J121" s="115">
        <f>-3.1-5.5</f>
        <v>-8.6</v>
      </c>
      <c r="K121" s="115">
        <f>-13-13</f>
        <v>-26</v>
      </c>
      <c r="L121" s="115">
        <f>-18-20.5</f>
        <v>-38.5</v>
      </c>
      <c r="M121" s="115">
        <v>43.5</v>
      </c>
      <c r="N121" s="115">
        <v>16</v>
      </c>
      <c r="O121" s="115">
        <v>38</v>
      </c>
      <c r="P121" s="115">
        <v>43.4</v>
      </c>
      <c r="Q121" s="115">
        <v>28</v>
      </c>
      <c r="R121" s="115">
        <v>22</v>
      </c>
      <c r="S121" s="115">
        <v>16.7</v>
      </c>
      <c r="T121" s="115">
        <v>0</v>
      </c>
      <c r="U121" s="115">
        <v>8.3000000000000007</v>
      </c>
      <c r="V121" s="115">
        <v>27</v>
      </c>
      <c r="W121" s="115">
        <v>38.200000000000003</v>
      </c>
      <c r="X121" s="115">
        <v>43.1</v>
      </c>
      <c r="Y121" s="115">
        <v>58.4</v>
      </c>
      <c r="Z121" s="115">
        <v>52</v>
      </c>
      <c r="AA121" s="115">
        <v>54</v>
      </c>
      <c r="AB121" s="115">
        <v>52</v>
      </c>
      <c r="AC121" s="115">
        <v>40</v>
      </c>
      <c r="AD121" s="115">
        <v>40</v>
      </c>
      <c r="AE121" s="115">
        <v>-13</v>
      </c>
      <c r="AF121" s="115">
        <v>-40</v>
      </c>
      <c r="AG121" s="114">
        <v>240</v>
      </c>
      <c r="AH121" s="47">
        <f t="shared" si="39"/>
        <v>58.4</v>
      </c>
      <c r="AI121" s="48">
        <f t="shared" si="40"/>
        <v>-45.8</v>
      </c>
    </row>
    <row r="122" spans="1:35" ht="15.75" thickBot="1" x14ac:dyDescent="0.3">
      <c r="A122" s="173" t="s">
        <v>122</v>
      </c>
      <c r="B122" s="115">
        <v>-6</v>
      </c>
      <c r="C122" s="115">
        <v>-12.1</v>
      </c>
      <c r="D122" s="115">
        <v>-11.2</v>
      </c>
      <c r="E122" s="115">
        <v>-11.5</v>
      </c>
      <c r="F122" s="115">
        <v>-11.6</v>
      </c>
      <c r="G122" s="115">
        <v>-10.5</v>
      </c>
      <c r="H122" s="115">
        <v>-2.7</v>
      </c>
      <c r="I122" s="115">
        <v>6.9</v>
      </c>
      <c r="J122" s="115">
        <v>4.7</v>
      </c>
      <c r="K122" s="115">
        <v>23.7</v>
      </c>
      <c r="L122" s="115">
        <v>-27.6</v>
      </c>
      <c r="M122" s="115">
        <v>27.2</v>
      </c>
      <c r="N122" s="115">
        <v>36</v>
      </c>
      <c r="O122" s="115">
        <v>26.14</v>
      </c>
      <c r="P122" s="115">
        <v>21.4</v>
      </c>
      <c r="Q122" s="115">
        <v>10</v>
      </c>
      <c r="R122" s="115">
        <v>10</v>
      </c>
      <c r="S122" s="115">
        <v>4</v>
      </c>
      <c r="T122" s="115">
        <v>3.8</v>
      </c>
      <c r="U122" s="115">
        <v>6.5</v>
      </c>
      <c r="V122" s="115">
        <v>25</v>
      </c>
      <c r="W122" s="115">
        <v>23.2</v>
      </c>
      <c r="X122" s="115">
        <v>26.4</v>
      </c>
      <c r="Y122" s="115">
        <v>32.9</v>
      </c>
      <c r="Z122" s="115">
        <v>32</v>
      </c>
      <c r="AA122" s="115">
        <v>30.5</v>
      </c>
      <c r="AB122" s="115">
        <v>30</v>
      </c>
      <c r="AC122" s="115">
        <v>26</v>
      </c>
      <c r="AD122" s="115">
        <v>26</v>
      </c>
      <c r="AE122" s="115">
        <v>0</v>
      </c>
      <c r="AF122" s="115">
        <v>-6</v>
      </c>
      <c r="AG122" s="114">
        <v>60</v>
      </c>
      <c r="AH122" s="47">
        <f t="shared" si="39"/>
        <v>36</v>
      </c>
      <c r="AI122" s="48">
        <f t="shared" si="40"/>
        <v>-27.6</v>
      </c>
    </row>
    <row r="123" spans="1:35" x14ac:dyDescent="0.25">
      <c r="A123" s="172" t="s">
        <v>260</v>
      </c>
      <c r="B123" s="117">
        <f>63.8*1.67</f>
        <v>106.54599999999999</v>
      </c>
      <c r="C123" s="117">
        <f>66.2*1.67</f>
        <v>110.554</v>
      </c>
      <c r="D123" s="117">
        <f>59.4*1.67</f>
        <v>99.197999999999993</v>
      </c>
      <c r="E123" s="117">
        <f>60*1.64</f>
        <v>98.399999999999991</v>
      </c>
      <c r="F123" s="117">
        <f>62*1.64</f>
        <v>101.67999999999999</v>
      </c>
      <c r="G123" s="117">
        <f>73*1.64</f>
        <v>119.72</v>
      </c>
      <c r="H123" s="117">
        <f>69*1.64</f>
        <v>113.16</v>
      </c>
      <c r="I123" s="117">
        <f>64*1.64</f>
        <v>104.96</v>
      </c>
      <c r="J123" s="117">
        <f>82*1.64</f>
        <v>134.47999999999999</v>
      </c>
      <c r="K123" s="117">
        <f>78*1.64</f>
        <v>127.91999999999999</v>
      </c>
      <c r="L123" s="117">
        <f>94*1.64</f>
        <v>154.16</v>
      </c>
      <c r="M123" s="117">
        <v>164</v>
      </c>
      <c r="N123" s="117">
        <v>155</v>
      </c>
      <c r="O123" s="117">
        <v>160</v>
      </c>
      <c r="P123" s="117">
        <v>130</v>
      </c>
      <c r="Q123" s="117">
        <v>120</v>
      </c>
      <c r="R123" s="117">
        <v>100</v>
      </c>
      <c r="S123" s="117">
        <f>1.67*81.8</f>
        <v>136.60599999999999</v>
      </c>
      <c r="T123" s="117">
        <f>93.4*1.67</f>
        <v>155.97800000000001</v>
      </c>
      <c r="U123" s="117">
        <f>90.1*1.67</f>
        <v>150.46699999999998</v>
      </c>
      <c r="V123" s="117">
        <v>19.8</v>
      </c>
      <c r="W123" s="117">
        <f>1.67*90.2</f>
        <v>150.63399999999999</v>
      </c>
      <c r="X123" s="117">
        <f>96.1*1.67</f>
        <v>160.48699999999999</v>
      </c>
      <c r="Y123" s="117">
        <v>167</v>
      </c>
      <c r="Z123" s="117">
        <f>97.5*1.67</f>
        <v>162.82499999999999</v>
      </c>
      <c r="AA123" s="117">
        <f>105.7*1.67</f>
        <v>176.51900000000001</v>
      </c>
      <c r="AB123" s="117">
        <v>150</v>
      </c>
      <c r="AC123" s="117">
        <v>120</v>
      </c>
      <c r="AD123" s="117">
        <v>120</v>
      </c>
      <c r="AE123" s="117">
        <v>80</v>
      </c>
      <c r="AF123" s="117">
        <v>75</v>
      </c>
      <c r="AG123" s="118">
        <v>120</v>
      </c>
      <c r="AH123" s="47">
        <f t="shared" si="39"/>
        <v>176.51900000000001</v>
      </c>
      <c r="AI123" s="48">
        <f t="shared" si="40"/>
        <v>19.8</v>
      </c>
    </row>
    <row r="124" spans="1:35" x14ac:dyDescent="0.25">
      <c r="A124" s="173" t="s">
        <v>259</v>
      </c>
      <c r="B124" s="117">
        <v>79.599999999999994</v>
      </c>
      <c r="C124" s="117">
        <v>80.8</v>
      </c>
      <c r="D124" s="117">
        <v>75</v>
      </c>
      <c r="E124" s="117">
        <v>75.599999999999994</v>
      </c>
      <c r="F124" s="117">
        <v>76.3</v>
      </c>
      <c r="G124" s="117">
        <v>85.4</v>
      </c>
      <c r="H124" s="117">
        <v>82.4</v>
      </c>
      <c r="I124" s="117">
        <v>76.900000000000006</v>
      </c>
      <c r="J124" s="117">
        <v>91.6</v>
      </c>
      <c r="K124" s="117">
        <v>89</v>
      </c>
      <c r="L124" s="117">
        <v>101.3</v>
      </c>
      <c r="M124" s="117">
        <v>105.1</v>
      </c>
      <c r="N124" s="117">
        <v>102</v>
      </c>
      <c r="O124" s="117">
        <v>100.7</v>
      </c>
      <c r="P124" s="117">
        <v>97.2</v>
      </c>
      <c r="Q124" s="117">
        <v>101</v>
      </c>
      <c r="R124" s="117">
        <v>98</v>
      </c>
      <c r="S124" s="117">
        <v>91.8</v>
      </c>
      <c r="T124" s="117">
        <v>101.2</v>
      </c>
      <c r="U124" s="117">
        <v>98.6</v>
      </c>
      <c r="V124" s="117">
        <f>74.6*1.67</f>
        <v>124.58199999999998</v>
      </c>
      <c r="W124" s="117">
        <v>98.85</v>
      </c>
      <c r="X124" s="117">
        <v>102.7</v>
      </c>
      <c r="Y124" s="117">
        <v>106.1</v>
      </c>
      <c r="Z124" s="117">
        <v>103.9</v>
      </c>
      <c r="AA124" s="117">
        <v>110.1</v>
      </c>
      <c r="AB124" s="117">
        <v>104</v>
      </c>
      <c r="AC124" s="117">
        <v>92</v>
      </c>
      <c r="AD124" s="117">
        <v>92</v>
      </c>
      <c r="AE124" s="117">
        <v>72</v>
      </c>
      <c r="AF124" s="117">
        <v>78</v>
      </c>
      <c r="AG124" s="118"/>
      <c r="AH124" s="47"/>
      <c r="AI124" s="48"/>
    </row>
    <row r="125" spans="1:35" x14ac:dyDescent="0.25">
      <c r="A125" s="173" t="s">
        <v>256</v>
      </c>
      <c r="B125" s="117">
        <v>65.599999999999994</v>
      </c>
      <c r="C125" s="117">
        <v>69.099999999999994</v>
      </c>
      <c r="D125" s="117">
        <v>64.900000000000006</v>
      </c>
      <c r="E125" s="117">
        <v>55.6</v>
      </c>
      <c r="F125" s="117">
        <v>55.5</v>
      </c>
      <c r="G125" s="117">
        <v>65.5</v>
      </c>
      <c r="H125" s="117">
        <v>31.2</v>
      </c>
      <c r="I125" s="117">
        <v>-0.1</v>
      </c>
      <c r="J125" s="117">
        <v>4.8</v>
      </c>
      <c r="K125" s="117">
        <v>-28.7</v>
      </c>
      <c r="L125" s="117">
        <v>-32.6</v>
      </c>
      <c r="M125" s="117">
        <v>-35.299999999999997</v>
      </c>
      <c r="N125" s="117">
        <v>-14</v>
      </c>
      <c r="O125" s="117">
        <v>-15</v>
      </c>
      <c r="P125" s="117">
        <v>-2.2999999999999998</v>
      </c>
      <c r="Q125" s="117">
        <v>20</v>
      </c>
      <c r="R125" s="117">
        <v>22</v>
      </c>
      <c r="S125" s="117">
        <v>19</v>
      </c>
      <c r="T125" s="117">
        <v>31.8</v>
      </c>
      <c r="U125" s="117">
        <v>17</v>
      </c>
      <c r="V125" s="117">
        <v>88</v>
      </c>
      <c r="W125" s="117">
        <v>-5.3</v>
      </c>
      <c r="X125" s="117">
        <v>-29.3</v>
      </c>
      <c r="Y125" s="117">
        <v>-55</v>
      </c>
      <c r="Z125" s="117">
        <v>-52.1</v>
      </c>
      <c r="AA125" s="117">
        <v>-34.9</v>
      </c>
      <c r="AB125" s="117">
        <v>-38</v>
      </c>
      <c r="AC125" s="117">
        <v>-40</v>
      </c>
      <c r="AD125" s="117">
        <v>-40</v>
      </c>
      <c r="AE125" s="117">
        <v>2</v>
      </c>
      <c r="AF125" s="117">
        <v>-31</v>
      </c>
      <c r="AG125" s="118"/>
      <c r="AH125" s="47"/>
      <c r="AI125" s="48"/>
    </row>
    <row r="126" spans="1:35" ht="15.75" thickBot="1" x14ac:dyDescent="0.3">
      <c r="A126" s="173" t="s">
        <v>255</v>
      </c>
      <c r="B126" s="117">
        <v>98.3</v>
      </c>
      <c r="C126" s="117">
        <v>103.7</v>
      </c>
      <c r="D126" s="117">
        <v>90.9</v>
      </c>
      <c r="E126" s="117">
        <v>93</v>
      </c>
      <c r="F126" s="117">
        <v>94</v>
      </c>
      <c r="G126" s="117">
        <v>108.6</v>
      </c>
      <c r="H126" s="117">
        <v>101.5</v>
      </c>
      <c r="I126" s="117">
        <v>100.2</v>
      </c>
      <c r="J126" s="117">
        <v>102.3</v>
      </c>
      <c r="K126" s="117">
        <v>92.5</v>
      </c>
      <c r="L126" s="117">
        <v>93.3</v>
      </c>
      <c r="M126" s="117">
        <v>95</v>
      </c>
      <c r="N126" s="117">
        <v>101</v>
      </c>
      <c r="O126" s="117">
        <v>93.4</v>
      </c>
      <c r="P126" s="117">
        <v>90.3</v>
      </c>
      <c r="Q126" s="117">
        <v>94</v>
      </c>
      <c r="R126" s="117">
        <v>90</v>
      </c>
      <c r="S126" s="117">
        <v>83.4</v>
      </c>
      <c r="T126" s="117">
        <v>112</v>
      </c>
      <c r="U126" s="117">
        <v>103.5</v>
      </c>
      <c r="V126" s="117">
        <v>-8.8000000000000007</v>
      </c>
      <c r="W126" s="117">
        <v>87.1</v>
      </c>
      <c r="X126" s="117">
        <v>92.4</v>
      </c>
      <c r="Y126" s="117">
        <v>91.9</v>
      </c>
      <c r="Z126" s="117">
        <v>82.8</v>
      </c>
      <c r="AA126" s="117">
        <v>94.8</v>
      </c>
      <c r="AB126" s="117">
        <v>90</v>
      </c>
      <c r="AC126" s="117">
        <v>90</v>
      </c>
      <c r="AD126" s="117">
        <v>90</v>
      </c>
      <c r="AE126" s="117">
        <v>78</v>
      </c>
      <c r="AF126" s="117">
        <v>95</v>
      </c>
      <c r="AG126" s="114"/>
      <c r="AH126" s="47">
        <f t="shared" si="39"/>
        <v>112</v>
      </c>
      <c r="AI126" s="48">
        <f t="shared" si="40"/>
        <v>-8.8000000000000007</v>
      </c>
    </row>
    <row r="127" spans="1:35" x14ac:dyDescent="0.25">
      <c r="A127" s="172" t="s">
        <v>257</v>
      </c>
      <c r="B127" s="117">
        <v>9.1999999999999993</v>
      </c>
      <c r="C127" s="117">
        <v>13.6</v>
      </c>
      <c r="D127" s="117">
        <v>13.5</v>
      </c>
      <c r="E127" s="117">
        <v>14</v>
      </c>
      <c r="F127" s="117">
        <v>11.3</v>
      </c>
      <c r="G127" s="117">
        <v>12.9</v>
      </c>
      <c r="H127" s="117">
        <v>7.4</v>
      </c>
      <c r="I127" s="117">
        <v>-6.8</v>
      </c>
      <c r="J127" s="117">
        <v>-8.4</v>
      </c>
      <c r="K127" s="117">
        <v>-13.4</v>
      </c>
      <c r="L127" s="117">
        <v>-12.5</v>
      </c>
      <c r="M127" s="117">
        <v>-19</v>
      </c>
      <c r="N127" s="117">
        <v>-15</v>
      </c>
      <c r="O127" s="117">
        <v>-7.5</v>
      </c>
      <c r="P127" s="117">
        <v>-4.2</v>
      </c>
      <c r="Q127" s="117">
        <v>0</v>
      </c>
      <c r="R127" s="117">
        <v>1.5</v>
      </c>
      <c r="S127" s="117">
        <v>1.8</v>
      </c>
      <c r="T127" s="117">
        <v>0</v>
      </c>
      <c r="U127" s="117">
        <v>2.9</v>
      </c>
      <c r="V127" s="117">
        <v>-4.2</v>
      </c>
      <c r="W127" s="117">
        <v>-2.6</v>
      </c>
      <c r="X127" s="117">
        <v>-8.8000000000000007</v>
      </c>
      <c r="Y127" s="117">
        <v>-18.3</v>
      </c>
      <c r="Z127" s="117">
        <v>-12.9</v>
      </c>
      <c r="AA127" s="117">
        <v>-7.8</v>
      </c>
      <c r="AB127" s="117">
        <v>-7</v>
      </c>
      <c r="AC127" s="117">
        <v>0</v>
      </c>
      <c r="AD127" s="117">
        <v>0</v>
      </c>
      <c r="AE127" s="117">
        <v>0</v>
      </c>
      <c r="AF127" s="117">
        <v>4</v>
      </c>
      <c r="AG127" s="114"/>
      <c r="AH127" s="47">
        <f t="shared" si="39"/>
        <v>14</v>
      </c>
      <c r="AI127" s="48">
        <f t="shared" si="40"/>
        <v>-19</v>
      </c>
    </row>
    <row r="128" spans="1:35" x14ac:dyDescent="0.25">
      <c r="A128" s="173" t="s">
        <v>124</v>
      </c>
      <c r="B128" s="106">
        <v>0</v>
      </c>
      <c r="C128" s="106">
        <v>1.8</v>
      </c>
      <c r="D128" s="106">
        <v>0.3</v>
      </c>
      <c r="E128" s="106">
        <v>0.8</v>
      </c>
      <c r="F128" s="106">
        <v>0.3</v>
      </c>
      <c r="G128" s="106">
        <v>-1.5</v>
      </c>
      <c r="H128" s="106">
        <v>-9.8000000000000007</v>
      </c>
      <c r="I128" s="106">
        <v>-12</v>
      </c>
      <c r="J128" s="106">
        <v>-21.3</v>
      </c>
      <c r="K128" s="106">
        <v>-29.5</v>
      </c>
      <c r="L128" s="106">
        <v>-36.299999999999997</v>
      </c>
      <c r="M128" s="106">
        <v>-38.9</v>
      </c>
      <c r="N128" s="106">
        <v>-26</v>
      </c>
      <c r="O128" s="106">
        <v>-22.3</v>
      </c>
      <c r="P128" s="106">
        <v>19.3</v>
      </c>
      <c r="Q128" s="106">
        <v>-15</v>
      </c>
      <c r="R128" s="106">
        <v>-11</v>
      </c>
      <c r="S128" s="106">
        <v>10.7</v>
      </c>
      <c r="T128" s="106">
        <v>-14.8</v>
      </c>
      <c r="U128" s="106">
        <v>-16.600000000000001</v>
      </c>
      <c r="V128" s="106">
        <v>-30.2</v>
      </c>
      <c r="W128" s="106">
        <v>-32.799999999999997</v>
      </c>
      <c r="X128" s="106">
        <v>-40.4</v>
      </c>
      <c r="Y128" s="106">
        <v>-37.6</v>
      </c>
      <c r="Z128" s="106">
        <v>-34.299999999999997</v>
      </c>
      <c r="AA128" s="106">
        <v>-32.4</v>
      </c>
      <c r="AB128" s="106">
        <v>-27</v>
      </c>
      <c r="AC128" s="106">
        <v>-18</v>
      </c>
      <c r="AD128" s="106">
        <v>-18</v>
      </c>
      <c r="AE128" s="106">
        <v>-18</v>
      </c>
      <c r="AF128" s="106">
        <v>-3</v>
      </c>
      <c r="AG128" s="114"/>
      <c r="AH128" s="47">
        <f t="shared" si="39"/>
        <v>19.3</v>
      </c>
      <c r="AI128" s="48">
        <f t="shared" si="40"/>
        <v>-40.4</v>
      </c>
    </row>
    <row r="129" spans="1:37" x14ac:dyDescent="0.25">
      <c r="A129" s="173" t="s">
        <v>261</v>
      </c>
      <c r="B129" s="106">
        <v>26.3</v>
      </c>
      <c r="C129" s="106">
        <v>26.6</v>
      </c>
      <c r="D129" s="106">
        <v>26</v>
      </c>
      <c r="E129" s="106">
        <v>28</v>
      </c>
      <c r="F129" s="106">
        <v>26.7</v>
      </c>
      <c r="G129" s="106">
        <v>27.3</v>
      </c>
      <c r="H129" s="106">
        <v>27.8</v>
      </c>
      <c r="I129" s="106">
        <v>29.2</v>
      </c>
      <c r="J129" s="106">
        <v>29.4</v>
      </c>
      <c r="K129" s="106">
        <v>11.6</v>
      </c>
      <c r="L129" s="106">
        <v>11.7</v>
      </c>
      <c r="M129" s="106">
        <v>11.9</v>
      </c>
      <c r="N129" s="106">
        <v>11.4</v>
      </c>
      <c r="O129" s="106">
        <v>11.2</v>
      </c>
      <c r="P129" s="106">
        <v>10.6</v>
      </c>
      <c r="Q129" s="106">
        <v>22</v>
      </c>
      <c r="R129" s="106">
        <v>29</v>
      </c>
      <c r="S129" s="106">
        <v>18.2</v>
      </c>
      <c r="T129" s="106">
        <v>19.8</v>
      </c>
      <c r="U129" s="106">
        <v>21.9</v>
      </c>
      <c r="V129" s="106">
        <v>15.5</v>
      </c>
      <c r="W129" s="106">
        <v>9.1999999999999993</v>
      </c>
      <c r="X129" s="106">
        <v>11.8</v>
      </c>
      <c r="Y129" s="106">
        <v>11.1</v>
      </c>
      <c r="Z129" s="106">
        <v>10.4</v>
      </c>
      <c r="AA129" s="106">
        <v>9.9</v>
      </c>
      <c r="AB129" s="106">
        <v>9</v>
      </c>
      <c r="AC129" s="106">
        <v>-16</v>
      </c>
      <c r="AD129" s="106">
        <v>-16</v>
      </c>
      <c r="AE129" s="106">
        <v>-16</v>
      </c>
      <c r="AF129" s="106">
        <v>2</v>
      </c>
      <c r="AG129" s="114"/>
      <c r="AH129" s="47">
        <f t="shared" si="39"/>
        <v>29.4</v>
      </c>
      <c r="AI129" s="48">
        <f t="shared" si="40"/>
        <v>-16</v>
      </c>
    </row>
    <row r="130" spans="1:37" ht="15.75" thickBot="1" x14ac:dyDescent="0.3">
      <c r="A130" s="173" t="s">
        <v>258</v>
      </c>
      <c r="B130" s="106">
        <v>87.2</v>
      </c>
      <c r="C130" s="106">
        <v>82.6</v>
      </c>
      <c r="D130" s="106">
        <v>83.6</v>
      </c>
      <c r="E130" s="106">
        <v>80.599999999999994</v>
      </c>
      <c r="F130" s="106">
        <v>78.3</v>
      </c>
      <c r="G130" s="106">
        <v>82.3</v>
      </c>
      <c r="H130" s="106">
        <v>85.9</v>
      </c>
      <c r="I130" s="106">
        <v>96.9</v>
      </c>
      <c r="J130" s="106">
        <v>100.4</v>
      </c>
      <c r="K130" s="106">
        <v>91.2</v>
      </c>
      <c r="L130" s="106">
        <v>93.7</v>
      </c>
      <c r="M130" s="106">
        <v>99.5</v>
      </c>
      <c r="N130" s="106">
        <v>88.9</v>
      </c>
      <c r="O130" s="106">
        <v>84.6</v>
      </c>
      <c r="P130" s="106">
        <v>85.6</v>
      </c>
      <c r="Q130" s="106">
        <v>100.5</v>
      </c>
      <c r="R130" s="106">
        <v>102</v>
      </c>
      <c r="S130" s="106">
        <v>100.4</v>
      </c>
      <c r="T130" s="106">
        <v>107.1</v>
      </c>
      <c r="U130" s="106">
        <v>100.5</v>
      </c>
      <c r="V130" s="106">
        <v>97.3</v>
      </c>
      <c r="W130" s="106">
        <v>99</v>
      </c>
      <c r="X130" s="106">
        <v>110.5</v>
      </c>
      <c r="Y130" s="106">
        <v>106</v>
      </c>
      <c r="Z130" s="106">
        <v>102.6</v>
      </c>
      <c r="AA130" s="106">
        <v>99.2</v>
      </c>
      <c r="AB130" s="106">
        <v>102</v>
      </c>
      <c r="AC130" s="106">
        <v>107</v>
      </c>
      <c r="AD130" s="106">
        <v>107</v>
      </c>
      <c r="AE130" s="106">
        <v>91</v>
      </c>
      <c r="AF130" s="106">
        <v>83</v>
      </c>
      <c r="AG130" s="114"/>
      <c r="AH130" s="47">
        <f t="shared" si="39"/>
        <v>110.5</v>
      </c>
      <c r="AI130" s="48">
        <f t="shared" si="40"/>
        <v>78.3</v>
      </c>
    </row>
    <row r="131" spans="1:37" x14ac:dyDescent="0.25">
      <c r="A131" s="144" t="s">
        <v>238</v>
      </c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 t="s">
        <v>615</v>
      </c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6"/>
      <c r="AG131" s="43"/>
      <c r="AH131" s="47"/>
      <c r="AI131" s="48"/>
    </row>
    <row r="132" spans="1:37" x14ac:dyDescent="0.25">
      <c r="A132" s="189" t="s">
        <v>368</v>
      </c>
      <c r="B132" s="147">
        <v>1985</v>
      </c>
      <c r="C132" s="147">
        <v>1985.28</v>
      </c>
      <c r="D132" s="147">
        <v>1985.5</v>
      </c>
      <c r="E132" s="147">
        <v>1985.7</v>
      </c>
      <c r="F132" s="147">
        <v>1985.91</v>
      </c>
      <c r="G132" s="147">
        <v>1986.11</v>
      </c>
      <c r="H132" s="147"/>
      <c r="I132" s="147">
        <v>1986.33</v>
      </c>
      <c r="J132" s="147"/>
      <c r="K132" s="147">
        <v>1986.38</v>
      </c>
      <c r="L132" s="147"/>
      <c r="M132" s="191">
        <v>1986</v>
      </c>
      <c r="N132" s="191">
        <v>1985.23</v>
      </c>
      <c r="O132" s="191">
        <v>1984.83</v>
      </c>
      <c r="P132" s="191">
        <v>1984.84</v>
      </c>
      <c r="Q132" s="191">
        <v>1985.03</v>
      </c>
      <c r="R132" s="191">
        <v>1985.25</v>
      </c>
      <c r="S132" s="147">
        <v>1985.4</v>
      </c>
      <c r="T132" s="147">
        <v>1985.55</v>
      </c>
      <c r="U132" s="147">
        <v>1985.55</v>
      </c>
      <c r="V132" s="147">
        <v>1985.5</v>
      </c>
      <c r="W132" s="147"/>
      <c r="X132" s="147">
        <v>1985.45</v>
      </c>
      <c r="Y132" s="147"/>
      <c r="Z132" s="147">
        <v>1985.05</v>
      </c>
      <c r="AA132" s="147"/>
      <c r="AB132" s="147">
        <v>1984.5</v>
      </c>
      <c r="AC132" s="147"/>
      <c r="AD132" s="147">
        <v>1984.36</v>
      </c>
      <c r="AE132" s="147"/>
      <c r="AF132" s="148"/>
      <c r="AG132" s="149"/>
      <c r="AH132" s="47"/>
      <c r="AI132" s="48"/>
    </row>
    <row r="133" spans="1:37" x14ac:dyDescent="0.25">
      <c r="A133" s="189" t="s">
        <v>239</v>
      </c>
      <c r="B133" s="150">
        <v>520.5</v>
      </c>
      <c r="C133" s="150">
        <v>520.91999999999996</v>
      </c>
      <c r="D133" s="150">
        <v>521.36</v>
      </c>
      <c r="E133" s="150">
        <v>521.63</v>
      </c>
      <c r="F133" s="150">
        <v>521.97</v>
      </c>
      <c r="G133" s="150">
        <v>522.32000000000005</v>
      </c>
      <c r="H133" s="150"/>
      <c r="I133" s="150">
        <v>522.48</v>
      </c>
      <c r="J133" s="150"/>
      <c r="K133" s="150">
        <v>522.26</v>
      </c>
      <c r="L133" s="150"/>
      <c r="M133" s="192">
        <v>521.96</v>
      </c>
      <c r="N133" s="192">
        <v>521.62</v>
      </c>
      <c r="O133" s="192">
        <v>521.42999999999995</v>
      </c>
      <c r="P133" s="192">
        <v>521.4</v>
      </c>
      <c r="Q133" s="192">
        <v>521.35</v>
      </c>
      <c r="R133" s="192">
        <v>521.30999999999995</v>
      </c>
      <c r="S133" s="150">
        <v>521.37</v>
      </c>
      <c r="T133" s="150">
        <v>521.42999999999995</v>
      </c>
      <c r="U133" s="150">
        <v>521.46</v>
      </c>
      <c r="V133" s="150">
        <v>521.37</v>
      </c>
      <c r="W133" s="150"/>
      <c r="X133" s="150">
        <v>521.4</v>
      </c>
      <c r="Y133" s="150"/>
      <c r="Z133" s="150">
        <v>520.9</v>
      </c>
      <c r="AA133" s="150"/>
      <c r="AB133" s="150">
        <v>520.4</v>
      </c>
      <c r="AC133" s="150"/>
      <c r="AD133" s="150">
        <v>520.22</v>
      </c>
      <c r="AE133" s="150">
        <v>520.20000000000005</v>
      </c>
      <c r="AF133" s="151">
        <v>520.26</v>
      </c>
      <c r="AG133" s="149"/>
      <c r="AH133" s="47"/>
      <c r="AI133" s="48"/>
    </row>
    <row r="134" spans="1:37" x14ac:dyDescent="0.25">
      <c r="A134" s="189" t="s">
        <v>240</v>
      </c>
      <c r="B134" s="150">
        <v>623.29999999999995</v>
      </c>
      <c r="C134" s="150">
        <v>623.64</v>
      </c>
      <c r="D134" s="150">
        <v>624.04999999999995</v>
      </c>
      <c r="E134" s="150">
        <v>624.41999999999996</v>
      </c>
      <c r="F134" s="150">
        <v>624.79999999999995</v>
      </c>
      <c r="G134" s="150">
        <v>625.14</v>
      </c>
      <c r="H134" s="150"/>
      <c r="I134" s="150">
        <v>625.08000000000004</v>
      </c>
      <c r="J134" s="150"/>
      <c r="K134" s="150">
        <v>624.79</v>
      </c>
      <c r="L134" s="150"/>
      <c r="M134" s="192">
        <v>624.38</v>
      </c>
      <c r="N134" s="192">
        <v>624.20000000000005</v>
      </c>
      <c r="O134" s="192">
        <v>624.09</v>
      </c>
      <c r="P134" s="192">
        <v>624.20000000000005</v>
      </c>
      <c r="Q134" s="192">
        <v>624.24</v>
      </c>
      <c r="R134" s="192">
        <v>624.36</v>
      </c>
      <c r="S134" s="150">
        <v>624.41</v>
      </c>
      <c r="T134" s="150">
        <v>624.48</v>
      </c>
      <c r="U134" s="150">
        <v>624.47</v>
      </c>
      <c r="V134" s="150">
        <v>624.41999999999996</v>
      </c>
      <c r="W134" s="150"/>
      <c r="X134" s="150">
        <v>624.48</v>
      </c>
      <c r="Y134" s="150"/>
      <c r="Z134" s="150">
        <v>624.1</v>
      </c>
      <c r="AA134" s="150"/>
      <c r="AB134" s="150">
        <v>623.6</v>
      </c>
      <c r="AC134" s="150">
        <v>623.57000000000005</v>
      </c>
      <c r="AD134" s="150">
        <v>623.38</v>
      </c>
      <c r="AE134" s="150">
        <v>622.85</v>
      </c>
      <c r="AF134" s="151"/>
      <c r="AG134" s="149"/>
      <c r="AH134" s="47"/>
      <c r="AI134" s="48"/>
    </row>
    <row r="135" spans="1:37" x14ac:dyDescent="0.25">
      <c r="A135" s="189" t="s">
        <v>241</v>
      </c>
      <c r="B135" s="150">
        <v>335.7</v>
      </c>
      <c r="C135" s="150">
        <v>336.16</v>
      </c>
      <c r="D135" s="150">
        <v>336.6</v>
      </c>
      <c r="E135" s="150">
        <v>336.93</v>
      </c>
      <c r="F135" s="150">
        <v>337.15</v>
      </c>
      <c r="G135" s="150"/>
      <c r="H135" s="150"/>
      <c r="I135" s="150"/>
      <c r="J135" s="150"/>
      <c r="K135" s="150">
        <v>336.8</v>
      </c>
      <c r="L135" s="150"/>
      <c r="M135" s="192">
        <v>336.26</v>
      </c>
      <c r="N135" s="192">
        <v>335.85</v>
      </c>
      <c r="O135" s="192">
        <v>335.59</v>
      </c>
      <c r="P135" s="192">
        <v>335.47</v>
      </c>
      <c r="Q135" s="192">
        <v>335.42</v>
      </c>
      <c r="R135" s="192">
        <v>335.81</v>
      </c>
      <c r="S135" s="150">
        <v>336.17</v>
      </c>
      <c r="T135" s="150">
        <v>336.41</v>
      </c>
      <c r="U135" s="150">
        <v>336.45</v>
      </c>
      <c r="V135" s="150">
        <v>336.34</v>
      </c>
      <c r="W135" s="150"/>
      <c r="X135" s="150">
        <v>336.29</v>
      </c>
      <c r="Y135" s="150"/>
      <c r="Z135" s="150">
        <v>335.97</v>
      </c>
      <c r="AA135" s="150"/>
      <c r="AB135" s="150">
        <v>335.63</v>
      </c>
      <c r="AC135" s="150"/>
      <c r="AD135" s="150">
        <v>335.38</v>
      </c>
      <c r="AE135" s="150"/>
      <c r="AF135" s="151">
        <v>334.79</v>
      </c>
      <c r="AG135" s="149"/>
      <c r="AH135" s="47"/>
      <c r="AI135" s="48"/>
    </row>
    <row r="136" spans="1:37" x14ac:dyDescent="0.25">
      <c r="A136" s="189" t="s">
        <v>407</v>
      </c>
      <c r="B136" s="150">
        <v>886.2</v>
      </c>
      <c r="C136" s="150">
        <v>886.7</v>
      </c>
      <c r="D136" s="150">
        <v>887.2</v>
      </c>
      <c r="E136" s="150"/>
      <c r="F136" s="150"/>
      <c r="G136" s="150">
        <v>887.6</v>
      </c>
      <c r="H136" s="150"/>
      <c r="I136" s="150">
        <v>887.5</v>
      </c>
      <c r="J136" s="150"/>
      <c r="K136" s="150"/>
      <c r="L136" s="150"/>
      <c r="M136" s="192">
        <v>886.5</v>
      </c>
      <c r="N136" s="192">
        <v>885.6</v>
      </c>
      <c r="O136" s="192">
        <v>885.4</v>
      </c>
      <c r="P136" s="192">
        <v>885.1</v>
      </c>
      <c r="Q136" s="192">
        <v>884.9</v>
      </c>
      <c r="R136" s="192">
        <v>885.1</v>
      </c>
      <c r="S136" s="150">
        <v>885.4</v>
      </c>
      <c r="T136" s="150">
        <v>886.4</v>
      </c>
      <c r="U136" s="150">
        <v>886.8</v>
      </c>
      <c r="V136" s="150">
        <v>887.3</v>
      </c>
      <c r="W136" s="150"/>
      <c r="X136" s="150">
        <v>887.3</v>
      </c>
      <c r="Y136" s="150"/>
      <c r="Z136" s="150">
        <v>886.4</v>
      </c>
      <c r="AA136" s="150"/>
      <c r="AB136" s="150"/>
      <c r="AC136" s="150"/>
      <c r="AD136" s="150">
        <v>885.1</v>
      </c>
      <c r="AE136" s="150"/>
      <c r="AF136" s="151"/>
      <c r="AG136" s="149"/>
      <c r="AH136" s="47"/>
      <c r="AI136" s="48"/>
    </row>
    <row r="137" spans="1:37" ht="15.75" thickBot="1" x14ac:dyDescent="0.3">
      <c r="A137" s="189" t="s">
        <v>242</v>
      </c>
      <c r="B137" s="152">
        <v>1518.86</v>
      </c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93"/>
      <c r="N137" s="193"/>
      <c r="O137" s="193"/>
      <c r="P137" s="193"/>
      <c r="Q137" s="193"/>
      <c r="R137" s="193"/>
      <c r="S137" s="152">
        <v>1518.88</v>
      </c>
      <c r="T137" s="152"/>
      <c r="U137" s="152"/>
      <c r="V137" s="152">
        <v>1518.89</v>
      </c>
      <c r="W137" s="152"/>
      <c r="X137" s="152"/>
      <c r="Y137" s="152"/>
      <c r="Z137" s="152">
        <v>1518.89</v>
      </c>
      <c r="AA137" s="152"/>
      <c r="AB137" s="152"/>
      <c r="AC137" s="152"/>
      <c r="AD137" s="152">
        <v>1518.9</v>
      </c>
      <c r="AE137" s="152"/>
      <c r="AF137" s="153"/>
      <c r="AG137" s="149"/>
      <c r="AH137" s="47"/>
      <c r="AI137" s="48"/>
    </row>
    <row r="138" spans="1:37" ht="15.75" thickBot="1" x14ac:dyDescent="0.3">
      <c r="A138" s="120" t="s">
        <v>125</v>
      </c>
      <c r="B138" s="121"/>
      <c r="C138" s="121"/>
      <c r="D138" s="121"/>
      <c r="E138" s="121"/>
      <c r="F138" s="170" t="s">
        <v>254</v>
      </c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74"/>
      <c r="AH138" s="47"/>
      <c r="AI138" s="48"/>
      <c r="AK138" s="50"/>
    </row>
    <row r="139" spans="1:37" x14ac:dyDescent="0.25">
      <c r="A139" s="122" t="s">
        <v>126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5">
        <v>9.94</v>
      </c>
      <c r="AH139" s="47"/>
      <c r="AI139" s="48"/>
      <c r="AK139" s="50"/>
    </row>
    <row r="140" spans="1:37" x14ac:dyDescent="0.25">
      <c r="A140" s="103" t="s">
        <v>127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5"/>
      <c r="AH140" s="47"/>
      <c r="AI140" s="48"/>
      <c r="AK140" s="50"/>
    </row>
    <row r="141" spans="1:37" x14ac:dyDescent="0.25">
      <c r="A141" s="103" t="s">
        <v>128</v>
      </c>
      <c r="B141" s="123"/>
      <c r="C141" s="124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5"/>
      <c r="AH141" s="47"/>
      <c r="AI141" s="48"/>
      <c r="AK141" s="50"/>
    </row>
    <row r="142" spans="1:37" x14ac:dyDescent="0.25">
      <c r="A142" s="103" t="s">
        <v>129</v>
      </c>
      <c r="B142" s="123"/>
      <c r="C142" s="124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5"/>
      <c r="AH142" s="47"/>
      <c r="AI142" s="48"/>
      <c r="AK142" s="50"/>
    </row>
    <row r="143" spans="1:37" x14ac:dyDescent="0.25">
      <c r="A143" s="103" t="s">
        <v>130</v>
      </c>
      <c r="B143" s="123"/>
      <c r="C143" s="124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5"/>
      <c r="AH143" s="47"/>
      <c r="AI143" s="48"/>
      <c r="AK143" s="50"/>
    </row>
    <row r="144" spans="1:37" x14ac:dyDescent="0.25">
      <c r="A144" s="103" t="s">
        <v>131</v>
      </c>
      <c r="B144" s="123"/>
      <c r="C144" s="124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5"/>
      <c r="AH144" s="47"/>
      <c r="AI144" s="48"/>
      <c r="AK144" s="50"/>
    </row>
    <row r="145" spans="1:37" x14ac:dyDescent="0.25">
      <c r="A145" s="103" t="s">
        <v>132</v>
      </c>
      <c r="B145" s="123"/>
      <c r="C145" s="124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5"/>
      <c r="AH145" s="47"/>
      <c r="AI145" s="48"/>
      <c r="AK145" s="50"/>
    </row>
    <row r="146" spans="1:37" x14ac:dyDescent="0.25">
      <c r="A146" s="103" t="s">
        <v>133</v>
      </c>
      <c r="B146" s="123"/>
      <c r="C146" s="124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5"/>
      <c r="AH146" s="47"/>
      <c r="AI146" s="48"/>
      <c r="AK146" s="50"/>
    </row>
    <row r="147" spans="1:37" x14ac:dyDescent="0.25">
      <c r="A147" s="103" t="s">
        <v>134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5"/>
      <c r="AH147" s="47"/>
      <c r="AI147" s="48"/>
      <c r="AK147" s="50"/>
    </row>
    <row r="148" spans="1:37" x14ac:dyDescent="0.25">
      <c r="A148" s="103" t="s">
        <v>135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5"/>
      <c r="AH148" s="47"/>
      <c r="AI148" s="48"/>
      <c r="AK148" s="50"/>
    </row>
    <row r="149" spans="1:37" x14ac:dyDescent="0.25">
      <c r="A149" s="103" t="s">
        <v>136</v>
      </c>
      <c r="B149" s="123"/>
      <c r="C149" s="124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5"/>
      <c r="AH149" s="47"/>
      <c r="AI149" s="48"/>
      <c r="AK149" s="50"/>
    </row>
    <row r="150" spans="1:37" x14ac:dyDescent="0.25">
      <c r="A150" s="103" t="s">
        <v>137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5"/>
      <c r="AH150" s="47"/>
      <c r="AI150" s="48"/>
      <c r="AK150" s="50"/>
    </row>
    <row r="151" spans="1:37" x14ac:dyDescent="0.25">
      <c r="A151" s="103" t="s">
        <v>138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5"/>
      <c r="AH151" s="47"/>
      <c r="AI151" s="48"/>
      <c r="AK151" s="50"/>
    </row>
    <row r="152" spans="1:37" x14ac:dyDescent="0.25">
      <c r="A152" s="103" t="s">
        <v>139</v>
      </c>
      <c r="B152" s="123"/>
      <c r="C152" s="124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5"/>
      <c r="AH152" s="47"/>
      <c r="AI152" s="48"/>
      <c r="AK152" s="50"/>
    </row>
    <row r="153" spans="1:37" x14ac:dyDescent="0.25">
      <c r="A153" s="103" t="s">
        <v>140</v>
      </c>
      <c r="B153" s="123"/>
      <c r="C153" s="124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5"/>
      <c r="AH153" s="47"/>
      <c r="AI153" s="48"/>
      <c r="AK153" s="50"/>
    </row>
    <row r="154" spans="1:37" x14ac:dyDescent="0.25">
      <c r="A154" s="103" t="s">
        <v>141</v>
      </c>
      <c r="B154" s="123"/>
      <c r="C154" s="124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5"/>
      <c r="AH154" s="47"/>
      <c r="AI154" s="48"/>
      <c r="AK154" s="50"/>
    </row>
    <row r="155" spans="1:37" x14ac:dyDescent="0.25">
      <c r="A155" s="103" t="s">
        <v>142</v>
      </c>
      <c r="B155" s="126"/>
      <c r="C155" s="127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8">
        <v>9.9</v>
      </c>
      <c r="AH155" s="47"/>
      <c r="AI155" s="48"/>
      <c r="AK155" s="50"/>
    </row>
    <row r="156" spans="1:37" x14ac:dyDescent="0.25">
      <c r="A156" s="116" t="s">
        <v>143</v>
      </c>
      <c r="B156" s="126"/>
      <c r="C156" s="127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9">
        <v>9.6579999999999995</v>
      </c>
      <c r="AH156" s="47"/>
      <c r="AI156" s="48"/>
      <c r="AK156" s="50"/>
    </row>
    <row r="157" spans="1:37" x14ac:dyDescent="0.25">
      <c r="A157" s="116" t="s">
        <v>144</v>
      </c>
      <c r="B157" s="126"/>
      <c r="C157" s="127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9">
        <v>9.6</v>
      </c>
      <c r="AH157" s="47"/>
      <c r="AI157" s="48"/>
      <c r="AK157" s="50"/>
    </row>
    <row r="158" spans="1:37" x14ac:dyDescent="0.25">
      <c r="A158" s="116" t="s">
        <v>145</v>
      </c>
      <c r="B158" s="126"/>
      <c r="C158" s="127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9">
        <v>9.51</v>
      </c>
      <c r="AH158" s="47"/>
      <c r="AI158" s="48"/>
      <c r="AK158" s="50"/>
    </row>
    <row r="159" spans="1:37" x14ac:dyDescent="0.25">
      <c r="A159" s="116" t="s">
        <v>146</v>
      </c>
      <c r="B159" s="126"/>
      <c r="C159" s="127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9">
        <v>9.4</v>
      </c>
      <c r="AH159" s="47"/>
      <c r="AI159" s="48"/>
      <c r="AK159" s="50"/>
    </row>
    <row r="160" spans="1:37" x14ac:dyDescent="0.25">
      <c r="A160" s="116" t="s">
        <v>147</v>
      </c>
      <c r="B160" s="126"/>
      <c r="C160" s="127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9">
        <v>8.8000000000000007</v>
      </c>
      <c r="AH160" s="47"/>
      <c r="AI160" s="48"/>
      <c r="AK160" s="50"/>
    </row>
    <row r="161" spans="1:37" x14ac:dyDescent="0.25">
      <c r="A161" s="116" t="s">
        <v>148</v>
      </c>
      <c r="B161" s="126"/>
      <c r="C161" s="127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9">
        <v>8.5</v>
      </c>
      <c r="AH161" s="47"/>
      <c r="AI161" s="48"/>
      <c r="AK161" s="50"/>
    </row>
    <row r="162" spans="1:37" x14ac:dyDescent="0.25">
      <c r="A162" s="116" t="s">
        <v>149</v>
      </c>
      <c r="B162" s="126"/>
      <c r="C162" s="127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9">
        <v>8.5</v>
      </c>
      <c r="AH162" s="47"/>
      <c r="AI162" s="48"/>
      <c r="AK162" s="50"/>
    </row>
    <row r="163" spans="1:37" x14ac:dyDescent="0.25">
      <c r="A163" s="116" t="s">
        <v>150</v>
      </c>
      <c r="B163" s="126"/>
      <c r="C163" s="127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9">
        <v>8.4</v>
      </c>
      <c r="AH163" s="47"/>
      <c r="AI163" s="48"/>
      <c r="AK163" s="50"/>
    </row>
    <row r="164" spans="1:37" ht="13.5" customHeight="1" x14ac:dyDescent="0.25">
      <c r="A164" s="116" t="s">
        <v>151</v>
      </c>
      <c r="B164" s="126"/>
      <c r="C164" s="127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9">
        <v>8</v>
      </c>
      <c r="AH164" s="47"/>
      <c r="AI164" s="48"/>
      <c r="AK164" s="50"/>
    </row>
    <row r="165" spans="1:37" x14ac:dyDescent="0.25">
      <c r="A165" s="116" t="s">
        <v>152</v>
      </c>
      <c r="B165" s="126"/>
      <c r="C165" s="127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9">
        <v>8</v>
      </c>
      <c r="AH165" s="47"/>
      <c r="AI165" s="48"/>
      <c r="AK165" s="50"/>
    </row>
    <row r="166" spans="1:37" x14ac:dyDescent="0.25">
      <c r="A166" s="116" t="s">
        <v>153</v>
      </c>
      <c r="B166" s="126"/>
      <c r="C166" s="127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9">
        <v>8</v>
      </c>
      <c r="AH166" s="47"/>
      <c r="AI166" s="48"/>
      <c r="AK166" s="50"/>
    </row>
    <row r="167" spans="1:37" x14ac:dyDescent="0.25">
      <c r="A167" s="116" t="s">
        <v>154</v>
      </c>
      <c r="B167" s="126"/>
      <c r="C167" s="127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9">
        <v>7.8</v>
      </c>
      <c r="AH167" s="47"/>
      <c r="AI167" s="48"/>
      <c r="AK167" s="50"/>
    </row>
    <row r="168" spans="1:37" x14ac:dyDescent="0.25">
      <c r="A168" s="116" t="s">
        <v>155</v>
      </c>
      <c r="B168" s="126"/>
      <c r="C168" s="127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9">
        <v>7.6</v>
      </c>
      <c r="AH168" s="47"/>
      <c r="AI168" s="48"/>
      <c r="AK168" s="50"/>
    </row>
    <row r="169" spans="1:37" x14ac:dyDescent="0.25">
      <c r="A169" s="116" t="s">
        <v>156</v>
      </c>
      <c r="B169" s="126"/>
      <c r="C169" s="127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9">
        <v>7.5</v>
      </c>
      <c r="AH169" s="47"/>
      <c r="AI169" s="48"/>
      <c r="AK169" s="50"/>
    </row>
    <row r="170" spans="1:37" x14ac:dyDescent="0.25">
      <c r="A170" s="116" t="s">
        <v>157</v>
      </c>
      <c r="B170" s="126"/>
      <c r="C170" s="127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9">
        <v>7.5</v>
      </c>
      <c r="AH170" s="47"/>
      <c r="AI170" s="48"/>
      <c r="AK170" s="50"/>
    </row>
    <row r="171" spans="1:37" x14ac:dyDescent="0.25">
      <c r="A171" s="116" t="s">
        <v>158</v>
      </c>
      <c r="B171" s="126"/>
      <c r="C171" s="127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9">
        <v>7</v>
      </c>
      <c r="AH171" s="47"/>
      <c r="AI171" s="48"/>
      <c r="AK171" s="50"/>
    </row>
    <row r="172" spans="1:37" x14ac:dyDescent="0.25">
      <c r="A172" s="116" t="s">
        <v>159</v>
      </c>
      <c r="B172" s="126"/>
      <c r="C172" s="127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9">
        <v>7</v>
      </c>
      <c r="AH172" s="47"/>
      <c r="AI172" s="48"/>
      <c r="AK172" s="50"/>
    </row>
    <row r="173" spans="1:37" x14ac:dyDescent="0.25">
      <c r="A173" s="116" t="s">
        <v>160</v>
      </c>
      <c r="B173" s="126"/>
      <c r="C173" s="127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9">
        <v>7</v>
      </c>
      <c r="AH173" s="47"/>
      <c r="AI173" s="48"/>
      <c r="AK173" s="50"/>
    </row>
    <row r="174" spans="1:37" x14ac:dyDescent="0.25">
      <c r="A174" s="116" t="s">
        <v>161</v>
      </c>
      <c r="B174" s="126"/>
      <c r="C174" s="127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9">
        <v>7</v>
      </c>
      <c r="AH174" s="47"/>
      <c r="AI174" s="48"/>
      <c r="AK174" s="50"/>
    </row>
    <row r="175" spans="1:37" x14ac:dyDescent="0.25">
      <c r="A175" s="116" t="s">
        <v>162</v>
      </c>
      <c r="B175" s="126"/>
      <c r="C175" s="127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9">
        <v>6.6</v>
      </c>
      <c r="AH175" s="47"/>
      <c r="AI175" s="48"/>
      <c r="AK175" s="50"/>
    </row>
    <row r="176" spans="1:37" x14ac:dyDescent="0.25">
      <c r="A176" s="116" t="s">
        <v>163</v>
      </c>
      <c r="B176" s="126"/>
      <c r="C176" s="127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9">
        <v>6.6</v>
      </c>
      <c r="AH176" s="47"/>
      <c r="AI176" s="48"/>
      <c r="AK176" s="50"/>
    </row>
    <row r="177" spans="1:37" x14ac:dyDescent="0.25">
      <c r="A177" s="116" t="s">
        <v>164</v>
      </c>
      <c r="B177" s="126"/>
      <c r="C177" s="127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9">
        <v>6.4</v>
      </c>
      <c r="AH177" s="47"/>
      <c r="AI177" s="48"/>
      <c r="AK177" s="50"/>
    </row>
    <row r="178" spans="1:37" x14ac:dyDescent="0.25">
      <c r="A178" s="116" t="s">
        <v>165</v>
      </c>
      <c r="B178" s="126"/>
      <c r="C178" s="127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9">
        <v>6</v>
      </c>
      <c r="AH178" s="47"/>
      <c r="AI178" s="48"/>
      <c r="AK178" s="50"/>
    </row>
    <row r="179" spans="1:37" x14ac:dyDescent="0.25">
      <c r="A179" s="116" t="s">
        <v>166</v>
      </c>
      <c r="B179" s="126"/>
      <c r="C179" s="127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9">
        <v>5.0999999999999996</v>
      </c>
      <c r="AH179" s="47"/>
      <c r="AI179" s="48"/>
      <c r="AK179" s="50"/>
    </row>
    <row r="180" spans="1:37" x14ac:dyDescent="0.25">
      <c r="A180" s="116" t="s">
        <v>167</v>
      </c>
      <c r="B180" s="126"/>
      <c r="C180" s="127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9">
        <v>5</v>
      </c>
      <c r="AH180" s="47"/>
      <c r="AI180" s="48"/>
      <c r="AK180" s="50"/>
    </row>
    <row r="181" spans="1:37" x14ac:dyDescent="0.25">
      <c r="A181" s="103" t="s">
        <v>168</v>
      </c>
      <c r="B181" s="126"/>
      <c r="C181" s="127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8">
        <v>5</v>
      </c>
      <c r="AH181" s="47"/>
      <c r="AI181" s="48"/>
      <c r="AK181" s="50"/>
    </row>
    <row r="182" spans="1:37" x14ac:dyDescent="0.25">
      <c r="A182" s="116" t="s">
        <v>169</v>
      </c>
      <c r="B182" s="126"/>
      <c r="C182" s="127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9">
        <v>5</v>
      </c>
      <c r="AH182" s="47"/>
      <c r="AI182" s="48"/>
      <c r="AK182" s="50"/>
    </row>
    <row r="183" spans="1:37" x14ac:dyDescent="0.25">
      <c r="A183" s="116" t="s">
        <v>170</v>
      </c>
      <c r="B183" s="126"/>
      <c r="C183" s="127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9">
        <v>5</v>
      </c>
      <c r="AH183" s="47"/>
      <c r="AI183" s="48"/>
      <c r="AK183" s="50"/>
    </row>
    <row r="184" spans="1:37" x14ac:dyDescent="0.25">
      <c r="A184" s="116" t="s">
        <v>171</v>
      </c>
      <c r="B184" s="126"/>
      <c r="C184" s="127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9">
        <v>5</v>
      </c>
      <c r="AH184" s="47"/>
      <c r="AI184" s="48"/>
      <c r="AK184" s="50"/>
    </row>
    <row r="185" spans="1:37" x14ac:dyDescent="0.25">
      <c r="A185" s="116" t="s">
        <v>172</v>
      </c>
      <c r="B185" s="126"/>
      <c r="C185" s="127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9">
        <v>5</v>
      </c>
      <c r="AH185" s="47"/>
      <c r="AI185" s="48"/>
      <c r="AK185" s="50"/>
    </row>
    <row r="186" spans="1:37" x14ac:dyDescent="0.25">
      <c r="A186" s="116" t="s">
        <v>173</v>
      </c>
      <c r="B186" s="126"/>
      <c r="C186" s="127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9">
        <v>5</v>
      </c>
      <c r="AH186" s="47"/>
      <c r="AI186" s="48"/>
      <c r="AK186" s="50"/>
    </row>
    <row r="187" spans="1:37" x14ac:dyDescent="0.25">
      <c r="A187" s="116" t="s">
        <v>174</v>
      </c>
      <c r="B187" s="126"/>
      <c r="C187" s="127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9">
        <v>4.9930000000000003</v>
      </c>
      <c r="AH187" s="47"/>
      <c r="AI187" s="48"/>
      <c r="AK187" s="50"/>
    </row>
    <row r="188" spans="1:37" x14ac:dyDescent="0.25">
      <c r="A188" s="116" t="s">
        <v>175</v>
      </c>
      <c r="B188" s="126"/>
      <c r="C188" s="127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9">
        <v>4.9800000000000004</v>
      </c>
      <c r="AH188" s="47"/>
      <c r="AI188" s="48"/>
      <c r="AK188" s="50"/>
    </row>
    <row r="189" spans="1:37" x14ac:dyDescent="0.25">
      <c r="A189" s="116" t="s">
        <v>176</v>
      </c>
      <c r="B189" s="126"/>
      <c r="C189" s="127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9">
        <v>4.95</v>
      </c>
      <c r="AH189" s="47"/>
      <c r="AI189" s="48"/>
      <c r="AK189" s="50"/>
    </row>
    <row r="190" spans="1:37" x14ac:dyDescent="0.25">
      <c r="A190" s="116" t="s">
        <v>177</v>
      </c>
      <c r="B190" s="126"/>
      <c r="C190" s="127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9">
        <v>4.95</v>
      </c>
      <c r="AH190" s="47"/>
      <c r="AI190" s="48"/>
      <c r="AK190" s="50"/>
    </row>
    <row r="191" spans="1:37" x14ac:dyDescent="0.25">
      <c r="A191" s="116" t="s">
        <v>178</v>
      </c>
      <c r="B191" s="126"/>
      <c r="C191" s="127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9">
        <v>4.8</v>
      </c>
      <c r="AH191" s="47"/>
      <c r="AI191" s="48"/>
      <c r="AK191" s="50"/>
    </row>
    <row r="192" spans="1:37" x14ac:dyDescent="0.25">
      <c r="A192" s="116" t="s">
        <v>179</v>
      </c>
      <c r="B192" s="126"/>
      <c r="C192" s="127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9">
        <v>4.8</v>
      </c>
      <c r="AH192" s="47"/>
      <c r="AI192" s="48"/>
      <c r="AK192" s="50"/>
    </row>
    <row r="193" spans="1:37" x14ac:dyDescent="0.25">
      <c r="A193" s="116" t="s">
        <v>180</v>
      </c>
      <c r="B193" s="126"/>
      <c r="C193" s="127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9">
        <v>4.8</v>
      </c>
      <c r="AH193" s="47"/>
      <c r="AI193" s="48"/>
      <c r="AK193" s="50"/>
    </row>
    <row r="194" spans="1:37" x14ac:dyDescent="0.25">
      <c r="A194" s="116" t="s">
        <v>181</v>
      </c>
      <c r="B194" s="126"/>
      <c r="C194" s="127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9">
        <v>4.5</v>
      </c>
      <c r="AH194" s="47"/>
      <c r="AI194" s="48"/>
      <c r="AK194" s="50"/>
    </row>
    <row r="195" spans="1:37" x14ac:dyDescent="0.25">
      <c r="A195" s="116" t="s">
        <v>182</v>
      </c>
      <c r="B195" s="126"/>
      <c r="C195" s="127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9">
        <v>4.5</v>
      </c>
      <c r="AH195" s="47"/>
      <c r="AI195" s="48"/>
      <c r="AK195" s="50"/>
    </row>
    <row r="196" spans="1:37" x14ac:dyDescent="0.25">
      <c r="A196" s="116" t="s">
        <v>183</v>
      </c>
      <c r="B196" s="126"/>
      <c r="C196" s="127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9">
        <v>4.4550000000000001</v>
      </c>
      <c r="AH196" s="47"/>
      <c r="AI196" s="48"/>
      <c r="AK196" s="50"/>
    </row>
    <row r="197" spans="1:37" x14ac:dyDescent="0.25">
      <c r="A197" s="116" t="s">
        <v>184</v>
      </c>
      <c r="B197" s="126"/>
      <c r="C197" s="127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9">
        <v>4.41</v>
      </c>
      <c r="AH197" s="47"/>
      <c r="AI197" s="48"/>
      <c r="AK197" s="50"/>
    </row>
    <row r="198" spans="1:37" x14ac:dyDescent="0.25">
      <c r="A198" s="116" t="s">
        <v>185</v>
      </c>
      <c r="B198" s="126"/>
      <c r="C198" s="127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9">
        <v>4.4000000000000004</v>
      </c>
      <c r="AH198" s="47"/>
      <c r="AI198" s="48"/>
      <c r="AK198" s="50"/>
    </row>
    <row r="199" spans="1:37" x14ac:dyDescent="0.25">
      <c r="A199" s="116" t="s">
        <v>186</v>
      </c>
      <c r="B199" s="126"/>
      <c r="C199" s="127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9">
        <v>4.3600000000000003</v>
      </c>
      <c r="AH199" s="47"/>
      <c r="AI199" s="48"/>
      <c r="AK199" s="50"/>
    </row>
    <row r="200" spans="1:37" x14ac:dyDescent="0.25">
      <c r="A200" s="116" t="s">
        <v>187</v>
      </c>
      <c r="B200" s="126"/>
      <c r="C200" s="127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9">
        <v>4.2</v>
      </c>
      <c r="AH200" s="47"/>
      <c r="AI200" s="48"/>
      <c r="AK200" s="50"/>
    </row>
    <row r="201" spans="1:37" x14ac:dyDescent="0.25">
      <c r="A201" s="116" t="s">
        <v>188</v>
      </c>
      <c r="B201" s="126"/>
      <c r="C201" s="127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9">
        <v>4</v>
      </c>
      <c r="AH201" s="47"/>
      <c r="AI201" s="48"/>
      <c r="AK201" s="50"/>
    </row>
    <row r="202" spans="1:37" x14ac:dyDescent="0.25">
      <c r="A202" s="116" t="s">
        <v>189</v>
      </c>
      <c r="B202" s="126"/>
      <c r="C202" s="127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9">
        <v>4</v>
      </c>
      <c r="AH202" s="47"/>
      <c r="AI202" s="48"/>
      <c r="AK202" s="50"/>
    </row>
    <row r="203" spans="1:37" x14ac:dyDescent="0.25">
      <c r="A203" s="116" t="s">
        <v>190</v>
      </c>
      <c r="B203" s="126"/>
      <c r="C203" s="127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9">
        <v>4</v>
      </c>
      <c r="AH203" s="47"/>
      <c r="AI203" s="48"/>
      <c r="AK203" s="50"/>
    </row>
    <row r="204" spans="1:37" x14ac:dyDescent="0.25">
      <c r="A204" s="116" t="s">
        <v>191</v>
      </c>
      <c r="B204" s="126"/>
      <c r="C204" s="127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9">
        <v>4</v>
      </c>
      <c r="AH204" s="47"/>
      <c r="AI204" s="48"/>
      <c r="AK204" s="50"/>
    </row>
    <row r="205" spans="1:37" x14ac:dyDescent="0.25">
      <c r="A205" s="116" t="s">
        <v>192</v>
      </c>
      <c r="B205" s="126"/>
      <c r="C205" s="127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9">
        <v>4</v>
      </c>
      <c r="AH205" s="47"/>
      <c r="AI205" s="48"/>
      <c r="AK205" s="50"/>
    </row>
    <row r="206" spans="1:37" x14ac:dyDescent="0.25">
      <c r="A206" s="116" t="s">
        <v>193</v>
      </c>
      <c r="B206" s="126"/>
      <c r="C206" s="127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9">
        <v>4</v>
      </c>
      <c r="AH206" s="47"/>
      <c r="AI206" s="48"/>
      <c r="AK206" s="50"/>
    </row>
    <row r="207" spans="1:37" x14ac:dyDescent="0.25">
      <c r="A207" s="116" t="s">
        <v>194</v>
      </c>
      <c r="B207" s="126"/>
      <c r="C207" s="127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9">
        <v>4</v>
      </c>
      <c r="AH207" s="47"/>
      <c r="AI207" s="48"/>
      <c r="AK207" s="50"/>
    </row>
    <row r="208" spans="1:37" x14ac:dyDescent="0.25">
      <c r="A208" s="116" t="s">
        <v>195</v>
      </c>
      <c r="B208" s="126"/>
      <c r="C208" s="127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9">
        <v>4</v>
      </c>
      <c r="AH208" s="47"/>
      <c r="AI208" s="48"/>
      <c r="AK208" s="50"/>
    </row>
    <row r="209" spans="1:37" x14ac:dyDescent="0.25">
      <c r="A209" s="116" t="s">
        <v>196</v>
      </c>
      <c r="B209" s="126"/>
      <c r="C209" s="127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9">
        <v>3.75</v>
      </c>
      <c r="AH209" s="47"/>
      <c r="AI209" s="48"/>
      <c r="AK209" s="50"/>
    </row>
    <row r="210" spans="1:37" x14ac:dyDescent="0.25">
      <c r="A210" s="116" t="s">
        <v>197</v>
      </c>
      <c r="B210" s="126"/>
      <c r="C210" s="127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9">
        <v>3.52</v>
      </c>
      <c r="AH210" s="47"/>
      <c r="AI210" s="48"/>
      <c r="AK210" s="50"/>
    </row>
    <row r="211" spans="1:37" x14ac:dyDescent="0.25">
      <c r="A211" s="116" t="s">
        <v>198</v>
      </c>
      <c r="B211" s="126"/>
      <c r="C211" s="127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9">
        <v>3.33</v>
      </c>
      <c r="AH211" s="47"/>
      <c r="AI211" s="48"/>
      <c r="AK211" s="50"/>
    </row>
    <row r="212" spans="1:37" x14ac:dyDescent="0.25">
      <c r="A212" s="116" t="s">
        <v>199</v>
      </c>
      <c r="B212" s="126"/>
      <c r="C212" s="127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9">
        <v>3.2</v>
      </c>
      <c r="AH212" s="47"/>
      <c r="AI212" s="48"/>
      <c r="AK212" s="50"/>
    </row>
    <row r="213" spans="1:37" x14ac:dyDescent="0.25">
      <c r="A213" s="116" t="s">
        <v>200</v>
      </c>
      <c r="B213" s="126"/>
      <c r="C213" s="127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9">
        <v>3</v>
      </c>
      <c r="AH213" s="47"/>
      <c r="AI213" s="48"/>
      <c r="AK213" s="50"/>
    </row>
    <row r="214" spans="1:37" x14ac:dyDescent="0.25">
      <c r="A214" s="116" t="s">
        <v>201</v>
      </c>
      <c r="B214" s="126"/>
      <c r="C214" s="127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9">
        <v>3</v>
      </c>
      <c r="AH214" s="47"/>
      <c r="AI214" s="48"/>
      <c r="AK214" s="50"/>
    </row>
    <row r="215" spans="1:37" x14ac:dyDescent="0.25">
      <c r="A215" s="116" t="s">
        <v>202</v>
      </c>
      <c r="B215" s="126"/>
      <c r="C215" s="127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9">
        <v>3</v>
      </c>
      <c r="AH215" s="47"/>
      <c r="AI215" s="48"/>
      <c r="AK215" s="50"/>
    </row>
    <row r="216" spans="1:37" x14ac:dyDescent="0.25">
      <c r="A216" s="116" t="s">
        <v>203</v>
      </c>
      <c r="B216" s="126"/>
      <c r="C216" s="127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9">
        <v>3</v>
      </c>
      <c r="AH216" s="47"/>
      <c r="AI216" s="48"/>
      <c r="AK216" s="50"/>
    </row>
    <row r="217" spans="1:37" x14ac:dyDescent="0.25">
      <c r="A217" s="116" t="s">
        <v>204</v>
      </c>
      <c r="B217" s="126"/>
      <c r="C217" s="127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9">
        <v>3</v>
      </c>
      <c r="AH217" s="47"/>
      <c r="AI217" s="48"/>
      <c r="AK217" s="50"/>
    </row>
    <row r="218" spans="1:37" x14ac:dyDescent="0.25">
      <c r="A218" s="116" t="s">
        <v>205</v>
      </c>
      <c r="B218" s="126"/>
      <c r="C218" s="127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9">
        <v>3</v>
      </c>
      <c r="AH218" s="47"/>
      <c r="AI218" s="48"/>
      <c r="AK218" s="50"/>
    </row>
    <row r="219" spans="1:37" x14ac:dyDescent="0.25">
      <c r="A219" s="116" t="s">
        <v>206</v>
      </c>
      <c r="B219" s="126"/>
      <c r="C219" s="127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9">
        <v>3</v>
      </c>
      <c r="AH219" s="47"/>
      <c r="AI219" s="48"/>
      <c r="AK219" s="50"/>
    </row>
    <row r="220" spans="1:37" x14ac:dyDescent="0.25">
      <c r="A220" s="116" t="s">
        <v>207</v>
      </c>
      <c r="B220" s="126"/>
      <c r="C220" s="127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9">
        <v>3</v>
      </c>
      <c r="AH220" s="47"/>
      <c r="AI220" s="48"/>
      <c r="AK220" s="50"/>
    </row>
    <row r="221" spans="1:37" x14ac:dyDescent="0.25">
      <c r="A221" s="116" t="s">
        <v>208</v>
      </c>
      <c r="B221" s="126"/>
      <c r="C221" s="127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9">
        <v>2.83</v>
      </c>
      <c r="AH221" s="47"/>
      <c r="AI221" s="48"/>
      <c r="AK221" s="50"/>
    </row>
    <row r="222" spans="1:37" x14ac:dyDescent="0.25">
      <c r="A222" s="116" t="s">
        <v>209</v>
      </c>
      <c r="B222" s="126"/>
      <c r="C222" s="127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9">
        <v>2.5</v>
      </c>
      <c r="AH222" s="47"/>
      <c r="AI222" s="48"/>
      <c r="AK222" s="50"/>
    </row>
    <row r="223" spans="1:37" x14ac:dyDescent="0.25">
      <c r="A223" s="116" t="s">
        <v>210</v>
      </c>
      <c r="B223" s="126"/>
      <c r="C223" s="127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9">
        <v>2.5</v>
      </c>
      <c r="AH223" s="47"/>
      <c r="AI223" s="48"/>
      <c r="AK223" s="50"/>
    </row>
    <row r="224" spans="1:37" x14ac:dyDescent="0.25">
      <c r="A224" s="116" t="s">
        <v>211</v>
      </c>
      <c r="B224" s="126"/>
      <c r="C224" s="127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9">
        <v>2.4</v>
      </c>
      <c r="AH224" s="47"/>
      <c r="AI224" s="48"/>
      <c r="AK224" s="50"/>
    </row>
    <row r="225" spans="1:37" x14ac:dyDescent="0.25">
      <c r="A225" s="116" t="s">
        <v>212</v>
      </c>
      <c r="B225" s="126"/>
      <c r="C225" s="127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9">
        <v>2.4</v>
      </c>
      <c r="AH225" s="47"/>
      <c r="AI225" s="48"/>
      <c r="AK225" s="50"/>
    </row>
    <row r="226" spans="1:37" x14ac:dyDescent="0.25">
      <c r="A226" s="116" t="s">
        <v>213</v>
      </c>
      <c r="B226" s="126"/>
      <c r="C226" s="127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9">
        <v>2.2000000000000002</v>
      </c>
      <c r="AH226" s="47"/>
      <c r="AI226" s="48"/>
      <c r="AK226" s="50"/>
    </row>
    <row r="227" spans="1:37" x14ac:dyDescent="0.25">
      <c r="A227" s="116" t="s">
        <v>214</v>
      </c>
      <c r="B227" s="126"/>
      <c r="C227" s="127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9">
        <v>2</v>
      </c>
      <c r="AH227" s="47"/>
      <c r="AI227" s="48"/>
      <c r="AK227" s="50"/>
    </row>
    <row r="228" spans="1:37" x14ac:dyDescent="0.25">
      <c r="A228" s="116" t="s">
        <v>215</v>
      </c>
      <c r="B228" s="126"/>
      <c r="C228" s="127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9">
        <v>2</v>
      </c>
      <c r="AH228" s="47"/>
      <c r="AI228" s="48"/>
      <c r="AK228" s="50"/>
    </row>
    <row r="229" spans="1:37" x14ac:dyDescent="0.25">
      <c r="A229" s="116" t="s">
        <v>216</v>
      </c>
      <c r="B229" s="126"/>
      <c r="C229" s="127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9">
        <v>2</v>
      </c>
      <c r="AH229" s="47"/>
      <c r="AI229" s="48"/>
      <c r="AK229" s="50"/>
    </row>
    <row r="230" spans="1:37" x14ac:dyDescent="0.25">
      <c r="A230" s="116" t="s">
        <v>217</v>
      </c>
      <c r="B230" s="126"/>
      <c r="C230" s="127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9">
        <v>1.8</v>
      </c>
      <c r="AH230" s="47"/>
      <c r="AI230" s="48"/>
      <c r="AK230" s="50"/>
    </row>
    <row r="231" spans="1:37" x14ac:dyDescent="0.25">
      <c r="A231" s="116" t="s">
        <v>218</v>
      </c>
      <c r="B231" s="126"/>
      <c r="C231" s="127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9">
        <v>1.8</v>
      </c>
      <c r="AH231" s="47"/>
      <c r="AI231" s="48"/>
      <c r="AK231" s="50"/>
    </row>
    <row r="232" spans="1:37" x14ac:dyDescent="0.25">
      <c r="A232" s="116" t="s">
        <v>219</v>
      </c>
      <c r="B232" s="126"/>
      <c r="C232" s="127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9">
        <v>1.65</v>
      </c>
      <c r="AH232" s="47"/>
      <c r="AI232" s="48"/>
      <c r="AK232" s="50"/>
    </row>
    <row r="233" spans="1:37" x14ac:dyDescent="0.25">
      <c r="A233" s="116" t="s">
        <v>220</v>
      </c>
      <c r="B233" s="126"/>
      <c r="C233" s="127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9">
        <v>1.5</v>
      </c>
      <c r="AH233" s="47"/>
      <c r="AI233" s="48"/>
      <c r="AK233" s="50"/>
    </row>
    <row r="234" spans="1:37" x14ac:dyDescent="0.25">
      <c r="A234" s="116" t="s">
        <v>221</v>
      </c>
      <c r="B234" s="126"/>
      <c r="C234" s="127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9">
        <v>0.998</v>
      </c>
      <c r="AH234" s="47"/>
      <c r="AI234" s="48"/>
      <c r="AK234" s="50"/>
    </row>
    <row r="235" spans="1:37" x14ac:dyDescent="0.25">
      <c r="A235" s="116" t="s">
        <v>222</v>
      </c>
      <c r="B235" s="126"/>
      <c r="C235" s="127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9">
        <v>0.997</v>
      </c>
      <c r="AH235" s="47"/>
      <c r="AI235" s="48"/>
      <c r="AK235" s="50"/>
    </row>
    <row r="236" spans="1:37" x14ac:dyDescent="0.25">
      <c r="A236" s="116" t="s">
        <v>223</v>
      </c>
      <c r="B236" s="126"/>
      <c r="C236" s="127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9">
        <v>0.997</v>
      </c>
      <c r="AH236" s="47"/>
      <c r="AI236" s="48"/>
      <c r="AK236" s="50"/>
    </row>
    <row r="237" spans="1:37" x14ac:dyDescent="0.25">
      <c r="A237" s="116" t="s">
        <v>224</v>
      </c>
      <c r="B237" s="126"/>
      <c r="C237" s="127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9">
        <v>0.996</v>
      </c>
      <c r="AH237" s="47"/>
      <c r="AI237" s="48"/>
      <c r="AK237" s="50"/>
    </row>
    <row r="238" spans="1:37" x14ac:dyDescent="0.25">
      <c r="A238" s="116" t="s">
        <v>225</v>
      </c>
      <c r="B238" s="126"/>
      <c r="C238" s="127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9">
        <v>0.996</v>
      </c>
      <c r="AH238" s="47"/>
      <c r="AI238" s="48"/>
      <c r="AK238" s="50"/>
    </row>
    <row r="239" spans="1:37" x14ac:dyDescent="0.25">
      <c r="A239" s="116" t="s">
        <v>226</v>
      </c>
      <c r="B239" s="126"/>
      <c r="C239" s="127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9">
        <v>0.996</v>
      </c>
      <c r="AH239" s="47"/>
      <c r="AI239" s="48"/>
      <c r="AK239" s="50"/>
    </row>
    <row r="240" spans="1:37" x14ac:dyDescent="0.25">
      <c r="A240" s="116" t="s">
        <v>227</v>
      </c>
      <c r="B240" s="126"/>
      <c r="C240" s="127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9">
        <v>0.995</v>
      </c>
      <c r="AH240" s="47"/>
      <c r="AI240" s="48"/>
      <c r="AK240" s="50"/>
    </row>
    <row r="241" spans="1:37" x14ac:dyDescent="0.25">
      <c r="A241" s="116" t="s">
        <v>228</v>
      </c>
      <c r="B241" s="126"/>
      <c r="C241" s="127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9">
        <v>0.99299999999999999</v>
      </c>
      <c r="AH241" s="47"/>
      <c r="AI241" s="48"/>
      <c r="AK241" s="50"/>
    </row>
    <row r="242" spans="1:37" x14ac:dyDescent="0.25">
      <c r="A242" s="116" t="s">
        <v>229</v>
      </c>
      <c r="B242" s="126"/>
      <c r="C242" s="124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9">
        <v>0.99</v>
      </c>
      <c r="AH242" s="47"/>
      <c r="AI242" s="48"/>
      <c r="AK242" s="50"/>
    </row>
    <row r="243" spans="1:37" ht="15.75" thickBot="1" x14ac:dyDescent="0.3">
      <c r="A243" s="116" t="s">
        <v>230</v>
      </c>
      <c r="B243" s="130"/>
      <c r="C243" s="131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29">
        <v>0.97899999999999998</v>
      </c>
      <c r="AH243" s="47"/>
      <c r="AI243" s="48"/>
      <c r="AK243" s="50"/>
    </row>
    <row r="244" spans="1:37" ht="15.75" thickBot="1" x14ac:dyDescent="0.3">
      <c r="A244" s="132" t="s">
        <v>231</v>
      </c>
      <c r="B244" s="133">
        <f t="shared" ref="B244:AG244" si="80">SUM(B139:B243)</f>
        <v>0</v>
      </c>
      <c r="C244" s="134">
        <f t="shared" si="80"/>
        <v>0</v>
      </c>
      <c r="D244" s="134">
        <f t="shared" si="80"/>
        <v>0</v>
      </c>
      <c r="E244" s="134">
        <f t="shared" si="80"/>
        <v>0</v>
      </c>
      <c r="F244" s="134">
        <f t="shared" si="80"/>
        <v>0</v>
      </c>
      <c r="G244" s="134">
        <f t="shared" si="80"/>
        <v>0</v>
      </c>
      <c r="H244" s="134">
        <f t="shared" si="80"/>
        <v>0</v>
      </c>
      <c r="I244" s="134">
        <f t="shared" si="80"/>
        <v>0</v>
      </c>
      <c r="J244" s="134">
        <f t="shared" si="80"/>
        <v>0</v>
      </c>
      <c r="K244" s="134">
        <f t="shared" si="80"/>
        <v>0</v>
      </c>
      <c r="L244" s="134">
        <f t="shared" si="80"/>
        <v>0</v>
      </c>
      <c r="M244" s="134">
        <f t="shared" si="80"/>
        <v>0</v>
      </c>
      <c r="N244" s="134">
        <f t="shared" si="80"/>
        <v>0</v>
      </c>
      <c r="O244" s="134">
        <f t="shared" si="80"/>
        <v>0</v>
      </c>
      <c r="P244" s="134">
        <f t="shared" si="80"/>
        <v>0</v>
      </c>
      <c r="Q244" s="134">
        <f t="shared" si="80"/>
        <v>0</v>
      </c>
      <c r="R244" s="134">
        <f t="shared" si="80"/>
        <v>0</v>
      </c>
      <c r="S244" s="134">
        <f t="shared" si="80"/>
        <v>0</v>
      </c>
      <c r="T244" s="134">
        <f t="shared" si="80"/>
        <v>0</v>
      </c>
      <c r="U244" s="134">
        <f t="shared" si="80"/>
        <v>0</v>
      </c>
      <c r="V244" s="134">
        <f t="shared" si="80"/>
        <v>0</v>
      </c>
      <c r="W244" s="134">
        <f t="shared" si="80"/>
        <v>0</v>
      </c>
      <c r="X244" s="134">
        <f t="shared" si="80"/>
        <v>0</v>
      </c>
      <c r="Y244" s="134">
        <f t="shared" si="80"/>
        <v>0</v>
      </c>
      <c r="Z244" s="134">
        <f t="shared" si="80"/>
        <v>0</v>
      </c>
      <c r="AA244" s="134">
        <f t="shared" si="80"/>
        <v>0</v>
      </c>
      <c r="AB244" s="134">
        <f t="shared" si="80"/>
        <v>0</v>
      </c>
      <c r="AC244" s="134">
        <f t="shared" si="80"/>
        <v>0</v>
      </c>
      <c r="AD244" s="134">
        <f t="shared" si="80"/>
        <v>0</v>
      </c>
      <c r="AE244" s="134">
        <f t="shared" si="80"/>
        <v>0</v>
      </c>
      <c r="AF244" s="135">
        <f t="shared" si="80"/>
        <v>0</v>
      </c>
      <c r="AG244" s="136">
        <f t="shared" si="80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19"/>
      <c r="AH245" s="47"/>
      <c r="AI245" s="48"/>
      <c r="AK245" s="50"/>
    </row>
    <row r="246" spans="1:37" x14ac:dyDescent="0.25">
      <c r="A246" s="100" t="s">
        <v>232</v>
      </c>
      <c r="B246" s="138">
        <f t="shared" ref="B246:B251" si="81">AF246</f>
        <v>0.3</v>
      </c>
      <c r="C246" s="138">
        <v>0.3</v>
      </c>
      <c r="D246" s="138">
        <f t="shared" ref="D246:S251" si="82">C246</f>
        <v>0.3</v>
      </c>
      <c r="E246" s="138">
        <f t="shared" si="82"/>
        <v>0.3</v>
      </c>
      <c r="F246" s="138">
        <f t="shared" si="82"/>
        <v>0.3</v>
      </c>
      <c r="G246" s="138">
        <f t="shared" si="82"/>
        <v>0.3</v>
      </c>
      <c r="H246" s="138">
        <f t="shared" si="82"/>
        <v>0.3</v>
      </c>
      <c r="I246" s="138">
        <f t="shared" si="82"/>
        <v>0.3</v>
      </c>
      <c r="J246" s="138">
        <f t="shared" si="82"/>
        <v>0.3</v>
      </c>
      <c r="K246" s="138">
        <f t="shared" si="82"/>
        <v>0.3</v>
      </c>
      <c r="L246" s="138">
        <f t="shared" si="82"/>
        <v>0.3</v>
      </c>
      <c r="M246" s="138">
        <f t="shared" si="82"/>
        <v>0.3</v>
      </c>
      <c r="N246" s="138">
        <f t="shared" si="82"/>
        <v>0.3</v>
      </c>
      <c r="O246" s="138">
        <f t="shared" si="82"/>
        <v>0.3</v>
      </c>
      <c r="P246" s="138">
        <f t="shared" si="82"/>
        <v>0.3</v>
      </c>
      <c r="Q246" s="138">
        <f t="shared" si="82"/>
        <v>0.3</v>
      </c>
      <c r="R246" s="138">
        <f t="shared" si="82"/>
        <v>0.3</v>
      </c>
      <c r="S246" s="138">
        <f t="shared" si="82"/>
        <v>0.3</v>
      </c>
      <c r="T246" s="138">
        <f t="shared" ref="T246:AF251" si="83">S246</f>
        <v>0.3</v>
      </c>
      <c r="U246" s="138">
        <f t="shared" si="83"/>
        <v>0.3</v>
      </c>
      <c r="V246" s="138">
        <f t="shared" si="83"/>
        <v>0.3</v>
      </c>
      <c r="W246" s="138">
        <f t="shared" si="83"/>
        <v>0.3</v>
      </c>
      <c r="X246" s="138">
        <f t="shared" si="83"/>
        <v>0.3</v>
      </c>
      <c r="Y246" s="138">
        <f t="shared" si="83"/>
        <v>0.3</v>
      </c>
      <c r="Z246" s="138">
        <f t="shared" si="83"/>
        <v>0.3</v>
      </c>
      <c r="AA246" s="138">
        <f t="shared" si="83"/>
        <v>0.3</v>
      </c>
      <c r="AB246" s="138">
        <f t="shared" si="83"/>
        <v>0.3</v>
      </c>
      <c r="AC246" s="138">
        <f t="shared" si="83"/>
        <v>0.3</v>
      </c>
      <c r="AD246" s="138">
        <f t="shared" si="83"/>
        <v>0.3</v>
      </c>
      <c r="AE246" s="138">
        <f t="shared" si="83"/>
        <v>0.3</v>
      </c>
      <c r="AF246" s="138">
        <f t="shared" si="83"/>
        <v>0.3</v>
      </c>
      <c r="AG246" s="139">
        <v>2.4</v>
      </c>
      <c r="AH246" s="47"/>
      <c r="AI246" s="48"/>
      <c r="AK246" s="50"/>
    </row>
    <row r="247" spans="1:37" x14ac:dyDescent="0.25">
      <c r="A247" s="103" t="s">
        <v>233</v>
      </c>
      <c r="B247" s="126">
        <f t="shared" si="81"/>
        <v>0.4</v>
      </c>
      <c r="C247" s="126">
        <v>0.4</v>
      </c>
      <c r="D247" s="126">
        <f t="shared" si="82"/>
        <v>0.4</v>
      </c>
      <c r="E247" s="126">
        <f t="shared" si="82"/>
        <v>0.4</v>
      </c>
      <c r="F247" s="126">
        <f t="shared" si="82"/>
        <v>0.4</v>
      </c>
      <c r="G247" s="126">
        <f t="shared" si="82"/>
        <v>0.4</v>
      </c>
      <c r="H247" s="126">
        <f t="shared" si="82"/>
        <v>0.4</v>
      </c>
      <c r="I247" s="126">
        <f t="shared" si="82"/>
        <v>0.4</v>
      </c>
      <c r="J247" s="126">
        <f t="shared" si="82"/>
        <v>0.4</v>
      </c>
      <c r="K247" s="126">
        <f t="shared" si="82"/>
        <v>0.4</v>
      </c>
      <c r="L247" s="126">
        <f t="shared" si="82"/>
        <v>0.4</v>
      </c>
      <c r="M247" s="126">
        <f t="shared" si="82"/>
        <v>0.4</v>
      </c>
      <c r="N247" s="126">
        <f t="shared" si="82"/>
        <v>0.4</v>
      </c>
      <c r="O247" s="126">
        <f t="shared" si="82"/>
        <v>0.4</v>
      </c>
      <c r="P247" s="126">
        <f t="shared" si="82"/>
        <v>0.4</v>
      </c>
      <c r="Q247" s="126">
        <f t="shared" si="82"/>
        <v>0.4</v>
      </c>
      <c r="R247" s="126">
        <f t="shared" si="82"/>
        <v>0.4</v>
      </c>
      <c r="S247" s="126">
        <f t="shared" si="82"/>
        <v>0.4</v>
      </c>
      <c r="T247" s="126">
        <f t="shared" si="83"/>
        <v>0.4</v>
      </c>
      <c r="U247" s="126">
        <f t="shared" si="83"/>
        <v>0.4</v>
      </c>
      <c r="V247" s="126">
        <f t="shared" si="83"/>
        <v>0.4</v>
      </c>
      <c r="W247" s="126">
        <f t="shared" si="83"/>
        <v>0.4</v>
      </c>
      <c r="X247" s="126">
        <f t="shared" si="83"/>
        <v>0.4</v>
      </c>
      <c r="Y247" s="126">
        <f t="shared" si="83"/>
        <v>0.4</v>
      </c>
      <c r="Z247" s="126">
        <f t="shared" si="83"/>
        <v>0.4</v>
      </c>
      <c r="AA247" s="126">
        <f t="shared" si="83"/>
        <v>0.4</v>
      </c>
      <c r="AB247" s="126">
        <f t="shared" si="83"/>
        <v>0.4</v>
      </c>
      <c r="AC247" s="126">
        <f t="shared" si="83"/>
        <v>0.4</v>
      </c>
      <c r="AD247" s="126">
        <f t="shared" si="83"/>
        <v>0.4</v>
      </c>
      <c r="AE247" s="126">
        <f t="shared" si="83"/>
        <v>0.4</v>
      </c>
      <c r="AF247" s="126">
        <f t="shared" si="83"/>
        <v>0.4</v>
      </c>
      <c r="AG247" s="140">
        <v>2</v>
      </c>
      <c r="AH247" s="47"/>
      <c r="AI247" s="48"/>
      <c r="AK247" s="50"/>
    </row>
    <row r="248" spans="1:37" x14ac:dyDescent="0.25">
      <c r="A248" s="103" t="s">
        <v>234</v>
      </c>
      <c r="B248" s="126">
        <f t="shared" si="81"/>
        <v>1.5</v>
      </c>
      <c r="C248" s="126">
        <v>1.5</v>
      </c>
      <c r="D248" s="126">
        <f t="shared" si="82"/>
        <v>1.5</v>
      </c>
      <c r="E248" s="126">
        <f t="shared" si="82"/>
        <v>1.5</v>
      </c>
      <c r="F248" s="126">
        <f t="shared" si="82"/>
        <v>1.5</v>
      </c>
      <c r="G248" s="126">
        <f t="shared" si="82"/>
        <v>1.5</v>
      </c>
      <c r="H248" s="126">
        <f t="shared" si="82"/>
        <v>1.5</v>
      </c>
      <c r="I248" s="126">
        <f t="shared" si="82"/>
        <v>1.5</v>
      </c>
      <c r="J248" s="126">
        <f t="shared" si="82"/>
        <v>1.5</v>
      </c>
      <c r="K248" s="126">
        <f t="shared" si="82"/>
        <v>1.5</v>
      </c>
      <c r="L248" s="126">
        <f t="shared" si="82"/>
        <v>1.5</v>
      </c>
      <c r="M248" s="126">
        <f t="shared" si="82"/>
        <v>1.5</v>
      </c>
      <c r="N248" s="126">
        <f t="shared" si="82"/>
        <v>1.5</v>
      </c>
      <c r="O248" s="126">
        <f t="shared" si="82"/>
        <v>1.5</v>
      </c>
      <c r="P248" s="126">
        <f t="shared" si="82"/>
        <v>1.5</v>
      </c>
      <c r="Q248" s="126">
        <f t="shared" si="82"/>
        <v>1.5</v>
      </c>
      <c r="R248" s="126">
        <f t="shared" si="82"/>
        <v>1.5</v>
      </c>
      <c r="S248" s="126">
        <f t="shared" si="82"/>
        <v>1.5</v>
      </c>
      <c r="T248" s="126">
        <f t="shared" si="83"/>
        <v>1.5</v>
      </c>
      <c r="U248" s="126">
        <f t="shared" si="83"/>
        <v>1.5</v>
      </c>
      <c r="V248" s="126">
        <f t="shared" si="83"/>
        <v>1.5</v>
      </c>
      <c r="W248" s="126">
        <f t="shared" si="83"/>
        <v>1.5</v>
      </c>
      <c r="X248" s="126">
        <f t="shared" si="83"/>
        <v>1.5</v>
      </c>
      <c r="Y248" s="126">
        <f t="shared" si="83"/>
        <v>1.5</v>
      </c>
      <c r="Z248" s="126">
        <f t="shared" si="83"/>
        <v>1.5</v>
      </c>
      <c r="AA248" s="126">
        <f t="shared" si="83"/>
        <v>1.5</v>
      </c>
      <c r="AB248" s="126">
        <f t="shared" si="83"/>
        <v>1.5</v>
      </c>
      <c r="AC248" s="126">
        <f t="shared" si="83"/>
        <v>1.5</v>
      </c>
      <c r="AD248" s="126">
        <f t="shared" si="83"/>
        <v>1.5</v>
      </c>
      <c r="AE248" s="126">
        <f t="shared" si="83"/>
        <v>1.5</v>
      </c>
      <c r="AF248" s="126">
        <f t="shared" si="83"/>
        <v>1.5</v>
      </c>
      <c r="AG248" s="140">
        <v>1.5</v>
      </c>
      <c r="AH248" s="47"/>
      <c r="AI248" s="48"/>
      <c r="AK248" s="50"/>
    </row>
    <row r="249" spans="1:37" x14ac:dyDescent="0.25">
      <c r="A249" s="103" t="s">
        <v>235</v>
      </c>
      <c r="B249" s="126">
        <f t="shared" si="81"/>
        <v>0.3</v>
      </c>
      <c r="C249" s="126">
        <v>0.3</v>
      </c>
      <c r="D249" s="126">
        <f t="shared" si="82"/>
        <v>0.3</v>
      </c>
      <c r="E249" s="126">
        <f t="shared" si="82"/>
        <v>0.3</v>
      </c>
      <c r="F249" s="126">
        <f t="shared" si="82"/>
        <v>0.3</v>
      </c>
      <c r="G249" s="126">
        <f t="shared" si="82"/>
        <v>0.3</v>
      </c>
      <c r="H249" s="126">
        <f t="shared" si="82"/>
        <v>0.3</v>
      </c>
      <c r="I249" s="126">
        <f t="shared" si="82"/>
        <v>0.3</v>
      </c>
      <c r="J249" s="126">
        <f t="shared" si="82"/>
        <v>0.3</v>
      </c>
      <c r="K249" s="126">
        <f t="shared" si="82"/>
        <v>0.3</v>
      </c>
      <c r="L249" s="126">
        <f t="shared" si="82"/>
        <v>0.3</v>
      </c>
      <c r="M249" s="126">
        <f t="shared" si="82"/>
        <v>0.3</v>
      </c>
      <c r="N249" s="126">
        <f t="shared" si="82"/>
        <v>0.3</v>
      </c>
      <c r="O249" s="126">
        <f t="shared" si="82"/>
        <v>0.3</v>
      </c>
      <c r="P249" s="126">
        <f t="shared" si="82"/>
        <v>0.3</v>
      </c>
      <c r="Q249" s="126">
        <f t="shared" si="82"/>
        <v>0.3</v>
      </c>
      <c r="R249" s="126">
        <f t="shared" si="82"/>
        <v>0.3</v>
      </c>
      <c r="S249" s="126">
        <f t="shared" si="82"/>
        <v>0.3</v>
      </c>
      <c r="T249" s="126">
        <f t="shared" si="83"/>
        <v>0.3</v>
      </c>
      <c r="U249" s="126">
        <f t="shared" si="83"/>
        <v>0.3</v>
      </c>
      <c r="V249" s="126">
        <f t="shared" si="83"/>
        <v>0.3</v>
      </c>
      <c r="W249" s="126">
        <f t="shared" si="83"/>
        <v>0.3</v>
      </c>
      <c r="X249" s="126">
        <f t="shared" si="83"/>
        <v>0.3</v>
      </c>
      <c r="Y249" s="126">
        <f t="shared" si="83"/>
        <v>0.3</v>
      </c>
      <c r="Z249" s="126">
        <f t="shared" si="83"/>
        <v>0.3</v>
      </c>
      <c r="AA249" s="126">
        <f t="shared" si="83"/>
        <v>0.3</v>
      </c>
      <c r="AB249" s="126">
        <f t="shared" si="83"/>
        <v>0.3</v>
      </c>
      <c r="AC249" s="126">
        <f t="shared" si="83"/>
        <v>0.3</v>
      </c>
      <c r="AD249" s="126">
        <f t="shared" si="83"/>
        <v>0.3</v>
      </c>
      <c r="AE249" s="126">
        <f t="shared" si="83"/>
        <v>0.3</v>
      </c>
      <c r="AF249" s="126">
        <f t="shared" si="83"/>
        <v>0.3</v>
      </c>
      <c r="AG249" s="140">
        <v>1</v>
      </c>
      <c r="AH249" s="47"/>
      <c r="AI249" s="48"/>
      <c r="AK249" s="50"/>
    </row>
    <row r="250" spans="1:37" x14ac:dyDescent="0.25">
      <c r="A250" s="103" t="s">
        <v>236</v>
      </c>
      <c r="B250" s="126">
        <f t="shared" si="81"/>
        <v>0.4</v>
      </c>
      <c r="C250" s="126">
        <v>0.4</v>
      </c>
      <c r="D250" s="126">
        <f t="shared" si="82"/>
        <v>0.4</v>
      </c>
      <c r="E250" s="126">
        <f t="shared" si="82"/>
        <v>0.4</v>
      </c>
      <c r="F250" s="126">
        <f t="shared" si="82"/>
        <v>0.4</v>
      </c>
      <c r="G250" s="126">
        <f t="shared" si="82"/>
        <v>0.4</v>
      </c>
      <c r="H250" s="126">
        <f t="shared" si="82"/>
        <v>0.4</v>
      </c>
      <c r="I250" s="126">
        <f t="shared" si="82"/>
        <v>0.4</v>
      </c>
      <c r="J250" s="126">
        <f t="shared" si="82"/>
        <v>0.4</v>
      </c>
      <c r="K250" s="126">
        <f t="shared" si="82"/>
        <v>0.4</v>
      </c>
      <c r="L250" s="126">
        <f t="shared" si="82"/>
        <v>0.4</v>
      </c>
      <c r="M250" s="126">
        <f t="shared" si="82"/>
        <v>0.4</v>
      </c>
      <c r="N250" s="126">
        <f t="shared" si="82"/>
        <v>0.4</v>
      </c>
      <c r="O250" s="126">
        <f t="shared" si="82"/>
        <v>0.4</v>
      </c>
      <c r="P250" s="126">
        <f t="shared" si="82"/>
        <v>0.4</v>
      </c>
      <c r="Q250" s="126">
        <f t="shared" si="82"/>
        <v>0.4</v>
      </c>
      <c r="R250" s="126">
        <f t="shared" si="82"/>
        <v>0.4</v>
      </c>
      <c r="S250" s="126">
        <f t="shared" si="82"/>
        <v>0.4</v>
      </c>
      <c r="T250" s="126">
        <f t="shared" si="83"/>
        <v>0.4</v>
      </c>
      <c r="U250" s="126">
        <f t="shared" si="83"/>
        <v>0.4</v>
      </c>
      <c r="V250" s="126">
        <f t="shared" si="83"/>
        <v>0.4</v>
      </c>
      <c r="W250" s="126">
        <f t="shared" si="83"/>
        <v>0.4</v>
      </c>
      <c r="X250" s="126">
        <f t="shared" si="83"/>
        <v>0.4</v>
      </c>
      <c r="Y250" s="126">
        <f t="shared" si="83"/>
        <v>0.4</v>
      </c>
      <c r="Z250" s="126">
        <f t="shared" si="83"/>
        <v>0.4</v>
      </c>
      <c r="AA250" s="126">
        <f t="shared" si="83"/>
        <v>0.4</v>
      </c>
      <c r="AB250" s="126">
        <f t="shared" si="83"/>
        <v>0.4</v>
      </c>
      <c r="AC250" s="126">
        <f t="shared" si="83"/>
        <v>0.4</v>
      </c>
      <c r="AD250" s="126">
        <f t="shared" si="83"/>
        <v>0.4</v>
      </c>
      <c r="AE250" s="126">
        <f t="shared" si="83"/>
        <v>0.4</v>
      </c>
      <c r="AF250" s="126">
        <f t="shared" si="83"/>
        <v>0.4</v>
      </c>
      <c r="AG250" s="140">
        <v>1</v>
      </c>
      <c r="AH250" s="47"/>
      <c r="AI250" s="48"/>
      <c r="AK250" s="50"/>
    </row>
    <row r="251" spans="1:37" ht="15.75" thickBot="1" x14ac:dyDescent="0.3">
      <c r="A251" s="116" t="s">
        <v>237</v>
      </c>
      <c r="B251" s="130">
        <f t="shared" si="81"/>
        <v>0.64</v>
      </c>
      <c r="C251" s="130">
        <v>0.64</v>
      </c>
      <c r="D251" s="130">
        <f t="shared" si="82"/>
        <v>0.64</v>
      </c>
      <c r="E251" s="130">
        <f t="shared" si="82"/>
        <v>0.64</v>
      </c>
      <c r="F251" s="130">
        <f t="shared" si="82"/>
        <v>0.64</v>
      </c>
      <c r="G251" s="130">
        <f t="shared" si="82"/>
        <v>0.64</v>
      </c>
      <c r="H251" s="130">
        <f t="shared" si="82"/>
        <v>0.64</v>
      </c>
      <c r="I251" s="130">
        <f t="shared" si="82"/>
        <v>0.64</v>
      </c>
      <c r="J251" s="130">
        <f t="shared" si="82"/>
        <v>0.64</v>
      </c>
      <c r="K251" s="130">
        <f t="shared" si="82"/>
        <v>0.64</v>
      </c>
      <c r="L251" s="130">
        <f t="shared" si="82"/>
        <v>0.64</v>
      </c>
      <c r="M251" s="130">
        <f t="shared" si="82"/>
        <v>0.64</v>
      </c>
      <c r="N251" s="130">
        <f t="shared" si="82"/>
        <v>0.64</v>
      </c>
      <c r="O251" s="130">
        <f t="shared" si="82"/>
        <v>0.64</v>
      </c>
      <c r="P251" s="130">
        <f t="shared" si="82"/>
        <v>0.64</v>
      </c>
      <c r="Q251" s="130">
        <f t="shared" si="82"/>
        <v>0.64</v>
      </c>
      <c r="R251" s="130">
        <f t="shared" si="82"/>
        <v>0.64</v>
      </c>
      <c r="S251" s="130">
        <f t="shared" si="82"/>
        <v>0.64</v>
      </c>
      <c r="T251" s="130">
        <f t="shared" si="83"/>
        <v>0.64</v>
      </c>
      <c r="U251" s="130">
        <f t="shared" si="83"/>
        <v>0.64</v>
      </c>
      <c r="V251" s="130">
        <f t="shared" si="83"/>
        <v>0.64</v>
      </c>
      <c r="W251" s="130">
        <f t="shared" si="83"/>
        <v>0.64</v>
      </c>
      <c r="X251" s="130">
        <f t="shared" si="83"/>
        <v>0.64</v>
      </c>
      <c r="Y251" s="130">
        <f t="shared" si="83"/>
        <v>0.64</v>
      </c>
      <c r="Z251" s="130">
        <f t="shared" si="83"/>
        <v>0.64</v>
      </c>
      <c r="AA251" s="130">
        <f t="shared" si="83"/>
        <v>0.64</v>
      </c>
      <c r="AB251" s="130">
        <f t="shared" si="83"/>
        <v>0.64</v>
      </c>
      <c r="AC251" s="130">
        <f t="shared" si="83"/>
        <v>0.64</v>
      </c>
      <c r="AD251" s="130">
        <f t="shared" si="83"/>
        <v>0.64</v>
      </c>
      <c r="AE251" s="130">
        <f t="shared" si="83"/>
        <v>0.64</v>
      </c>
      <c r="AF251" s="130">
        <f t="shared" si="83"/>
        <v>0.64</v>
      </c>
      <c r="AG251" s="141">
        <v>0.66</v>
      </c>
      <c r="AH251" s="47"/>
      <c r="AI251" s="48"/>
    </row>
    <row r="252" spans="1:37" ht="15.75" thickBot="1" x14ac:dyDescent="0.3">
      <c r="A252" s="142" t="s">
        <v>75</v>
      </c>
      <c r="B252" s="134">
        <f t="shared" ref="B252:AG252" si="84">SUM(B246:B251)</f>
        <v>3.54</v>
      </c>
      <c r="C252" s="134">
        <f t="shared" si="84"/>
        <v>3.54</v>
      </c>
      <c r="D252" s="134">
        <f t="shared" si="84"/>
        <v>3.54</v>
      </c>
      <c r="E252" s="134">
        <f t="shared" si="84"/>
        <v>3.54</v>
      </c>
      <c r="F252" s="134">
        <f t="shared" si="84"/>
        <v>3.54</v>
      </c>
      <c r="G252" s="134">
        <f t="shared" si="84"/>
        <v>3.54</v>
      </c>
      <c r="H252" s="134">
        <f t="shared" si="84"/>
        <v>3.54</v>
      </c>
      <c r="I252" s="134">
        <f t="shared" si="84"/>
        <v>3.54</v>
      </c>
      <c r="J252" s="134">
        <f t="shared" si="84"/>
        <v>3.54</v>
      </c>
      <c r="K252" s="134">
        <f t="shared" si="84"/>
        <v>3.54</v>
      </c>
      <c r="L252" s="134">
        <f t="shared" si="84"/>
        <v>3.54</v>
      </c>
      <c r="M252" s="134">
        <f t="shared" si="84"/>
        <v>3.54</v>
      </c>
      <c r="N252" s="134">
        <f t="shared" si="84"/>
        <v>3.54</v>
      </c>
      <c r="O252" s="134">
        <f t="shared" si="84"/>
        <v>3.54</v>
      </c>
      <c r="P252" s="134">
        <f t="shared" si="84"/>
        <v>3.54</v>
      </c>
      <c r="Q252" s="134">
        <f t="shared" si="84"/>
        <v>3.54</v>
      </c>
      <c r="R252" s="134">
        <f t="shared" si="84"/>
        <v>3.54</v>
      </c>
      <c r="S252" s="134">
        <f t="shared" si="84"/>
        <v>3.54</v>
      </c>
      <c r="T252" s="134">
        <f t="shared" si="84"/>
        <v>3.54</v>
      </c>
      <c r="U252" s="134">
        <f t="shared" si="84"/>
        <v>3.54</v>
      </c>
      <c r="V252" s="134">
        <f t="shared" si="84"/>
        <v>3.54</v>
      </c>
      <c r="W252" s="134">
        <f t="shared" si="84"/>
        <v>3.54</v>
      </c>
      <c r="X252" s="134">
        <f t="shared" si="84"/>
        <v>3.54</v>
      </c>
      <c r="Y252" s="134">
        <f t="shared" si="84"/>
        <v>3.54</v>
      </c>
      <c r="Z252" s="134">
        <f t="shared" si="84"/>
        <v>3.54</v>
      </c>
      <c r="AA252" s="134">
        <f t="shared" si="84"/>
        <v>3.54</v>
      </c>
      <c r="AB252" s="134">
        <f t="shared" si="84"/>
        <v>3.54</v>
      </c>
      <c r="AC252" s="134">
        <f t="shared" si="84"/>
        <v>3.54</v>
      </c>
      <c r="AD252" s="134">
        <f t="shared" si="84"/>
        <v>3.54</v>
      </c>
      <c r="AE252" s="134">
        <f t="shared" si="84"/>
        <v>3.54</v>
      </c>
      <c r="AF252" s="134">
        <f t="shared" si="84"/>
        <v>3.54</v>
      </c>
      <c r="AG252" s="143">
        <f t="shared" si="84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37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54" t="s">
        <v>243</v>
      </c>
      <c r="B256" s="155">
        <f>MAX(G99:N99)</f>
        <v>1826.6399999999999</v>
      </c>
      <c r="C256" s="156">
        <f>INDEX(G9:N9,1,MATCH(MAX(G99:N99),G99:N99,0))</f>
        <v>0.3125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50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157" t="str">
        <f ca="1">MID(CELL("filename",C7),FIND("]",CELL("filename",C7))+1,600)</f>
        <v>22</v>
      </c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50" x14ac:dyDescent="0.25">
      <c r="A258" s="257" t="s">
        <v>244</v>
      </c>
      <c r="B258" s="257"/>
      <c r="C258" s="43"/>
      <c r="D258" s="157" t="str">
        <f ca="1">"Pie Chart of Daily Peak Demand(Inclusive of Export) of Nepal ("&amp;A4&amp;" "&amp;B4&amp;")"</f>
        <v>Pie Chart of Daily Peak Demand(Inclusive of Export) of Nepal (Nepali Date: 2080/10/22)</v>
      </c>
      <c r="E258" s="43"/>
      <c r="F258" s="43"/>
      <c r="G258" s="157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157" t="str">
        <f ca="1">"Daily Load Curve(Excluding of Export) of Nepal ("&amp;A4&amp;" "&amp;B4&amp;")"</f>
        <v>Daily Load Curve(Excluding of Export) of Nepal (Nepali Date: 2080/10/22)</v>
      </c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50" ht="12.75" customHeight="1" thickBot="1" x14ac:dyDescent="0.3">
      <c r="A259" s="158" t="s">
        <v>7</v>
      </c>
      <c r="B259" s="159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50" ht="15.75" thickTop="1" x14ac:dyDescent="0.25">
      <c r="A260" s="158" t="s">
        <v>245</v>
      </c>
      <c r="B260" s="15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160" t="s">
        <v>246</v>
      </c>
      <c r="T260" s="161">
        <v>0</v>
      </c>
      <c r="U260" s="162">
        <v>4.1666666666666664E-2</v>
      </c>
      <c r="V260" s="163">
        <v>8.3333333333333301E-2</v>
      </c>
      <c r="W260" s="163">
        <v>0.125</v>
      </c>
      <c r="X260" s="163">
        <v>0.16666666666666699</v>
      </c>
      <c r="Y260" s="163">
        <v>0.20833333333333301</v>
      </c>
      <c r="Z260" s="163">
        <v>0.22916666666666666</v>
      </c>
      <c r="AA260" s="163">
        <v>0.25</v>
      </c>
      <c r="AB260" s="163">
        <v>0.27083333333333331</v>
      </c>
      <c r="AC260" s="163">
        <v>0.29166666666666669</v>
      </c>
      <c r="AD260" s="163">
        <v>0.3125</v>
      </c>
      <c r="AE260" s="164">
        <v>0.33333333333333331</v>
      </c>
      <c r="AF260" s="164">
        <v>0.375</v>
      </c>
      <c r="AG260" s="164">
        <v>0.41666666666666702</v>
      </c>
      <c r="AH260" s="164">
        <v>0.45833333333333298</v>
      </c>
      <c r="AI260" s="164">
        <v>0.5</v>
      </c>
      <c r="AJ260" s="164">
        <v>0.54166666666666696</v>
      </c>
      <c r="AK260" s="164">
        <v>0.58333333333333304</v>
      </c>
      <c r="AL260" s="164">
        <v>0.625</v>
      </c>
      <c r="AM260" s="164">
        <v>0.66666666666666696</v>
      </c>
      <c r="AN260" s="164">
        <v>0.70833333333333304</v>
      </c>
      <c r="AO260" s="164">
        <v>0.72916666666666663</v>
      </c>
      <c r="AP260" s="164">
        <v>0.75</v>
      </c>
      <c r="AQ260" s="164">
        <v>0.77083333333333337</v>
      </c>
      <c r="AR260" s="164">
        <v>0.79166666666666663</v>
      </c>
      <c r="AS260" s="164">
        <v>0.8125</v>
      </c>
      <c r="AT260" s="163">
        <v>0.83333333333333337</v>
      </c>
      <c r="AU260" s="163">
        <v>0.85416666666666663</v>
      </c>
      <c r="AV260" s="163">
        <v>0.875</v>
      </c>
      <c r="AW260" s="163">
        <v>0.91666666666666696</v>
      </c>
      <c r="AX260" s="163">
        <v>0.95833333333333304</v>
      </c>
    </row>
    <row r="261" spans="1:50" x14ac:dyDescent="0.25">
      <c r="A261" s="158" t="s">
        <v>247</v>
      </c>
      <c r="B261" s="15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 t="s">
        <v>248</v>
      </c>
      <c r="T261" s="165">
        <f t="shared" ref="T261:AX261" si="85">B99</f>
        <v>1138.54</v>
      </c>
      <c r="U261" s="165">
        <f t="shared" si="85"/>
        <v>1144.54</v>
      </c>
      <c r="V261" s="165">
        <f t="shared" si="85"/>
        <v>1111.3400000000001</v>
      </c>
      <c r="W261" s="165">
        <f t="shared" si="85"/>
        <v>1102.1399999999999</v>
      </c>
      <c r="X261" s="165">
        <f t="shared" si="85"/>
        <v>1122.94</v>
      </c>
      <c r="Y261" s="165">
        <f t="shared" si="85"/>
        <v>1170.8400000000001</v>
      </c>
      <c r="Z261" s="165">
        <f t="shared" si="85"/>
        <v>1295.44</v>
      </c>
      <c r="AA261" s="165">
        <f t="shared" si="85"/>
        <v>1327.8400000000001</v>
      </c>
      <c r="AB261" s="165">
        <f t="shared" si="85"/>
        <v>1466.1399999999999</v>
      </c>
      <c r="AC261" s="165">
        <f t="shared" si="85"/>
        <v>1746.04</v>
      </c>
      <c r="AD261" s="165">
        <f t="shared" si="85"/>
        <v>1826.6399999999999</v>
      </c>
      <c r="AE261" s="165">
        <f t="shared" si="85"/>
        <v>1822.54</v>
      </c>
      <c r="AF261" s="165">
        <f t="shared" si="85"/>
        <v>1762.24</v>
      </c>
      <c r="AG261" s="165">
        <f t="shared" si="85"/>
        <v>1651.14</v>
      </c>
      <c r="AH261" s="165">
        <f t="shared" si="85"/>
        <v>1617.6399999999999</v>
      </c>
      <c r="AI261" s="165">
        <f t="shared" si="85"/>
        <v>1398.1399999999999</v>
      </c>
      <c r="AJ261" s="165">
        <f t="shared" si="85"/>
        <v>1375.44</v>
      </c>
      <c r="AK261" s="165">
        <f t="shared" si="85"/>
        <v>1457.88</v>
      </c>
      <c r="AL261" s="165">
        <f t="shared" si="85"/>
        <v>1455.14</v>
      </c>
      <c r="AM261" s="165">
        <f t="shared" si="85"/>
        <v>1439.94</v>
      </c>
      <c r="AN261" s="165">
        <f t="shared" si="85"/>
        <v>1323.1399999999999</v>
      </c>
      <c r="AO261" s="165">
        <f t="shared" si="85"/>
        <v>1572.44</v>
      </c>
      <c r="AP261" s="165">
        <f t="shared" si="85"/>
        <v>1760.54</v>
      </c>
      <c r="AQ261" s="165">
        <f t="shared" si="85"/>
        <v>1889.6000000000001</v>
      </c>
      <c r="AR261" s="165">
        <f t="shared" si="85"/>
        <v>1845</v>
      </c>
      <c r="AS261" s="165">
        <f t="shared" si="85"/>
        <v>1778.6399999999999</v>
      </c>
      <c r="AT261" s="165">
        <f t="shared" si="85"/>
        <v>1599.94</v>
      </c>
      <c r="AU261" s="165">
        <f t="shared" si="85"/>
        <v>1531.94</v>
      </c>
      <c r="AV261" s="165">
        <f t="shared" si="85"/>
        <v>1403.94</v>
      </c>
      <c r="AW261" s="165">
        <f t="shared" si="85"/>
        <v>1324.94</v>
      </c>
      <c r="AX261" s="165">
        <f t="shared" si="85"/>
        <v>1230.94</v>
      </c>
    </row>
    <row r="262" spans="1:50" x14ac:dyDescent="0.25">
      <c r="A262" s="158" t="s">
        <v>249</v>
      </c>
      <c r="B262" s="15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50" x14ac:dyDescent="0.25">
      <c r="A263" s="158" t="s">
        <v>250</v>
      </c>
      <c r="B263" s="15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50" x14ac:dyDescent="0.25">
      <c r="A264" s="158" t="s">
        <v>251</v>
      </c>
      <c r="B264" s="15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50" x14ac:dyDescent="0.25">
      <c r="A265" s="158" t="s">
        <v>252</v>
      </c>
      <c r="B265" s="166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50" x14ac:dyDescent="0.25">
      <c r="A266" s="158" t="s">
        <v>253</v>
      </c>
      <c r="B266" s="15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50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50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50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50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50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50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1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1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1:34" x14ac:dyDescent="0.25">
      <c r="A282" s="167" t="s">
        <v>238</v>
      </c>
      <c r="B282" s="168">
        <f t="shared" ref="B282:AE282" si="86">C251</f>
        <v>0.64</v>
      </c>
      <c r="C282" s="168">
        <f t="shared" si="86"/>
        <v>0.64</v>
      </c>
      <c r="D282" s="168">
        <f t="shared" si="86"/>
        <v>0.64</v>
      </c>
      <c r="E282" s="168">
        <f t="shared" si="86"/>
        <v>0.64</v>
      </c>
      <c r="F282" s="168">
        <f t="shared" si="86"/>
        <v>0.64</v>
      </c>
      <c r="G282" s="168">
        <f t="shared" si="86"/>
        <v>0.64</v>
      </c>
      <c r="H282" s="168">
        <f t="shared" si="86"/>
        <v>0.64</v>
      </c>
      <c r="I282" s="168">
        <f t="shared" si="86"/>
        <v>0.64</v>
      </c>
      <c r="J282" s="168">
        <f t="shared" si="86"/>
        <v>0.64</v>
      </c>
      <c r="K282" s="168">
        <f t="shared" si="86"/>
        <v>0.64</v>
      </c>
      <c r="L282" s="168">
        <f t="shared" si="86"/>
        <v>0.64</v>
      </c>
      <c r="M282" s="168">
        <f t="shared" si="86"/>
        <v>0.64</v>
      </c>
      <c r="N282" s="168">
        <f t="shared" si="86"/>
        <v>0.64</v>
      </c>
      <c r="O282" s="168">
        <f t="shared" si="86"/>
        <v>0.64</v>
      </c>
      <c r="P282" s="168">
        <f t="shared" si="86"/>
        <v>0.64</v>
      </c>
      <c r="Q282" s="168">
        <f t="shared" si="86"/>
        <v>0.64</v>
      </c>
      <c r="R282" s="168">
        <f t="shared" si="86"/>
        <v>0.64</v>
      </c>
      <c r="S282" s="168">
        <f t="shared" si="86"/>
        <v>0.64</v>
      </c>
      <c r="T282" s="168">
        <f t="shared" si="86"/>
        <v>0.64</v>
      </c>
      <c r="U282" s="168">
        <f t="shared" si="86"/>
        <v>0.64</v>
      </c>
      <c r="V282" s="168">
        <f t="shared" si="86"/>
        <v>0.64</v>
      </c>
      <c r="W282" s="168">
        <f t="shared" si="86"/>
        <v>0.64</v>
      </c>
      <c r="X282" s="168">
        <f t="shared" si="86"/>
        <v>0.64</v>
      </c>
      <c r="Y282" s="168">
        <f t="shared" si="86"/>
        <v>0.64</v>
      </c>
      <c r="Z282" s="168">
        <f t="shared" si="86"/>
        <v>0.64</v>
      </c>
      <c r="AA282" s="168">
        <f t="shared" si="86"/>
        <v>0.64</v>
      </c>
      <c r="AB282" s="168">
        <f t="shared" si="86"/>
        <v>0.64</v>
      </c>
      <c r="AC282" s="168">
        <f t="shared" si="86"/>
        <v>0.64</v>
      </c>
      <c r="AD282" s="168">
        <f t="shared" si="86"/>
        <v>0.64</v>
      </c>
      <c r="AE282" s="168">
        <f t="shared" si="86"/>
        <v>0.64</v>
      </c>
      <c r="AF282" s="168">
        <f>B251</f>
        <v>0.64</v>
      </c>
      <c r="AG282" s="43"/>
      <c r="AH282" s="43"/>
    </row>
    <row r="283" spans="1:34" x14ac:dyDescent="0.25">
      <c r="A283" s="169" t="e">
        <f>#REF!</f>
        <v>#REF!</v>
      </c>
      <c r="B283" s="169" t="e">
        <f>IF(#REF!&lt;100,"",#REF!-520)</f>
        <v>#REF!</v>
      </c>
      <c r="C283" s="169" t="e">
        <f>IF(#REF!&lt;100,"",#REF!-520)</f>
        <v>#REF!</v>
      </c>
      <c r="D283" s="169" t="e">
        <f>IF(#REF!&lt;100,"",#REF!-520)</f>
        <v>#REF!</v>
      </c>
      <c r="E283" s="169" t="e">
        <f>IF(#REF!&lt;100,"",#REF!-520)</f>
        <v>#REF!</v>
      </c>
      <c r="F283" s="169" t="e">
        <f>IF(#REF!&lt;100,"",#REF!-520)</f>
        <v>#REF!</v>
      </c>
      <c r="G283" s="169" t="e">
        <f>IF(#REF!&lt;100,"",#REF!-520)</f>
        <v>#REF!</v>
      </c>
      <c r="H283" s="169" t="e">
        <f>IF(#REF!&lt;100,"",#REF!-520)</f>
        <v>#REF!</v>
      </c>
      <c r="I283" s="169" t="e">
        <f>IF(#REF!&lt;100,"",#REF!-520)</f>
        <v>#REF!</v>
      </c>
      <c r="J283" s="169" t="e">
        <f>IF(#REF!&lt;100,"",#REF!-520)</f>
        <v>#REF!</v>
      </c>
      <c r="K283" s="169" t="e">
        <f>IF(#REF!&lt;100,"",#REF!-520)</f>
        <v>#REF!</v>
      </c>
      <c r="L283" s="169" t="e">
        <f>IF(#REF!&lt;100,"",#REF!-520)</f>
        <v>#REF!</v>
      </c>
      <c r="M283" s="169" t="e">
        <f>IF(#REF!&lt;100,"",#REF!-520)</f>
        <v>#REF!</v>
      </c>
      <c r="N283" s="169" t="e">
        <f>IF(#REF!&lt;100,"",#REF!-520)</f>
        <v>#REF!</v>
      </c>
      <c r="O283" s="169" t="e">
        <f>IF(#REF!&lt;100,"",#REF!-520)</f>
        <v>#REF!</v>
      </c>
      <c r="P283" s="169" t="e">
        <f>IF(#REF!&lt;100,"",#REF!-520)</f>
        <v>#REF!</v>
      </c>
      <c r="Q283" s="169" t="e">
        <f>IF(#REF!&lt;100,"",#REF!-520)</f>
        <v>#REF!</v>
      </c>
      <c r="R283" s="169" t="e">
        <f>IF(#REF!&lt;100,"",#REF!-520)</f>
        <v>#REF!</v>
      </c>
      <c r="S283" s="169" t="e">
        <f>IF(#REF!&lt;100,"",#REF!-520)</f>
        <v>#REF!</v>
      </c>
      <c r="T283" s="169" t="e">
        <f>IF(#REF!&lt;100,"",#REF!-520)</f>
        <v>#REF!</v>
      </c>
      <c r="U283" s="169" t="e">
        <f>IF(#REF!&lt;100,"",#REF!-520)</f>
        <v>#REF!</v>
      </c>
      <c r="V283" s="169" t="e">
        <f>IF(#REF!&lt;100,"",#REF!-520)</f>
        <v>#REF!</v>
      </c>
      <c r="W283" s="169" t="e">
        <f>IF(#REF!&lt;100,"",#REF!-520)</f>
        <v>#REF!</v>
      </c>
      <c r="X283" s="169" t="e">
        <f>IF(#REF!&lt;100,"",#REF!-520)</f>
        <v>#REF!</v>
      </c>
      <c r="Y283" s="169" t="e">
        <f>IF(#REF!&lt;100,"",#REF!-520)</f>
        <v>#REF!</v>
      </c>
      <c r="Z283" s="169" t="e">
        <f>IF(#REF!&lt;100,"",#REF!-520)</f>
        <v>#REF!</v>
      </c>
      <c r="AA283" s="169" t="e">
        <f>IF(#REF!&lt;100,"",#REF!-520)</f>
        <v>#REF!</v>
      </c>
      <c r="AB283" s="169" t="e">
        <f>IF(#REF!&lt;100,"",#REF!-520)</f>
        <v>#REF!</v>
      </c>
      <c r="AC283" s="169" t="e">
        <f>IF(#REF!&lt;100,"",#REF!-520)</f>
        <v>#REF!</v>
      </c>
      <c r="AD283" s="169" t="e">
        <f>IF(#REF!&lt;100,"",#REF!-520)</f>
        <v>#REF!</v>
      </c>
      <c r="AE283" s="169" t="e">
        <f>IF(#REF!&lt;100,"",#REF!-520)</f>
        <v>#REF!</v>
      </c>
      <c r="AF283" s="169" t="e">
        <f>IF(#REF!&lt;100,"",#REF!-520)</f>
        <v>#REF!</v>
      </c>
      <c r="AG283" s="43"/>
      <c r="AH283" s="43"/>
    </row>
    <row r="284" spans="1:34" x14ac:dyDescent="0.25">
      <c r="A284" s="169" t="e">
        <f>#REF!</f>
        <v>#REF!</v>
      </c>
      <c r="B284" s="169" t="e">
        <f>IF(#REF!&lt;100,"",#REF!-620)</f>
        <v>#REF!</v>
      </c>
      <c r="C284" s="169" t="e">
        <f>IF(#REF!&lt;100,"",#REF!-620)</f>
        <v>#REF!</v>
      </c>
      <c r="D284" s="169" t="e">
        <f>IF(#REF!&lt;100,"",#REF!-620)</f>
        <v>#REF!</v>
      </c>
      <c r="E284" s="169" t="e">
        <f>IF(#REF!&lt;100,"",#REF!-620)</f>
        <v>#REF!</v>
      </c>
      <c r="F284" s="169" t="e">
        <f>IF(#REF!&lt;100,"",#REF!-620)</f>
        <v>#REF!</v>
      </c>
      <c r="G284" s="169" t="e">
        <f>IF(#REF!&lt;100,"",#REF!-620)</f>
        <v>#REF!</v>
      </c>
      <c r="H284" s="169" t="e">
        <f>IF(#REF!&lt;100,"",#REF!-620)</f>
        <v>#REF!</v>
      </c>
      <c r="I284" s="169" t="e">
        <f>IF(#REF!&lt;100,"",#REF!-620)</f>
        <v>#REF!</v>
      </c>
      <c r="J284" s="169" t="e">
        <f>IF(#REF!&lt;100,"",#REF!-620)</f>
        <v>#REF!</v>
      </c>
      <c r="K284" s="169" t="e">
        <f>IF(#REF!&lt;100,"",#REF!-620)</f>
        <v>#REF!</v>
      </c>
      <c r="L284" s="169" t="e">
        <f>IF(#REF!&lt;100,"",#REF!-620)</f>
        <v>#REF!</v>
      </c>
      <c r="M284" s="169" t="e">
        <f>IF(#REF!&lt;100,"",#REF!-620)</f>
        <v>#REF!</v>
      </c>
      <c r="N284" s="169" t="e">
        <f>IF(#REF!&lt;100,"",#REF!-620)</f>
        <v>#REF!</v>
      </c>
      <c r="O284" s="169" t="e">
        <f>IF(#REF!&lt;100,"",#REF!-620)</f>
        <v>#REF!</v>
      </c>
      <c r="P284" s="169" t="e">
        <f>IF(#REF!&lt;100,"",#REF!-620)</f>
        <v>#REF!</v>
      </c>
      <c r="Q284" s="169" t="e">
        <f>IF(#REF!&lt;100,"",#REF!-620)</f>
        <v>#REF!</v>
      </c>
      <c r="R284" s="169" t="e">
        <f>IF(#REF!&lt;100,"",#REF!-620)</f>
        <v>#REF!</v>
      </c>
      <c r="S284" s="169" t="e">
        <f>IF(#REF!&lt;100,"",#REF!-620)</f>
        <v>#REF!</v>
      </c>
      <c r="T284" s="169" t="e">
        <f>IF(#REF!&lt;100,"",#REF!-620)</f>
        <v>#REF!</v>
      </c>
      <c r="U284" s="169" t="e">
        <f>IF(#REF!&lt;100,"",#REF!-620)</f>
        <v>#REF!</v>
      </c>
      <c r="V284" s="169" t="e">
        <f>IF(#REF!&lt;100,"",#REF!-620)</f>
        <v>#REF!</v>
      </c>
      <c r="W284" s="169" t="e">
        <f>IF(#REF!&lt;100,"",#REF!-620)</f>
        <v>#REF!</v>
      </c>
      <c r="X284" s="169" t="e">
        <f>IF(#REF!&lt;100,"",#REF!-620)</f>
        <v>#REF!</v>
      </c>
      <c r="Y284" s="169" t="e">
        <f>IF(#REF!&lt;100,"",#REF!-620)</f>
        <v>#REF!</v>
      </c>
      <c r="Z284" s="169" t="e">
        <f>IF(#REF!&lt;100,"",#REF!-620)</f>
        <v>#REF!</v>
      </c>
      <c r="AA284" s="169" t="e">
        <f>IF(#REF!&lt;100,"",#REF!-620)</f>
        <v>#REF!</v>
      </c>
      <c r="AB284" s="169" t="e">
        <f>IF(#REF!&lt;100,"",#REF!-620)</f>
        <v>#REF!</v>
      </c>
      <c r="AC284" s="169" t="e">
        <f>IF(#REF!&lt;100,"",#REF!-620)</f>
        <v>#REF!</v>
      </c>
      <c r="AD284" s="169" t="e">
        <f>IF(#REF!&lt;100,"",#REF!-620)</f>
        <v>#REF!</v>
      </c>
      <c r="AE284" s="169" t="e">
        <f>IF(#REF!&lt;100,"",#REF!-620)</f>
        <v>#REF!</v>
      </c>
      <c r="AF284" s="169" t="e">
        <f>IF(#REF!&lt;100,"",#REF!-620)</f>
        <v>#REF!</v>
      </c>
      <c r="AG284" s="43"/>
      <c r="AH284" s="43"/>
    </row>
    <row r="285" spans="1:34" x14ac:dyDescent="0.25">
      <c r="A285" s="169" t="e">
        <f>#REF!</f>
        <v>#REF!</v>
      </c>
      <c r="B285" s="169" t="e">
        <f>IF(#REF!&lt;100,"",#REF!-330)</f>
        <v>#REF!</v>
      </c>
      <c r="C285" s="169" t="e">
        <f>IF(#REF!&lt;100,"",#REF!-330)</f>
        <v>#REF!</v>
      </c>
      <c r="D285" s="169" t="e">
        <f>IF(#REF!&lt;100,"",#REF!-330)</f>
        <v>#REF!</v>
      </c>
      <c r="E285" s="169" t="e">
        <f>IF(#REF!&lt;100,"",#REF!-330)</f>
        <v>#REF!</v>
      </c>
      <c r="F285" s="169" t="e">
        <f>IF(#REF!&lt;100,"",#REF!-330)</f>
        <v>#REF!</v>
      </c>
      <c r="G285" s="169" t="e">
        <f>IF(#REF!&lt;100,"",#REF!-330)</f>
        <v>#REF!</v>
      </c>
      <c r="H285" s="169" t="e">
        <f>IF(#REF!&lt;100,"",#REF!-330)</f>
        <v>#REF!</v>
      </c>
      <c r="I285" s="169" t="e">
        <f>IF(#REF!&lt;100,"",#REF!-330)</f>
        <v>#REF!</v>
      </c>
      <c r="J285" s="169" t="e">
        <f>IF(#REF!&lt;100,"",#REF!-330)</f>
        <v>#REF!</v>
      </c>
      <c r="K285" s="169" t="e">
        <f>IF(#REF!&lt;100,"",#REF!-330)</f>
        <v>#REF!</v>
      </c>
      <c r="L285" s="169" t="e">
        <f>IF(#REF!&lt;100,"",#REF!-330)</f>
        <v>#REF!</v>
      </c>
      <c r="M285" s="169" t="e">
        <f>IF(#REF!&lt;100,"",#REF!-330)</f>
        <v>#REF!</v>
      </c>
      <c r="N285" s="169" t="e">
        <f>IF(#REF!&lt;100,"",#REF!-330)</f>
        <v>#REF!</v>
      </c>
      <c r="O285" s="169" t="e">
        <f>IF(#REF!&lt;100,"",#REF!-330)</f>
        <v>#REF!</v>
      </c>
      <c r="P285" s="169" t="e">
        <f>IF(#REF!&lt;100,"",#REF!-330)</f>
        <v>#REF!</v>
      </c>
      <c r="Q285" s="169" t="e">
        <f>IF(#REF!&lt;100,"",#REF!-330)</f>
        <v>#REF!</v>
      </c>
      <c r="R285" s="169" t="e">
        <f>IF(#REF!&lt;100,"",#REF!-330)</f>
        <v>#REF!</v>
      </c>
      <c r="S285" s="169" t="e">
        <f>IF(#REF!&lt;100,"",#REF!-330)</f>
        <v>#REF!</v>
      </c>
      <c r="T285" s="169" t="e">
        <f>IF(#REF!&lt;100,"",#REF!-330)</f>
        <v>#REF!</v>
      </c>
      <c r="U285" s="169" t="e">
        <f>IF(#REF!&lt;100,"",#REF!-330)</f>
        <v>#REF!</v>
      </c>
      <c r="V285" s="169" t="e">
        <f>IF(#REF!&lt;100,"",#REF!-330)</f>
        <v>#REF!</v>
      </c>
      <c r="W285" s="169" t="e">
        <f>IF(#REF!&lt;100,"",#REF!-330)</f>
        <v>#REF!</v>
      </c>
      <c r="X285" s="169" t="e">
        <f>IF(#REF!&lt;100,"",#REF!-330)</f>
        <v>#REF!</v>
      </c>
      <c r="Y285" s="169" t="e">
        <f>IF(#REF!&lt;100,"",#REF!-330)</f>
        <v>#REF!</v>
      </c>
      <c r="Z285" s="169" t="e">
        <f>IF(#REF!&lt;100,"",#REF!-330)</f>
        <v>#REF!</v>
      </c>
      <c r="AA285" s="169" t="e">
        <f>IF(#REF!&lt;100,"",#REF!-330)</f>
        <v>#REF!</v>
      </c>
      <c r="AB285" s="169" t="e">
        <f>IF(#REF!&lt;100,"",#REF!-330)</f>
        <v>#REF!</v>
      </c>
      <c r="AC285" s="169" t="e">
        <f>IF(#REF!&lt;100,"",#REF!-330)</f>
        <v>#REF!</v>
      </c>
      <c r="AD285" s="169" t="e">
        <f>IF(#REF!&lt;100,"",#REF!-330)</f>
        <v>#REF!</v>
      </c>
      <c r="AE285" s="169" t="e">
        <f>IF(#REF!&lt;100,"",#REF!-330)</f>
        <v>#REF!</v>
      </c>
      <c r="AF285" s="169" t="e">
        <f>IF(#REF!&lt;100,"",#REF!-330)</f>
        <v>#REF!</v>
      </c>
      <c r="AG285" s="43"/>
      <c r="AH285" s="43"/>
    </row>
    <row r="286" spans="1:34" x14ac:dyDescent="0.25">
      <c r="A286" s="169" t="e">
        <f>#REF!</f>
        <v>#REF!</v>
      </c>
      <c r="B286" s="169" t="e">
        <f>IF(#REF!&lt;100,"",#REF!-1500)</f>
        <v>#REF!</v>
      </c>
      <c r="C286" s="169" t="e">
        <f>IF(#REF!&lt;100,"",#REF!-1500)</f>
        <v>#REF!</v>
      </c>
      <c r="D286" s="169" t="e">
        <f>IF(#REF!&lt;100,"",#REF!-1500)</f>
        <v>#REF!</v>
      </c>
      <c r="E286" s="169" t="e">
        <f>IF(#REF!&lt;100,"",#REF!-1500)</f>
        <v>#REF!</v>
      </c>
      <c r="F286" s="169" t="e">
        <f>IF(#REF!&lt;100,"",#REF!-1500)</f>
        <v>#REF!</v>
      </c>
      <c r="G286" s="169" t="e">
        <f>IF(#REF!&lt;100,"",#REF!-1500)</f>
        <v>#REF!</v>
      </c>
      <c r="H286" s="169" t="e">
        <f>IF(#REF!&lt;100,"",#REF!-1500)</f>
        <v>#REF!</v>
      </c>
      <c r="I286" s="169" t="e">
        <f>IF(#REF!&lt;100,"",#REF!-1500)</f>
        <v>#REF!</v>
      </c>
      <c r="J286" s="169" t="e">
        <f>IF(#REF!&lt;100,"",#REF!-1500)</f>
        <v>#REF!</v>
      </c>
      <c r="K286" s="169" t="e">
        <f>IF(#REF!&lt;100,"",#REF!-1500)</f>
        <v>#REF!</v>
      </c>
      <c r="L286" s="169" t="e">
        <f>IF(#REF!&lt;100,"",#REF!-1500)</f>
        <v>#REF!</v>
      </c>
      <c r="M286" s="169" t="e">
        <f>IF(#REF!&lt;100,"",#REF!-1500)</f>
        <v>#REF!</v>
      </c>
      <c r="N286" s="169" t="e">
        <f>IF(#REF!&lt;100,"",#REF!-1500)</f>
        <v>#REF!</v>
      </c>
      <c r="O286" s="169" t="e">
        <f>IF(#REF!&lt;100,"",#REF!-1500)</f>
        <v>#REF!</v>
      </c>
      <c r="P286" s="169" t="e">
        <f>IF(#REF!&lt;100,"",#REF!-1500)</f>
        <v>#REF!</v>
      </c>
      <c r="Q286" s="169" t="e">
        <f>IF(#REF!&lt;100,"",#REF!-1500)</f>
        <v>#REF!</v>
      </c>
      <c r="R286" s="169" t="e">
        <f>IF(#REF!&lt;100,"",#REF!-1500)</f>
        <v>#REF!</v>
      </c>
      <c r="S286" s="169" t="e">
        <f>IF(#REF!&lt;100,"",#REF!-1500)</f>
        <v>#REF!</v>
      </c>
      <c r="T286" s="169" t="e">
        <f>IF(#REF!&lt;100,"",#REF!-1500)</f>
        <v>#REF!</v>
      </c>
      <c r="U286" s="169" t="e">
        <f>IF(#REF!&lt;100,"",#REF!-1500)</f>
        <v>#REF!</v>
      </c>
      <c r="V286" s="169" t="e">
        <f>IF(#REF!&lt;100,"",#REF!-1500)</f>
        <v>#REF!</v>
      </c>
      <c r="W286" s="169" t="e">
        <f>IF(#REF!&lt;100,"",#REF!-1500)</f>
        <v>#REF!</v>
      </c>
      <c r="X286" s="169" t="e">
        <f>IF(#REF!&lt;100,"",#REF!-1500)</f>
        <v>#REF!</v>
      </c>
      <c r="Y286" s="169" t="e">
        <f>IF(#REF!&lt;100,"",#REF!-1500)</f>
        <v>#REF!</v>
      </c>
      <c r="Z286" s="169" t="e">
        <f>IF(#REF!&lt;100,"",#REF!-1500)</f>
        <v>#REF!</v>
      </c>
      <c r="AA286" s="169" t="e">
        <f>IF(#REF!&lt;100,"",#REF!-1500)</f>
        <v>#REF!</v>
      </c>
      <c r="AB286" s="169" t="e">
        <f>IF(#REF!&lt;100,"",#REF!-1500)</f>
        <v>#REF!</v>
      </c>
      <c r="AC286" s="169" t="e">
        <f>IF(#REF!&lt;100,"",#REF!-1500)</f>
        <v>#REF!</v>
      </c>
      <c r="AD286" s="169" t="e">
        <f>IF(#REF!&lt;100,"",#REF!-1500)</f>
        <v>#REF!</v>
      </c>
      <c r="AE286" s="169" t="e">
        <f>IF(#REF!&lt;100,"",#REF!-1500)</f>
        <v>#REF!</v>
      </c>
      <c r="AF286" s="169" t="e">
        <f>IF(#REF!&lt;100,"",#REF!-1500)</f>
        <v>#REF!</v>
      </c>
      <c r="AG286" s="43"/>
      <c r="AH286" s="43"/>
    </row>
    <row r="287" spans="1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1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2:34" x14ac:dyDescent="0.25"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2:34" x14ac:dyDescent="0.25"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2:34" x14ac:dyDescent="0.25"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2:34" x14ac:dyDescent="0.25"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2:34" x14ac:dyDescent="0.25"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483" priority="11">
      <formula>$AH11=0</formula>
    </cfRule>
  </conditionalFormatting>
  <conditionalFormatting sqref="A132:A253">
    <cfRule type="expression" dxfId="482" priority="16">
      <formula>$AH132=0</formula>
    </cfRule>
  </conditionalFormatting>
  <conditionalFormatting sqref="B8 M8 S8 AB8">
    <cfRule type="expression" dxfId="481" priority="126">
      <formula>C$9&lt;8/24</formula>
    </cfRule>
    <cfRule type="expression" dxfId="480" priority="125">
      <formula>AND(C$9&gt;=8/24,C$9&lt;14/24)</formula>
    </cfRule>
    <cfRule type="expression" dxfId="479" priority="124">
      <formula>AND(C$9&gt;=14/24,C$9&lt;20/24)</formula>
    </cfRule>
  </conditionalFormatting>
  <conditionalFormatting sqref="B56:K56 L56:AF57 K57">
    <cfRule type="expression" dxfId="478" priority="73">
      <formula>B$9&lt;8/24</formula>
    </cfRule>
  </conditionalFormatting>
  <conditionalFormatting sqref="B63:Y74 Z69:AF74">
    <cfRule type="expression" dxfId="477" priority="1">
      <formula>B63&gt;$AG63</formula>
    </cfRule>
  </conditionalFormatting>
  <conditionalFormatting sqref="B9:AF52">
    <cfRule type="expression" dxfId="476" priority="39">
      <formula>B$9&lt;8/24</formula>
    </cfRule>
    <cfRule type="expression" dxfId="475" priority="38">
      <formula>AND(B$9&gt;=8/24,B$9&lt;14/24)</formula>
    </cfRule>
    <cfRule type="expression" dxfId="474" priority="36">
      <formula>B$9&gt;=20/24</formula>
    </cfRule>
    <cfRule type="expression" dxfId="473" priority="37">
      <formula>AND(B$9&gt;=14/24,B$9&lt;20/24)</formula>
    </cfRule>
  </conditionalFormatting>
  <conditionalFormatting sqref="B11:AF54 AB65:AF68">
    <cfRule type="expression" dxfId="472" priority="25">
      <formula>B11&gt;$AG11</formula>
    </cfRule>
  </conditionalFormatting>
  <conditionalFormatting sqref="B53:AF54">
    <cfRule type="expression" dxfId="471" priority="22">
      <formula>AND(B$9&gt;=14/24,B$9&lt;20/24)</formula>
    </cfRule>
    <cfRule type="expression" dxfId="470" priority="23">
      <formula>AND(B$9&gt;=8/24,B$9&lt;14/24)</formula>
    </cfRule>
    <cfRule type="expression" dxfId="469" priority="24">
      <formula>B$9&lt;8/24</formula>
    </cfRule>
    <cfRule type="expression" dxfId="468" priority="21">
      <formula>B$9&gt;=20/24</formula>
    </cfRule>
  </conditionalFormatting>
  <conditionalFormatting sqref="B55:AF55">
    <cfRule type="expression" dxfId="467" priority="45">
      <formula>B55&gt;$AG55</formula>
    </cfRule>
  </conditionalFormatting>
  <conditionalFormatting sqref="B55:AF57">
    <cfRule type="expression" dxfId="466" priority="41">
      <formula>B$9&gt;=20/24</formula>
    </cfRule>
    <cfRule type="expression" dxfId="465" priority="43">
      <formula>AND(B$9&gt;=8/24,B$9&lt;14/24)</formula>
    </cfRule>
    <cfRule type="expression" dxfId="464" priority="42">
      <formula>AND(B$9&gt;=14/24,B$9&lt;20/24)</formula>
    </cfRule>
  </conditionalFormatting>
  <conditionalFormatting sqref="B56:AF61">
    <cfRule type="expression" dxfId="463" priority="40">
      <formula>B56&gt;$AG56</formula>
    </cfRule>
  </conditionalFormatting>
  <conditionalFormatting sqref="B59:AF61">
    <cfRule type="expression" dxfId="462" priority="51">
      <formula>B$9&gt;=20/24</formula>
    </cfRule>
    <cfRule type="expression" dxfId="461" priority="52">
      <formula>AND(B$9&gt;=14/24,B$9&lt;20/24)</formula>
    </cfRule>
    <cfRule type="expression" dxfId="460" priority="53">
      <formula>AND(B$9&gt;=8/24,B$9&lt;14/24)</formula>
    </cfRule>
    <cfRule type="expression" dxfId="459" priority="54">
      <formula>B$9&lt;8/24</formula>
    </cfRule>
  </conditionalFormatting>
  <conditionalFormatting sqref="B77:AF79">
    <cfRule type="expression" dxfId="458" priority="55">
      <formula>B77&gt;$AG77</formula>
    </cfRule>
    <cfRule type="expression" dxfId="457" priority="56">
      <formula>B$9&gt;=20/24</formula>
    </cfRule>
    <cfRule type="expression" dxfId="456" priority="57">
      <formula>AND(B$9&gt;=14/24,B$9&lt;20/24)</formula>
    </cfRule>
    <cfRule type="expression" dxfId="455" priority="58">
      <formula>AND(B$9&gt;=8/24,B$9&lt;14/24)</formula>
    </cfRule>
    <cfRule type="expression" dxfId="454" priority="59">
      <formula>B$9&lt;8/24</formula>
    </cfRule>
  </conditionalFormatting>
  <conditionalFormatting sqref="B81:AF99">
    <cfRule type="expression" dxfId="453" priority="29">
      <formula>B$9&lt;8/24</formula>
    </cfRule>
    <cfRule type="expression" dxfId="452" priority="28">
      <formula>AND(B$9&gt;=8/24,B$9&lt;14/24)</formula>
    </cfRule>
    <cfRule type="expression" dxfId="451" priority="27">
      <formula>AND(B$9&gt;=14/24,B$9&lt;20/24)</formula>
    </cfRule>
    <cfRule type="expression" dxfId="450" priority="26">
      <formula>B$9&gt;=20/24</formula>
    </cfRule>
  </conditionalFormatting>
  <conditionalFormatting sqref="B101:AF117">
    <cfRule type="expression" dxfId="449" priority="18">
      <formula>AND(B$9&gt;=14/24,B$9&lt;20/24)</formula>
    </cfRule>
    <cfRule type="expression" dxfId="448" priority="20">
      <formula>B$9&lt;8/24</formula>
    </cfRule>
    <cfRule type="expression" dxfId="447" priority="17">
      <formula>B$9&gt;=20/24</formula>
    </cfRule>
    <cfRule type="expression" dxfId="446" priority="19">
      <formula>AND(B$9&gt;=8/24,B$9&lt;14/24)</formula>
    </cfRule>
  </conditionalFormatting>
  <conditionalFormatting sqref="B119:AF137">
    <cfRule type="expression" dxfId="445" priority="12">
      <formula>B$9&gt;=20/24</formula>
    </cfRule>
    <cfRule type="expression" dxfId="444" priority="13">
      <formula>AND(B$9&gt;=14/24,B$9&lt;20/24)</formula>
    </cfRule>
    <cfRule type="expression" dxfId="443" priority="14">
      <formula>AND(B$9&gt;=8/24,B$9&lt;14/24)</formula>
    </cfRule>
    <cfRule type="expression" dxfId="442" priority="15">
      <formula>B$9&lt;8/24</formula>
    </cfRule>
  </conditionalFormatting>
  <conditionalFormatting sqref="B244:AF244 B246:B252 D246:AF252 U260:AF260">
    <cfRule type="expression" dxfId="441" priority="117">
      <formula>B$9&gt;=20/24</formula>
    </cfRule>
    <cfRule type="expression" dxfId="440" priority="119">
      <formula>AND(B$9&gt;=8/24,B$9&lt;14/24)</formula>
    </cfRule>
    <cfRule type="expression" dxfId="439" priority="118">
      <formula>AND(B$9&gt;=14/24,B$9&lt;20/24)</formula>
    </cfRule>
    <cfRule type="expression" dxfId="438" priority="120">
      <formula>B$9&lt;8/24</formula>
    </cfRule>
  </conditionalFormatting>
  <conditionalFormatting sqref="B62:AG62">
    <cfRule type="expression" dxfId="437" priority="64">
      <formula>B$9&lt;8/24</formula>
    </cfRule>
    <cfRule type="expression" dxfId="436" priority="62">
      <formula>AND(B$9&gt;=14/24,B$9&lt;20/24)</formula>
    </cfRule>
    <cfRule type="expression" dxfId="435" priority="63">
      <formula>AND(B$9&gt;=8/24,B$9&lt;14/24)</formula>
    </cfRule>
    <cfRule type="expression" dxfId="434" priority="60">
      <formula>B62&gt;$AG62</formula>
    </cfRule>
    <cfRule type="expression" dxfId="433" priority="61">
      <formula>B$9&gt;=20/24</formula>
    </cfRule>
  </conditionalFormatting>
  <conditionalFormatting sqref="B75:AG76 B80:AG80">
    <cfRule type="expression" dxfId="432" priority="46">
      <formula>B75&gt;$AG75</formula>
    </cfRule>
  </conditionalFormatting>
  <conditionalFormatting sqref="B80:AG80">
    <cfRule type="expression" dxfId="431" priority="47">
      <formula>B$9&gt;=20/24</formula>
    </cfRule>
    <cfRule type="expression" dxfId="430" priority="49">
      <formula>AND(B$9&gt;=8/24,B$9&lt;14/24)</formula>
    </cfRule>
    <cfRule type="expression" dxfId="429" priority="50">
      <formula>B$9&lt;8/24</formula>
    </cfRule>
    <cfRule type="expression" dxfId="428" priority="48">
      <formula>AND(B$9&gt;=14/24,B$9&lt;20/24)</formula>
    </cfRule>
  </conditionalFormatting>
  <conditionalFormatting sqref="F63:L65">
    <cfRule type="expression" dxfId="427" priority="100">
      <formula>AND(F$9&gt;=8/24,F$9&lt;14/24)</formula>
    </cfRule>
    <cfRule type="expression" dxfId="426" priority="101">
      <formula>F$9&lt;8/24</formula>
    </cfRule>
    <cfRule type="expression" dxfId="425" priority="98">
      <formula>F$9&gt;=20/24</formula>
    </cfRule>
    <cfRule type="expression" dxfId="424" priority="99">
      <formula>AND(F$9&gt;=14/24,F$9&lt;20/24)</formula>
    </cfRule>
  </conditionalFormatting>
  <conditionalFormatting sqref="F68:R68">
    <cfRule type="expression" dxfId="423" priority="76">
      <formula>AND(F$9&gt;=14/24,F$9&lt;20/24)</formula>
    </cfRule>
    <cfRule type="expression" dxfId="422" priority="77">
      <formula>AND(F$9&gt;=8/24,F$9&lt;14/24)</formula>
    </cfRule>
    <cfRule type="expression" dxfId="421" priority="78">
      <formula>F$9&lt;8/24</formula>
    </cfRule>
    <cfRule type="expression" dxfId="420" priority="75">
      <formula>F$9&gt;=20/24</formula>
    </cfRule>
  </conditionalFormatting>
  <conditionalFormatting sqref="F69:X74">
    <cfRule type="expression" dxfId="419" priority="68">
      <formula>F$9&lt;8/24</formula>
    </cfRule>
    <cfRule type="expression" dxfId="418" priority="67">
      <formula>AND(F$9&gt;=8/24,F$9&lt;14/24)</formula>
    </cfRule>
    <cfRule type="expression" dxfId="417" priority="66">
      <formula>AND(F$9&gt;=14/24,F$9&lt;20/24)</formula>
    </cfRule>
    <cfRule type="expression" dxfId="416" priority="65">
      <formula>F$9&gt;=20/24</formula>
    </cfRule>
  </conditionalFormatting>
  <conditionalFormatting sqref="K55:AF56 B55:J57">
    <cfRule type="expression" dxfId="415" priority="44">
      <formula>B$9&lt;8/24</formula>
    </cfRule>
  </conditionalFormatting>
  <conditionalFormatting sqref="M63:R67">
    <cfRule type="expression" dxfId="414" priority="102">
      <formula>M$9&gt;=20/24</formula>
    </cfRule>
    <cfRule type="expression" dxfId="413" priority="103">
      <formula>AND(M$9&gt;=14/24,M$9&lt;20/24)</formula>
    </cfRule>
    <cfRule type="expression" dxfId="412" priority="104">
      <formula>AND(M$9&gt;=8/24,M$9&lt;14/24)</formula>
    </cfRule>
    <cfRule type="expression" dxfId="411" priority="105">
      <formula>M$9&lt;8/24</formula>
    </cfRule>
  </conditionalFormatting>
  <conditionalFormatting sqref="O3:P3">
    <cfRule type="iconSet" priority="121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410" priority="123">
      <formula>C$9&gt;=20/24</formula>
    </cfRule>
  </conditionalFormatting>
  <conditionalFormatting sqref="S8">
    <cfRule type="expression" dxfId="409" priority="111">
      <formula>AND(U$9&gt;=14/24,U$9&lt;20/24)</formula>
    </cfRule>
    <cfRule type="expression" dxfId="408" priority="110">
      <formula>U$9&gt;=20/24</formula>
    </cfRule>
    <cfRule type="expression" dxfId="407" priority="113">
      <formula>U$9&lt;8/24</formula>
    </cfRule>
    <cfRule type="expression" dxfId="406" priority="112">
      <formula>AND(U$9&gt;=8/24,U$9&lt;14/24)</formula>
    </cfRule>
  </conditionalFormatting>
  <conditionalFormatting sqref="S63:Y68">
    <cfRule type="expression" dxfId="405" priority="9">
      <formula>S$9&lt;8/24</formula>
    </cfRule>
    <cfRule type="expression" dxfId="404" priority="6">
      <formula>S$9&gt;=20/24</formula>
    </cfRule>
    <cfRule type="expression" dxfId="403" priority="7">
      <formula>AND(S$9&gt;=14/24,S$9&lt;20/24)</formula>
    </cfRule>
    <cfRule type="expression" dxfId="402" priority="8">
      <formula>AND(S$9&gt;=8/24,S$9&lt;14/24)</formula>
    </cfRule>
  </conditionalFormatting>
  <conditionalFormatting sqref="T260">
    <cfRule type="expression" dxfId="401" priority="138">
      <formula>AX$9&lt;8/24</formula>
    </cfRule>
    <cfRule type="expression" dxfId="400" priority="135">
      <formula>AX$9&gt;=20/24</formula>
    </cfRule>
    <cfRule type="expression" dxfId="399" priority="136">
      <formula>AND(AX$9&gt;=14/24,AX$9&lt;20/24)</formula>
    </cfRule>
    <cfRule type="expression" dxfId="398" priority="137">
      <formula>AND(AX$9&gt;=8/24,AX$9&lt;14/24)</formula>
    </cfRule>
  </conditionalFormatting>
  <conditionalFormatting sqref="V3 AB3">
    <cfRule type="iconSet" priority="122">
      <iconSet iconSet="3TrafficLights2" reverse="1">
        <cfvo type="percent" val="0"/>
        <cfvo type="num" val="1"/>
        <cfvo type="num" val="1"/>
      </iconSet>
    </cfRule>
  </conditionalFormatting>
  <conditionalFormatting sqref="Y69:AF74">
    <cfRule type="expression" dxfId="397" priority="2">
      <formula>Y$9&gt;=20/24</formula>
    </cfRule>
    <cfRule type="expression" dxfId="396" priority="3">
      <formula>AND(Y$9&gt;=14/24,Y$9&lt;20/24)</formula>
    </cfRule>
    <cfRule type="expression" dxfId="395" priority="4">
      <formula>AND(Y$9&gt;=8/24,Y$9&lt;14/24)</formula>
    </cfRule>
    <cfRule type="expression" dxfId="394" priority="5">
      <formula>Y$9&lt;8/24</formula>
    </cfRule>
  </conditionalFormatting>
  <conditionalFormatting sqref="Z63:AA68">
    <cfRule type="expression" dxfId="393" priority="30">
      <formula>Z63&gt;$AG63</formula>
    </cfRule>
  </conditionalFormatting>
  <conditionalFormatting sqref="Z63:AF68 B63:J74 K68:K74 K69:L71 L69:R74 S70:T74">
    <cfRule type="expression" dxfId="392" priority="34">
      <formula>B$9&lt;8/24</formula>
    </cfRule>
    <cfRule type="expression" dxfId="391" priority="33">
      <formula>AND(B$9&gt;=8/24,B$9&lt;14/24)</formula>
    </cfRule>
    <cfRule type="expression" dxfId="390" priority="31">
      <formula>B$9&gt;=20/24</formula>
    </cfRule>
    <cfRule type="expression" dxfId="389" priority="32">
      <formula>AND(B$9&gt;=14/24,B$9&lt;20/24)</formula>
    </cfRule>
  </conditionalFormatting>
  <conditionalFormatting sqref="AB8">
    <cfRule type="expression" dxfId="388" priority="108">
      <formula>AND(AD$9&gt;=8/24,AD$9&lt;14/24)</formula>
    </cfRule>
    <cfRule type="expression" dxfId="387" priority="107">
      <formula>AND(AD$9&gt;=14/24,AD$9&lt;20/24)</formula>
    </cfRule>
    <cfRule type="expression" dxfId="386" priority="109">
      <formula>AD$9&lt;8/24</formula>
    </cfRule>
    <cfRule type="expression" dxfId="385" priority="106">
      <formula>AD$9&gt;=20/24</formula>
    </cfRule>
  </conditionalFormatting>
  <conditionalFormatting sqref="AB63:AF64">
    <cfRule type="expression" dxfId="384" priority="263">
      <formula>AB63&gt;$AG62</formula>
    </cfRule>
  </conditionalFormatting>
  <conditionalFormatting sqref="AG58">
    <cfRule type="expression" dxfId="383" priority="93">
      <formula>AG58&gt;$AG58</formula>
    </cfRule>
  </conditionalFormatting>
  <conditionalFormatting sqref="AG97">
    <cfRule type="expression" dxfId="382" priority="95">
      <formula>AND(AG$9&gt;=14/24,AG$9&lt;20/24)</formula>
    </cfRule>
    <cfRule type="expression" dxfId="381" priority="94">
      <formula>AG$9&gt;=20/24</formula>
    </cfRule>
    <cfRule type="expression" dxfId="380" priority="97">
      <formula>AG$9&lt;8/24</formula>
    </cfRule>
    <cfRule type="expression" dxfId="379" priority="96">
      <formula>AND(AG$9&gt;=8/24,AG$9&lt;14/24)</formula>
    </cfRule>
  </conditionalFormatting>
  <conditionalFormatting sqref="AG260">
    <cfRule type="expression" dxfId="378" priority="130">
      <formula>B$9&lt;8/24</formula>
    </cfRule>
    <cfRule type="expression" dxfId="377" priority="127">
      <formula>B$9&gt;=20/24</formula>
    </cfRule>
    <cfRule type="expression" dxfId="376" priority="128">
      <formula>AND(B$9&gt;=14/24,B$9&lt;20/24)</formula>
    </cfRule>
    <cfRule type="expression" dxfId="375" priority="129">
      <formula>AND(B$9&gt;=8/24,B$9&lt;14/24)</formula>
    </cfRule>
  </conditionalFormatting>
  <conditionalFormatting sqref="AH260:AX260">
    <cfRule type="expression" dxfId="374" priority="131">
      <formula>AG$9&gt;=20/24</formula>
    </cfRule>
    <cfRule type="expression" dxfId="373" priority="133">
      <formula>AND(AG$9&gt;=8/24,AG$9&lt;14/24)</formula>
    </cfRule>
    <cfRule type="expression" dxfId="372" priority="134">
      <formula>AG$9&lt;8/24</formula>
    </cfRule>
    <cfRule type="expression" dxfId="371" priority="132">
      <formula>AND(AG$9&gt;=14/24,AG$9&lt;20/24)</formula>
    </cfRule>
  </conditionalFormatting>
  <conditionalFormatting sqref="AL4:AL6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19:AL20">
    <cfRule type="iconSet" priority="81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9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80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9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92">
      <iconSet iconSet="3TrafficLights2" reverse="1">
        <cfvo type="percent" val="0"/>
        <cfvo type="num" val="1"/>
        <cfvo type="num" val="1"/>
      </iconSet>
    </cfRule>
  </conditionalFormatting>
  <conditionalFormatting sqref="AL48 AL45:AL46 AL21:AL24 AL7:AL18 AL26:AL37 AL39:AL43 AL54:AL55">
    <cfRule type="iconSet" priority="139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15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14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79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370" priority="140">
      <formula>AJ$9&gt;=20/24</formula>
    </cfRule>
    <cfRule type="expression" dxfId="369" priority="141">
      <formula>AND(AJ$9&gt;=14/24,AJ$9&lt;20/24)</formula>
    </cfRule>
    <cfRule type="expression" dxfId="368" priority="142">
      <formula>AND(AJ$9&gt;=8/24,AJ$9&lt;14/24)</formula>
    </cfRule>
    <cfRule type="expression" dxfId="367" priority="143">
      <formula>AJ$9&lt;8/24</formula>
    </cfRule>
  </conditionalFormatting>
  <conditionalFormatting sqref="AL88:AN88 AL94:AN94">
    <cfRule type="expression" dxfId="366" priority="89">
      <formula>AL$9&lt;8/24</formula>
    </cfRule>
    <cfRule type="expression" dxfId="365" priority="87">
      <formula>AND(AL$9&gt;=14/24,AL$9&lt;20/24)</formula>
    </cfRule>
    <cfRule type="expression" dxfId="364" priority="86">
      <formula>AL$9&gt;=20/24</formula>
    </cfRule>
    <cfRule type="expression" dxfId="363" priority="88">
      <formula>AND(AL$9&gt;=8/24,AL$9&lt;14/24)</formula>
    </cfRule>
  </conditionalFormatting>
  <conditionalFormatting sqref="AN89:AN92">
    <cfRule type="expression" dxfId="362" priority="83">
      <formula>AND(AN$9&gt;=14/24,AN$9&lt;20/24)</formula>
    </cfRule>
    <cfRule type="expression" dxfId="361" priority="84">
      <formula>AND(AN$9&gt;=8/24,AN$9&lt;14/24)</formula>
    </cfRule>
    <cfRule type="expression" dxfId="360" priority="85">
      <formula>AN$9&lt;8/24</formula>
    </cfRule>
    <cfRule type="expression" dxfId="359" priority="82">
      <formula>AN$9&gt;=20/24</formula>
    </cfRule>
  </conditionalFormatting>
  <pageMargins left="0.7" right="0.7" top="0.75" bottom="0.75" header="0.3" footer="0.3"/>
  <drawing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538BF-2548-41E1-B3EA-19DEA39BE049}">
  <sheetPr codeName="Sheet22"/>
  <dimension ref="A1:CJ293"/>
  <sheetViews>
    <sheetView zoomScaleNormal="100" workbookViewId="0">
      <pane xSplit="1" ySplit="10" topLeftCell="C117" activePane="bottomRight" state="frozen"/>
      <selection activeCell="Z63" sqref="Z63"/>
      <selection pane="topRight" activeCell="Z63" sqref="Z63"/>
      <selection pane="bottomLeft" activeCell="Z63" sqref="Z63"/>
      <selection pane="bottomRight" activeCell="Z87" sqref="Z87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hidden="1" customHeight="1" thickBot="1" x14ac:dyDescent="0.3">
      <c r="A1" s="275" t="s">
        <v>0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  <c r="AD1" s="275"/>
      <c r="AE1" s="275"/>
      <c r="AF1" s="275"/>
      <c r="AG1" s="276" t="s">
        <v>1</v>
      </c>
      <c r="AH1" s="276"/>
      <c r="AI1" s="276"/>
      <c r="AL1" s="2"/>
    </row>
    <row r="2" spans="1:88" ht="20.25" hidden="1" x14ac:dyDescent="0.25">
      <c r="A2" s="3"/>
      <c r="B2" s="277" t="s">
        <v>2</v>
      </c>
      <c r="C2" s="4"/>
      <c r="D2" s="279" t="s">
        <v>3</v>
      </c>
      <c r="E2" s="4"/>
      <c r="F2" s="279" t="s">
        <v>4</v>
      </c>
      <c r="G2" s="4"/>
      <c r="H2" s="279" t="s">
        <v>5</v>
      </c>
      <c r="I2" s="5"/>
      <c r="J2" s="281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78"/>
      <c r="C3" s="16"/>
      <c r="D3" s="280"/>
      <c r="E3" s="16"/>
      <c r="F3" s="280"/>
      <c r="G3" s="16"/>
      <c r="H3" s="280"/>
      <c r="I3" s="17"/>
      <c r="J3" s="281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70" t="str">
        <f ca="1">"2080/"&amp;"10/"&amp;INT(MID(CELL("filename",D6),FIND("]",CELL("filename",D6))+1,200))</f>
        <v>2080/10/23</v>
      </c>
      <c r="C4" s="270"/>
      <c r="D4" s="270"/>
      <c r="E4" s="271" t="str">
        <f ca="1">"2080/"&amp;"10/"&amp;INT(MID(CELL("filename",G6),FIND("]",CELL("filename",G6))+1,200))</f>
        <v>2080/10/23</v>
      </c>
      <c r="F4" s="271"/>
      <c r="G4" s="271"/>
      <c r="H4" s="271" t="str">
        <f ca="1">TEXT(E4,"dddd")</f>
        <v>Wednesday</v>
      </c>
      <c r="I4" s="271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C92</f>
        <v>533</v>
      </c>
      <c r="C5" s="30">
        <f t="shared" si="0"/>
        <v>495</v>
      </c>
      <c r="D5" s="30">
        <f t="shared" si="0"/>
        <v>505.6</v>
      </c>
      <c r="E5" s="30">
        <f t="shared" si="0"/>
        <v>501.29999999999995</v>
      </c>
      <c r="F5" s="30">
        <f t="shared" si="0"/>
        <v>510.3</v>
      </c>
      <c r="G5" s="30">
        <f t="shared" si="0"/>
        <v>524.20000000000005</v>
      </c>
      <c r="H5" s="30">
        <f t="shared" si="0"/>
        <v>543.80000000000007</v>
      </c>
      <c r="I5" s="30">
        <f t="shared" si="0"/>
        <v>588.6</v>
      </c>
      <c r="J5" s="30">
        <f t="shared" si="0"/>
        <v>545.9</v>
      </c>
      <c r="K5" s="30">
        <f t="shared" si="0"/>
        <v>315.5</v>
      </c>
      <c r="L5" s="30">
        <f t="shared" si="0"/>
        <v>259.8</v>
      </c>
      <c r="M5" s="30">
        <f t="shared" si="0"/>
        <v>368.70000000000005</v>
      </c>
      <c r="N5" s="30">
        <f t="shared" si="0"/>
        <v>548.20000000000005</v>
      </c>
      <c r="O5" s="30">
        <f t="shared" si="0"/>
        <v>583.5</v>
      </c>
      <c r="P5" s="30">
        <f t="shared" si="0"/>
        <v>622.20000000000005</v>
      </c>
      <c r="Q5" s="30">
        <f t="shared" si="0"/>
        <v>550.5</v>
      </c>
      <c r="R5" s="30">
        <f t="shared" si="0"/>
        <v>684.7</v>
      </c>
      <c r="S5" s="30">
        <f t="shared" si="0"/>
        <v>715.1</v>
      </c>
      <c r="T5" s="30">
        <f t="shared" si="0"/>
        <v>755.99999999999989</v>
      </c>
      <c r="U5" s="30">
        <f t="shared" si="0"/>
        <v>755.99999999999989</v>
      </c>
      <c r="V5" s="30">
        <f t="shared" si="0"/>
        <v>532</v>
      </c>
      <c r="W5" s="30">
        <f t="shared" si="0"/>
        <v>461</v>
      </c>
      <c r="X5" s="30">
        <f t="shared" si="0"/>
        <v>528.9</v>
      </c>
      <c r="Y5" s="30">
        <f t="shared" si="0"/>
        <v>313</v>
      </c>
      <c r="Z5" s="30">
        <f t="shared" si="0"/>
        <v>306.7</v>
      </c>
      <c r="AA5" s="30">
        <f t="shared" si="0"/>
        <v>538.6</v>
      </c>
      <c r="AB5" s="30">
        <f t="shared" si="0"/>
        <v>628</v>
      </c>
      <c r="AC5" s="30">
        <f t="shared" si="0"/>
        <v>675</v>
      </c>
      <c r="AD5" s="30">
        <f t="shared" si="0"/>
        <v>682</v>
      </c>
      <c r="AE5" s="30">
        <f t="shared" si="0"/>
        <v>600</v>
      </c>
      <c r="AF5" s="30">
        <f>B92</f>
        <v>550.5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1709MW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Load=1110</v>
      </c>
      <c r="B7" s="35">
        <f>B100</f>
        <v>1193.44</v>
      </c>
      <c r="C7" s="35">
        <f t="shared" ref="C7:AF7" si="1">C100</f>
        <v>1148.94</v>
      </c>
      <c r="D7" s="35">
        <f t="shared" si="1"/>
        <v>1109.94</v>
      </c>
      <c r="E7" s="35">
        <f t="shared" si="1"/>
        <v>1126.54</v>
      </c>
      <c r="F7" s="35">
        <f t="shared" si="1"/>
        <v>1122.74</v>
      </c>
      <c r="G7" s="35">
        <f t="shared" si="1"/>
        <v>1158.74</v>
      </c>
      <c r="H7" s="35">
        <f t="shared" si="1"/>
        <v>1282.6400000000001</v>
      </c>
      <c r="I7" s="35">
        <f t="shared" si="1"/>
        <v>1385.8400000000001</v>
      </c>
      <c r="J7" s="35">
        <f t="shared" si="1"/>
        <v>1478.54</v>
      </c>
      <c r="K7" s="35">
        <f t="shared" si="1"/>
        <v>1563.3400000000001</v>
      </c>
      <c r="L7" s="35">
        <f t="shared" si="1"/>
        <v>1709.04</v>
      </c>
      <c r="M7" s="35">
        <f t="shared" si="1"/>
        <v>1649.64</v>
      </c>
      <c r="N7" s="35">
        <f t="shared" si="1"/>
        <v>1625.44</v>
      </c>
      <c r="O7" s="35">
        <f t="shared" si="1"/>
        <v>1556.2400000000002</v>
      </c>
      <c r="P7" s="35">
        <f t="shared" si="1"/>
        <v>1403.8400000000001</v>
      </c>
      <c r="Q7" s="35">
        <f t="shared" si="1"/>
        <v>1569.3400000000001</v>
      </c>
      <c r="R7" s="35">
        <f t="shared" si="1"/>
        <v>1428.04</v>
      </c>
      <c r="S7" s="35">
        <f t="shared" si="1"/>
        <v>1488.5400000000002</v>
      </c>
      <c r="T7" s="35">
        <f t="shared" si="1"/>
        <v>1510.14</v>
      </c>
      <c r="U7" s="35">
        <f t="shared" si="1"/>
        <v>1553.04</v>
      </c>
      <c r="V7" s="35">
        <f t="shared" si="1"/>
        <v>1549.44</v>
      </c>
      <c r="W7" s="35">
        <f t="shared" si="1"/>
        <v>1435.44</v>
      </c>
      <c r="X7" s="35">
        <f t="shared" si="1"/>
        <v>1548.3400000000001</v>
      </c>
      <c r="Y7" s="35">
        <f t="shared" si="1"/>
        <v>1921.8400000000001</v>
      </c>
      <c r="Z7" s="35">
        <f t="shared" si="1"/>
        <v>1850.94</v>
      </c>
      <c r="AA7" s="35">
        <f t="shared" si="1"/>
        <v>1843.0400000000002</v>
      </c>
      <c r="AB7" s="35">
        <f t="shared" si="1"/>
        <v>1772.2400000000002</v>
      </c>
      <c r="AC7" s="35">
        <f t="shared" si="1"/>
        <v>1684.8400000000001</v>
      </c>
      <c r="AD7" s="35">
        <f t="shared" si="1"/>
        <v>1550.8400000000001</v>
      </c>
      <c r="AE7" s="35">
        <f t="shared" si="1"/>
        <v>1400.24</v>
      </c>
      <c r="AF7" s="35">
        <f t="shared" si="1"/>
        <v>1228.24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72" t="s">
        <v>14</v>
      </c>
      <c r="C8" s="273"/>
      <c r="D8" s="273"/>
      <c r="E8" s="273"/>
      <c r="F8" s="273"/>
      <c r="G8" s="273"/>
      <c r="H8" s="273"/>
      <c r="I8" s="273"/>
      <c r="J8" s="273"/>
      <c r="K8" s="273"/>
      <c r="L8" s="274"/>
      <c r="M8" s="265" t="s">
        <v>15</v>
      </c>
      <c r="N8" s="266"/>
      <c r="O8" s="266"/>
      <c r="P8" s="266"/>
      <c r="Q8" s="266"/>
      <c r="R8" s="267"/>
      <c r="S8" s="265" t="s">
        <v>16</v>
      </c>
      <c r="T8" s="266"/>
      <c r="U8" s="266"/>
      <c r="V8" s="266"/>
      <c r="W8" s="266"/>
      <c r="X8" s="266"/>
      <c r="Y8" s="266"/>
      <c r="Z8" s="266"/>
      <c r="AA8" s="267"/>
      <c r="AB8" s="265" t="s">
        <v>17</v>
      </c>
      <c r="AC8" s="266"/>
      <c r="AD8" s="266"/>
      <c r="AE8" s="266"/>
      <c r="AF8" s="267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68" t="s">
        <v>18</v>
      </c>
      <c r="B9" s="264">
        <v>0</v>
      </c>
      <c r="C9" s="264">
        <v>4.1666666666666664E-2</v>
      </c>
      <c r="D9" s="264">
        <v>8.3333333333333301E-2</v>
      </c>
      <c r="E9" s="264">
        <v>0.125</v>
      </c>
      <c r="F9" s="264">
        <v>0.16666666666666699</v>
      </c>
      <c r="G9" s="264">
        <v>0.20833333333333301</v>
      </c>
      <c r="H9" s="264">
        <v>0.22916666666666666</v>
      </c>
      <c r="I9" s="264">
        <v>0.25</v>
      </c>
      <c r="J9" s="264">
        <v>0.27083333333333331</v>
      </c>
      <c r="K9" s="264">
        <v>0.29166666666666669</v>
      </c>
      <c r="L9" s="264">
        <v>0.3125</v>
      </c>
      <c r="M9" s="262">
        <v>0.33333333333333331</v>
      </c>
      <c r="N9" s="262">
        <v>0.375</v>
      </c>
      <c r="O9" s="262">
        <v>0.41666666666666702</v>
      </c>
      <c r="P9" s="262">
        <v>0.45833333333333298</v>
      </c>
      <c r="Q9" s="262">
        <v>0.5</v>
      </c>
      <c r="R9" s="262">
        <v>0.54166666666666696</v>
      </c>
      <c r="S9" s="258">
        <v>0.58333333333333304</v>
      </c>
      <c r="T9" s="258">
        <v>0.625</v>
      </c>
      <c r="U9" s="258">
        <v>0.66666666666666696</v>
      </c>
      <c r="V9" s="258">
        <v>0.70833333333333304</v>
      </c>
      <c r="W9" s="258">
        <v>0.72916666666666663</v>
      </c>
      <c r="X9" s="258">
        <v>0.75</v>
      </c>
      <c r="Y9" s="258">
        <v>0.77083333333333337</v>
      </c>
      <c r="Z9" s="258">
        <v>0.79166666666666663</v>
      </c>
      <c r="AA9" s="258">
        <v>0.8125</v>
      </c>
      <c r="AB9" s="258">
        <v>0.83333333333333337</v>
      </c>
      <c r="AC9" s="258">
        <v>0.85416666666666663</v>
      </c>
      <c r="AD9" s="258">
        <v>0.875</v>
      </c>
      <c r="AE9" s="258">
        <v>0.91666666666666696</v>
      </c>
      <c r="AF9" s="258">
        <v>0.95833333333333304</v>
      </c>
      <c r="AG9" s="260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69"/>
      <c r="B10" s="259"/>
      <c r="C10" s="259"/>
      <c r="D10" s="259"/>
      <c r="E10" s="259"/>
      <c r="F10" s="259"/>
      <c r="G10" s="259"/>
      <c r="H10" s="259"/>
      <c r="I10" s="259"/>
      <c r="J10" s="259"/>
      <c r="K10" s="259"/>
      <c r="L10" s="259"/>
      <c r="M10" s="263"/>
      <c r="N10" s="263"/>
      <c r="O10" s="263"/>
      <c r="P10" s="263"/>
      <c r="Q10" s="263"/>
      <c r="R10" s="263"/>
      <c r="S10" s="259"/>
      <c r="T10" s="259"/>
      <c r="U10" s="259"/>
      <c r="V10" s="259"/>
      <c r="W10" s="259"/>
      <c r="X10" s="259"/>
      <c r="Y10" s="259"/>
      <c r="Z10" s="259"/>
      <c r="AA10" s="259"/>
      <c r="AB10" s="259"/>
      <c r="AC10" s="259"/>
      <c r="AD10" s="259"/>
      <c r="AE10" s="259"/>
      <c r="AF10" s="259"/>
      <c r="AG10" s="261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30.3</v>
      </c>
      <c r="C11" s="45">
        <v>30.3</v>
      </c>
      <c r="D11" s="45">
        <v>30.3</v>
      </c>
      <c r="E11" s="45">
        <v>30.3</v>
      </c>
      <c r="F11" s="45">
        <v>30.3</v>
      </c>
      <c r="G11" s="45">
        <v>30.3</v>
      </c>
      <c r="H11" s="45">
        <v>30.3</v>
      </c>
      <c r="I11" s="45">
        <v>30.3</v>
      </c>
      <c r="J11" s="45">
        <v>30.3</v>
      </c>
      <c r="K11" s="45">
        <v>30.3</v>
      </c>
      <c r="L11" s="45">
        <v>30.3</v>
      </c>
      <c r="M11" s="45">
        <v>30.3</v>
      </c>
      <c r="N11" s="45">
        <v>30.3</v>
      </c>
      <c r="O11" s="45">
        <v>30.3</v>
      </c>
      <c r="P11" s="45">
        <v>30.6</v>
      </c>
      <c r="Q11" s="45">
        <v>30.6</v>
      </c>
      <c r="R11" s="45">
        <v>30.6</v>
      </c>
      <c r="S11" s="45">
        <v>30.6</v>
      </c>
      <c r="T11" s="45">
        <v>30.6</v>
      </c>
      <c r="U11" s="45">
        <v>30.6</v>
      </c>
      <c r="V11" s="45">
        <v>30.6</v>
      </c>
      <c r="W11" s="45">
        <v>30.6</v>
      </c>
      <c r="X11" s="45">
        <v>30.6</v>
      </c>
      <c r="Y11" s="45">
        <v>30.6</v>
      </c>
      <c r="Z11" s="45">
        <v>30.6</v>
      </c>
      <c r="AA11" s="45">
        <v>30.6</v>
      </c>
      <c r="AB11" s="45">
        <v>30.6</v>
      </c>
      <c r="AC11" s="45">
        <v>30.6</v>
      </c>
      <c r="AD11" s="45">
        <v>30.6</v>
      </c>
      <c r="AE11" s="45">
        <v>30.6</v>
      </c>
      <c r="AF11" s="45">
        <v>30.6</v>
      </c>
      <c r="AG11" s="46">
        <v>86</v>
      </c>
      <c r="AH11" s="47">
        <f t="shared" ref="AH11:AH84" si="2">MAX(B11:AF11)</f>
        <v>30.6</v>
      </c>
      <c r="AI11" s="48">
        <f t="shared" ref="AI11:AI84" si="3">MIN(B11:AF11)</f>
        <v>30.3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262</v>
      </c>
      <c r="B12" s="45">
        <v>10</v>
      </c>
      <c r="C12" s="45">
        <v>10</v>
      </c>
      <c r="D12" s="45">
        <v>10</v>
      </c>
      <c r="E12" s="45">
        <v>10</v>
      </c>
      <c r="F12" s="45">
        <v>10</v>
      </c>
      <c r="G12" s="45">
        <v>10</v>
      </c>
      <c r="H12" s="45">
        <v>10</v>
      </c>
      <c r="I12" s="45">
        <v>10</v>
      </c>
      <c r="J12" s="45">
        <v>10</v>
      </c>
      <c r="K12" s="45">
        <v>10</v>
      </c>
      <c r="L12" s="45">
        <v>10</v>
      </c>
      <c r="M12" s="45">
        <v>10</v>
      </c>
      <c r="N12" s="45">
        <v>10</v>
      </c>
      <c r="O12" s="45">
        <v>10</v>
      </c>
      <c r="P12" s="45">
        <v>9.8000000000000007</v>
      </c>
      <c r="Q12" s="45">
        <v>9.8000000000000007</v>
      </c>
      <c r="R12" s="45">
        <v>9.8000000000000007</v>
      </c>
      <c r="S12" s="45">
        <v>9.8000000000000007</v>
      </c>
      <c r="T12" s="45">
        <v>9.8000000000000007</v>
      </c>
      <c r="U12" s="45">
        <v>9.8000000000000007</v>
      </c>
      <c r="V12" s="45">
        <v>9.8000000000000007</v>
      </c>
      <c r="W12" s="45">
        <v>9.8000000000000007</v>
      </c>
      <c r="X12" s="45">
        <v>9.8000000000000007</v>
      </c>
      <c r="Y12" s="45">
        <v>9.8000000000000007</v>
      </c>
      <c r="Z12" s="45">
        <v>9.8000000000000007</v>
      </c>
      <c r="AA12" s="45">
        <v>9.8000000000000007</v>
      </c>
      <c r="AB12" s="45">
        <v>9.8000000000000007</v>
      </c>
      <c r="AC12" s="45">
        <v>9.8000000000000007</v>
      </c>
      <c r="AD12" s="45">
        <v>9.8000000000000007</v>
      </c>
      <c r="AE12" s="45">
        <v>9.8000000000000007</v>
      </c>
      <c r="AF12" s="45">
        <v>9.8000000000000007</v>
      </c>
      <c r="AG12" s="49">
        <v>54</v>
      </c>
      <c r="AH12" s="47">
        <f t="shared" si="2"/>
        <v>10</v>
      </c>
      <c r="AI12" s="48">
        <f t="shared" si="3"/>
        <v>9.8000000000000007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12</v>
      </c>
      <c r="C13" s="45">
        <v>12</v>
      </c>
      <c r="D13" s="45">
        <v>12</v>
      </c>
      <c r="E13" s="45">
        <v>12</v>
      </c>
      <c r="F13" s="45">
        <v>12</v>
      </c>
      <c r="G13" s="45">
        <v>12</v>
      </c>
      <c r="H13" s="45">
        <v>12</v>
      </c>
      <c r="I13" s="45">
        <v>12</v>
      </c>
      <c r="J13" s="45">
        <v>12</v>
      </c>
      <c r="K13" s="45">
        <v>12</v>
      </c>
      <c r="L13" s="45">
        <v>12</v>
      </c>
      <c r="M13" s="45">
        <v>12</v>
      </c>
      <c r="N13" s="45">
        <v>12</v>
      </c>
      <c r="O13" s="45">
        <v>12</v>
      </c>
      <c r="P13" s="45">
        <v>12</v>
      </c>
      <c r="Q13" s="45">
        <v>12</v>
      </c>
      <c r="R13" s="45">
        <v>12</v>
      </c>
      <c r="S13" s="45">
        <v>12</v>
      </c>
      <c r="T13" s="45">
        <v>12</v>
      </c>
      <c r="U13" s="45">
        <v>12</v>
      </c>
      <c r="V13" s="45">
        <v>12</v>
      </c>
      <c r="W13" s="45">
        <v>12</v>
      </c>
      <c r="X13" s="45">
        <v>12</v>
      </c>
      <c r="Y13" s="45">
        <v>12</v>
      </c>
      <c r="Z13" s="45">
        <v>12</v>
      </c>
      <c r="AA13" s="45">
        <v>12</v>
      </c>
      <c r="AB13" s="45">
        <v>12</v>
      </c>
      <c r="AC13" s="45">
        <v>12</v>
      </c>
      <c r="AD13" s="45">
        <v>12</v>
      </c>
      <c r="AE13" s="45">
        <v>12</v>
      </c>
      <c r="AF13" s="45">
        <v>12</v>
      </c>
      <c r="AG13" s="49">
        <v>54</v>
      </c>
      <c r="AH13" s="47">
        <f t="shared" si="2"/>
        <v>12</v>
      </c>
      <c r="AI13" s="48">
        <f t="shared" si="3"/>
        <v>12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14.2</v>
      </c>
      <c r="C14" s="45">
        <v>14.2</v>
      </c>
      <c r="D14" s="45">
        <v>14.2</v>
      </c>
      <c r="E14" s="45">
        <v>14.2</v>
      </c>
      <c r="F14" s="45">
        <v>14.2</v>
      </c>
      <c r="G14" s="45">
        <v>14.2</v>
      </c>
      <c r="H14" s="45">
        <v>14.2</v>
      </c>
      <c r="I14" s="45">
        <v>14.2</v>
      </c>
      <c r="J14" s="45">
        <v>14.2</v>
      </c>
      <c r="K14" s="45">
        <v>14.2</v>
      </c>
      <c r="L14" s="45">
        <v>14.2</v>
      </c>
      <c r="M14" s="45">
        <v>14.2</v>
      </c>
      <c r="N14" s="45">
        <v>14.2</v>
      </c>
      <c r="O14" s="45">
        <v>14.2</v>
      </c>
      <c r="P14" s="45">
        <v>14.2</v>
      </c>
      <c r="Q14" s="45">
        <v>14.2</v>
      </c>
      <c r="R14" s="45">
        <v>14.2</v>
      </c>
      <c r="S14" s="45">
        <v>14.2</v>
      </c>
      <c r="T14" s="45">
        <v>14.2</v>
      </c>
      <c r="U14" s="45">
        <v>14.2</v>
      </c>
      <c r="V14" s="45">
        <v>14.2</v>
      </c>
      <c r="W14" s="45">
        <v>14.2</v>
      </c>
      <c r="X14" s="45">
        <v>14.2</v>
      </c>
      <c r="Y14" s="45">
        <v>14.2</v>
      </c>
      <c r="Z14" s="45">
        <v>14.2</v>
      </c>
      <c r="AA14" s="45">
        <v>14.2</v>
      </c>
      <c r="AB14" s="45">
        <v>14.2</v>
      </c>
      <c r="AC14" s="45">
        <v>14.2</v>
      </c>
      <c r="AD14" s="45">
        <v>14.2</v>
      </c>
      <c r="AE14" s="45">
        <v>14.2</v>
      </c>
      <c r="AF14" s="45">
        <v>14.2</v>
      </c>
      <c r="AG14" s="46">
        <v>52.4</v>
      </c>
      <c r="AH14" s="47">
        <f t="shared" si="2"/>
        <v>14.2</v>
      </c>
      <c r="AI14" s="48">
        <f t="shared" si="3"/>
        <v>14.2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31.4</v>
      </c>
      <c r="C15" s="45">
        <v>31.4</v>
      </c>
      <c r="D15" s="45">
        <v>31.4</v>
      </c>
      <c r="E15" s="45">
        <v>31.4</v>
      </c>
      <c r="F15" s="45">
        <v>31.4</v>
      </c>
      <c r="G15" s="45">
        <v>31.4</v>
      </c>
      <c r="H15" s="45">
        <v>31.4</v>
      </c>
      <c r="I15" s="45">
        <v>31.4</v>
      </c>
      <c r="J15" s="45">
        <v>31.4</v>
      </c>
      <c r="K15" s="45">
        <v>31.4</v>
      </c>
      <c r="L15" s="45">
        <v>31.4</v>
      </c>
      <c r="M15" s="45">
        <v>31.4</v>
      </c>
      <c r="N15" s="45">
        <v>25</v>
      </c>
      <c r="O15" s="45">
        <v>25</v>
      </c>
      <c r="P15" s="45">
        <v>25</v>
      </c>
      <c r="Q15" s="45">
        <v>25</v>
      </c>
      <c r="R15" s="45">
        <v>25</v>
      </c>
      <c r="S15" s="45">
        <v>25</v>
      </c>
      <c r="T15" s="45">
        <v>25</v>
      </c>
      <c r="U15" s="45">
        <v>25</v>
      </c>
      <c r="V15" s="45">
        <v>25</v>
      </c>
      <c r="W15" s="45">
        <v>25</v>
      </c>
      <c r="X15" s="45">
        <v>25</v>
      </c>
      <c r="Y15" s="51">
        <v>25</v>
      </c>
      <c r="Z15" s="51">
        <v>25</v>
      </c>
      <c r="AA15" s="51">
        <v>25</v>
      </c>
      <c r="AB15" s="51">
        <v>25</v>
      </c>
      <c r="AC15" s="51">
        <v>25</v>
      </c>
      <c r="AD15" s="51">
        <v>25</v>
      </c>
      <c r="AE15" s="51">
        <v>25</v>
      </c>
      <c r="AF15" s="51">
        <v>25</v>
      </c>
      <c r="AG15" s="49">
        <v>50</v>
      </c>
      <c r="AH15" s="47">
        <f t="shared" si="2"/>
        <v>31.4</v>
      </c>
      <c r="AI15" s="48">
        <f t="shared" si="3"/>
        <v>25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15.8</v>
      </c>
      <c r="C16" s="45">
        <v>15.8</v>
      </c>
      <c r="D16" s="45">
        <v>15.8</v>
      </c>
      <c r="E16" s="45">
        <v>15.8</v>
      </c>
      <c r="F16" s="45">
        <v>15.8</v>
      </c>
      <c r="G16" s="45">
        <v>15.8</v>
      </c>
      <c r="H16" s="45">
        <v>15.8</v>
      </c>
      <c r="I16" s="45">
        <v>15.8</v>
      </c>
      <c r="J16" s="45">
        <v>15.8</v>
      </c>
      <c r="K16" s="45">
        <v>15.8</v>
      </c>
      <c r="L16" s="45">
        <v>15.8</v>
      </c>
      <c r="M16" s="45">
        <v>15.8</v>
      </c>
      <c r="N16" s="45">
        <v>15.8</v>
      </c>
      <c r="O16" s="45">
        <v>15.8</v>
      </c>
      <c r="P16" s="45">
        <v>15.8</v>
      </c>
      <c r="Q16" s="45">
        <v>15.8</v>
      </c>
      <c r="R16" s="45">
        <v>15.8</v>
      </c>
      <c r="S16" s="45">
        <v>15.8</v>
      </c>
      <c r="T16" s="45">
        <v>15.8</v>
      </c>
      <c r="U16" s="45">
        <v>15.8</v>
      </c>
      <c r="V16" s="45">
        <v>15.8</v>
      </c>
      <c r="W16" s="45">
        <v>15.8</v>
      </c>
      <c r="X16" s="45">
        <v>15.8</v>
      </c>
      <c r="Y16" s="45">
        <v>15.8</v>
      </c>
      <c r="Z16" s="45">
        <v>15.8</v>
      </c>
      <c r="AA16" s="45">
        <v>15.8</v>
      </c>
      <c r="AB16" s="45">
        <v>15.8</v>
      </c>
      <c r="AC16" s="45">
        <v>15.8</v>
      </c>
      <c r="AD16" s="45">
        <v>15.8</v>
      </c>
      <c r="AE16" s="45">
        <v>15.8</v>
      </c>
      <c r="AF16" s="45">
        <v>15.8</v>
      </c>
      <c r="AG16" s="49">
        <v>45</v>
      </c>
      <c r="AH16" s="47">
        <f t="shared" si="2"/>
        <v>15.8</v>
      </c>
      <c r="AI16" s="48">
        <f t="shared" si="3"/>
        <v>15.8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14</v>
      </c>
      <c r="C17" s="45">
        <v>14</v>
      </c>
      <c r="D17" s="45">
        <v>14</v>
      </c>
      <c r="E17" s="45">
        <v>14</v>
      </c>
      <c r="F17" s="45">
        <v>14</v>
      </c>
      <c r="G17" s="45">
        <v>14</v>
      </c>
      <c r="H17" s="45">
        <v>14</v>
      </c>
      <c r="I17" s="45">
        <v>14</v>
      </c>
      <c r="J17" s="45">
        <v>14</v>
      </c>
      <c r="K17" s="45">
        <v>14</v>
      </c>
      <c r="L17" s="45">
        <v>14</v>
      </c>
      <c r="M17" s="45">
        <v>14</v>
      </c>
      <c r="N17" s="45">
        <v>14</v>
      </c>
      <c r="O17" s="45">
        <v>14</v>
      </c>
      <c r="P17" s="45">
        <v>14</v>
      </c>
      <c r="Q17" s="45">
        <v>14</v>
      </c>
      <c r="R17" s="45">
        <v>14</v>
      </c>
      <c r="S17" s="45">
        <v>14</v>
      </c>
      <c r="T17" s="45">
        <v>14</v>
      </c>
      <c r="U17" s="45">
        <v>14</v>
      </c>
      <c r="V17" s="45">
        <v>14</v>
      </c>
      <c r="W17" s="45">
        <v>14</v>
      </c>
      <c r="X17" s="45">
        <v>14</v>
      </c>
      <c r="Y17" s="45">
        <v>14</v>
      </c>
      <c r="Z17" s="45">
        <v>14</v>
      </c>
      <c r="AA17" s="45">
        <v>14</v>
      </c>
      <c r="AB17" s="45">
        <v>14</v>
      </c>
      <c r="AC17" s="45">
        <v>14</v>
      </c>
      <c r="AD17" s="45">
        <v>14</v>
      </c>
      <c r="AE17" s="45">
        <v>14</v>
      </c>
      <c r="AF17" s="45">
        <v>14</v>
      </c>
      <c r="AG17" s="49">
        <v>44</v>
      </c>
      <c r="AH17" s="47">
        <f>MAX(B17:AG17)</f>
        <v>44</v>
      </c>
      <c r="AI17" s="48">
        <f>MIN(B17:AG17)</f>
        <v>14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7.9</v>
      </c>
      <c r="C18" s="45">
        <v>7.9</v>
      </c>
      <c r="D18" s="45">
        <v>7.9</v>
      </c>
      <c r="E18" s="45">
        <v>7.9</v>
      </c>
      <c r="F18" s="45">
        <v>7.9</v>
      </c>
      <c r="G18" s="45">
        <v>7.9</v>
      </c>
      <c r="H18" s="45">
        <v>7.9</v>
      </c>
      <c r="I18" s="45">
        <v>7.9</v>
      </c>
      <c r="J18" s="45">
        <v>7.9</v>
      </c>
      <c r="K18" s="45">
        <v>7.9</v>
      </c>
      <c r="L18" s="45">
        <v>7.9</v>
      </c>
      <c r="M18" s="45">
        <v>7.9</v>
      </c>
      <c r="N18" s="45">
        <v>7.9</v>
      </c>
      <c r="O18" s="45">
        <v>7.9</v>
      </c>
      <c r="P18" s="45">
        <v>7.9</v>
      </c>
      <c r="Q18" s="45">
        <v>7.9</v>
      </c>
      <c r="R18" s="45">
        <v>7.9</v>
      </c>
      <c r="S18" s="45">
        <v>7.9</v>
      </c>
      <c r="T18" s="45">
        <v>7.9</v>
      </c>
      <c r="U18" s="45">
        <v>7.9</v>
      </c>
      <c r="V18" s="45">
        <v>7.9</v>
      </c>
      <c r="W18" s="45">
        <v>7.9</v>
      </c>
      <c r="X18" s="45">
        <v>7.9</v>
      </c>
      <c r="Y18" s="45">
        <v>7.9</v>
      </c>
      <c r="Z18" s="45">
        <v>7.9</v>
      </c>
      <c r="AA18" s="45">
        <v>7.9</v>
      </c>
      <c r="AB18" s="45">
        <v>7.9</v>
      </c>
      <c r="AC18" s="45">
        <v>7.9</v>
      </c>
      <c r="AD18" s="45">
        <v>7.9</v>
      </c>
      <c r="AE18" s="45">
        <v>7.9</v>
      </c>
      <c r="AF18" s="45">
        <v>7.9</v>
      </c>
      <c r="AG18" s="49">
        <v>42</v>
      </c>
      <c r="AH18" s="47">
        <f t="shared" si="2"/>
        <v>7.9</v>
      </c>
      <c r="AI18" s="48">
        <f t="shared" si="3"/>
        <v>7.9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263</v>
      </c>
      <c r="B19" s="45">
        <v>15</v>
      </c>
      <c r="C19" s="45">
        <v>15</v>
      </c>
      <c r="D19" s="45">
        <v>15</v>
      </c>
      <c r="E19" s="45">
        <v>15</v>
      </c>
      <c r="F19" s="45">
        <v>15</v>
      </c>
      <c r="G19" s="45">
        <v>15</v>
      </c>
      <c r="H19" s="45">
        <v>15</v>
      </c>
      <c r="I19" s="45">
        <v>15</v>
      </c>
      <c r="J19" s="45">
        <v>15</v>
      </c>
      <c r="K19" s="45">
        <v>15</v>
      </c>
      <c r="L19" s="45">
        <v>15</v>
      </c>
      <c r="M19" s="45">
        <v>15</v>
      </c>
      <c r="N19" s="45">
        <v>15</v>
      </c>
      <c r="O19" s="45">
        <v>15</v>
      </c>
      <c r="P19" s="45">
        <v>15</v>
      </c>
      <c r="Q19" s="45">
        <v>15</v>
      </c>
      <c r="R19" s="45">
        <v>15</v>
      </c>
      <c r="S19" s="45">
        <v>15</v>
      </c>
      <c r="T19" s="45">
        <v>15</v>
      </c>
      <c r="U19" s="45">
        <v>15</v>
      </c>
      <c r="V19" s="45">
        <v>15</v>
      </c>
      <c r="W19" s="45">
        <v>15</v>
      </c>
      <c r="X19" s="45">
        <v>15</v>
      </c>
      <c r="Y19" s="45">
        <v>15</v>
      </c>
      <c r="Z19" s="45">
        <v>15</v>
      </c>
      <c r="AA19" s="45">
        <v>15</v>
      </c>
      <c r="AB19" s="45">
        <v>15</v>
      </c>
      <c r="AC19" s="45">
        <v>15</v>
      </c>
      <c r="AD19" s="45">
        <v>15</v>
      </c>
      <c r="AE19" s="45">
        <v>15</v>
      </c>
      <c r="AF19" s="45">
        <v>15</v>
      </c>
      <c r="AG19" s="49">
        <v>38.46</v>
      </c>
      <c r="AH19" s="47">
        <f t="shared" si="2"/>
        <v>15</v>
      </c>
      <c r="AI19" s="48">
        <f t="shared" si="3"/>
        <v>15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10</v>
      </c>
      <c r="C20" s="45">
        <v>10</v>
      </c>
      <c r="D20" s="45">
        <v>10</v>
      </c>
      <c r="E20" s="45">
        <v>10</v>
      </c>
      <c r="F20" s="45">
        <v>10</v>
      </c>
      <c r="G20" s="45">
        <v>10</v>
      </c>
      <c r="H20" s="45">
        <v>10</v>
      </c>
      <c r="I20" s="45">
        <v>10</v>
      </c>
      <c r="J20" s="45">
        <v>10</v>
      </c>
      <c r="K20" s="45">
        <v>10</v>
      </c>
      <c r="L20" s="45">
        <v>10</v>
      </c>
      <c r="M20" s="45">
        <v>10</v>
      </c>
      <c r="N20" s="45">
        <v>10</v>
      </c>
      <c r="O20" s="45">
        <v>10</v>
      </c>
      <c r="P20" s="45">
        <v>10</v>
      </c>
      <c r="Q20" s="45">
        <v>10</v>
      </c>
      <c r="R20" s="45">
        <v>10</v>
      </c>
      <c r="S20" s="45">
        <v>10</v>
      </c>
      <c r="T20" s="45">
        <v>10</v>
      </c>
      <c r="U20" s="45">
        <v>10</v>
      </c>
      <c r="V20" s="45">
        <v>10</v>
      </c>
      <c r="W20" s="45">
        <v>10</v>
      </c>
      <c r="X20" s="45">
        <v>10</v>
      </c>
      <c r="Y20" s="45">
        <v>10</v>
      </c>
      <c r="Z20" s="45">
        <v>10</v>
      </c>
      <c r="AA20" s="45">
        <v>10</v>
      </c>
      <c r="AB20" s="45">
        <v>10</v>
      </c>
      <c r="AC20" s="45">
        <v>10</v>
      </c>
      <c r="AD20" s="45">
        <v>10</v>
      </c>
      <c r="AE20" s="45">
        <v>10</v>
      </c>
      <c r="AF20" s="45">
        <v>10</v>
      </c>
      <c r="AG20" s="49">
        <v>38.46</v>
      </c>
      <c r="AH20" s="47">
        <f t="shared" si="2"/>
        <v>10</v>
      </c>
      <c r="AI20" s="48">
        <f t="shared" si="3"/>
        <v>10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</v>
      </c>
      <c r="C21" s="45">
        <v>13</v>
      </c>
      <c r="D21" s="45">
        <v>13</v>
      </c>
      <c r="E21" s="45">
        <v>13</v>
      </c>
      <c r="F21" s="45">
        <v>13</v>
      </c>
      <c r="G21" s="45">
        <v>13</v>
      </c>
      <c r="H21" s="45">
        <v>13</v>
      </c>
      <c r="I21" s="45">
        <v>13</v>
      </c>
      <c r="J21" s="45">
        <v>13</v>
      </c>
      <c r="K21" s="45">
        <v>13</v>
      </c>
      <c r="L21" s="45">
        <v>13</v>
      </c>
      <c r="M21" s="45">
        <v>13</v>
      </c>
      <c r="N21" s="45">
        <v>13</v>
      </c>
      <c r="O21" s="45">
        <v>13</v>
      </c>
      <c r="P21" s="45">
        <v>13</v>
      </c>
      <c r="Q21" s="45">
        <v>13</v>
      </c>
      <c r="R21" s="45">
        <v>13</v>
      </c>
      <c r="S21" s="45">
        <v>13</v>
      </c>
      <c r="T21" s="45">
        <v>13</v>
      </c>
      <c r="U21" s="45">
        <v>13</v>
      </c>
      <c r="V21" s="45">
        <v>13</v>
      </c>
      <c r="W21" s="45">
        <v>13</v>
      </c>
      <c r="X21" s="45">
        <v>13</v>
      </c>
      <c r="Y21" s="45">
        <v>13</v>
      </c>
      <c r="Z21" s="45">
        <v>13</v>
      </c>
      <c r="AA21" s="45">
        <v>13</v>
      </c>
      <c r="AB21" s="45">
        <v>13</v>
      </c>
      <c r="AC21" s="45">
        <v>13</v>
      </c>
      <c r="AD21" s="45">
        <v>13</v>
      </c>
      <c r="AE21" s="45">
        <v>13</v>
      </c>
      <c r="AF21" s="45">
        <v>13</v>
      </c>
      <c r="AG21" s="49">
        <v>36</v>
      </c>
      <c r="AH21" s="47">
        <f t="shared" si="2"/>
        <v>13</v>
      </c>
      <c r="AI21" s="48">
        <f t="shared" si="3"/>
        <v>13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8.4</v>
      </c>
      <c r="C22" s="45">
        <v>8.4</v>
      </c>
      <c r="D22" s="45">
        <v>8.4</v>
      </c>
      <c r="E22" s="45">
        <v>8.4</v>
      </c>
      <c r="F22" s="45">
        <v>8.4</v>
      </c>
      <c r="G22" s="45">
        <v>8.4</v>
      </c>
      <c r="H22" s="45">
        <v>8.4</v>
      </c>
      <c r="I22" s="45">
        <v>8.4</v>
      </c>
      <c r="J22" s="45">
        <v>8.4</v>
      </c>
      <c r="K22" s="45">
        <v>8.4</v>
      </c>
      <c r="L22" s="45">
        <v>8.4</v>
      </c>
      <c r="M22" s="45">
        <v>8.4</v>
      </c>
      <c r="N22" s="45">
        <v>8.4</v>
      </c>
      <c r="O22" s="45">
        <v>8.4</v>
      </c>
      <c r="P22" s="45">
        <v>8.4</v>
      </c>
      <c r="Q22" s="45">
        <v>8.4</v>
      </c>
      <c r="R22" s="45">
        <v>8.4</v>
      </c>
      <c r="S22" s="45">
        <v>8.4</v>
      </c>
      <c r="T22" s="45">
        <v>8.4</v>
      </c>
      <c r="U22" s="45">
        <v>8.4</v>
      </c>
      <c r="V22" s="45">
        <v>8.4</v>
      </c>
      <c r="W22" s="45">
        <v>8.4</v>
      </c>
      <c r="X22" s="45">
        <v>8.4</v>
      </c>
      <c r="Y22" s="45">
        <v>8.4</v>
      </c>
      <c r="Z22" s="45">
        <v>8.4</v>
      </c>
      <c r="AA22" s="45">
        <v>8.4</v>
      </c>
      <c r="AB22" s="45">
        <v>8.4</v>
      </c>
      <c r="AC22" s="45">
        <v>8.4</v>
      </c>
      <c r="AD22" s="45">
        <v>8.4</v>
      </c>
      <c r="AE22" s="45">
        <v>8.4</v>
      </c>
      <c r="AF22" s="45">
        <v>8.4</v>
      </c>
      <c r="AG22" s="52">
        <v>30</v>
      </c>
      <c r="AH22" s="47">
        <f t="shared" si="2"/>
        <v>8.4</v>
      </c>
      <c r="AI22" s="48">
        <f t="shared" si="3"/>
        <v>8.4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9</v>
      </c>
      <c r="C23" s="45">
        <v>9</v>
      </c>
      <c r="D23" s="45">
        <v>9</v>
      </c>
      <c r="E23" s="45">
        <v>9</v>
      </c>
      <c r="F23" s="45">
        <v>9</v>
      </c>
      <c r="G23" s="45">
        <v>9</v>
      </c>
      <c r="H23" s="45">
        <v>9</v>
      </c>
      <c r="I23" s="45">
        <v>9</v>
      </c>
      <c r="J23" s="45">
        <v>9</v>
      </c>
      <c r="K23" s="45">
        <v>9</v>
      </c>
      <c r="L23" s="45">
        <v>9</v>
      </c>
      <c r="M23" s="45">
        <v>9</v>
      </c>
      <c r="N23" s="45">
        <v>9</v>
      </c>
      <c r="O23" s="45">
        <v>9</v>
      </c>
      <c r="P23" s="45">
        <v>9</v>
      </c>
      <c r="Q23" s="45">
        <v>9</v>
      </c>
      <c r="R23" s="45">
        <v>9</v>
      </c>
      <c r="S23" s="45">
        <v>9</v>
      </c>
      <c r="T23" s="45">
        <v>9</v>
      </c>
      <c r="U23" s="45">
        <v>9</v>
      </c>
      <c r="V23" s="45">
        <v>9</v>
      </c>
      <c r="W23" s="45">
        <v>9</v>
      </c>
      <c r="X23" s="45">
        <v>9</v>
      </c>
      <c r="Y23" s="45">
        <v>9</v>
      </c>
      <c r="Z23" s="45">
        <v>9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9</v>
      </c>
      <c r="AG23" s="49">
        <v>24.2</v>
      </c>
      <c r="AH23" s="47">
        <f t="shared" si="2"/>
        <v>9</v>
      </c>
      <c r="AI23" s="48">
        <f t="shared" si="3"/>
        <v>9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9.4</v>
      </c>
      <c r="C24" s="45">
        <v>9.4</v>
      </c>
      <c r="D24" s="45">
        <v>9.4</v>
      </c>
      <c r="E24" s="45">
        <v>9.4</v>
      </c>
      <c r="F24" s="45">
        <v>9.4</v>
      </c>
      <c r="G24" s="45">
        <v>9.4</v>
      </c>
      <c r="H24" s="45">
        <v>9.4</v>
      </c>
      <c r="I24" s="45">
        <v>9.4</v>
      </c>
      <c r="J24" s="45">
        <v>9.4</v>
      </c>
      <c r="K24" s="45">
        <v>9.4</v>
      </c>
      <c r="L24" s="45">
        <v>9.4</v>
      </c>
      <c r="M24" s="45">
        <v>9.4</v>
      </c>
      <c r="N24" s="45">
        <v>9.4</v>
      </c>
      <c r="O24" s="45">
        <v>9.4</v>
      </c>
      <c r="P24" s="45">
        <v>9.4</v>
      </c>
      <c r="Q24" s="45">
        <v>9.4</v>
      </c>
      <c r="R24" s="45">
        <v>9.4</v>
      </c>
      <c r="S24" s="45">
        <v>9.4</v>
      </c>
      <c r="T24" s="45">
        <v>9.4</v>
      </c>
      <c r="U24" s="45">
        <v>9.4</v>
      </c>
      <c r="V24" s="45">
        <v>9.4</v>
      </c>
      <c r="W24" s="45">
        <v>9.4</v>
      </c>
      <c r="X24" s="45">
        <v>9.4</v>
      </c>
      <c r="Y24" s="45">
        <v>9.4</v>
      </c>
      <c r="Z24" s="45">
        <v>9.4</v>
      </c>
      <c r="AA24" s="45">
        <v>9.4</v>
      </c>
      <c r="AB24" s="45">
        <v>9.4</v>
      </c>
      <c r="AC24" s="45">
        <v>9.4</v>
      </c>
      <c r="AD24" s="45">
        <v>9.4</v>
      </c>
      <c r="AE24" s="45">
        <v>9.4</v>
      </c>
      <c r="AF24" s="45">
        <v>9.4</v>
      </c>
      <c r="AG24" s="49">
        <v>28</v>
      </c>
      <c r="AH24" s="47">
        <f t="shared" si="2"/>
        <v>9.4</v>
      </c>
      <c r="AI24" s="48">
        <f t="shared" si="3"/>
        <v>9.4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7.3</v>
      </c>
      <c r="C25" s="45">
        <v>7.3</v>
      </c>
      <c r="D25" s="45">
        <v>7.3</v>
      </c>
      <c r="E25" s="45">
        <v>7.3</v>
      </c>
      <c r="F25" s="45">
        <v>7.3</v>
      </c>
      <c r="G25" s="45">
        <v>7.3</v>
      </c>
      <c r="H25" s="45">
        <v>7.3</v>
      </c>
      <c r="I25" s="45">
        <v>7.3</v>
      </c>
      <c r="J25" s="45">
        <v>7.3</v>
      </c>
      <c r="K25" s="45">
        <v>7.3</v>
      </c>
      <c r="L25" s="45">
        <v>7.3</v>
      </c>
      <c r="M25" s="45">
        <v>7.3</v>
      </c>
      <c r="N25" s="45">
        <v>7.3</v>
      </c>
      <c r="O25" s="45">
        <v>7.3</v>
      </c>
      <c r="P25" s="45">
        <v>7.3</v>
      </c>
      <c r="Q25" s="45">
        <v>7.3</v>
      </c>
      <c r="R25" s="45">
        <v>7.3</v>
      </c>
      <c r="S25" s="45">
        <v>7.3</v>
      </c>
      <c r="T25" s="45">
        <v>7.3</v>
      </c>
      <c r="U25" s="45">
        <v>7.3</v>
      </c>
      <c r="V25" s="45">
        <v>7.3</v>
      </c>
      <c r="W25" s="45">
        <v>7.3</v>
      </c>
      <c r="X25" s="45">
        <v>7.3</v>
      </c>
      <c r="Y25" s="45">
        <v>7.3</v>
      </c>
      <c r="Z25" s="45">
        <v>7.3</v>
      </c>
      <c r="AA25" s="45">
        <v>7.3</v>
      </c>
      <c r="AB25" s="45">
        <v>7.3</v>
      </c>
      <c r="AC25" s="45">
        <v>7.3</v>
      </c>
      <c r="AD25" s="45">
        <v>7.3</v>
      </c>
      <c r="AE25" s="45">
        <v>7.3</v>
      </c>
      <c r="AF25" s="45">
        <v>7.3</v>
      </c>
      <c r="AG25" s="52">
        <v>30</v>
      </c>
      <c r="AH25" s="47">
        <f t="shared" si="2"/>
        <v>7.3</v>
      </c>
      <c r="AI25" s="48">
        <f t="shared" si="3"/>
        <v>7.3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8.5</v>
      </c>
      <c r="C26" s="45">
        <v>8.5</v>
      </c>
      <c r="D26" s="45">
        <v>8.5</v>
      </c>
      <c r="E26" s="45">
        <v>8.5</v>
      </c>
      <c r="F26" s="45">
        <v>8.5</v>
      </c>
      <c r="G26" s="45">
        <v>8.5</v>
      </c>
      <c r="H26" s="45">
        <v>8.5</v>
      </c>
      <c r="I26" s="45">
        <v>8.5</v>
      </c>
      <c r="J26" s="45">
        <v>8.5</v>
      </c>
      <c r="K26" s="45">
        <v>8.5</v>
      </c>
      <c r="L26" s="45">
        <v>8.5</v>
      </c>
      <c r="M26" s="45">
        <v>8.5</v>
      </c>
      <c r="N26" s="45">
        <v>8.5</v>
      </c>
      <c r="O26" s="45">
        <v>8.5</v>
      </c>
      <c r="P26" s="45">
        <v>8.5</v>
      </c>
      <c r="Q26" s="45">
        <v>8.5</v>
      </c>
      <c r="R26" s="45">
        <v>8.5</v>
      </c>
      <c r="S26" s="45">
        <v>8.5</v>
      </c>
      <c r="T26" s="45">
        <v>8.5</v>
      </c>
      <c r="U26" s="45">
        <v>8.5</v>
      </c>
      <c r="V26" s="45">
        <v>8.5</v>
      </c>
      <c r="W26" s="45">
        <v>8.5</v>
      </c>
      <c r="X26" s="45">
        <v>8.5</v>
      </c>
      <c r="Y26" s="45">
        <v>8.5</v>
      </c>
      <c r="Z26" s="45">
        <v>8.5</v>
      </c>
      <c r="AA26" s="45">
        <v>8.5</v>
      </c>
      <c r="AB26" s="45">
        <v>8.5</v>
      </c>
      <c r="AC26" s="45">
        <v>8.5</v>
      </c>
      <c r="AD26" s="45">
        <v>8.5</v>
      </c>
      <c r="AE26" s="45">
        <v>8.5</v>
      </c>
      <c r="AF26" s="45">
        <v>8.5</v>
      </c>
      <c r="AG26" s="49">
        <v>25</v>
      </c>
      <c r="AH26" s="47">
        <f t="shared" si="2"/>
        <v>8.5</v>
      </c>
      <c r="AI26" s="48">
        <f t="shared" si="3"/>
        <v>8.5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5</v>
      </c>
      <c r="C27" s="45">
        <v>5</v>
      </c>
      <c r="D27" s="45">
        <v>5</v>
      </c>
      <c r="E27" s="45">
        <v>5</v>
      </c>
      <c r="F27" s="45">
        <v>5</v>
      </c>
      <c r="G27" s="45">
        <v>5</v>
      </c>
      <c r="H27" s="45">
        <v>5</v>
      </c>
      <c r="I27" s="45">
        <v>5</v>
      </c>
      <c r="J27" s="45">
        <v>5</v>
      </c>
      <c r="K27" s="45">
        <v>5</v>
      </c>
      <c r="L27" s="45">
        <v>5</v>
      </c>
      <c r="M27" s="45">
        <v>5</v>
      </c>
      <c r="N27" s="45">
        <v>5</v>
      </c>
      <c r="O27" s="45">
        <v>5</v>
      </c>
      <c r="P27" s="45">
        <v>5</v>
      </c>
      <c r="Q27" s="45">
        <v>5</v>
      </c>
      <c r="R27" s="45">
        <v>5</v>
      </c>
      <c r="S27" s="45">
        <v>5</v>
      </c>
      <c r="T27" s="45">
        <v>5</v>
      </c>
      <c r="U27" s="45">
        <v>5</v>
      </c>
      <c r="V27" s="45">
        <v>5</v>
      </c>
      <c r="W27" s="45">
        <v>5</v>
      </c>
      <c r="X27" s="45">
        <v>5</v>
      </c>
      <c r="Y27" s="45">
        <v>5</v>
      </c>
      <c r="Z27" s="45">
        <v>5</v>
      </c>
      <c r="AA27" s="45">
        <v>5</v>
      </c>
      <c r="AB27" s="45">
        <v>5</v>
      </c>
      <c r="AC27" s="45">
        <v>5</v>
      </c>
      <c r="AD27" s="45">
        <v>5</v>
      </c>
      <c r="AE27" s="45">
        <v>5</v>
      </c>
      <c r="AF27" s="45">
        <v>5</v>
      </c>
      <c r="AG27" s="49">
        <v>25</v>
      </c>
      <c r="AH27" s="47">
        <f t="shared" si="2"/>
        <v>5</v>
      </c>
      <c r="AI27" s="48">
        <f t="shared" si="3"/>
        <v>5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6</v>
      </c>
      <c r="C28" s="45">
        <v>6</v>
      </c>
      <c r="D28" s="45">
        <v>6</v>
      </c>
      <c r="E28" s="45">
        <v>6</v>
      </c>
      <c r="F28" s="45">
        <v>6</v>
      </c>
      <c r="G28" s="45">
        <v>6</v>
      </c>
      <c r="H28" s="45">
        <v>6</v>
      </c>
      <c r="I28" s="45">
        <v>6</v>
      </c>
      <c r="J28" s="45">
        <v>6</v>
      </c>
      <c r="K28" s="45">
        <v>6</v>
      </c>
      <c r="L28" s="45">
        <v>6</v>
      </c>
      <c r="M28" s="45">
        <v>6</v>
      </c>
      <c r="N28" s="45">
        <v>6</v>
      </c>
      <c r="O28" s="45">
        <v>6</v>
      </c>
      <c r="P28" s="45">
        <v>6</v>
      </c>
      <c r="Q28" s="45">
        <v>6</v>
      </c>
      <c r="R28" s="45">
        <v>6</v>
      </c>
      <c r="S28" s="45">
        <v>6</v>
      </c>
      <c r="T28" s="45">
        <v>6</v>
      </c>
      <c r="U28" s="45">
        <v>6</v>
      </c>
      <c r="V28" s="45">
        <v>6</v>
      </c>
      <c r="W28" s="45">
        <v>6</v>
      </c>
      <c r="X28" s="45">
        <v>6</v>
      </c>
      <c r="Y28" s="45">
        <v>6</v>
      </c>
      <c r="Z28" s="45">
        <v>6</v>
      </c>
      <c r="AA28" s="45">
        <v>6</v>
      </c>
      <c r="AB28" s="45">
        <v>6</v>
      </c>
      <c r="AC28" s="45">
        <v>6</v>
      </c>
      <c r="AD28" s="45">
        <v>6</v>
      </c>
      <c r="AE28" s="45">
        <v>6</v>
      </c>
      <c r="AF28" s="45">
        <v>6</v>
      </c>
      <c r="AG28" s="49">
        <v>25</v>
      </c>
      <c r="AH28" s="47">
        <f t="shared" si="2"/>
        <v>6</v>
      </c>
      <c r="AI28" s="48">
        <f t="shared" si="3"/>
        <v>6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8.1999999999999993</v>
      </c>
      <c r="C29" s="45">
        <v>8.1999999999999993</v>
      </c>
      <c r="D29" s="45">
        <v>8.1999999999999993</v>
      </c>
      <c r="E29" s="45">
        <v>8.1999999999999993</v>
      </c>
      <c r="F29" s="45">
        <v>8.1999999999999993</v>
      </c>
      <c r="G29" s="45">
        <v>8.1999999999999993</v>
      </c>
      <c r="H29" s="45">
        <v>8.1999999999999993</v>
      </c>
      <c r="I29" s="45">
        <v>8.1999999999999993</v>
      </c>
      <c r="J29" s="45">
        <v>8.1999999999999993</v>
      </c>
      <c r="K29" s="45">
        <v>8.1999999999999993</v>
      </c>
      <c r="L29" s="45">
        <v>8.1999999999999993</v>
      </c>
      <c r="M29" s="45">
        <v>8.1999999999999993</v>
      </c>
      <c r="N29" s="45">
        <v>8.1999999999999993</v>
      </c>
      <c r="O29" s="45">
        <v>8.1999999999999993</v>
      </c>
      <c r="P29" s="45">
        <v>8.1999999999999993</v>
      </c>
      <c r="Q29" s="45">
        <v>8.1999999999999993</v>
      </c>
      <c r="R29" s="45">
        <v>8.1999999999999993</v>
      </c>
      <c r="S29" s="45">
        <v>8.1999999999999993</v>
      </c>
      <c r="T29" s="45">
        <v>8.1999999999999993</v>
      </c>
      <c r="U29" s="45">
        <v>8.1999999999999993</v>
      </c>
      <c r="V29" s="45">
        <v>8.1999999999999993</v>
      </c>
      <c r="W29" s="45">
        <v>8.1999999999999993</v>
      </c>
      <c r="X29" s="45">
        <v>8.1999999999999993</v>
      </c>
      <c r="Y29" s="45">
        <v>8.1999999999999993</v>
      </c>
      <c r="Z29" s="45">
        <v>8.1999999999999993</v>
      </c>
      <c r="AA29" s="45">
        <v>8.1999999999999993</v>
      </c>
      <c r="AB29" s="45">
        <v>8.1999999999999993</v>
      </c>
      <c r="AC29" s="45">
        <v>8.1999999999999993</v>
      </c>
      <c r="AD29" s="45">
        <v>8.1999999999999993</v>
      </c>
      <c r="AE29" s="45">
        <v>8.1999999999999993</v>
      </c>
      <c r="AF29" s="45">
        <v>8.1999999999999993</v>
      </c>
      <c r="AG29" s="49">
        <v>25</v>
      </c>
      <c r="AH29" s="47">
        <f t="shared" si="2"/>
        <v>8.1999999999999993</v>
      </c>
      <c r="AI29" s="48">
        <f t="shared" si="3"/>
        <v>8.1999999999999993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6.5</v>
      </c>
      <c r="C30" s="45">
        <v>6.5</v>
      </c>
      <c r="D30" s="45">
        <v>6.5</v>
      </c>
      <c r="E30" s="45">
        <v>6.5</v>
      </c>
      <c r="F30" s="45">
        <v>6.5</v>
      </c>
      <c r="G30" s="45">
        <v>6.5</v>
      </c>
      <c r="H30" s="45">
        <v>6.5</v>
      </c>
      <c r="I30" s="45">
        <v>6.5</v>
      </c>
      <c r="J30" s="45">
        <v>6.5</v>
      </c>
      <c r="K30" s="45">
        <v>6.5</v>
      </c>
      <c r="L30" s="45">
        <v>6.5</v>
      </c>
      <c r="M30" s="45">
        <v>6.5</v>
      </c>
      <c r="N30" s="45">
        <v>6.5</v>
      </c>
      <c r="O30" s="45">
        <v>6.5</v>
      </c>
      <c r="P30" s="45">
        <v>6.5</v>
      </c>
      <c r="Q30" s="45">
        <v>6.5</v>
      </c>
      <c r="R30" s="45">
        <v>6.5</v>
      </c>
      <c r="S30" s="45">
        <v>6.5</v>
      </c>
      <c r="T30" s="45">
        <v>6.5</v>
      </c>
      <c r="U30" s="45">
        <v>6.5</v>
      </c>
      <c r="V30" s="45">
        <v>6.5</v>
      </c>
      <c r="W30" s="45">
        <v>6.5</v>
      </c>
      <c r="X30" s="45">
        <v>6.5</v>
      </c>
      <c r="Y30" s="45">
        <v>6.5</v>
      </c>
      <c r="Z30" s="45">
        <v>6.5</v>
      </c>
      <c r="AA30" s="45">
        <v>6.5</v>
      </c>
      <c r="AB30" s="45">
        <v>6.5</v>
      </c>
      <c r="AC30" s="45">
        <v>6.5</v>
      </c>
      <c r="AD30" s="45">
        <v>6.5</v>
      </c>
      <c r="AE30" s="45">
        <v>6.5</v>
      </c>
      <c r="AF30" s="45">
        <v>6.5</v>
      </c>
      <c r="AG30" s="49">
        <v>23.5</v>
      </c>
      <c r="AH30" s="47">
        <f t="shared" si="2"/>
        <v>6.5</v>
      </c>
      <c r="AI30" s="48">
        <f t="shared" si="3"/>
        <v>6.5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4.5</v>
      </c>
      <c r="C31" s="45">
        <v>4.5</v>
      </c>
      <c r="D31" s="45">
        <v>4.5</v>
      </c>
      <c r="E31" s="45">
        <v>4.5</v>
      </c>
      <c r="F31" s="45">
        <v>4.5</v>
      </c>
      <c r="G31" s="45">
        <v>4.5</v>
      </c>
      <c r="H31" s="45">
        <v>4.5</v>
      </c>
      <c r="I31" s="45">
        <v>4.5</v>
      </c>
      <c r="J31" s="45">
        <v>4.5</v>
      </c>
      <c r="K31" s="45">
        <v>4.5</v>
      </c>
      <c r="L31" s="45">
        <v>4.5</v>
      </c>
      <c r="M31" s="45">
        <v>4.5</v>
      </c>
      <c r="N31" s="45">
        <v>4.5</v>
      </c>
      <c r="O31" s="45">
        <v>4.5</v>
      </c>
      <c r="P31" s="45">
        <v>4.5</v>
      </c>
      <c r="Q31" s="45">
        <v>4.5</v>
      </c>
      <c r="R31" s="45">
        <v>4.5</v>
      </c>
      <c r="S31" s="45">
        <v>4.5</v>
      </c>
      <c r="T31" s="45">
        <v>4.5</v>
      </c>
      <c r="U31" s="45">
        <v>4.5</v>
      </c>
      <c r="V31" s="45">
        <v>4.5</v>
      </c>
      <c r="W31" s="45">
        <v>4.5</v>
      </c>
      <c r="X31" s="45">
        <v>4.5</v>
      </c>
      <c r="Y31" s="45">
        <v>4.5</v>
      </c>
      <c r="Z31" s="45">
        <v>4.5</v>
      </c>
      <c r="AA31" s="45">
        <v>4.5</v>
      </c>
      <c r="AB31" s="45">
        <v>4.5</v>
      </c>
      <c r="AC31" s="45">
        <v>4.5</v>
      </c>
      <c r="AD31" s="45">
        <v>4.5</v>
      </c>
      <c r="AE31" s="45">
        <v>4.5</v>
      </c>
      <c r="AF31" s="45">
        <v>4.5</v>
      </c>
      <c r="AG31" s="49">
        <v>22.2</v>
      </c>
      <c r="AH31" s="47">
        <f t="shared" si="2"/>
        <v>4.5</v>
      </c>
      <c r="AI31" s="48">
        <f t="shared" si="3"/>
        <v>4.5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>
        <v>5.5</v>
      </c>
      <c r="N32" s="45">
        <v>5.5</v>
      </c>
      <c r="O32" s="45">
        <v>5.5</v>
      </c>
      <c r="P32" s="45">
        <v>5.5</v>
      </c>
      <c r="Q32" s="45">
        <v>5.5</v>
      </c>
      <c r="R32" s="45">
        <v>5.5</v>
      </c>
      <c r="S32" s="45">
        <v>5.5</v>
      </c>
      <c r="T32" s="45">
        <v>5.5</v>
      </c>
      <c r="U32" s="45">
        <v>5.5</v>
      </c>
      <c r="V32" s="45">
        <v>5.5</v>
      </c>
      <c r="W32" s="45">
        <v>5.5</v>
      </c>
      <c r="X32" s="45">
        <v>5.5</v>
      </c>
      <c r="Y32" s="45">
        <v>5.5</v>
      </c>
      <c r="Z32" s="45">
        <v>5.5</v>
      </c>
      <c r="AA32" s="45">
        <v>5.5</v>
      </c>
      <c r="AB32" s="45">
        <v>5.5</v>
      </c>
      <c r="AC32" s="45">
        <v>5.5</v>
      </c>
      <c r="AD32" s="45">
        <v>5.5</v>
      </c>
      <c r="AE32" s="45">
        <v>5.5</v>
      </c>
      <c r="AF32" s="45">
        <v>5.5</v>
      </c>
      <c r="AG32" s="49">
        <v>22.1</v>
      </c>
      <c r="AH32" s="47">
        <f t="shared" si="2"/>
        <v>5.5</v>
      </c>
      <c r="AI32" s="48">
        <f t="shared" si="3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22</v>
      </c>
      <c r="AH33" s="47">
        <f t="shared" si="2"/>
        <v>6</v>
      </c>
      <c r="AI33" s="48">
        <f t="shared" si="3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8.1</v>
      </c>
      <c r="C34" s="45">
        <v>8.1</v>
      </c>
      <c r="D34" s="45">
        <v>8.1</v>
      </c>
      <c r="E34" s="45">
        <v>8.1</v>
      </c>
      <c r="F34" s="45">
        <v>8.1</v>
      </c>
      <c r="G34" s="45">
        <v>8.1</v>
      </c>
      <c r="H34" s="45">
        <v>8.1</v>
      </c>
      <c r="I34" s="45">
        <v>8.1</v>
      </c>
      <c r="J34" s="45">
        <v>8.1</v>
      </c>
      <c r="K34" s="45">
        <v>8.1</v>
      </c>
      <c r="L34" s="45">
        <v>8.1</v>
      </c>
      <c r="M34" s="45">
        <v>8.1</v>
      </c>
      <c r="N34" s="45">
        <v>8.1</v>
      </c>
      <c r="O34" s="45">
        <v>8.1</v>
      </c>
      <c r="P34" s="45">
        <v>8.1</v>
      </c>
      <c r="Q34" s="45">
        <v>8.1</v>
      </c>
      <c r="R34" s="45">
        <v>8.1</v>
      </c>
      <c r="S34" s="45">
        <v>8.1</v>
      </c>
      <c r="T34" s="45">
        <v>8.1</v>
      </c>
      <c r="U34" s="45">
        <v>8.1</v>
      </c>
      <c r="V34" s="45">
        <v>8.1</v>
      </c>
      <c r="W34" s="45">
        <v>8.1</v>
      </c>
      <c r="X34" s="45">
        <v>8.1</v>
      </c>
      <c r="Y34" s="45">
        <v>8.1</v>
      </c>
      <c r="Z34" s="45">
        <v>8.1</v>
      </c>
      <c r="AA34" s="45">
        <v>8.1</v>
      </c>
      <c r="AB34" s="45">
        <v>8.1</v>
      </c>
      <c r="AC34" s="45">
        <v>8.1</v>
      </c>
      <c r="AD34" s="45">
        <v>8.1</v>
      </c>
      <c r="AE34" s="45">
        <v>8.1</v>
      </c>
      <c r="AF34" s="45">
        <v>8.1</v>
      </c>
      <c r="AG34" s="49">
        <v>22</v>
      </c>
      <c r="AH34" s="47">
        <f t="shared" si="2"/>
        <v>8.1</v>
      </c>
      <c r="AI34" s="48">
        <f t="shared" si="3"/>
        <v>8.1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6.5</v>
      </c>
      <c r="C35" s="45">
        <v>6.5</v>
      </c>
      <c r="D35" s="45">
        <v>6.5</v>
      </c>
      <c r="E35" s="45">
        <v>6.5</v>
      </c>
      <c r="F35" s="45">
        <v>6.5</v>
      </c>
      <c r="G35" s="45">
        <v>6.5</v>
      </c>
      <c r="H35" s="45">
        <v>6.5</v>
      </c>
      <c r="I35" s="45">
        <v>6.5</v>
      </c>
      <c r="J35" s="45">
        <v>6.5</v>
      </c>
      <c r="K35" s="45">
        <v>6.5</v>
      </c>
      <c r="L35" s="45">
        <v>6.5</v>
      </c>
      <c r="M35" s="45">
        <v>6.5</v>
      </c>
      <c r="N35" s="45">
        <v>6.5</v>
      </c>
      <c r="O35" s="45">
        <v>6.5</v>
      </c>
      <c r="P35" s="45">
        <v>6.5</v>
      </c>
      <c r="Q35" s="45">
        <v>6.5</v>
      </c>
      <c r="R35" s="45">
        <v>6.5</v>
      </c>
      <c r="S35" s="45">
        <v>6.5</v>
      </c>
      <c r="T35" s="45">
        <v>6.5</v>
      </c>
      <c r="U35" s="45">
        <v>6.5</v>
      </c>
      <c r="V35" s="45">
        <v>6.5</v>
      </c>
      <c r="W35" s="45">
        <v>6.5</v>
      </c>
      <c r="X35" s="45">
        <v>6.5</v>
      </c>
      <c r="Y35" s="45">
        <v>6.5</v>
      </c>
      <c r="Z35" s="45">
        <v>6.5</v>
      </c>
      <c r="AA35" s="45">
        <v>6.5</v>
      </c>
      <c r="AB35" s="45">
        <v>6.5</v>
      </c>
      <c r="AC35" s="45">
        <v>6.5</v>
      </c>
      <c r="AD35" s="45">
        <v>6.5</v>
      </c>
      <c r="AE35" s="45">
        <v>6.5</v>
      </c>
      <c r="AF35" s="45">
        <v>6.5</v>
      </c>
      <c r="AG35" s="49">
        <v>20</v>
      </c>
      <c r="AH35" s="47">
        <f t="shared" si="2"/>
        <v>6.5</v>
      </c>
      <c r="AI35" s="48">
        <f t="shared" si="3"/>
        <v>6.5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264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2"/>
        <v>4</v>
      </c>
      <c r="AI36" s="48">
        <f t="shared" si="3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5.5</v>
      </c>
      <c r="C37" s="45">
        <v>5.5</v>
      </c>
      <c r="D37" s="45">
        <v>5.5</v>
      </c>
      <c r="E37" s="45">
        <v>5.5</v>
      </c>
      <c r="F37" s="45">
        <v>5.5</v>
      </c>
      <c r="G37" s="45">
        <v>5.5</v>
      </c>
      <c r="H37" s="45">
        <v>5.5</v>
      </c>
      <c r="I37" s="45">
        <v>5.5</v>
      </c>
      <c r="J37" s="45">
        <v>5.5</v>
      </c>
      <c r="K37" s="45">
        <v>5.5</v>
      </c>
      <c r="L37" s="45">
        <v>5.5</v>
      </c>
      <c r="M37" s="45">
        <v>5.5</v>
      </c>
      <c r="N37" s="45">
        <v>5.5</v>
      </c>
      <c r="O37" s="45">
        <v>5.5</v>
      </c>
      <c r="P37" s="45">
        <v>5.5</v>
      </c>
      <c r="Q37" s="45">
        <v>5.5</v>
      </c>
      <c r="R37" s="45">
        <v>5.5</v>
      </c>
      <c r="S37" s="45">
        <v>5.5</v>
      </c>
      <c r="T37" s="45">
        <v>5.5</v>
      </c>
      <c r="U37" s="45">
        <v>5.5</v>
      </c>
      <c r="V37" s="45">
        <v>5.5</v>
      </c>
      <c r="W37" s="45">
        <v>5.5</v>
      </c>
      <c r="X37" s="45">
        <v>5.5</v>
      </c>
      <c r="Y37" s="45">
        <v>5.5</v>
      </c>
      <c r="Z37" s="45">
        <v>5.5</v>
      </c>
      <c r="AA37" s="45">
        <v>5.5</v>
      </c>
      <c r="AB37" s="45">
        <v>5.5</v>
      </c>
      <c r="AC37" s="45">
        <v>5.5</v>
      </c>
      <c r="AD37" s="45">
        <v>5.5</v>
      </c>
      <c r="AE37" s="45">
        <v>5.5</v>
      </c>
      <c r="AF37" s="45">
        <v>5.5</v>
      </c>
      <c r="AG37" s="49">
        <v>18</v>
      </c>
      <c r="AH37" s="47">
        <f t="shared" si="2"/>
        <v>5.5</v>
      </c>
      <c r="AI37" s="48">
        <f t="shared" si="3"/>
        <v>5.5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>
        <v>7.2</v>
      </c>
      <c r="N38" s="45">
        <v>7.2</v>
      </c>
      <c r="O38" s="45">
        <v>7.2</v>
      </c>
      <c r="P38" s="45">
        <v>7.2</v>
      </c>
      <c r="Q38" s="45">
        <v>7.2</v>
      </c>
      <c r="R38" s="45">
        <v>7.2</v>
      </c>
      <c r="S38" s="45">
        <v>7.2</v>
      </c>
      <c r="T38" s="45">
        <v>7.2</v>
      </c>
      <c r="U38" s="45">
        <v>7.2</v>
      </c>
      <c r="V38" s="45">
        <v>7.2</v>
      </c>
      <c r="W38" s="45">
        <v>7.2</v>
      </c>
      <c r="X38" s="45">
        <v>7.2</v>
      </c>
      <c r="Y38" s="45">
        <v>7.2</v>
      </c>
      <c r="Z38" s="45">
        <v>7.2</v>
      </c>
      <c r="AA38" s="45">
        <v>7.2</v>
      </c>
      <c r="AB38" s="45">
        <v>7.2</v>
      </c>
      <c r="AC38" s="45">
        <v>7.2</v>
      </c>
      <c r="AD38" s="45">
        <v>7.2</v>
      </c>
      <c r="AE38" s="45">
        <v>7.2</v>
      </c>
      <c r="AF38" s="45">
        <v>7.2</v>
      </c>
      <c r="AG38" s="49">
        <v>14.9</v>
      </c>
      <c r="AH38" s="47">
        <f t="shared" si="2"/>
        <v>7.2</v>
      </c>
      <c r="AI38" s="48">
        <f t="shared" si="3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265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2"/>
        <v>5</v>
      </c>
      <c r="AI40" s="48">
        <f t="shared" si="3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266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>
        <v>4</v>
      </c>
      <c r="N41" s="45">
        <v>4</v>
      </c>
      <c r="O41" s="45">
        <v>4</v>
      </c>
      <c r="P41" s="45">
        <v>4</v>
      </c>
      <c r="Q41" s="45">
        <v>4</v>
      </c>
      <c r="R41" s="45">
        <v>4</v>
      </c>
      <c r="S41" s="45">
        <v>4</v>
      </c>
      <c r="T41" s="45">
        <v>4</v>
      </c>
      <c r="U41" s="45">
        <v>4</v>
      </c>
      <c r="V41" s="45">
        <v>4</v>
      </c>
      <c r="W41" s="45">
        <v>4</v>
      </c>
      <c r="X41" s="45">
        <v>4</v>
      </c>
      <c r="Y41" s="45">
        <v>4</v>
      </c>
      <c r="Z41" s="45">
        <v>4</v>
      </c>
      <c r="AA41" s="45">
        <v>4</v>
      </c>
      <c r="AB41" s="45">
        <v>4</v>
      </c>
      <c r="AC41" s="45">
        <v>4</v>
      </c>
      <c r="AD41" s="45">
        <v>4</v>
      </c>
      <c r="AE41" s="45">
        <v>4</v>
      </c>
      <c r="AF41" s="45">
        <v>4</v>
      </c>
      <c r="AG41" s="49">
        <v>14.9</v>
      </c>
      <c r="AH41" s="47">
        <f t="shared" si="2"/>
        <v>4</v>
      </c>
      <c r="AI41" s="48">
        <f t="shared" si="3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2"/>
        <v>1.8</v>
      </c>
      <c r="AI42" s="48">
        <f t="shared" si="3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2"/>
        <v>3.8</v>
      </c>
      <c r="AI43" s="48">
        <f t="shared" si="3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4</v>
      </c>
      <c r="C44" s="45">
        <v>4</v>
      </c>
      <c r="D44" s="45">
        <v>4</v>
      </c>
      <c r="E44" s="45">
        <v>4</v>
      </c>
      <c r="F44" s="45">
        <v>4</v>
      </c>
      <c r="G44" s="45">
        <v>4</v>
      </c>
      <c r="H44" s="45">
        <v>4</v>
      </c>
      <c r="I44" s="45">
        <v>4</v>
      </c>
      <c r="J44" s="45">
        <v>4</v>
      </c>
      <c r="K44" s="45">
        <v>4</v>
      </c>
      <c r="L44" s="45">
        <v>4</v>
      </c>
      <c r="M44" s="45">
        <v>4</v>
      </c>
      <c r="N44" s="45">
        <v>4</v>
      </c>
      <c r="O44" s="45">
        <v>4</v>
      </c>
      <c r="P44" s="45">
        <v>4</v>
      </c>
      <c r="Q44" s="45">
        <v>4</v>
      </c>
      <c r="R44" s="45">
        <v>4</v>
      </c>
      <c r="S44" s="45">
        <v>4</v>
      </c>
      <c r="T44" s="45">
        <v>4</v>
      </c>
      <c r="U44" s="45">
        <v>4</v>
      </c>
      <c r="V44" s="45">
        <v>4</v>
      </c>
      <c r="W44" s="45">
        <v>4</v>
      </c>
      <c r="X44" s="45">
        <v>4</v>
      </c>
      <c r="Y44" s="45">
        <v>4</v>
      </c>
      <c r="Z44" s="45">
        <v>4</v>
      </c>
      <c r="AA44" s="45">
        <v>4</v>
      </c>
      <c r="AB44" s="45">
        <v>4</v>
      </c>
      <c r="AC44" s="45">
        <v>4</v>
      </c>
      <c r="AD44" s="45">
        <v>4</v>
      </c>
      <c r="AE44" s="45">
        <v>4</v>
      </c>
      <c r="AF44" s="45">
        <v>4</v>
      </c>
      <c r="AG44" s="49">
        <v>12</v>
      </c>
      <c r="AH44" s="47">
        <f t="shared" si="2"/>
        <v>4</v>
      </c>
      <c r="AI44" s="48">
        <f t="shared" si="3"/>
        <v>4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49">
        <v>12</v>
      </c>
      <c r="AH45" s="47">
        <f t="shared" si="2"/>
        <v>9</v>
      </c>
      <c r="AI45" s="48">
        <f t="shared" si="3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2"/>
        <v>3</v>
      </c>
      <c r="AI46" s="48">
        <f t="shared" si="3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2"/>
        <v>3.5</v>
      </c>
      <c r="AI47" s="48">
        <f t="shared" si="3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>
        <v>5</v>
      </c>
      <c r="N48" s="45">
        <v>5</v>
      </c>
      <c r="O48" s="45">
        <v>5</v>
      </c>
      <c r="P48" s="45">
        <v>5</v>
      </c>
      <c r="Q48" s="45">
        <v>5</v>
      </c>
      <c r="R48" s="45">
        <v>5</v>
      </c>
      <c r="S48" s="45">
        <v>5</v>
      </c>
      <c r="T48" s="45">
        <v>5</v>
      </c>
      <c r="U48" s="45">
        <v>5</v>
      </c>
      <c r="V48" s="45">
        <v>5</v>
      </c>
      <c r="W48" s="45">
        <v>5</v>
      </c>
      <c r="X48" s="45">
        <v>5</v>
      </c>
      <c r="Y48" s="45">
        <v>5</v>
      </c>
      <c r="Z48" s="45">
        <v>5</v>
      </c>
      <c r="AA48" s="45">
        <v>5</v>
      </c>
      <c r="AB48" s="45">
        <v>5</v>
      </c>
      <c r="AC48" s="45">
        <v>5</v>
      </c>
      <c r="AD48" s="45">
        <v>5</v>
      </c>
      <c r="AE48" s="45">
        <v>5</v>
      </c>
      <c r="AF48" s="45">
        <v>5</v>
      </c>
      <c r="AG48" s="52">
        <v>11.88</v>
      </c>
      <c r="AH48" s="47">
        <f t="shared" si="2"/>
        <v>5</v>
      </c>
      <c r="AI48" s="48">
        <f t="shared" si="3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>
        <v>3</v>
      </c>
      <c r="N49" s="45">
        <v>3</v>
      </c>
      <c r="O49" s="45">
        <v>3</v>
      </c>
      <c r="P49" s="45">
        <v>3</v>
      </c>
      <c r="Q49" s="45">
        <v>3</v>
      </c>
      <c r="R49" s="45">
        <v>3</v>
      </c>
      <c r="S49" s="45">
        <v>3</v>
      </c>
      <c r="T49" s="45">
        <v>3</v>
      </c>
      <c r="U49" s="45">
        <v>3</v>
      </c>
      <c r="V49" s="45">
        <v>3</v>
      </c>
      <c r="W49" s="45">
        <v>3</v>
      </c>
      <c r="X49" s="45">
        <v>3</v>
      </c>
      <c r="Y49" s="45">
        <v>3</v>
      </c>
      <c r="Z49" s="45">
        <v>3</v>
      </c>
      <c r="AA49" s="45">
        <v>3</v>
      </c>
      <c r="AB49" s="45">
        <v>3</v>
      </c>
      <c r="AC49" s="45">
        <v>3</v>
      </c>
      <c r="AD49" s="45">
        <v>3</v>
      </c>
      <c r="AE49" s="45">
        <v>3</v>
      </c>
      <c r="AF49" s="45">
        <v>3</v>
      </c>
      <c r="AG49" s="55">
        <v>11</v>
      </c>
      <c r="AH49" s="47">
        <f t="shared" si="2"/>
        <v>3</v>
      </c>
      <c r="AI49" s="48">
        <f t="shared" si="3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267</v>
      </c>
      <c r="B50" s="45">
        <v>3.3</v>
      </c>
      <c r="C50" s="45">
        <v>3.3</v>
      </c>
      <c r="D50" s="45">
        <v>3.3</v>
      </c>
      <c r="E50" s="45">
        <v>3.3</v>
      </c>
      <c r="F50" s="45">
        <v>3.3</v>
      </c>
      <c r="G50" s="45">
        <v>3.3</v>
      </c>
      <c r="H50" s="45">
        <v>3.3</v>
      </c>
      <c r="I50" s="45">
        <v>3.3</v>
      </c>
      <c r="J50" s="45">
        <v>3.3</v>
      </c>
      <c r="K50" s="45">
        <v>3.3</v>
      </c>
      <c r="L50" s="45">
        <v>3.3</v>
      </c>
      <c r="M50" s="45">
        <v>3.3</v>
      </c>
      <c r="N50" s="45">
        <v>3.3</v>
      </c>
      <c r="O50" s="45">
        <v>3.3</v>
      </c>
      <c r="P50" s="45">
        <v>3.3</v>
      </c>
      <c r="Q50" s="45">
        <v>3.3</v>
      </c>
      <c r="R50" s="45">
        <v>3.3</v>
      </c>
      <c r="S50" s="45">
        <v>3.3</v>
      </c>
      <c r="T50" s="45">
        <v>3.3</v>
      </c>
      <c r="U50" s="45">
        <v>3.3</v>
      </c>
      <c r="V50" s="45">
        <v>3.3</v>
      </c>
      <c r="W50" s="45">
        <v>3.3</v>
      </c>
      <c r="X50" s="45">
        <v>3.3</v>
      </c>
      <c r="Y50" s="45">
        <v>3.3</v>
      </c>
      <c r="Z50" s="45">
        <v>3.3</v>
      </c>
      <c r="AA50" s="45">
        <v>3.3</v>
      </c>
      <c r="AB50" s="45">
        <v>3.3</v>
      </c>
      <c r="AC50" s="45">
        <v>3.3</v>
      </c>
      <c r="AD50" s="45">
        <v>3.3</v>
      </c>
      <c r="AE50" s="45">
        <v>3.3</v>
      </c>
      <c r="AF50" s="45">
        <v>3.3</v>
      </c>
      <c r="AG50" s="55">
        <v>11</v>
      </c>
      <c r="AH50" s="47">
        <f t="shared" si="2"/>
        <v>3.3</v>
      </c>
      <c r="AI50" s="48">
        <f t="shared" si="3"/>
        <v>3.3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268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"/>
        <v>3</v>
      </c>
      <c r="AI51" s="48">
        <f t="shared" si="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2"/>
        <v>4</v>
      </c>
      <c r="AI52" s="48">
        <f t="shared" si="3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"/>
        <v>4.5</v>
      </c>
      <c r="AI53" s="48">
        <f t="shared" si="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269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"/>
        <v>0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150</v>
      </c>
      <c r="C56" s="57">
        <v>150</v>
      </c>
      <c r="D56" s="57">
        <v>150</v>
      </c>
      <c r="E56" s="57">
        <v>150</v>
      </c>
      <c r="F56" s="57">
        <v>150</v>
      </c>
      <c r="G56" s="57">
        <v>150</v>
      </c>
      <c r="H56" s="57">
        <v>150</v>
      </c>
      <c r="I56" s="57">
        <v>150</v>
      </c>
      <c r="J56" s="57">
        <v>150</v>
      </c>
      <c r="K56" s="57">
        <v>150</v>
      </c>
      <c r="L56" s="57">
        <v>150</v>
      </c>
      <c r="M56" s="57">
        <v>150</v>
      </c>
      <c r="N56" s="57">
        <v>150</v>
      </c>
      <c r="O56" s="57">
        <v>150</v>
      </c>
      <c r="P56" s="57">
        <v>150</v>
      </c>
      <c r="Q56" s="57">
        <v>150</v>
      </c>
      <c r="R56" s="57">
        <v>150</v>
      </c>
      <c r="S56" s="57">
        <v>150</v>
      </c>
      <c r="T56" s="57">
        <v>150</v>
      </c>
      <c r="U56" s="57">
        <v>150</v>
      </c>
      <c r="V56" s="57">
        <v>150</v>
      </c>
      <c r="W56" s="57">
        <v>150</v>
      </c>
      <c r="X56" s="57">
        <v>150</v>
      </c>
      <c r="Y56" s="57">
        <v>150</v>
      </c>
      <c r="Z56" s="57">
        <v>150</v>
      </c>
      <c r="AA56" s="57">
        <v>150</v>
      </c>
      <c r="AB56" s="57">
        <v>150</v>
      </c>
      <c r="AC56" s="57">
        <v>150</v>
      </c>
      <c r="AD56" s="57">
        <v>150</v>
      </c>
      <c r="AE56" s="57">
        <v>150</v>
      </c>
      <c r="AF56" s="57">
        <v>150</v>
      </c>
      <c r="AG56" s="55">
        <v>85</v>
      </c>
      <c r="AH56" s="47">
        <f t="shared" si="2"/>
        <v>150</v>
      </c>
      <c r="AI56" s="48">
        <f t="shared" si="3"/>
        <v>150</v>
      </c>
      <c r="AK56" s="50"/>
    </row>
    <row r="57" spans="1:88" ht="15.75" thickBot="1" x14ac:dyDescent="0.3">
      <c r="A57" s="58" t="s">
        <v>57</v>
      </c>
      <c r="B57" s="57">
        <v>26.4</v>
      </c>
      <c r="C57" s="57">
        <v>26.4</v>
      </c>
      <c r="D57" s="57">
        <v>26.4</v>
      </c>
      <c r="E57" s="57">
        <v>26.4</v>
      </c>
      <c r="F57" s="57">
        <v>30.6</v>
      </c>
      <c r="G57" s="57">
        <v>30.6</v>
      </c>
      <c r="H57" s="57">
        <v>30.6</v>
      </c>
      <c r="I57" s="57">
        <v>29.3</v>
      </c>
      <c r="J57" s="57">
        <v>29.3</v>
      </c>
      <c r="K57" s="57">
        <v>27</v>
      </c>
      <c r="L57" s="57">
        <v>25.6</v>
      </c>
      <c r="M57" s="57">
        <v>25.6</v>
      </c>
      <c r="N57" s="57">
        <v>25.6</v>
      </c>
      <c r="O57" s="57">
        <v>25.6</v>
      </c>
      <c r="P57" s="57">
        <v>29.9</v>
      </c>
      <c r="Q57" s="57">
        <v>30.2</v>
      </c>
      <c r="R57" s="57">
        <v>30.2</v>
      </c>
      <c r="S57" s="57">
        <v>29.1</v>
      </c>
      <c r="T57" s="57">
        <v>29.1</v>
      </c>
      <c r="U57" s="57">
        <v>29.1</v>
      </c>
      <c r="V57" s="57">
        <v>29.1</v>
      </c>
      <c r="W57" s="57">
        <v>29.1</v>
      </c>
      <c r="X57" s="57">
        <v>29.1</v>
      </c>
      <c r="Y57" s="57">
        <v>29.1</v>
      </c>
      <c r="Z57" s="57">
        <v>29.1</v>
      </c>
      <c r="AA57" s="57">
        <v>29.1</v>
      </c>
      <c r="AB57" s="57">
        <v>29.1</v>
      </c>
      <c r="AC57" s="57">
        <v>29.1</v>
      </c>
      <c r="AD57" s="57">
        <v>29.1</v>
      </c>
      <c r="AE57" s="57">
        <v>29.1</v>
      </c>
      <c r="AF57" s="57">
        <v>29.1</v>
      </c>
      <c r="AG57" s="55">
        <v>240</v>
      </c>
      <c r="AH57" s="47">
        <f t="shared" si="2"/>
        <v>30.6</v>
      </c>
      <c r="AI57" s="48">
        <f t="shared" si="3"/>
        <v>25.6</v>
      </c>
      <c r="AK57" s="50"/>
    </row>
    <row r="58" spans="1:88" ht="15.75" thickBot="1" x14ac:dyDescent="0.3">
      <c r="A58" s="59" t="s">
        <v>58</v>
      </c>
      <c r="B58" s="60">
        <f t="shared" ref="B58:C58" si="4">SUM(B11:B56)</f>
        <v>496.1</v>
      </c>
      <c r="C58" s="60">
        <f t="shared" si="4"/>
        <v>496.1</v>
      </c>
      <c r="D58" s="60">
        <f t="shared" ref="D58" si="5">SUM(D11:D56)</f>
        <v>496.1</v>
      </c>
      <c r="E58" s="60">
        <f t="shared" ref="E58:AB58" si="6">SUM(E11:E56)</f>
        <v>496.1</v>
      </c>
      <c r="F58" s="60">
        <f t="shared" si="6"/>
        <v>496.1</v>
      </c>
      <c r="G58" s="60">
        <f t="shared" si="6"/>
        <v>496.1</v>
      </c>
      <c r="H58" s="60">
        <f t="shared" si="6"/>
        <v>496.1</v>
      </c>
      <c r="I58" s="60">
        <f t="shared" si="6"/>
        <v>496.1</v>
      </c>
      <c r="J58" s="60">
        <f t="shared" si="6"/>
        <v>496.1</v>
      </c>
      <c r="K58" s="60">
        <f t="shared" si="6"/>
        <v>496.1</v>
      </c>
      <c r="L58" s="60">
        <f t="shared" si="6"/>
        <v>496.1</v>
      </c>
      <c r="M58" s="60">
        <f t="shared" ref="M58" si="7">SUM(M11:M56)</f>
        <v>496.1</v>
      </c>
      <c r="N58" s="60">
        <f t="shared" si="6"/>
        <v>489.70000000000005</v>
      </c>
      <c r="O58" s="60">
        <f t="shared" si="6"/>
        <v>489.70000000000005</v>
      </c>
      <c r="P58" s="60">
        <f t="shared" ref="P58" si="8">SUM(P11:P56)</f>
        <v>489.80000000000007</v>
      </c>
      <c r="Q58" s="60">
        <f t="shared" si="6"/>
        <v>489.80000000000007</v>
      </c>
      <c r="R58" s="60">
        <f t="shared" si="6"/>
        <v>489.80000000000007</v>
      </c>
      <c r="S58" s="60">
        <f t="shared" ref="S58:T58" si="9">SUM(S11:S56)</f>
        <v>489.80000000000007</v>
      </c>
      <c r="T58" s="60">
        <f t="shared" si="9"/>
        <v>489.80000000000007</v>
      </c>
      <c r="U58" s="60">
        <f t="shared" ref="U58:V58" si="10">SUM(U11:U56)</f>
        <v>489.80000000000007</v>
      </c>
      <c r="V58" s="60">
        <f t="shared" si="10"/>
        <v>489.80000000000007</v>
      </c>
      <c r="W58" s="60">
        <f t="shared" ref="W58:Y58" si="11">SUM(W11:W56)</f>
        <v>489.80000000000007</v>
      </c>
      <c r="X58" s="60">
        <f t="shared" si="11"/>
        <v>489.80000000000007</v>
      </c>
      <c r="Y58" s="60">
        <f t="shared" si="11"/>
        <v>489.80000000000007</v>
      </c>
      <c r="Z58" s="60">
        <f t="shared" ref="Z58:AA58" si="12">SUM(Z11:Z56)</f>
        <v>489.80000000000007</v>
      </c>
      <c r="AA58" s="60">
        <f t="shared" si="12"/>
        <v>489.80000000000007</v>
      </c>
      <c r="AB58" s="60">
        <f t="shared" si="6"/>
        <v>489.80000000000007</v>
      </c>
      <c r="AC58" s="60">
        <f t="shared" ref="AC58:AD58" si="13">SUM(AC11:AC56)</f>
        <v>489.80000000000007</v>
      </c>
      <c r="AD58" s="60">
        <f t="shared" si="13"/>
        <v>489.80000000000007</v>
      </c>
      <c r="AE58" s="60">
        <f t="shared" ref="AE58:AF58" si="14">SUM(AE11:AE56)</f>
        <v>489.80000000000007</v>
      </c>
      <c r="AF58" s="60">
        <f t="shared" si="14"/>
        <v>489.80000000000007</v>
      </c>
      <c r="AG58" s="61">
        <f>SUM(AG14:AG56)</f>
        <v>1042.4000000000001</v>
      </c>
      <c r="AH58" s="47">
        <f t="shared" si="2"/>
        <v>496.1</v>
      </c>
      <c r="AI58" s="48">
        <f t="shared" si="3"/>
        <v>489.70000000000005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280</v>
      </c>
      <c r="M59" s="45">
        <v>280</v>
      </c>
      <c r="N59" s="63">
        <v>200</v>
      </c>
      <c r="O59" s="63">
        <v>15</v>
      </c>
      <c r="P59" s="63">
        <v>30</v>
      </c>
      <c r="Q59" s="63">
        <v>90</v>
      </c>
      <c r="R59" s="63">
        <v>90</v>
      </c>
      <c r="S59" s="63">
        <v>70</v>
      </c>
      <c r="T59" s="63">
        <v>50</v>
      </c>
      <c r="U59" s="63">
        <v>50</v>
      </c>
      <c r="V59" s="63">
        <v>50</v>
      </c>
      <c r="W59" s="63">
        <v>135</v>
      </c>
      <c r="X59" s="63">
        <v>240</v>
      </c>
      <c r="Y59" s="45">
        <v>230</v>
      </c>
      <c r="Z59" s="45">
        <v>375</v>
      </c>
      <c r="AA59" s="45">
        <v>400</v>
      </c>
      <c r="AB59" s="45">
        <v>200</v>
      </c>
      <c r="AC59" s="45">
        <v>120</v>
      </c>
      <c r="AD59" s="45">
        <v>90</v>
      </c>
      <c r="AE59" s="45">
        <v>20</v>
      </c>
      <c r="AF59" s="45">
        <v>0</v>
      </c>
      <c r="AG59" s="52">
        <v>456</v>
      </c>
      <c r="AH59" s="47">
        <f t="shared" si="2"/>
        <v>400</v>
      </c>
      <c r="AI59" s="48">
        <f t="shared" si="3"/>
        <v>0</v>
      </c>
      <c r="AK59" s="50"/>
    </row>
    <row r="60" spans="1:88" x14ac:dyDescent="0.25">
      <c r="A60" s="64" t="s">
        <v>60</v>
      </c>
      <c r="B60" s="65">
        <v>30</v>
      </c>
      <c r="C60" s="65">
        <v>30</v>
      </c>
      <c r="D60" s="65">
        <v>30</v>
      </c>
      <c r="E60" s="65">
        <v>30</v>
      </c>
      <c r="F60" s="65">
        <v>30</v>
      </c>
      <c r="G60" s="65">
        <v>30</v>
      </c>
      <c r="H60" s="65">
        <v>30</v>
      </c>
      <c r="I60" s="65">
        <v>30</v>
      </c>
      <c r="J60" s="65">
        <v>30</v>
      </c>
      <c r="K60" s="65">
        <v>30</v>
      </c>
      <c r="L60" s="65">
        <v>30</v>
      </c>
      <c r="M60" s="65">
        <v>30</v>
      </c>
      <c r="N60" s="65">
        <v>30</v>
      </c>
      <c r="O60" s="65">
        <v>30</v>
      </c>
      <c r="P60" s="65">
        <v>30</v>
      </c>
      <c r="Q60" s="65">
        <v>30</v>
      </c>
      <c r="R60" s="65">
        <v>30</v>
      </c>
      <c r="S60" s="65">
        <v>30</v>
      </c>
      <c r="T60" s="65">
        <v>30</v>
      </c>
      <c r="U60" s="65">
        <v>30</v>
      </c>
      <c r="V60" s="65">
        <v>30</v>
      </c>
      <c r="W60" s="65">
        <v>30</v>
      </c>
      <c r="X60" s="65">
        <v>30</v>
      </c>
      <c r="Y60" s="65">
        <v>30</v>
      </c>
      <c r="Z60" s="65">
        <v>30</v>
      </c>
      <c r="AA60" s="65">
        <v>30</v>
      </c>
      <c r="AB60" s="65">
        <v>30</v>
      </c>
      <c r="AC60" s="65">
        <v>30</v>
      </c>
      <c r="AD60" s="65">
        <v>30</v>
      </c>
      <c r="AE60" s="65">
        <v>30</v>
      </c>
      <c r="AF60" s="65">
        <v>30</v>
      </c>
      <c r="AG60" s="55">
        <v>60</v>
      </c>
      <c r="AH60" s="47">
        <f t="shared" si="2"/>
        <v>30</v>
      </c>
      <c r="AI60" s="48">
        <f t="shared" si="3"/>
        <v>30</v>
      </c>
      <c r="AK60" s="50"/>
    </row>
    <row r="61" spans="1:88" ht="15.75" thickBot="1" x14ac:dyDescent="0.3">
      <c r="A61" s="66" t="s">
        <v>61</v>
      </c>
      <c r="B61" s="67">
        <v>10</v>
      </c>
      <c r="C61" s="67">
        <v>10</v>
      </c>
      <c r="D61" s="67">
        <v>10</v>
      </c>
      <c r="E61" s="67">
        <v>10</v>
      </c>
      <c r="F61" s="67">
        <v>10</v>
      </c>
      <c r="G61" s="67">
        <v>10</v>
      </c>
      <c r="H61" s="67">
        <v>10</v>
      </c>
      <c r="I61" s="67">
        <v>10</v>
      </c>
      <c r="J61" s="67">
        <v>10</v>
      </c>
      <c r="K61" s="67">
        <v>10</v>
      </c>
      <c r="L61" s="67">
        <v>10</v>
      </c>
      <c r="M61" s="67">
        <v>10</v>
      </c>
      <c r="N61" s="67">
        <v>10</v>
      </c>
      <c r="O61" s="67">
        <v>10</v>
      </c>
      <c r="P61" s="67">
        <v>10</v>
      </c>
      <c r="Q61" s="67">
        <v>10.199999999999999</v>
      </c>
      <c r="R61" s="67">
        <v>10.199999999999999</v>
      </c>
      <c r="S61" s="67">
        <v>10.199999999999999</v>
      </c>
      <c r="T61" s="67">
        <v>10.199999999999999</v>
      </c>
      <c r="U61" s="67">
        <v>10.199999999999999</v>
      </c>
      <c r="V61" s="67">
        <v>10.199999999999999</v>
      </c>
      <c r="W61" s="67">
        <v>10.199999999999999</v>
      </c>
      <c r="X61" s="67">
        <v>10.199999999999999</v>
      </c>
      <c r="Y61" s="67">
        <v>10.199999999999999</v>
      </c>
      <c r="Z61" s="67">
        <v>10.199999999999999</v>
      </c>
      <c r="AA61" s="67">
        <v>10.199999999999999</v>
      </c>
      <c r="AB61" s="67">
        <v>15</v>
      </c>
      <c r="AC61" s="67">
        <v>15</v>
      </c>
      <c r="AD61" s="67">
        <v>15</v>
      </c>
      <c r="AE61" s="67">
        <v>15</v>
      </c>
      <c r="AF61" s="67">
        <v>15</v>
      </c>
      <c r="AG61" s="68">
        <v>22.1</v>
      </c>
      <c r="AH61" s="47">
        <f t="shared" si="2"/>
        <v>15</v>
      </c>
      <c r="AI61" s="48">
        <f t="shared" si="3"/>
        <v>10</v>
      </c>
      <c r="AK61" s="50"/>
    </row>
    <row r="62" spans="1:88" ht="15.75" thickBot="1" x14ac:dyDescent="0.3">
      <c r="A62" s="69" t="s">
        <v>62</v>
      </c>
      <c r="B62" s="60">
        <f t="shared" ref="B62:C62" si="15">SUM(B59:B61)</f>
        <v>40</v>
      </c>
      <c r="C62" s="60">
        <f t="shared" si="15"/>
        <v>40</v>
      </c>
      <c r="D62" s="60">
        <f t="shared" ref="D62" si="16">SUM(D59:D61)</f>
        <v>40</v>
      </c>
      <c r="E62" s="60">
        <f t="shared" ref="E62:AG62" si="17">SUM(E59:E61)</f>
        <v>40</v>
      </c>
      <c r="F62" s="60">
        <f t="shared" si="17"/>
        <v>40</v>
      </c>
      <c r="G62" s="60">
        <f t="shared" si="17"/>
        <v>40</v>
      </c>
      <c r="H62" s="60">
        <f t="shared" si="17"/>
        <v>40</v>
      </c>
      <c r="I62" s="60">
        <f t="shared" si="17"/>
        <v>40</v>
      </c>
      <c r="J62" s="60">
        <f t="shared" si="17"/>
        <v>40</v>
      </c>
      <c r="K62" s="60">
        <f t="shared" si="17"/>
        <v>40</v>
      </c>
      <c r="L62" s="60">
        <f t="shared" si="17"/>
        <v>320</v>
      </c>
      <c r="M62" s="60">
        <f t="shared" si="17"/>
        <v>320</v>
      </c>
      <c r="N62" s="60">
        <f t="shared" si="17"/>
        <v>240</v>
      </c>
      <c r="O62" s="60">
        <f t="shared" si="17"/>
        <v>55</v>
      </c>
      <c r="P62" s="60">
        <f t="shared" ref="P62" si="18">SUM(P59:P61)</f>
        <v>70</v>
      </c>
      <c r="Q62" s="60">
        <f t="shared" si="17"/>
        <v>130.19999999999999</v>
      </c>
      <c r="R62" s="60">
        <f t="shared" si="17"/>
        <v>130.19999999999999</v>
      </c>
      <c r="S62" s="60">
        <f t="shared" ref="S62:T62" si="19">SUM(S59:S61)</f>
        <v>110.2</v>
      </c>
      <c r="T62" s="60">
        <f t="shared" si="19"/>
        <v>90.2</v>
      </c>
      <c r="U62" s="60">
        <f t="shared" ref="U62:V62" si="20">SUM(U59:U61)</f>
        <v>90.2</v>
      </c>
      <c r="V62" s="60">
        <f t="shared" si="20"/>
        <v>90.2</v>
      </c>
      <c r="W62" s="60">
        <f t="shared" ref="W62:Y62" si="21">SUM(W59:W61)</f>
        <v>175.2</v>
      </c>
      <c r="X62" s="60">
        <f t="shared" si="21"/>
        <v>280.2</v>
      </c>
      <c r="Y62" s="60">
        <f t="shared" si="21"/>
        <v>270.2</v>
      </c>
      <c r="Z62" s="60">
        <f t="shared" ref="Z62:AA62" si="22">SUM(Z59:Z61)</f>
        <v>415.2</v>
      </c>
      <c r="AA62" s="60">
        <f t="shared" si="22"/>
        <v>440.2</v>
      </c>
      <c r="AB62" s="60">
        <f t="shared" si="17"/>
        <v>245</v>
      </c>
      <c r="AC62" s="60">
        <f t="shared" ref="AC62:AD62" si="23">SUM(AC59:AC61)</f>
        <v>165</v>
      </c>
      <c r="AD62" s="60">
        <f t="shared" si="23"/>
        <v>135</v>
      </c>
      <c r="AE62" s="60">
        <f t="shared" ref="AE62:AF62" si="24">SUM(AE59:AE61)</f>
        <v>65</v>
      </c>
      <c r="AF62" s="60">
        <f t="shared" si="24"/>
        <v>45</v>
      </c>
      <c r="AG62" s="61">
        <f t="shared" si="17"/>
        <v>538.1</v>
      </c>
      <c r="AH62" s="47">
        <f t="shared" si="2"/>
        <v>440.2</v>
      </c>
      <c r="AI62" s="48">
        <f t="shared" si="3"/>
        <v>40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41</v>
      </c>
      <c r="I63" s="45">
        <v>61.4</v>
      </c>
      <c r="J63" s="45">
        <v>111.3</v>
      </c>
      <c r="K63" s="45">
        <v>92</v>
      </c>
      <c r="L63" s="45">
        <v>115</v>
      </c>
      <c r="M63" s="45">
        <v>117.1</v>
      </c>
      <c r="N63" s="45">
        <v>111</v>
      </c>
      <c r="O63" s="45">
        <v>80</v>
      </c>
      <c r="P63" s="45">
        <v>80</v>
      </c>
      <c r="Q63" s="45">
        <v>97.2</v>
      </c>
      <c r="R63" s="45">
        <v>67</v>
      </c>
      <c r="S63" s="45">
        <v>35</v>
      </c>
      <c r="T63" s="45">
        <v>35</v>
      </c>
      <c r="U63" s="45">
        <v>43</v>
      </c>
      <c r="V63" s="45">
        <v>43</v>
      </c>
      <c r="W63" s="45">
        <v>61.5</v>
      </c>
      <c r="X63" s="45">
        <v>101.5</v>
      </c>
      <c r="Y63" s="45">
        <v>143.6</v>
      </c>
      <c r="Z63" s="45">
        <v>143.6</v>
      </c>
      <c r="AA63" s="45">
        <v>116</v>
      </c>
      <c r="AB63" s="45">
        <v>91.8</v>
      </c>
      <c r="AC63" s="45">
        <v>60</v>
      </c>
      <c r="AD63" s="45">
        <v>60</v>
      </c>
      <c r="AE63" s="45">
        <v>0</v>
      </c>
      <c r="AF63" s="45">
        <v>0</v>
      </c>
      <c r="AG63" s="52">
        <v>144</v>
      </c>
      <c r="AH63" s="47">
        <f t="shared" si="2"/>
        <v>143.6</v>
      </c>
      <c r="AI63" s="48">
        <f t="shared" si="3"/>
        <v>0</v>
      </c>
      <c r="AK63" s="50"/>
    </row>
    <row r="64" spans="1:88" x14ac:dyDescent="0.25">
      <c r="A64" s="54" t="s">
        <v>64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35</v>
      </c>
      <c r="I64" s="65">
        <v>70</v>
      </c>
      <c r="J64" s="65">
        <v>70</v>
      </c>
      <c r="K64" s="65">
        <v>50</v>
      </c>
      <c r="L64" s="65">
        <v>50</v>
      </c>
      <c r="M64" s="65">
        <v>50</v>
      </c>
      <c r="N64" s="65">
        <v>35</v>
      </c>
      <c r="O64" s="65">
        <v>25</v>
      </c>
      <c r="P64" s="65">
        <v>50</v>
      </c>
      <c r="Q64" s="65">
        <v>70</v>
      </c>
      <c r="R64" s="65">
        <v>45</v>
      </c>
      <c r="S64" s="65">
        <v>35</v>
      </c>
      <c r="T64" s="65">
        <v>35</v>
      </c>
      <c r="U64" s="65">
        <v>35</v>
      </c>
      <c r="V64" s="65">
        <v>35</v>
      </c>
      <c r="W64" s="65">
        <v>55</v>
      </c>
      <c r="X64" s="65">
        <v>55</v>
      </c>
      <c r="Y64" s="45">
        <v>68</v>
      </c>
      <c r="Z64" s="45">
        <v>68</v>
      </c>
      <c r="AA64" s="45">
        <v>60</v>
      </c>
      <c r="AB64" s="45">
        <v>35</v>
      </c>
      <c r="AC64" s="45">
        <v>35</v>
      </c>
      <c r="AD64" s="45">
        <v>35</v>
      </c>
      <c r="AE64" s="45">
        <v>25</v>
      </c>
      <c r="AF64" s="45">
        <v>0</v>
      </c>
      <c r="AG64" s="55">
        <v>70</v>
      </c>
      <c r="AH64" s="47">
        <f t="shared" si="2"/>
        <v>70</v>
      </c>
      <c r="AI64" s="48">
        <f t="shared" si="3"/>
        <v>0</v>
      </c>
      <c r="AK64" s="50"/>
    </row>
    <row r="65" spans="1:41" x14ac:dyDescent="0.25">
      <c r="A65" s="54" t="s">
        <v>65</v>
      </c>
      <c r="B65" s="65">
        <v>16</v>
      </c>
      <c r="C65" s="65">
        <v>0</v>
      </c>
      <c r="D65" s="65">
        <v>0</v>
      </c>
      <c r="E65" s="65">
        <v>0</v>
      </c>
      <c r="F65" s="65">
        <v>0</v>
      </c>
      <c r="G65" s="65">
        <v>17</v>
      </c>
      <c r="H65" s="65">
        <v>46</v>
      </c>
      <c r="I65" s="65">
        <v>59.2</v>
      </c>
      <c r="J65" s="65">
        <v>64.2</v>
      </c>
      <c r="K65" s="65">
        <v>51</v>
      </c>
      <c r="L65" s="65">
        <v>51</v>
      </c>
      <c r="M65" s="65">
        <v>50.3</v>
      </c>
      <c r="N65" s="65">
        <v>32</v>
      </c>
      <c r="O65" s="65">
        <v>33</v>
      </c>
      <c r="P65" s="65">
        <v>33</v>
      </c>
      <c r="Q65" s="65">
        <v>46.4</v>
      </c>
      <c r="R65" s="65">
        <v>32</v>
      </c>
      <c r="S65" s="65">
        <v>32</v>
      </c>
      <c r="T65" s="65">
        <v>47.5</v>
      </c>
      <c r="U65" s="65">
        <v>47.5</v>
      </c>
      <c r="V65" s="65">
        <v>47.5</v>
      </c>
      <c r="W65" s="65">
        <v>35.5</v>
      </c>
      <c r="X65" s="65">
        <v>64.400000000000006</v>
      </c>
      <c r="Y65" s="45">
        <v>68.900000000000006</v>
      </c>
      <c r="Z65" s="45">
        <v>68.900000000000006</v>
      </c>
      <c r="AA65" s="45">
        <v>65.900000000000006</v>
      </c>
      <c r="AB65" s="45">
        <v>61.6</v>
      </c>
      <c r="AC65" s="45">
        <v>61.6</v>
      </c>
      <c r="AD65" s="45">
        <v>61.6</v>
      </c>
      <c r="AE65" s="45">
        <v>45</v>
      </c>
      <c r="AF65" s="45">
        <v>0</v>
      </c>
      <c r="AG65" s="55">
        <v>69</v>
      </c>
      <c r="AH65" s="47">
        <f t="shared" si="2"/>
        <v>68.900000000000006</v>
      </c>
      <c r="AI65" s="48">
        <f t="shared" si="3"/>
        <v>0</v>
      </c>
      <c r="AK65" s="50"/>
    </row>
    <row r="66" spans="1:41" x14ac:dyDescent="0.25">
      <c r="A66" s="54" t="s">
        <v>66</v>
      </c>
      <c r="B66" s="65">
        <v>40.299999999999997</v>
      </c>
      <c r="C66" s="65">
        <v>40.299999999999997</v>
      </c>
      <c r="D66" s="65">
        <v>40.299999999999997</v>
      </c>
      <c r="E66" s="65">
        <v>40.299999999999997</v>
      </c>
      <c r="F66" s="65">
        <v>40.799999999999997</v>
      </c>
      <c r="G66" s="65">
        <v>40.799999999999997</v>
      </c>
      <c r="H66" s="65">
        <v>40.799999999999997</v>
      </c>
      <c r="I66" s="65">
        <v>40.799999999999997</v>
      </c>
      <c r="J66" s="65">
        <v>40.799999999999997</v>
      </c>
      <c r="K66" s="65">
        <v>40.799999999999997</v>
      </c>
      <c r="L66" s="65">
        <v>40.799999999999997</v>
      </c>
      <c r="M66" s="65">
        <v>43.3</v>
      </c>
      <c r="N66" s="65">
        <v>40</v>
      </c>
      <c r="O66" s="65">
        <v>40</v>
      </c>
      <c r="P66" s="65">
        <v>40</v>
      </c>
      <c r="Q66" s="65">
        <v>41.1</v>
      </c>
      <c r="R66" s="65">
        <v>41.1</v>
      </c>
      <c r="S66" s="65">
        <v>41.1</v>
      </c>
      <c r="T66" s="65">
        <v>41.1</v>
      </c>
      <c r="U66" s="65">
        <v>41.1</v>
      </c>
      <c r="V66" s="65">
        <v>41.1</v>
      </c>
      <c r="W66" s="65">
        <v>41.1</v>
      </c>
      <c r="X66" s="65">
        <v>41.1</v>
      </c>
      <c r="Y66" s="45">
        <v>41.1</v>
      </c>
      <c r="Z66" s="45">
        <v>41.1</v>
      </c>
      <c r="AA66" s="45">
        <v>41.1</v>
      </c>
      <c r="AB66" s="45">
        <v>41.1</v>
      </c>
      <c r="AC66" s="45">
        <v>41.1</v>
      </c>
      <c r="AD66" s="45">
        <v>41.1</v>
      </c>
      <c r="AE66" s="45">
        <v>41.1</v>
      </c>
      <c r="AF66" s="45">
        <v>41.1</v>
      </c>
      <c r="AG66" s="55">
        <v>60</v>
      </c>
      <c r="AH66" s="47">
        <f t="shared" si="2"/>
        <v>43.3</v>
      </c>
      <c r="AI66" s="48">
        <f t="shared" si="3"/>
        <v>40</v>
      </c>
      <c r="AK66" s="50"/>
    </row>
    <row r="67" spans="1:41" x14ac:dyDescent="0.25">
      <c r="A67" s="54" t="s">
        <v>67</v>
      </c>
      <c r="B67" s="65">
        <v>10</v>
      </c>
      <c r="C67" s="65">
        <v>0</v>
      </c>
      <c r="D67" s="65">
        <v>0</v>
      </c>
      <c r="E67" s="65">
        <v>0</v>
      </c>
      <c r="F67" s="65">
        <v>0</v>
      </c>
      <c r="G67" s="65">
        <v>10</v>
      </c>
      <c r="H67" s="65">
        <v>15</v>
      </c>
      <c r="I67" s="65">
        <v>30</v>
      </c>
      <c r="J67" s="65">
        <v>23</v>
      </c>
      <c r="K67" s="65">
        <v>23</v>
      </c>
      <c r="L67" s="65">
        <v>23</v>
      </c>
      <c r="M67" s="65">
        <v>14</v>
      </c>
      <c r="N67" s="65">
        <v>10</v>
      </c>
      <c r="O67" s="65">
        <v>0</v>
      </c>
      <c r="P67" s="65">
        <v>0</v>
      </c>
      <c r="Q67" s="65">
        <v>10</v>
      </c>
      <c r="R67" s="65">
        <v>10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10</v>
      </c>
      <c r="Y67" s="45">
        <v>15</v>
      </c>
      <c r="Z67" s="45">
        <v>15</v>
      </c>
      <c r="AA67" s="45">
        <v>28</v>
      </c>
      <c r="AB67" s="45">
        <v>24</v>
      </c>
      <c r="AC67" s="45">
        <v>10</v>
      </c>
      <c r="AD67" s="45">
        <v>10</v>
      </c>
      <c r="AE67" s="45">
        <v>10</v>
      </c>
      <c r="AF67" s="45">
        <v>10</v>
      </c>
      <c r="AG67" s="55">
        <v>30</v>
      </c>
      <c r="AH67" s="47">
        <f t="shared" si="2"/>
        <v>30</v>
      </c>
      <c r="AI67" s="48">
        <f t="shared" si="3"/>
        <v>0</v>
      </c>
      <c r="AK67" s="50"/>
    </row>
    <row r="68" spans="1:41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1.5</v>
      </c>
      <c r="M68" s="65">
        <v>3.7</v>
      </c>
      <c r="N68" s="65">
        <v>3.7</v>
      </c>
      <c r="O68" s="65">
        <v>10</v>
      </c>
      <c r="P68" s="65">
        <v>12.2</v>
      </c>
      <c r="Q68" s="65">
        <v>17.100000000000001</v>
      </c>
      <c r="R68" s="65">
        <v>17.100000000000001</v>
      </c>
      <c r="S68" s="65">
        <v>15.4</v>
      </c>
      <c r="T68" s="65">
        <v>11.1</v>
      </c>
      <c r="U68" s="65">
        <v>5.0999999999999996</v>
      </c>
      <c r="V68" s="65">
        <v>1.5</v>
      </c>
      <c r="W68" s="65">
        <v>0</v>
      </c>
      <c r="X68" s="65">
        <v>0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55">
        <v>25</v>
      </c>
      <c r="AH68" s="47">
        <f t="shared" si="2"/>
        <v>17.100000000000001</v>
      </c>
      <c r="AI68" s="48">
        <f t="shared" si="3"/>
        <v>0</v>
      </c>
      <c r="AK68" s="50"/>
    </row>
    <row r="69" spans="1:41" x14ac:dyDescent="0.25">
      <c r="A69" s="54" t="s">
        <v>69</v>
      </c>
      <c r="B69" s="65">
        <v>15</v>
      </c>
      <c r="C69" s="65">
        <v>15</v>
      </c>
      <c r="D69" s="65">
        <v>15</v>
      </c>
      <c r="E69" s="65">
        <v>15</v>
      </c>
      <c r="F69" s="65">
        <v>15</v>
      </c>
      <c r="G69" s="65">
        <v>15</v>
      </c>
      <c r="H69" s="65">
        <v>15</v>
      </c>
      <c r="I69" s="65">
        <v>15</v>
      </c>
      <c r="J69" s="65">
        <v>15</v>
      </c>
      <c r="K69" s="65">
        <v>15</v>
      </c>
      <c r="L69" s="65">
        <v>15</v>
      </c>
      <c r="M69" s="65">
        <v>15</v>
      </c>
      <c r="N69" s="65">
        <v>15</v>
      </c>
      <c r="O69" s="65">
        <v>15</v>
      </c>
      <c r="P69" s="65">
        <v>15</v>
      </c>
      <c r="Q69" s="65">
        <v>15</v>
      </c>
      <c r="R69" s="65">
        <v>15</v>
      </c>
      <c r="S69" s="65">
        <v>15</v>
      </c>
      <c r="T69" s="65">
        <v>15</v>
      </c>
      <c r="U69" s="65">
        <v>15</v>
      </c>
      <c r="V69" s="65">
        <v>15</v>
      </c>
      <c r="W69" s="65">
        <v>15</v>
      </c>
      <c r="X69" s="65">
        <v>15</v>
      </c>
      <c r="Y69" s="65">
        <v>15</v>
      </c>
      <c r="Z69" s="65">
        <v>15</v>
      </c>
      <c r="AA69" s="65">
        <v>15</v>
      </c>
      <c r="AB69" s="65">
        <v>15</v>
      </c>
      <c r="AC69" s="65">
        <v>15</v>
      </c>
      <c r="AD69" s="65">
        <v>15</v>
      </c>
      <c r="AE69" s="65">
        <v>15</v>
      </c>
      <c r="AF69" s="65">
        <v>15</v>
      </c>
      <c r="AG69" s="55">
        <v>24</v>
      </c>
      <c r="AH69" s="47">
        <f t="shared" si="2"/>
        <v>15</v>
      </c>
      <c r="AI69" s="48">
        <f t="shared" si="3"/>
        <v>15</v>
      </c>
      <c r="AK69" s="50"/>
    </row>
    <row r="70" spans="1:41" x14ac:dyDescent="0.25">
      <c r="A70" s="54" t="s">
        <v>70</v>
      </c>
      <c r="B70" s="65">
        <v>4</v>
      </c>
      <c r="C70" s="65">
        <v>4</v>
      </c>
      <c r="D70" s="65">
        <v>4</v>
      </c>
      <c r="E70" s="65">
        <v>4</v>
      </c>
      <c r="F70" s="65">
        <v>4</v>
      </c>
      <c r="G70" s="65">
        <v>4</v>
      </c>
      <c r="H70" s="65">
        <v>4</v>
      </c>
      <c r="I70" s="65">
        <v>4</v>
      </c>
      <c r="J70" s="65">
        <v>4</v>
      </c>
      <c r="K70" s="65">
        <v>4</v>
      </c>
      <c r="L70" s="65">
        <v>4</v>
      </c>
      <c r="M70" s="65">
        <v>4</v>
      </c>
      <c r="N70" s="65">
        <v>4</v>
      </c>
      <c r="O70" s="65">
        <v>4</v>
      </c>
      <c r="P70" s="65">
        <v>4</v>
      </c>
      <c r="Q70" s="65">
        <v>4</v>
      </c>
      <c r="R70" s="65">
        <v>4</v>
      </c>
      <c r="S70" s="65">
        <v>4</v>
      </c>
      <c r="T70" s="65">
        <v>4</v>
      </c>
      <c r="U70" s="65">
        <v>4</v>
      </c>
      <c r="V70" s="65">
        <v>4</v>
      </c>
      <c r="W70" s="65">
        <v>4</v>
      </c>
      <c r="X70" s="65">
        <v>4</v>
      </c>
      <c r="Y70" s="65">
        <v>4</v>
      </c>
      <c r="Z70" s="65">
        <v>4</v>
      </c>
      <c r="AA70" s="65">
        <v>4</v>
      </c>
      <c r="AB70" s="65">
        <v>4</v>
      </c>
      <c r="AC70" s="65">
        <v>4</v>
      </c>
      <c r="AD70" s="65">
        <v>4</v>
      </c>
      <c r="AE70" s="65">
        <v>4</v>
      </c>
      <c r="AF70" s="65">
        <v>4</v>
      </c>
      <c r="AG70" s="55">
        <v>15</v>
      </c>
      <c r="AH70" s="47">
        <f t="shared" si="2"/>
        <v>4</v>
      </c>
      <c r="AI70" s="48">
        <f t="shared" si="3"/>
        <v>4</v>
      </c>
      <c r="AK70" s="50"/>
      <c r="AL70" s="70"/>
      <c r="AO70" s="70"/>
    </row>
    <row r="71" spans="1:41" s="70" customFormat="1" x14ac:dyDescent="0.25">
      <c r="A71" s="54" t="s">
        <v>71</v>
      </c>
      <c r="B71" s="65">
        <v>11.6</v>
      </c>
      <c r="C71" s="65">
        <v>11.6</v>
      </c>
      <c r="D71" s="65">
        <v>11.6</v>
      </c>
      <c r="E71" s="65">
        <v>11.6</v>
      </c>
      <c r="F71" s="65">
        <v>11.6</v>
      </c>
      <c r="G71" s="65">
        <v>11.6</v>
      </c>
      <c r="H71" s="65">
        <v>11.6</v>
      </c>
      <c r="I71" s="65">
        <v>11.6</v>
      </c>
      <c r="J71" s="65">
        <v>11.6</v>
      </c>
      <c r="K71" s="65">
        <v>11.6</v>
      </c>
      <c r="L71" s="65">
        <v>11.6</v>
      </c>
      <c r="M71" s="65">
        <v>10.8</v>
      </c>
      <c r="N71" s="65">
        <v>10.8</v>
      </c>
      <c r="O71" s="65">
        <v>10.8</v>
      </c>
      <c r="P71" s="65">
        <v>10.8</v>
      </c>
      <c r="Q71" s="65">
        <v>10.8</v>
      </c>
      <c r="R71" s="65">
        <v>10.8</v>
      </c>
      <c r="S71" s="65">
        <v>10.8</v>
      </c>
      <c r="T71" s="65">
        <v>10.8</v>
      </c>
      <c r="U71" s="65">
        <v>10.8</v>
      </c>
      <c r="V71" s="65">
        <v>10.8</v>
      </c>
      <c r="W71" s="65">
        <v>10.8</v>
      </c>
      <c r="X71" s="65">
        <v>10.8</v>
      </c>
      <c r="Y71" s="65">
        <v>10.8</v>
      </c>
      <c r="Z71" s="65">
        <v>10.8</v>
      </c>
      <c r="AA71" s="65">
        <v>10.8</v>
      </c>
      <c r="AB71" s="65">
        <v>10.8</v>
      </c>
      <c r="AC71" s="65">
        <v>10.8</v>
      </c>
      <c r="AD71" s="65">
        <v>10.8</v>
      </c>
      <c r="AE71" s="65">
        <v>10.8</v>
      </c>
      <c r="AF71" s="65">
        <v>10.8</v>
      </c>
      <c r="AG71" s="55">
        <v>14.1</v>
      </c>
      <c r="AH71" s="47">
        <f t="shared" si="2"/>
        <v>11.6</v>
      </c>
      <c r="AI71" s="48">
        <f t="shared" si="3"/>
        <v>10.8</v>
      </c>
      <c r="AJ71" s="1"/>
      <c r="AK71" s="50"/>
      <c r="AL71" s="1"/>
      <c r="AM71" s="1"/>
      <c r="AN71" s="1"/>
      <c r="AO71" s="1"/>
    </row>
    <row r="72" spans="1:41" x14ac:dyDescent="0.25">
      <c r="A72" s="71" t="s">
        <v>72</v>
      </c>
      <c r="B72" s="65">
        <v>3.4</v>
      </c>
      <c r="C72" s="65">
        <v>3.4</v>
      </c>
      <c r="D72" s="65">
        <v>3.4</v>
      </c>
      <c r="E72" s="65">
        <v>3.4</v>
      </c>
      <c r="F72" s="65">
        <v>3.4</v>
      </c>
      <c r="G72" s="65">
        <v>3.4</v>
      </c>
      <c r="H72" s="65">
        <v>3.4</v>
      </c>
      <c r="I72" s="65">
        <v>3.4</v>
      </c>
      <c r="J72" s="65">
        <v>3.4</v>
      </c>
      <c r="K72" s="65">
        <v>3.4</v>
      </c>
      <c r="L72" s="65">
        <v>5</v>
      </c>
      <c r="M72" s="65">
        <v>5</v>
      </c>
      <c r="N72" s="65">
        <v>5</v>
      </c>
      <c r="O72" s="65">
        <v>5</v>
      </c>
      <c r="P72" s="65">
        <v>5</v>
      </c>
      <c r="Q72" s="65">
        <v>5</v>
      </c>
      <c r="R72" s="65">
        <v>5</v>
      </c>
      <c r="S72" s="65">
        <v>5</v>
      </c>
      <c r="T72" s="65">
        <v>5</v>
      </c>
      <c r="U72" s="65">
        <v>5</v>
      </c>
      <c r="V72" s="65">
        <v>5</v>
      </c>
      <c r="W72" s="65">
        <v>5</v>
      </c>
      <c r="X72" s="65">
        <v>5</v>
      </c>
      <c r="Y72" s="65">
        <v>5</v>
      </c>
      <c r="Z72" s="65">
        <v>5</v>
      </c>
      <c r="AA72" s="65">
        <v>5</v>
      </c>
      <c r="AB72" s="65">
        <v>5</v>
      </c>
      <c r="AC72" s="65">
        <v>5</v>
      </c>
      <c r="AD72" s="65">
        <v>5</v>
      </c>
      <c r="AE72" s="65">
        <v>5</v>
      </c>
      <c r="AF72" s="65">
        <v>5</v>
      </c>
      <c r="AG72" s="55">
        <v>14</v>
      </c>
      <c r="AH72" s="47">
        <f t="shared" si="2"/>
        <v>5</v>
      </c>
      <c r="AI72" s="48">
        <f t="shared" si="3"/>
        <v>3.4</v>
      </c>
      <c r="AK72" s="50"/>
    </row>
    <row r="73" spans="1:41" x14ac:dyDescent="0.25">
      <c r="A73" s="54" t="s">
        <v>73</v>
      </c>
      <c r="B73" s="65">
        <v>5</v>
      </c>
      <c r="C73" s="65">
        <v>5</v>
      </c>
      <c r="D73" s="65">
        <v>5</v>
      </c>
      <c r="E73" s="65">
        <v>5</v>
      </c>
      <c r="F73" s="65">
        <v>5</v>
      </c>
      <c r="G73" s="65">
        <v>5</v>
      </c>
      <c r="H73" s="65">
        <v>5</v>
      </c>
      <c r="I73" s="65">
        <v>5</v>
      </c>
      <c r="J73" s="65">
        <v>5</v>
      </c>
      <c r="K73" s="65">
        <v>5</v>
      </c>
      <c r="L73" s="65">
        <v>5</v>
      </c>
      <c r="M73" s="65">
        <v>5</v>
      </c>
      <c r="N73" s="65">
        <v>5</v>
      </c>
      <c r="O73" s="65">
        <v>5</v>
      </c>
      <c r="P73" s="65">
        <v>5</v>
      </c>
      <c r="Q73" s="65">
        <v>5</v>
      </c>
      <c r="R73" s="65">
        <v>5</v>
      </c>
      <c r="S73" s="65">
        <v>5</v>
      </c>
      <c r="T73" s="65">
        <v>5</v>
      </c>
      <c r="U73" s="65">
        <v>5</v>
      </c>
      <c r="V73" s="65">
        <v>5</v>
      </c>
      <c r="W73" s="65">
        <v>5</v>
      </c>
      <c r="X73" s="65">
        <v>5</v>
      </c>
      <c r="Y73" s="65">
        <v>5</v>
      </c>
      <c r="Z73" s="65">
        <v>5</v>
      </c>
      <c r="AA73" s="65">
        <v>5</v>
      </c>
      <c r="AB73" s="65">
        <v>5</v>
      </c>
      <c r="AC73" s="65">
        <v>5</v>
      </c>
      <c r="AD73" s="65">
        <v>5</v>
      </c>
      <c r="AE73" s="65">
        <v>5</v>
      </c>
      <c r="AF73" s="65">
        <v>5</v>
      </c>
      <c r="AG73" s="55">
        <v>10.050000000000001</v>
      </c>
      <c r="AH73" s="47">
        <f t="shared" si="2"/>
        <v>5</v>
      </c>
      <c r="AI73" s="48">
        <f t="shared" si="3"/>
        <v>5</v>
      </c>
      <c r="AK73" s="50"/>
    </row>
    <row r="74" spans="1:41" x14ac:dyDescent="0.25">
      <c r="A74" s="54" t="s">
        <v>74</v>
      </c>
      <c r="B74" s="65">
        <v>2</v>
      </c>
      <c r="C74" s="65">
        <v>2</v>
      </c>
      <c r="D74" s="65">
        <v>2</v>
      </c>
      <c r="E74" s="65">
        <v>2</v>
      </c>
      <c r="F74" s="65">
        <v>2</v>
      </c>
      <c r="G74" s="65">
        <v>2</v>
      </c>
      <c r="H74" s="65">
        <v>2</v>
      </c>
      <c r="I74" s="65">
        <v>2</v>
      </c>
      <c r="J74" s="65">
        <v>2</v>
      </c>
      <c r="K74" s="65">
        <v>2</v>
      </c>
      <c r="L74" s="65">
        <v>2</v>
      </c>
      <c r="M74" s="65">
        <v>2</v>
      </c>
      <c r="N74" s="65">
        <v>2</v>
      </c>
      <c r="O74" s="65">
        <v>2</v>
      </c>
      <c r="P74" s="65">
        <v>2</v>
      </c>
      <c r="Q74" s="65">
        <v>2</v>
      </c>
      <c r="R74" s="65">
        <v>2</v>
      </c>
      <c r="S74" s="65">
        <v>2</v>
      </c>
      <c r="T74" s="65">
        <v>2</v>
      </c>
      <c r="U74" s="65">
        <v>2</v>
      </c>
      <c r="V74" s="65">
        <v>2</v>
      </c>
      <c r="W74" s="65">
        <v>2</v>
      </c>
      <c r="X74" s="65">
        <v>2</v>
      </c>
      <c r="Y74" s="65">
        <v>2</v>
      </c>
      <c r="Z74" s="65">
        <v>2</v>
      </c>
      <c r="AA74" s="65">
        <v>2</v>
      </c>
      <c r="AB74" s="65">
        <v>2</v>
      </c>
      <c r="AC74" s="65">
        <v>2</v>
      </c>
      <c r="AD74" s="65">
        <v>2</v>
      </c>
      <c r="AE74" s="65">
        <v>2</v>
      </c>
      <c r="AF74" s="65">
        <v>2</v>
      </c>
      <c r="AG74" s="55">
        <v>6.2</v>
      </c>
      <c r="AH74" s="47">
        <f t="shared" si="2"/>
        <v>2</v>
      </c>
      <c r="AI74" s="48">
        <f t="shared" si="3"/>
        <v>2</v>
      </c>
      <c r="AK74" s="50"/>
    </row>
    <row r="75" spans="1:41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3.54</v>
      </c>
      <c r="Z75" s="72">
        <v>3.54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2"/>
        <v>3.54</v>
      </c>
      <c r="AI75" s="48">
        <f t="shared" si="3"/>
        <v>3.54</v>
      </c>
      <c r="AK75" s="50"/>
    </row>
    <row r="76" spans="1:41" ht="15.75" thickBot="1" x14ac:dyDescent="0.3">
      <c r="A76" s="74" t="s">
        <v>76</v>
      </c>
      <c r="B76" s="60">
        <f>SUM(B64:B75)</f>
        <v>110.84</v>
      </c>
      <c r="C76" s="60">
        <f>SUM(C64:C75)</f>
        <v>84.84</v>
      </c>
      <c r="D76" s="60">
        <f>SUM(D64:D75)</f>
        <v>84.84</v>
      </c>
      <c r="E76" s="60">
        <f t="shared" ref="E76:AG76" si="25">SUM(E63:E75)</f>
        <v>84.84</v>
      </c>
      <c r="F76" s="60">
        <f t="shared" si="25"/>
        <v>85.34</v>
      </c>
      <c r="G76" s="60">
        <f t="shared" si="25"/>
        <v>112.34</v>
      </c>
      <c r="H76" s="60">
        <f t="shared" si="25"/>
        <v>222.34</v>
      </c>
      <c r="I76" s="60">
        <f t="shared" si="25"/>
        <v>305.94000000000005</v>
      </c>
      <c r="J76" s="60">
        <f t="shared" si="25"/>
        <v>353.84000000000003</v>
      </c>
      <c r="K76" s="60">
        <f t="shared" si="25"/>
        <v>301.34000000000003</v>
      </c>
      <c r="L76" s="60">
        <f t="shared" si="25"/>
        <v>327.44000000000005</v>
      </c>
      <c r="M76" s="60">
        <f t="shared" si="25"/>
        <v>323.74</v>
      </c>
      <c r="N76" s="60">
        <f t="shared" si="25"/>
        <v>277.04000000000002</v>
      </c>
      <c r="O76" s="60">
        <f t="shared" si="25"/>
        <v>233.34</v>
      </c>
      <c r="P76" s="60">
        <f t="shared" si="25"/>
        <v>260.54000000000002</v>
      </c>
      <c r="Q76" s="60">
        <f t="shared" si="25"/>
        <v>327.14000000000004</v>
      </c>
      <c r="R76" s="60">
        <f t="shared" si="25"/>
        <v>257.54000000000002</v>
      </c>
      <c r="S76" s="60">
        <f t="shared" ref="S76:T76" si="26">SUM(S63:S75)</f>
        <v>203.84</v>
      </c>
      <c r="T76" s="60">
        <f t="shared" si="26"/>
        <v>215.04</v>
      </c>
      <c r="U76" s="60">
        <f t="shared" ref="U76:V76" si="27">SUM(U63:U75)</f>
        <v>217.04</v>
      </c>
      <c r="V76" s="60">
        <f t="shared" si="27"/>
        <v>213.44</v>
      </c>
      <c r="W76" s="60">
        <f t="shared" ref="W76:Y76" si="28">SUM(W63:W75)</f>
        <v>238.44</v>
      </c>
      <c r="X76" s="60">
        <f t="shared" si="28"/>
        <v>317.34000000000003</v>
      </c>
      <c r="Y76" s="60">
        <f t="shared" si="28"/>
        <v>381.94000000000005</v>
      </c>
      <c r="Z76" s="60">
        <f t="shared" ref="Z76:AA76" si="29">SUM(Z63:Z75)</f>
        <v>381.94000000000005</v>
      </c>
      <c r="AA76" s="60">
        <f t="shared" si="29"/>
        <v>356.34000000000003</v>
      </c>
      <c r="AB76" s="60">
        <f t="shared" si="25"/>
        <v>298.84000000000003</v>
      </c>
      <c r="AC76" s="60">
        <f t="shared" ref="AC76" si="30">SUM(AC63:AC75)</f>
        <v>253.04</v>
      </c>
      <c r="AD76" s="60">
        <f t="shared" si="25"/>
        <v>253.04</v>
      </c>
      <c r="AE76" s="60">
        <f t="shared" ref="AE76:AF76" si="31">SUM(AE63:AE75)</f>
        <v>166.44</v>
      </c>
      <c r="AF76" s="60">
        <f t="shared" si="31"/>
        <v>96.44</v>
      </c>
      <c r="AG76" s="61">
        <f t="shared" si="25"/>
        <v>489.91</v>
      </c>
      <c r="AH76" s="47">
        <f t="shared" si="2"/>
        <v>381.94000000000005</v>
      </c>
      <c r="AI76" s="48">
        <f t="shared" si="3"/>
        <v>84.84</v>
      </c>
      <c r="AK76" s="50"/>
    </row>
    <row r="77" spans="1:41" x14ac:dyDescent="0.25">
      <c r="A77" s="44" t="s">
        <v>77</v>
      </c>
      <c r="B77" s="45">
        <v>0</v>
      </c>
      <c r="C77" s="45">
        <v>0</v>
      </c>
      <c r="D77" s="4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>
        <v>15</v>
      </c>
      <c r="Z77" s="45">
        <v>19.899999999999999</v>
      </c>
      <c r="AA77" s="45">
        <v>0</v>
      </c>
      <c r="AB77" s="45"/>
      <c r="AC77" s="45">
        <v>0</v>
      </c>
      <c r="AD77" s="45">
        <v>0</v>
      </c>
      <c r="AE77" s="45">
        <v>0</v>
      </c>
      <c r="AF77" s="45">
        <v>0</v>
      </c>
      <c r="AG77" s="52">
        <v>60</v>
      </c>
      <c r="AH77" s="47">
        <f t="shared" si="2"/>
        <v>19.899999999999999</v>
      </c>
      <c r="AI77" s="48">
        <f t="shared" si="3"/>
        <v>0</v>
      </c>
      <c r="AK77" s="50"/>
    </row>
    <row r="78" spans="1:41" x14ac:dyDescent="0.25">
      <c r="A78" s="54" t="s">
        <v>78</v>
      </c>
      <c r="B78" s="65">
        <v>0</v>
      </c>
      <c r="C78" s="65">
        <v>0</v>
      </c>
      <c r="D78" s="65">
        <v>0</v>
      </c>
      <c r="E78" s="65">
        <v>0</v>
      </c>
      <c r="F78" s="65">
        <v>0</v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>
        <v>6.9</v>
      </c>
      <c r="Z78" s="65">
        <v>10.8</v>
      </c>
      <c r="AA78" s="65">
        <v>0</v>
      </c>
      <c r="AB78" s="65"/>
      <c r="AC78" s="65">
        <v>0</v>
      </c>
      <c r="AD78" s="65">
        <v>0</v>
      </c>
      <c r="AE78" s="65">
        <v>0</v>
      </c>
      <c r="AF78" s="65">
        <v>0</v>
      </c>
      <c r="AG78" s="55">
        <v>32</v>
      </c>
      <c r="AH78" s="47">
        <f t="shared" si="2"/>
        <v>10.8</v>
      </c>
      <c r="AI78" s="48">
        <f t="shared" si="3"/>
        <v>0</v>
      </c>
      <c r="AK78" s="50"/>
    </row>
    <row r="79" spans="1:41" ht="15.75" thickBot="1" x14ac:dyDescent="0.3">
      <c r="A79" s="71" t="s">
        <v>79</v>
      </c>
      <c r="B79" s="67">
        <v>0</v>
      </c>
      <c r="C79" s="67">
        <v>0</v>
      </c>
      <c r="D79" s="67">
        <v>0</v>
      </c>
      <c r="E79" s="67">
        <v>0</v>
      </c>
      <c r="F79" s="67">
        <v>0</v>
      </c>
      <c r="G79" s="67">
        <v>0</v>
      </c>
      <c r="H79" s="67">
        <v>0</v>
      </c>
      <c r="I79" s="67">
        <v>0</v>
      </c>
      <c r="J79" s="67">
        <v>0</v>
      </c>
      <c r="K79" s="67">
        <v>0</v>
      </c>
      <c r="L79" s="67">
        <v>0</v>
      </c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>
        <v>2.5</v>
      </c>
      <c r="Z79" s="67">
        <v>4</v>
      </c>
      <c r="AA79" s="67">
        <v>0</v>
      </c>
      <c r="AB79" s="67"/>
      <c r="AC79" s="67">
        <v>0</v>
      </c>
      <c r="AD79" s="67">
        <v>0</v>
      </c>
      <c r="AE79" s="67">
        <v>0</v>
      </c>
      <c r="AF79" s="67">
        <v>0</v>
      </c>
      <c r="AG79" s="68">
        <v>14</v>
      </c>
      <c r="AH79" s="47">
        <f t="shared" si="2"/>
        <v>4</v>
      </c>
      <c r="AI79" s="48">
        <f t="shared" si="3"/>
        <v>0</v>
      </c>
      <c r="AK79" s="50"/>
    </row>
    <row r="80" spans="1:41" ht="15.75" thickBot="1" x14ac:dyDescent="0.3">
      <c r="A80" s="74" t="s">
        <v>80</v>
      </c>
      <c r="B80" s="60">
        <f t="shared" ref="B80:C80" si="32">B77+B78+B79</f>
        <v>0</v>
      </c>
      <c r="C80" s="60">
        <f t="shared" si="32"/>
        <v>0</v>
      </c>
      <c r="D80" s="60">
        <f t="shared" ref="D80" si="33">D77+D78+D79</f>
        <v>0</v>
      </c>
      <c r="E80" s="60">
        <f t="shared" ref="E80:AB80" si="34">E77+E78+E79</f>
        <v>0</v>
      </c>
      <c r="F80" s="60">
        <f t="shared" si="34"/>
        <v>0</v>
      </c>
      <c r="G80" s="60">
        <f t="shared" si="34"/>
        <v>0</v>
      </c>
      <c r="H80" s="60">
        <f t="shared" si="34"/>
        <v>0</v>
      </c>
      <c r="I80" s="60">
        <f t="shared" si="34"/>
        <v>0</v>
      </c>
      <c r="J80" s="60">
        <f t="shared" si="34"/>
        <v>0</v>
      </c>
      <c r="K80" s="60">
        <f t="shared" si="34"/>
        <v>0</v>
      </c>
      <c r="L80" s="60">
        <f t="shared" si="34"/>
        <v>0</v>
      </c>
      <c r="M80" s="60">
        <f t="shared" si="34"/>
        <v>0</v>
      </c>
      <c r="N80" s="60">
        <f t="shared" si="34"/>
        <v>0</v>
      </c>
      <c r="O80" s="60">
        <f t="shared" si="34"/>
        <v>0</v>
      </c>
      <c r="P80" s="60">
        <f t="shared" si="34"/>
        <v>0</v>
      </c>
      <c r="Q80" s="60">
        <f t="shared" si="34"/>
        <v>0</v>
      </c>
      <c r="R80" s="60">
        <f t="shared" si="34"/>
        <v>0</v>
      </c>
      <c r="S80" s="60">
        <f t="shared" ref="S80:T80" si="35">S77+S78+S79</f>
        <v>0</v>
      </c>
      <c r="T80" s="60">
        <f t="shared" si="35"/>
        <v>0</v>
      </c>
      <c r="U80" s="60">
        <f t="shared" ref="U80:V80" si="36">U77+U78+U79</f>
        <v>0</v>
      </c>
      <c r="V80" s="60">
        <f t="shared" si="36"/>
        <v>0</v>
      </c>
      <c r="W80" s="60">
        <f t="shared" ref="W80:X80" si="37">W77+W78+W79</f>
        <v>0</v>
      </c>
      <c r="X80" s="60">
        <f t="shared" si="37"/>
        <v>0</v>
      </c>
      <c r="Y80" s="60">
        <v>1</v>
      </c>
      <c r="Z80" s="60">
        <v>1</v>
      </c>
      <c r="AA80" s="60">
        <v>1</v>
      </c>
      <c r="AB80" s="60">
        <f t="shared" si="34"/>
        <v>0</v>
      </c>
      <c r="AC80" s="60">
        <f t="shared" ref="AC80:AD80" si="38">AC77+AC78+AC79</f>
        <v>0</v>
      </c>
      <c r="AD80" s="60">
        <f t="shared" si="38"/>
        <v>0</v>
      </c>
      <c r="AE80" s="60">
        <f t="shared" ref="AE80:AF80" si="39">AE77+AE78+AE79</f>
        <v>0</v>
      </c>
      <c r="AF80" s="60">
        <f t="shared" si="39"/>
        <v>0</v>
      </c>
      <c r="AG80" s="61">
        <f>SUM(AG77:AG79)</f>
        <v>106</v>
      </c>
      <c r="AH80" s="47">
        <f t="shared" si="2"/>
        <v>1</v>
      </c>
      <c r="AI80" s="48">
        <f t="shared" si="3"/>
        <v>0</v>
      </c>
      <c r="AK80" s="50"/>
    </row>
    <row r="81" spans="1:40" x14ac:dyDescent="0.25">
      <c r="A81" s="44" t="s">
        <v>81</v>
      </c>
      <c r="B81" s="45">
        <v>62.5</v>
      </c>
      <c r="C81" s="45">
        <v>71</v>
      </c>
      <c r="D81" s="45">
        <v>68</v>
      </c>
      <c r="E81" s="45">
        <v>69.599999999999994</v>
      </c>
      <c r="F81" s="45">
        <v>70.7</v>
      </c>
      <c r="G81" s="45">
        <v>59</v>
      </c>
      <c r="H81" s="45">
        <v>74</v>
      </c>
      <c r="I81" s="45">
        <v>72.599999999999994</v>
      </c>
      <c r="J81" s="45">
        <v>64.5</v>
      </c>
      <c r="K81" s="45">
        <v>54</v>
      </c>
      <c r="L81" s="45">
        <v>56</v>
      </c>
      <c r="M81" s="45">
        <v>57.8</v>
      </c>
      <c r="N81" s="45">
        <v>53.3</v>
      </c>
      <c r="O81" s="45">
        <v>58</v>
      </c>
      <c r="P81" s="45">
        <v>65.400000000000006</v>
      </c>
      <c r="Q81" s="45">
        <v>69</v>
      </c>
      <c r="R81" s="45">
        <v>55.5</v>
      </c>
      <c r="S81" s="45">
        <v>67.400000000000006</v>
      </c>
      <c r="T81" s="45">
        <v>64.7</v>
      </c>
      <c r="U81" s="45">
        <v>51.8</v>
      </c>
      <c r="V81" s="45">
        <v>51.8</v>
      </c>
      <c r="W81" s="45">
        <v>58.8</v>
      </c>
      <c r="X81" s="45">
        <v>60.4</v>
      </c>
      <c r="Y81" s="45">
        <v>61.9</v>
      </c>
      <c r="Z81" s="45">
        <v>59.7</v>
      </c>
      <c r="AA81" s="45">
        <v>45.4</v>
      </c>
      <c r="AB81" s="45">
        <v>46.4</v>
      </c>
      <c r="AC81" s="45">
        <v>60</v>
      </c>
      <c r="AD81" s="45">
        <v>61</v>
      </c>
      <c r="AE81" s="45">
        <v>57</v>
      </c>
      <c r="AF81" s="45">
        <v>57</v>
      </c>
      <c r="AG81" s="52"/>
      <c r="AH81" s="47">
        <f t="shared" si="2"/>
        <v>74</v>
      </c>
      <c r="AI81" s="48">
        <f t="shared" si="3"/>
        <v>45.4</v>
      </c>
      <c r="AK81" s="50"/>
    </row>
    <row r="82" spans="1:40" x14ac:dyDescent="0.25">
      <c r="A82" s="54" t="s">
        <v>82</v>
      </c>
      <c r="B82" s="65">
        <v>0</v>
      </c>
      <c r="C82" s="65">
        <v>0</v>
      </c>
      <c r="D82" s="65">
        <v>0</v>
      </c>
      <c r="E82" s="65">
        <v>0</v>
      </c>
      <c r="F82" s="65">
        <v>0</v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  <c r="O82" s="65">
        <v>0</v>
      </c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>
        <v>0</v>
      </c>
      <c r="AC82" s="65">
        <v>0</v>
      </c>
      <c r="AD82" s="65">
        <v>0</v>
      </c>
      <c r="AE82" s="65">
        <v>0</v>
      </c>
      <c r="AF82" s="65">
        <v>0</v>
      </c>
      <c r="AG82" s="55"/>
      <c r="AH82" s="47">
        <f t="shared" si="2"/>
        <v>0</v>
      </c>
      <c r="AI82" s="48">
        <f t="shared" si="3"/>
        <v>0</v>
      </c>
      <c r="AK82" s="50"/>
    </row>
    <row r="83" spans="1:40" x14ac:dyDescent="0.25">
      <c r="A83" s="54" t="s">
        <v>83</v>
      </c>
      <c r="B83" s="65">
        <v>375</v>
      </c>
      <c r="C83" s="65">
        <v>407</v>
      </c>
      <c r="D83" s="65">
        <v>375</v>
      </c>
      <c r="E83" s="65">
        <v>371</v>
      </c>
      <c r="F83" s="65">
        <v>372.4</v>
      </c>
      <c r="G83" s="65">
        <v>391</v>
      </c>
      <c r="H83" s="65">
        <v>387</v>
      </c>
      <c r="I83" s="65">
        <v>410</v>
      </c>
      <c r="J83" s="65">
        <v>403</v>
      </c>
      <c r="K83" s="65">
        <v>376</v>
      </c>
      <c r="L83" s="65">
        <v>150</v>
      </c>
      <c r="M83" s="65">
        <v>102</v>
      </c>
      <c r="N83" s="65">
        <v>213</v>
      </c>
      <c r="O83" s="65">
        <v>385</v>
      </c>
      <c r="P83" s="65">
        <v>402</v>
      </c>
      <c r="Q83" s="65">
        <v>389</v>
      </c>
      <c r="R83" s="65">
        <v>348</v>
      </c>
      <c r="S83" s="65">
        <v>403.7</v>
      </c>
      <c r="T83" s="65">
        <v>398.2</v>
      </c>
      <c r="U83" s="65">
        <v>459.7</v>
      </c>
      <c r="V83" s="65">
        <v>459.7</v>
      </c>
      <c r="W83" s="65">
        <v>270.60000000000002</v>
      </c>
      <c r="X83" s="65">
        <v>242.9</v>
      </c>
      <c r="Y83" s="65">
        <v>304.2</v>
      </c>
      <c r="Z83" s="65">
        <v>106.8</v>
      </c>
      <c r="AA83" s="65">
        <v>91.9</v>
      </c>
      <c r="AB83" s="65">
        <v>310</v>
      </c>
      <c r="AC83" s="65">
        <v>385</v>
      </c>
      <c r="AD83" s="65">
        <v>390</v>
      </c>
      <c r="AE83" s="65">
        <v>380</v>
      </c>
      <c r="AF83" s="65">
        <v>370</v>
      </c>
      <c r="AG83" s="75"/>
      <c r="AH83" s="47">
        <f t="shared" si="2"/>
        <v>459.7</v>
      </c>
      <c r="AI83" s="48">
        <f t="shared" si="3"/>
        <v>91.9</v>
      </c>
      <c r="AK83" s="50"/>
    </row>
    <row r="84" spans="1:40" x14ac:dyDescent="0.25">
      <c r="A84" s="54" t="s">
        <v>84</v>
      </c>
      <c r="B84" s="65">
        <v>14</v>
      </c>
      <c r="C84" s="65">
        <v>35</v>
      </c>
      <c r="D84" s="65">
        <v>32</v>
      </c>
      <c r="E84" s="65">
        <v>43.4</v>
      </c>
      <c r="F84" s="65">
        <v>39.200000000000003</v>
      </c>
      <c r="G84" s="65">
        <v>38.299999999999997</v>
      </c>
      <c r="H84" s="65">
        <v>42.6</v>
      </c>
      <c r="I84" s="65">
        <v>41.2</v>
      </c>
      <c r="J84" s="65">
        <v>39</v>
      </c>
      <c r="K84" s="65">
        <v>36.4</v>
      </c>
      <c r="L84" s="65">
        <v>28</v>
      </c>
      <c r="M84" s="76">
        <v>32</v>
      </c>
      <c r="N84" s="76">
        <v>25</v>
      </c>
      <c r="O84" s="76">
        <v>25</v>
      </c>
      <c r="P84" s="76">
        <v>29</v>
      </c>
      <c r="Q84" s="76">
        <v>51</v>
      </c>
      <c r="R84" s="76">
        <v>37</v>
      </c>
      <c r="S84" s="76">
        <v>39.299999999999997</v>
      </c>
      <c r="T84" s="76">
        <v>65</v>
      </c>
      <c r="U84" s="76">
        <v>67.3</v>
      </c>
      <c r="V84" s="76">
        <v>67.3</v>
      </c>
      <c r="W84" s="76">
        <v>38.700000000000003</v>
      </c>
      <c r="X84" s="76">
        <v>39.4</v>
      </c>
      <c r="Y84" s="76">
        <v>40.1</v>
      </c>
      <c r="Z84" s="76">
        <v>36.799999999999997</v>
      </c>
      <c r="AA84" s="76">
        <v>38.6</v>
      </c>
      <c r="AB84" s="76">
        <v>45</v>
      </c>
      <c r="AC84" s="76">
        <v>46</v>
      </c>
      <c r="AD84" s="76">
        <v>54</v>
      </c>
      <c r="AE84" s="76">
        <v>57</v>
      </c>
      <c r="AF84" s="76">
        <v>10</v>
      </c>
      <c r="AG84" s="75"/>
      <c r="AH84" s="47">
        <f t="shared" si="2"/>
        <v>67.3</v>
      </c>
      <c r="AI84" s="48">
        <f t="shared" si="3"/>
        <v>10</v>
      </c>
      <c r="AK84" s="50"/>
    </row>
    <row r="85" spans="1:40" x14ac:dyDescent="0.25">
      <c r="A85" s="54" t="s">
        <v>85</v>
      </c>
      <c r="B85" s="45">
        <v>22</v>
      </c>
      <c r="C85" s="45">
        <v>20</v>
      </c>
      <c r="D85" s="45">
        <v>20</v>
      </c>
      <c r="E85" s="45">
        <v>21.6</v>
      </c>
      <c r="F85" s="45">
        <v>19</v>
      </c>
      <c r="G85" s="45">
        <v>22</v>
      </c>
      <c r="H85" s="45">
        <v>20.6</v>
      </c>
      <c r="I85" s="45">
        <v>20</v>
      </c>
      <c r="J85" s="45">
        <v>20</v>
      </c>
      <c r="K85" s="45">
        <v>18</v>
      </c>
      <c r="L85" s="45">
        <v>20</v>
      </c>
      <c r="M85" s="45">
        <v>8</v>
      </c>
      <c r="N85" s="45">
        <v>12</v>
      </c>
      <c r="O85" s="45">
        <v>10</v>
      </c>
      <c r="P85" s="45">
        <v>14.6</v>
      </c>
      <c r="Q85" s="45">
        <v>35.200000000000003</v>
      </c>
      <c r="R85" s="45">
        <v>35</v>
      </c>
      <c r="S85" s="45">
        <v>100</v>
      </c>
      <c r="T85" s="45">
        <v>108.6</v>
      </c>
      <c r="U85" s="45">
        <v>99.4</v>
      </c>
      <c r="V85" s="45">
        <v>99.4</v>
      </c>
      <c r="W85" s="45">
        <v>99.4</v>
      </c>
      <c r="X85" s="45">
        <v>53.8</v>
      </c>
      <c r="Y85" s="45">
        <v>54.4</v>
      </c>
      <c r="Z85" s="45">
        <v>50.4</v>
      </c>
      <c r="AA85" s="45">
        <v>50.8</v>
      </c>
      <c r="AB85" s="45">
        <v>61</v>
      </c>
      <c r="AC85" s="45">
        <v>62</v>
      </c>
      <c r="AD85" s="45">
        <v>100</v>
      </c>
      <c r="AE85" s="45">
        <v>118</v>
      </c>
      <c r="AF85" s="45">
        <v>94</v>
      </c>
      <c r="AG85" s="75"/>
      <c r="AH85" s="47">
        <f t="shared" ref="AH85:AH130" si="40">MAX(B85:AF85)</f>
        <v>118</v>
      </c>
      <c r="AI85" s="48">
        <f t="shared" ref="AI85:AI130" si="41">MIN(B85:AF85)</f>
        <v>8</v>
      </c>
      <c r="AK85" s="50"/>
    </row>
    <row r="86" spans="1:40" x14ac:dyDescent="0.25">
      <c r="A86" s="54" t="s">
        <v>86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/>
      <c r="AH86" s="47">
        <f t="shared" si="40"/>
        <v>0</v>
      </c>
      <c r="AI86" s="48">
        <f t="shared" si="41"/>
        <v>0</v>
      </c>
      <c r="AK86" s="50"/>
    </row>
    <row r="87" spans="1:40" ht="15.75" thickBot="1" x14ac:dyDescent="0.3">
      <c r="A87" s="54" t="s">
        <v>87</v>
      </c>
      <c r="B87" s="77">
        <v>0</v>
      </c>
      <c r="C87" s="77">
        <v>0</v>
      </c>
      <c r="D87" s="77">
        <v>0</v>
      </c>
      <c r="E87" s="77">
        <v>0</v>
      </c>
      <c r="F87" s="77">
        <v>0</v>
      </c>
      <c r="G87" s="77">
        <v>0</v>
      </c>
      <c r="H87" s="77">
        <v>0</v>
      </c>
      <c r="I87" s="77">
        <v>0</v>
      </c>
      <c r="J87" s="77">
        <v>0</v>
      </c>
      <c r="K87" s="77">
        <v>0</v>
      </c>
      <c r="L87" s="77">
        <v>0</v>
      </c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>
        <v>0</v>
      </c>
      <c r="AC87" s="77">
        <v>0</v>
      </c>
      <c r="AD87" s="77">
        <v>0</v>
      </c>
      <c r="AE87" s="77">
        <v>0</v>
      </c>
      <c r="AF87" s="77">
        <v>0</v>
      </c>
      <c r="AG87" s="75"/>
      <c r="AH87" s="47">
        <f t="shared" si="40"/>
        <v>0</v>
      </c>
      <c r="AI87" s="48">
        <f t="shared" si="41"/>
        <v>0</v>
      </c>
      <c r="AK87" s="50"/>
      <c r="AL87" s="78" t="s">
        <v>88</v>
      </c>
      <c r="AM87" s="78"/>
    </row>
    <row r="88" spans="1:40" x14ac:dyDescent="0.25">
      <c r="A88" s="54" t="s">
        <v>89</v>
      </c>
      <c r="B88" s="77">
        <v>0</v>
      </c>
      <c r="C88" s="77">
        <v>0</v>
      </c>
      <c r="D88" s="77">
        <v>0</v>
      </c>
      <c r="E88" s="77">
        <v>0</v>
      </c>
      <c r="F88" s="77">
        <v>0</v>
      </c>
      <c r="G88" s="77">
        <v>0</v>
      </c>
      <c r="H88" s="77">
        <v>0</v>
      </c>
      <c r="I88" s="77">
        <v>0</v>
      </c>
      <c r="J88" s="77">
        <v>0</v>
      </c>
      <c r="K88" s="77">
        <v>0</v>
      </c>
      <c r="L88" s="77">
        <v>0</v>
      </c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>
        <v>0</v>
      </c>
      <c r="AC88" s="77">
        <v>0</v>
      </c>
      <c r="AD88" s="77">
        <v>0</v>
      </c>
      <c r="AE88" s="77">
        <v>0</v>
      </c>
      <c r="AF88" s="77">
        <v>0</v>
      </c>
      <c r="AG88" s="75"/>
      <c r="AH88" s="47">
        <f t="shared" si="40"/>
        <v>0</v>
      </c>
      <c r="AI88" s="48">
        <f t="shared" si="41"/>
        <v>0</v>
      </c>
      <c r="AK88" s="79"/>
      <c r="AL88" s="80"/>
      <c r="AM88" s="80"/>
      <c r="AN88" s="81"/>
    </row>
    <row r="89" spans="1:40" x14ac:dyDescent="0.25">
      <c r="A89" s="54" t="s">
        <v>90</v>
      </c>
      <c r="B89" s="77">
        <v>0</v>
      </c>
      <c r="C89" s="77">
        <v>0</v>
      </c>
      <c r="D89" s="77">
        <v>0</v>
      </c>
      <c r="E89" s="77">
        <v>0</v>
      </c>
      <c r="F89" s="77">
        <v>0</v>
      </c>
      <c r="G89" s="77">
        <v>0</v>
      </c>
      <c r="H89" s="77">
        <v>0</v>
      </c>
      <c r="I89" s="77">
        <v>0</v>
      </c>
      <c r="J89" s="77">
        <v>0</v>
      </c>
      <c r="K89" s="77">
        <v>0</v>
      </c>
      <c r="L89" s="77">
        <v>0</v>
      </c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>
        <v>0</v>
      </c>
      <c r="AC89" s="77">
        <v>0</v>
      </c>
      <c r="AD89" s="77">
        <v>0</v>
      </c>
      <c r="AE89" s="77">
        <v>0</v>
      </c>
      <c r="AF89" s="77">
        <v>0</v>
      </c>
      <c r="AG89" s="75"/>
      <c r="AH89" s="47">
        <f t="shared" si="40"/>
        <v>0</v>
      </c>
      <c r="AI89" s="48">
        <f t="shared" si="41"/>
        <v>0</v>
      </c>
      <c r="AK89" s="82" t="s">
        <v>91</v>
      </c>
      <c r="AL89" s="65"/>
      <c r="AM89" s="76"/>
      <c r="AN89" s="83"/>
    </row>
    <row r="90" spans="1:40" x14ac:dyDescent="0.25">
      <c r="A90" s="84" t="s">
        <v>92</v>
      </c>
      <c r="B90" s="77">
        <v>0</v>
      </c>
      <c r="C90" s="77">
        <v>0</v>
      </c>
      <c r="D90" s="77">
        <v>0</v>
      </c>
      <c r="E90" s="77">
        <v>0</v>
      </c>
      <c r="F90" s="77">
        <v>0</v>
      </c>
      <c r="G90" s="77">
        <v>0</v>
      </c>
      <c r="H90" s="77">
        <v>0</v>
      </c>
      <c r="I90" s="77">
        <v>0</v>
      </c>
      <c r="J90" s="77">
        <v>0</v>
      </c>
      <c r="K90" s="77">
        <v>0</v>
      </c>
      <c r="L90" s="77">
        <v>0</v>
      </c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>
        <v>0</v>
      </c>
      <c r="AC90" s="77">
        <v>0</v>
      </c>
      <c r="AD90" s="77">
        <v>0</v>
      </c>
      <c r="AE90" s="77">
        <v>0</v>
      </c>
      <c r="AF90" s="77">
        <v>0</v>
      </c>
      <c r="AG90" s="85"/>
      <c r="AH90" s="47">
        <f t="shared" si="40"/>
        <v>0</v>
      </c>
      <c r="AI90" s="48">
        <f t="shared" si="41"/>
        <v>0</v>
      </c>
      <c r="AK90" s="82" t="s">
        <v>93</v>
      </c>
      <c r="AL90" s="76"/>
      <c r="AM90" s="76"/>
      <c r="AN90" s="83"/>
    </row>
    <row r="91" spans="1:40" ht="15.75" thickBot="1" x14ac:dyDescent="0.3">
      <c r="A91" s="84" t="s">
        <v>421</v>
      </c>
      <c r="B91" s="77">
        <v>77</v>
      </c>
      <c r="C91" s="77">
        <v>0</v>
      </c>
      <c r="D91" s="77">
        <v>0</v>
      </c>
      <c r="E91" s="77">
        <v>0</v>
      </c>
      <c r="F91" s="77">
        <v>0</v>
      </c>
      <c r="G91" s="77">
        <v>0</v>
      </c>
      <c r="H91" s="77">
        <v>0</v>
      </c>
      <c r="I91" s="77">
        <v>0</v>
      </c>
      <c r="J91" s="77">
        <v>62.1</v>
      </c>
      <c r="K91" s="77">
        <v>61.5</v>
      </c>
      <c r="L91" s="77">
        <v>61.5</v>
      </c>
      <c r="M91" s="77">
        <v>60</v>
      </c>
      <c r="N91" s="77">
        <v>65.400000000000006</v>
      </c>
      <c r="O91" s="77">
        <v>70.2</v>
      </c>
      <c r="P91" s="77">
        <v>72.5</v>
      </c>
      <c r="Q91" s="77">
        <v>78</v>
      </c>
      <c r="R91" s="77">
        <v>75</v>
      </c>
      <c r="S91" s="77">
        <v>74.3</v>
      </c>
      <c r="T91" s="77">
        <v>78.599999999999994</v>
      </c>
      <c r="U91" s="77">
        <v>77.8</v>
      </c>
      <c r="V91" s="77">
        <v>77.8</v>
      </c>
      <c r="W91" s="77">
        <v>64.5</v>
      </c>
      <c r="X91" s="77">
        <v>64.5</v>
      </c>
      <c r="Y91" s="77">
        <v>68.3</v>
      </c>
      <c r="Z91" s="77">
        <v>59.3</v>
      </c>
      <c r="AA91" s="77">
        <v>80</v>
      </c>
      <c r="AB91" s="77">
        <v>76.2</v>
      </c>
      <c r="AC91" s="77">
        <v>75</v>
      </c>
      <c r="AD91" s="77">
        <v>70</v>
      </c>
      <c r="AE91" s="77">
        <v>70</v>
      </c>
      <c r="AF91" s="77">
        <v>69</v>
      </c>
      <c r="AG91" s="85"/>
      <c r="AH91" s="47">
        <f t="shared" si="40"/>
        <v>80</v>
      </c>
      <c r="AI91" s="48">
        <f t="shared" si="41"/>
        <v>0</v>
      </c>
      <c r="AK91" s="86"/>
      <c r="AL91" s="45"/>
      <c r="AM91" s="45"/>
      <c r="AN91" s="87"/>
    </row>
    <row r="92" spans="1:40" ht="15.75" thickBot="1" x14ac:dyDescent="0.3">
      <c r="A92" s="74" t="s">
        <v>95</v>
      </c>
      <c r="B92" s="60">
        <f t="shared" ref="B92:C92" si="42">SUMIF(B81:B91,"&gt;0")</f>
        <v>550.5</v>
      </c>
      <c r="C92" s="60">
        <f t="shared" si="42"/>
        <v>533</v>
      </c>
      <c r="D92" s="60">
        <f t="shared" ref="D92" si="43">SUMIF(D81:D91,"&gt;0")</f>
        <v>495</v>
      </c>
      <c r="E92" s="60">
        <f t="shared" ref="E92:AB92" si="44">SUMIF(E81:E91,"&gt;0")</f>
        <v>505.6</v>
      </c>
      <c r="F92" s="60">
        <f t="shared" si="44"/>
        <v>501.29999999999995</v>
      </c>
      <c r="G92" s="60">
        <f t="shared" si="44"/>
        <v>510.3</v>
      </c>
      <c r="H92" s="60">
        <f t="shared" si="44"/>
        <v>524.20000000000005</v>
      </c>
      <c r="I92" s="60">
        <f t="shared" si="44"/>
        <v>543.80000000000007</v>
      </c>
      <c r="J92" s="60">
        <f t="shared" si="44"/>
        <v>588.6</v>
      </c>
      <c r="K92" s="60">
        <f t="shared" si="44"/>
        <v>545.9</v>
      </c>
      <c r="L92" s="60">
        <f t="shared" si="44"/>
        <v>315.5</v>
      </c>
      <c r="M92" s="60">
        <f t="shared" si="44"/>
        <v>259.8</v>
      </c>
      <c r="N92" s="60">
        <f t="shared" si="44"/>
        <v>368.70000000000005</v>
      </c>
      <c r="O92" s="60">
        <f t="shared" si="44"/>
        <v>548.20000000000005</v>
      </c>
      <c r="P92" s="60">
        <f t="shared" si="44"/>
        <v>583.5</v>
      </c>
      <c r="Q92" s="60">
        <f t="shared" si="44"/>
        <v>622.20000000000005</v>
      </c>
      <c r="R92" s="60">
        <f t="shared" si="44"/>
        <v>550.5</v>
      </c>
      <c r="S92" s="60">
        <f t="shared" ref="S92:T92" si="45">SUMIF(S81:S91,"&gt;0")</f>
        <v>684.7</v>
      </c>
      <c r="T92" s="60">
        <f t="shared" si="45"/>
        <v>715.1</v>
      </c>
      <c r="U92" s="60">
        <f t="shared" ref="U92:V92" si="46">SUMIF(U81:U91,"&gt;0")</f>
        <v>755.99999999999989</v>
      </c>
      <c r="V92" s="60">
        <f t="shared" si="46"/>
        <v>755.99999999999989</v>
      </c>
      <c r="W92" s="60">
        <f t="shared" ref="W92:Y92" si="47">SUMIF(W81:W91,"&gt;0")</f>
        <v>532</v>
      </c>
      <c r="X92" s="60">
        <f t="shared" si="47"/>
        <v>461</v>
      </c>
      <c r="Y92" s="60">
        <f t="shared" si="47"/>
        <v>528.9</v>
      </c>
      <c r="Z92" s="60">
        <f t="shared" ref="Z92:AA92" si="48">SUMIF(Z81:Z91,"&gt;0")</f>
        <v>313</v>
      </c>
      <c r="AA92" s="60">
        <f t="shared" si="48"/>
        <v>306.7</v>
      </c>
      <c r="AB92" s="60">
        <f t="shared" si="44"/>
        <v>538.6</v>
      </c>
      <c r="AC92" s="60">
        <f t="shared" ref="AC92:AD92" si="49">SUMIF(AC81:AC91,"&gt;0")</f>
        <v>628</v>
      </c>
      <c r="AD92" s="60">
        <f t="shared" si="49"/>
        <v>675</v>
      </c>
      <c r="AE92" s="60">
        <f t="shared" ref="AE92:AF92" si="50">SUMIF(AE81:AE91,"&gt;0")</f>
        <v>682</v>
      </c>
      <c r="AF92" s="60">
        <f t="shared" si="50"/>
        <v>600</v>
      </c>
      <c r="AG92" s="88">
        <f>SUM(AG81:AG91)</f>
        <v>0</v>
      </c>
      <c r="AH92" s="47">
        <f t="shared" si="40"/>
        <v>755.99999999999989</v>
      </c>
      <c r="AI92" s="48">
        <f t="shared" si="41"/>
        <v>259.8</v>
      </c>
      <c r="AK92" s="86"/>
      <c r="AL92" s="77"/>
      <c r="AM92" s="89"/>
      <c r="AN92" s="255"/>
    </row>
    <row r="93" spans="1:40" x14ac:dyDescent="0.25">
      <c r="A93" s="44" t="s">
        <v>96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40"/>
        <v>0</v>
      </c>
      <c r="AI93" s="48">
        <f t="shared" si="41"/>
        <v>0</v>
      </c>
      <c r="AK93" s="86"/>
      <c r="AL93" s="77"/>
      <c r="AM93" s="77"/>
      <c r="AN93" s="256"/>
    </row>
    <row r="94" spans="1:40" ht="15.75" thickBot="1" x14ac:dyDescent="0.3">
      <c r="A94" s="54" t="s">
        <v>97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40"/>
        <v>0</v>
      </c>
      <c r="AI94" s="48">
        <f t="shared" si="41"/>
        <v>0</v>
      </c>
      <c r="AK94" s="91"/>
      <c r="AL94" s="92"/>
      <c r="AM94" s="92"/>
      <c r="AN94" s="93"/>
    </row>
    <row r="95" spans="1:40" ht="15.75" thickBot="1" x14ac:dyDescent="0.3">
      <c r="A95" s="84" t="s">
        <v>98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40"/>
        <v>0</v>
      </c>
      <c r="AI95" s="48">
        <f t="shared" si="41"/>
        <v>0</v>
      </c>
    </row>
    <row r="96" spans="1:40" ht="15.75" thickBot="1" x14ac:dyDescent="0.3">
      <c r="A96" s="74" t="s">
        <v>99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40"/>
        <v>0</v>
      </c>
      <c r="AI96" s="48">
        <f t="shared" si="41"/>
        <v>0</v>
      </c>
    </row>
    <row r="97" spans="1:37" ht="15.75" thickBot="1" x14ac:dyDescent="0.3">
      <c r="A97" s="74" t="s">
        <v>100</v>
      </c>
      <c r="B97" s="95">
        <f t="shared" ref="B97:C97" si="51">B58+B62+B80+B76+B92+B96</f>
        <v>1197.44</v>
      </c>
      <c r="C97" s="95">
        <f t="shared" si="51"/>
        <v>1153.94</v>
      </c>
      <c r="D97" s="95">
        <f t="shared" ref="D97" si="52">D58+D62+D80+D76+D92+D96</f>
        <v>1115.94</v>
      </c>
      <c r="E97" s="95">
        <f t="shared" ref="E97:AG97" si="53">E58+E62+E80+E76+E92+E96</f>
        <v>1126.54</v>
      </c>
      <c r="F97" s="95">
        <f t="shared" si="53"/>
        <v>1122.74</v>
      </c>
      <c r="G97" s="95">
        <f t="shared" si="53"/>
        <v>1158.74</v>
      </c>
      <c r="H97" s="95">
        <f t="shared" si="53"/>
        <v>1282.6400000000001</v>
      </c>
      <c r="I97" s="95">
        <f t="shared" si="53"/>
        <v>1385.8400000000001</v>
      </c>
      <c r="J97" s="95">
        <f t="shared" si="53"/>
        <v>1478.54</v>
      </c>
      <c r="K97" s="95">
        <f t="shared" si="53"/>
        <v>1383.3400000000001</v>
      </c>
      <c r="L97" s="95">
        <f t="shared" si="53"/>
        <v>1459.04</v>
      </c>
      <c r="M97" s="95">
        <f t="shared" si="53"/>
        <v>1399.64</v>
      </c>
      <c r="N97" s="95">
        <f t="shared" si="53"/>
        <v>1375.44</v>
      </c>
      <c r="O97" s="95">
        <f t="shared" si="53"/>
        <v>1326.2400000000002</v>
      </c>
      <c r="P97" s="95">
        <f t="shared" si="53"/>
        <v>1403.8400000000001</v>
      </c>
      <c r="Q97" s="95">
        <f t="shared" si="53"/>
        <v>1569.3400000000001</v>
      </c>
      <c r="R97" s="95">
        <f t="shared" si="53"/>
        <v>1428.04</v>
      </c>
      <c r="S97" s="95">
        <f t="shared" ref="S97:T97" si="54">S58+S62+S80+S76+S92+S96</f>
        <v>1488.5400000000002</v>
      </c>
      <c r="T97" s="95">
        <f t="shared" si="54"/>
        <v>1510.14</v>
      </c>
      <c r="U97" s="95">
        <f t="shared" ref="U97:V97" si="55">U58+U62+U80+U76+U92+U96</f>
        <v>1553.04</v>
      </c>
      <c r="V97" s="95">
        <f t="shared" si="55"/>
        <v>1549.44</v>
      </c>
      <c r="W97" s="95">
        <f t="shared" ref="W97:Y97" si="56">W58+W62+W80+W76+W92+W96</f>
        <v>1435.44</v>
      </c>
      <c r="X97" s="95">
        <f t="shared" si="56"/>
        <v>1548.3400000000001</v>
      </c>
      <c r="Y97" s="95">
        <f t="shared" si="56"/>
        <v>1671.8400000000001</v>
      </c>
      <c r="Z97" s="95">
        <f t="shared" ref="Z97:AA97" si="57">Z58+Z62+Z80+Z76+Z92+Z96</f>
        <v>1600.94</v>
      </c>
      <c r="AA97" s="95">
        <f t="shared" si="57"/>
        <v>1594.0400000000002</v>
      </c>
      <c r="AB97" s="95">
        <f t="shared" si="53"/>
        <v>1572.2400000000002</v>
      </c>
      <c r="AC97" s="95">
        <f t="shared" ref="AC97:AD97" si="58">AC58+AC62+AC80+AC76+AC92+AC96</f>
        <v>1535.8400000000001</v>
      </c>
      <c r="AD97" s="95">
        <f t="shared" si="58"/>
        <v>1552.8400000000001</v>
      </c>
      <c r="AE97" s="95">
        <f t="shared" ref="AE97:AF97" si="59">AE58+AE62+AE80+AE76+AE92+AE96</f>
        <v>1403.24</v>
      </c>
      <c r="AF97" s="95">
        <f t="shared" si="59"/>
        <v>1231.24</v>
      </c>
      <c r="AG97" s="61">
        <f t="shared" si="53"/>
        <v>2231.81</v>
      </c>
      <c r="AH97" s="47">
        <f t="shared" si="40"/>
        <v>1671.8400000000001</v>
      </c>
      <c r="AI97" s="48">
        <f t="shared" si="41"/>
        <v>1115.94</v>
      </c>
    </row>
    <row r="98" spans="1:37" ht="15.75" thickBot="1" x14ac:dyDescent="0.3">
      <c r="A98" s="96" t="s">
        <v>101</v>
      </c>
      <c r="B98" s="97">
        <v>0</v>
      </c>
      <c r="C98" s="97">
        <v>0</v>
      </c>
      <c r="D98" s="97"/>
      <c r="E98" s="97"/>
      <c r="F98" s="97"/>
      <c r="G98" s="97"/>
      <c r="H98" s="97"/>
      <c r="I98" s="97"/>
      <c r="J98" s="97"/>
      <c r="K98" s="97">
        <v>180</v>
      </c>
      <c r="L98" s="97">
        <v>250</v>
      </c>
      <c r="M98" s="97">
        <v>250</v>
      </c>
      <c r="N98" s="97">
        <v>250</v>
      </c>
      <c r="O98" s="97">
        <v>230</v>
      </c>
      <c r="P98" s="97"/>
      <c r="Q98" s="97"/>
      <c r="R98" s="97"/>
      <c r="S98" s="97"/>
      <c r="T98" s="97"/>
      <c r="U98" s="97"/>
      <c r="V98" s="97"/>
      <c r="W98" s="97"/>
      <c r="X98" s="97"/>
      <c r="Y98" s="97">
        <v>250</v>
      </c>
      <c r="Z98" s="97">
        <v>250</v>
      </c>
      <c r="AA98" s="97">
        <v>250</v>
      </c>
      <c r="AB98" s="97">
        <v>200</v>
      </c>
      <c r="AC98" s="97">
        <v>150</v>
      </c>
      <c r="AD98" s="97">
        <v>0</v>
      </c>
      <c r="AE98" s="97">
        <v>0</v>
      </c>
      <c r="AF98" s="97">
        <v>1</v>
      </c>
      <c r="AG98" s="88"/>
      <c r="AH98" s="47">
        <f t="shared" si="40"/>
        <v>250</v>
      </c>
      <c r="AI98" s="48">
        <f t="shared" si="41"/>
        <v>0</v>
      </c>
    </row>
    <row r="99" spans="1:37" ht="15.75" thickBot="1" x14ac:dyDescent="0.3">
      <c r="A99" s="74" t="s">
        <v>102</v>
      </c>
      <c r="B99" s="95">
        <f t="shared" ref="B99:C99" si="60">B97+B98</f>
        <v>1197.44</v>
      </c>
      <c r="C99" s="95">
        <f t="shared" si="60"/>
        <v>1153.94</v>
      </c>
      <c r="D99" s="95">
        <f t="shared" ref="D99" si="61">D97+D98</f>
        <v>1115.94</v>
      </c>
      <c r="E99" s="95">
        <f t="shared" ref="E99:AB99" si="62">E97+E98</f>
        <v>1126.54</v>
      </c>
      <c r="F99" s="95">
        <f t="shared" si="62"/>
        <v>1122.74</v>
      </c>
      <c r="G99" s="95">
        <f t="shared" si="62"/>
        <v>1158.74</v>
      </c>
      <c r="H99" s="95">
        <f t="shared" si="62"/>
        <v>1282.6400000000001</v>
      </c>
      <c r="I99" s="95">
        <f t="shared" si="62"/>
        <v>1385.8400000000001</v>
      </c>
      <c r="J99" s="95">
        <f t="shared" si="62"/>
        <v>1478.54</v>
      </c>
      <c r="K99" s="95">
        <f t="shared" si="62"/>
        <v>1563.3400000000001</v>
      </c>
      <c r="L99" s="95">
        <f t="shared" si="62"/>
        <v>1709.04</v>
      </c>
      <c r="M99" s="95">
        <f t="shared" si="62"/>
        <v>1649.64</v>
      </c>
      <c r="N99" s="95">
        <f t="shared" si="62"/>
        <v>1625.44</v>
      </c>
      <c r="O99" s="95">
        <f t="shared" si="62"/>
        <v>1556.2400000000002</v>
      </c>
      <c r="P99" s="95">
        <f t="shared" si="62"/>
        <v>1403.8400000000001</v>
      </c>
      <c r="Q99" s="95">
        <f t="shared" si="62"/>
        <v>1569.3400000000001</v>
      </c>
      <c r="R99" s="95">
        <f t="shared" si="62"/>
        <v>1428.04</v>
      </c>
      <c r="S99" s="95">
        <f t="shared" ref="S99:T99" si="63">S97+S98</f>
        <v>1488.5400000000002</v>
      </c>
      <c r="T99" s="95">
        <f t="shared" si="63"/>
        <v>1510.14</v>
      </c>
      <c r="U99" s="95">
        <f t="shared" ref="U99:V99" si="64">U97+U98</f>
        <v>1553.04</v>
      </c>
      <c r="V99" s="95">
        <f t="shared" si="64"/>
        <v>1549.44</v>
      </c>
      <c r="W99" s="95">
        <f t="shared" ref="W99:Y99" si="65">W97+W98</f>
        <v>1435.44</v>
      </c>
      <c r="X99" s="95">
        <f t="shared" si="65"/>
        <v>1548.3400000000001</v>
      </c>
      <c r="Y99" s="95">
        <f t="shared" si="65"/>
        <v>1921.8400000000001</v>
      </c>
      <c r="Z99" s="95">
        <f t="shared" ref="Z99:AA99" si="66">Z97+Z98</f>
        <v>1850.94</v>
      </c>
      <c r="AA99" s="95">
        <f t="shared" si="66"/>
        <v>1844.0400000000002</v>
      </c>
      <c r="AB99" s="95">
        <f t="shared" si="62"/>
        <v>1772.2400000000002</v>
      </c>
      <c r="AC99" s="95">
        <f t="shared" ref="AC99:AD99" si="67">AC97+AC98</f>
        <v>1685.8400000000001</v>
      </c>
      <c r="AD99" s="95">
        <f t="shared" si="67"/>
        <v>1552.8400000000001</v>
      </c>
      <c r="AE99" s="95">
        <f t="shared" ref="AE99:AF99" si="68">AE97+AE98</f>
        <v>1403.24</v>
      </c>
      <c r="AF99" s="95">
        <f t="shared" si="68"/>
        <v>1232.24</v>
      </c>
      <c r="AG99" s="88">
        <f>AG96+AG92+AG80+AG76+AG58+AG98</f>
        <v>1693.71</v>
      </c>
      <c r="AH99" s="47">
        <f t="shared" si="40"/>
        <v>1921.8400000000001</v>
      </c>
      <c r="AI99" s="48">
        <f t="shared" si="41"/>
        <v>1115.94</v>
      </c>
    </row>
    <row r="100" spans="1:37" ht="15.75" thickBot="1" x14ac:dyDescent="0.3">
      <c r="A100" s="74" t="s">
        <v>103</v>
      </c>
      <c r="B100" s="95">
        <f t="shared" ref="B100:C100" si="69">B99-(B107)</f>
        <v>1193.44</v>
      </c>
      <c r="C100" s="95">
        <f t="shared" si="69"/>
        <v>1148.94</v>
      </c>
      <c r="D100" s="95">
        <f t="shared" ref="D100" si="70">D99-(D107)</f>
        <v>1109.94</v>
      </c>
      <c r="E100" s="95">
        <f t="shared" ref="E100:M100" si="71">E99-(E107)</f>
        <v>1126.54</v>
      </c>
      <c r="F100" s="95">
        <f t="shared" si="71"/>
        <v>1122.74</v>
      </c>
      <c r="G100" s="95">
        <f t="shared" si="71"/>
        <v>1158.74</v>
      </c>
      <c r="H100" s="95">
        <f t="shared" si="71"/>
        <v>1282.6400000000001</v>
      </c>
      <c r="I100" s="95">
        <f t="shared" si="71"/>
        <v>1385.8400000000001</v>
      </c>
      <c r="J100" s="95">
        <f t="shared" si="71"/>
        <v>1478.54</v>
      </c>
      <c r="K100" s="95">
        <f t="shared" si="71"/>
        <v>1563.3400000000001</v>
      </c>
      <c r="L100" s="95">
        <f t="shared" si="71"/>
        <v>1709.04</v>
      </c>
      <c r="M100" s="95">
        <f t="shared" si="71"/>
        <v>1649.64</v>
      </c>
      <c r="N100" s="95">
        <f>N99-(N107)</f>
        <v>1625.44</v>
      </c>
      <c r="O100" s="95">
        <f t="shared" ref="O100:AB100" si="72">O99-(O107)</f>
        <v>1556.2400000000002</v>
      </c>
      <c r="P100" s="95">
        <f t="shared" si="72"/>
        <v>1403.8400000000001</v>
      </c>
      <c r="Q100" s="95">
        <f t="shared" si="72"/>
        <v>1569.3400000000001</v>
      </c>
      <c r="R100" s="95">
        <f t="shared" si="72"/>
        <v>1428.04</v>
      </c>
      <c r="S100" s="95">
        <f t="shared" ref="S100:T100" si="73">S99-(S107)</f>
        <v>1488.5400000000002</v>
      </c>
      <c r="T100" s="95">
        <f t="shared" si="73"/>
        <v>1510.14</v>
      </c>
      <c r="U100" s="95">
        <f t="shared" ref="U100:V100" si="74">U99-(U107)</f>
        <v>1553.04</v>
      </c>
      <c r="V100" s="95">
        <f t="shared" si="74"/>
        <v>1549.44</v>
      </c>
      <c r="W100" s="95">
        <f t="shared" ref="W100:Y100" si="75">W99-(W107)</f>
        <v>1435.44</v>
      </c>
      <c r="X100" s="95">
        <f t="shared" si="75"/>
        <v>1548.3400000000001</v>
      </c>
      <c r="Y100" s="95">
        <f t="shared" si="75"/>
        <v>1921.8400000000001</v>
      </c>
      <c r="Z100" s="95">
        <f t="shared" ref="Z100:AA100" si="76">Z99-(Z107)</f>
        <v>1850.94</v>
      </c>
      <c r="AA100" s="95">
        <f t="shared" si="76"/>
        <v>1843.0400000000002</v>
      </c>
      <c r="AB100" s="95">
        <f t="shared" si="72"/>
        <v>1772.2400000000002</v>
      </c>
      <c r="AC100" s="95">
        <f t="shared" ref="AC100:AD100" si="77">AC99-(AC107)</f>
        <v>1684.8400000000001</v>
      </c>
      <c r="AD100" s="95">
        <f t="shared" si="77"/>
        <v>1550.8400000000001</v>
      </c>
      <c r="AE100" s="95">
        <f t="shared" ref="AE100:AF100" si="78">AE99-(AE107)</f>
        <v>1400.24</v>
      </c>
      <c r="AF100" s="95">
        <f t="shared" si="78"/>
        <v>1228.24</v>
      </c>
      <c r="AG100" s="88"/>
      <c r="AH100" s="47">
        <f t="shared" si="40"/>
        <v>1921.8400000000001</v>
      </c>
      <c r="AI100" s="48">
        <f t="shared" si="41"/>
        <v>1109.94</v>
      </c>
    </row>
    <row r="101" spans="1:37" x14ac:dyDescent="0.25">
      <c r="A101" s="44" t="s">
        <v>84</v>
      </c>
      <c r="B101" s="76">
        <f t="shared" ref="B101:C101" si="79">IF(B84&lt;0,B84*-1,0)</f>
        <v>0</v>
      </c>
      <c r="C101" s="76">
        <f t="shared" si="79"/>
        <v>0</v>
      </c>
      <c r="D101" s="76">
        <f t="shared" ref="D101" si="80">IF(D84&lt;0,D84*-1,0)</f>
        <v>0</v>
      </c>
      <c r="E101" s="76">
        <f t="shared" ref="E101:AB101" si="81">IF(E84&lt;0,E84*-1,0)</f>
        <v>0</v>
      </c>
      <c r="F101" s="76">
        <f t="shared" si="81"/>
        <v>0</v>
      </c>
      <c r="G101" s="76">
        <f t="shared" si="81"/>
        <v>0</v>
      </c>
      <c r="H101" s="76">
        <f t="shared" si="81"/>
        <v>0</v>
      </c>
      <c r="I101" s="76">
        <f t="shared" si="81"/>
        <v>0</v>
      </c>
      <c r="J101" s="76">
        <f t="shared" si="81"/>
        <v>0</v>
      </c>
      <c r="K101" s="76">
        <f t="shared" si="81"/>
        <v>0</v>
      </c>
      <c r="L101" s="76">
        <f t="shared" si="81"/>
        <v>0</v>
      </c>
      <c r="M101" s="76">
        <f t="shared" si="81"/>
        <v>0</v>
      </c>
      <c r="N101" s="76">
        <f t="shared" si="81"/>
        <v>0</v>
      </c>
      <c r="O101" s="76">
        <f t="shared" si="81"/>
        <v>0</v>
      </c>
      <c r="P101" s="76">
        <f t="shared" si="81"/>
        <v>0</v>
      </c>
      <c r="Q101" s="76">
        <f t="shared" si="81"/>
        <v>0</v>
      </c>
      <c r="R101" s="76">
        <f t="shared" si="81"/>
        <v>0</v>
      </c>
      <c r="S101" s="76">
        <f t="shared" ref="S101:T101" si="82">IF(S84&lt;0,S84*-1,0)</f>
        <v>0</v>
      </c>
      <c r="T101" s="76">
        <f t="shared" si="82"/>
        <v>0</v>
      </c>
      <c r="U101" s="76">
        <f t="shared" ref="U101:V101" si="83">IF(U84&lt;0,U84*-1,0)</f>
        <v>0</v>
      </c>
      <c r="V101" s="76">
        <f t="shared" si="83"/>
        <v>0</v>
      </c>
      <c r="W101" s="76">
        <f t="shared" ref="W101:Y101" si="84">IF(W84&lt;0,W84*-1,0)</f>
        <v>0</v>
      </c>
      <c r="X101" s="76">
        <f t="shared" si="84"/>
        <v>0</v>
      </c>
      <c r="Y101" s="76">
        <f t="shared" si="84"/>
        <v>0</v>
      </c>
      <c r="Z101" s="76">
        <f t="shared" ref="Z101:AA101" si="85">IF(Z84&lt;0,Z84*-1,0)</f>
        <v>0</v>
      </c>
      <c r="AA101" s="76">
        <f t="shared" si="85"/>
        <v>0</v>
      </c>
      <c r="AB101" s="76">
        <f t="shared" si="81"/>
        <v>0</v>
      </c>
      <c r="AC101" s="76">
        <f t="shared" ref="AC101:AD101" si="86">IF(AC84&lt;0,AC84*-1,0)</f>
        <v>0</v>
      </c>
      <c r="AD101" s="76">
        <f t="shared" si="86"/>
        <v>0</v>
      </c>
      <c r="AE101" s="76">
        <f t="shared" ref="AE101:AF101" si="87">IF(AE84&lt;0,AE84*-1,0)</f>
        <v>0</v>
      </c>
      <c r="AF101" s="76">
        <f t="shared" si="87"/>
        <v>0</v>
      </c>
      <c r="AG101" s="52"/>
      <c r="AH101" s="47">
        <f t="shared" si="40"/>
        <v>0</v>
      </c>
      <c r="AI101" s="48">
        <f t="shared" si="41"/>
        <v>0</v>
      </c>
    </row>
    <row r="102" spans="1:37" x14ac:dyDescent="0.25">
      <c r="A102" s="54" t="s">
        <v>82</v>
      </c>
      <c r="B102" s="76">
        <f t="shared" ref="B102:C102" si="88">IF(B82&lt;0,B82*-1,0)</f>
        <v>0</v>
      </c>
      <c r="C102" s="76">
        <f t="shared" si="88"/>
        <v>0</v>
      </c>
      <c r="D102" s="76">
        <f t="shared" ref="D102" si="89">IF(D82&lt;0,D82*-1,0)</f>
        <v>0</v>
      </c>
      <c r="E102" s="76">
        <f t="shared" ref="E102:AB102" si="90">IF(E82&lt;0,E82*-1,0)</f>
        <v>0</v>
      </c>
      <c r="F102" s="76">
        <f t="shared" si="90"/>
        <v>0</v>
      </c>
      <c r="G102" s="76">
        <f t="shared" si="90"/>
        <v>0</v>
      </c>
      <c r="H102" s="76">
        <f t="shared" si="90"/>
        <v>0</v>
      </c>
      <c r="I102" s="76">
        <f t="shared" si="90"/>
        <v>0</v>
      </c>
      <c r="J102" s="76">
        <f t="shared" si="90"/>
        <v>0</v>
      </c>
      <c r="K102" s="76">
        <f t="shared" si="90"/>
        <v>0</v>
      </c>
      <c r="L102" s="76">
        <f t="shared" si="90"/>
        <v>0</v>
      </c>
      <c r="M102" s="76">
        <f t="shared" si="90"/>
        <v>0</v>
      </c>
      <c r="N102" s="76">
        <f t="shared" si="90"/>
        <v>0</v>
      </c>
      <c r="O102" s="76">
        <f t="shared" si="90"/>
        <v>0</v>
      </c>
      <c r="P102" s="76">
        <f t="shared" si="90"/>
        <v>0</v>
      </c>
      <c r="Q102" s="76">
        <f t="shared" si="90"/>
        <v>0</v>
      </c>
      <c r="R102" s="76">
        <f t="shared" si="90"/>
        <v>0</v>
      </c>
      <c r="S102" s="76">
        <f t="shared" ref="S102:T102" si="91">IF(S82&lt;0,S82*-1,0)</f>
        <v>0</v>
      </c>
      <c r="T102" s="76">
        <f t="shared" si="91"/>
        <v>0</v>
      </c>
      <c r="U102" s="76">
        <f t="shared" ref="U102:V102" si="92">IF(U82&lt;0,U82*-1,0)</f>
        <v>0</v>
      </c>
      <c r="V102" s="76">
        <f t="shared" si="92"/>
        <v>0</v>
      </c>
      <c r="W102" s="76">
        <f t="shared" ref="W102:Y102" si="93">IF(W82&lt;0,W82*-1,0)</f>
        <v>0</v>
      </c>
      <c r="X102" s="76">
        <f t="shared" si="93"/>
        <v>0</v>
      </c>
      <c r="Y102" s="76">
        <f t="shared" si="93"/>
        <v>0</v>
      </c>
      <c r="Z102" s="76">
        <f t="shared" ref="Z102:AA102" si="94">IF(Z82&lt;0,Z82*-1,0)</f>
        <v>0</v>
      </c>
      <c r="AA102" s="76">
        <f t="shared" si="94"/>
        <v>0</v>
      </c>
      <c r="AB102" s="76">
        <f t="shared" si="90"/>
        <v>0</v>
      </c>
      <c r="AC102" s="76">
        <f t="shared" ref="AC102:AD102" si="95">IF(AC82&lt;0,AC82*-1,0)</f>
        <v>0</v>
      </c>
      <c r="AD102" s="76">
        <f t="shared" si="95"/>
        <v>0</v>
      </c>
      <c r="AE102" s="76">
        <f t="shared" ref="AE102:AF102" si="96">IF(AE82&lt;0,AE82*-1,0)</f>
        <v>0</v>
      </c>
      <c r="AF102" s="76">
        <f t="shared" si="96"/>
        <v>0</v>
      </c>
      <c r="AG102" s="55"/>
      <c r="AH102" s="47">
        <f t="shared" si="40"/>
        <v>0</v>
      </c>
      <c r="AI102" s="48">
        <f t="shared" si="41"/>
        <v>0</v>
      </c>
    </row>
    <row r="103" spans="1:37" x14ac:dyDescent="0.25">
      <c r="A103" s="84" t="s">
        <v>104</v>
      </c>
      <c r="B103" s="76">
        <f t="shared" ref="B103:C103" si="97">IF(B85&lt;0,B85*-1,0)</f>
        <v>0</v>
      </c>
      <c r="C103" s="76">
        <f t="shared" si="97"/>
        <v>0</v>
      </c>
      <c r="D103" s="76">
        <f t="shared" ref="D103" si="98">IF(D85&lt;0,D85*-1,0)</f>
        <v>0</v>
      </c>
      <c r="E103" s="76">
        <f t="shared" ref="E103:AB103" si="99">IF(E85&lt;0,E85*-1,0)</f>
        <v>0</v>
      </c>
      <c r="F103" s="76">
        <f t="shared" si="99"/>
        <v>0</v>
      </c>
      <c r="G103" s="76">
        <f t="shared" si="99"/>
        <v>0</v>
      </c>
      <c r="H103" s="76">
        <f t="shared" si="99"/>
        <v>0</v>
      </c>
      <c r="I103" s="76">
        <f t="shared" si="99"/>
        <v>0</v>
      </c>
      <c r="J103" s="76">
        <f t="shared" si="99"/>
        <v>0</v>
      </c>
      <c r="K103" s="76">
        <f t="shared" si="99"/>
        <v>0</v>
      </c>
      <c r="L103" s="76">
        <f t="shared" si="99"/>
        <v>0</v>
      </c>
      <c r="M103" s="76">
        <f t="shared" si="99"/>
        <v>0</v>
      </c>
      <c r="N103" s="76">
        <f t="shared" si="99"/>
        <v>0</v>
      </c>
      <c r="O103" s="76">
        <f t="shared" si="99"/>
        <v>0</v>
      </c>
      <c r="P103" s="76">
        <f t="shared" si="99"/>
        <v>0</v>
      </c>
      <c r="Q103" s="76">
        <f t="shared" si="99"/>
        <v>0</v>
      </c>
      <c r="R103" s="76">
        <f t="shared" si="99"/>
        <v>0</v>
      </c>
      <c r="S103" s="76">
        <f t="shared" ref="S103:T103" si="100">IF(S85&lt;0,S85*-1,0)</f>
        <v>0</v>
      </c>
      <c r="T103" s="76">
        <f t="shared" si="100"/>
        <v>0</v>
      </c>
      <c r="U103" s="76">
        <f t="shared" ref="U103:V103" si="101">IF(U85&lt;0,U85*-1,0)</f>
        <v>0</v>
      </c>
      <c r="V103" s="76">
        <f t="shared" si="101"/>
        <v>0</v>
      </c>
      <c r="W103" s="76">
        <f t="shared" ref="W103:Y103" si="102">IF(W85&lt;0,W85*-1,0)</f>
        <v>0</v>
      </c>
      <c r="X103" s="76">
        <f t="shared" si="102"/>
        <v>0</v>
      </c>
      <c r="Y103" s="76">
        <f t="shared" si="102"/>
        <v>0</v>
      </c>
      <c r="Z103" s="76">
        <f t="shared" ref="Z103:AA103" si="103">IF(Z85&lt;0,Z85*-1,0)</f>
        <v>0</v>
      </c>
      <c r="AA103" s="76">
        <f t="shared" si="103"/>
        <v>0</v>
      </c>
      <c r="AB103" s="76">
        <f t="shared" si="99"/>
        <v>0</v>
      </c>
      <c r="AC103" s="76">
        <f t="shared" ref="AC103:AD103" si="104">IF(AC85&lt;0,AC85*-1,0)</f>
        <v>0</v>
      </c>
      <c r="AD103" s="76">
        <f t="shared" si="104"/>
        <v>0</v>
      </c>
      <c r="AE103" s="76">
        <f t="shared" ref="AE103:AF103" si="105">IF(AE85&lt;0,AE85*-1,0)</f>
        <v>0</v>
      </c>
      <c r="AF103" s="76">
        <f t="shared" si="105"/>
        <v>0</v>
      </c>
      <c r="AG103" s="98"/>
      <c r="AH103" s="47">
        <f t="shared" si="40"/>
        <v>0</v>
      </c>
      <c r="AI103" s="48">
        <f t="shared" si="41"/>
        <v>0</v>
      </c>
    </row>
    <row r="104" spans="1:37" x14ac:dyDescent="0.25">
      <c r="A104" s="84" t="s">
        <v>105</v>
      </c>
      <c r="B104" s="76">
        <f t="shared" ref="B104:C104" si="106">IF(B83&lt;0,B83*-1,0)</f>
        <v>0</v>
      </c>
      <c r="C104" s="76">
        <f t="shared" si="106"/>
        <v>0</v>
      </c>
      <c r="D104" s="76">
        <f t="shared" ref="D104" si="107">IF(D83&lt;0,D83*-1,0)</f>
        <v>0</v>
      </c>
      <c r="E104" s="76">
        <f t="shared" ref="E104:AB104" si="108">IF(E83&lt;0,E83*-1,0)</f>
        <v>0</v>
      </c>
      <c r="F104" s="76">
        <f t="shared" si="108"/>
        <v>0</v>
      </c>
      <c r="G104" s="76">
        <f t="shared" si="108"/>
        <v>0</v>
      </c>
      <c r="H104" s="76">
        <f t="shared" si="108"/>
        <v>0</v>
      </c>
      <c r="I104" s="76">
        <f t="shared" si="108"/>
        <v>0</v>
      </c>
      <c r="J104" s="76">
        <f t="shared" si="108"/>
        <v>0</v>
      </c>
      <c r="K104" s="76">
        <f t="shared" si="108"/>
        <v>0</v>
      </c>
      <c r="L104" s="76">
        <f t="shared" si="108"/>
        <v>0</v>
      </c>
      <c r="M104" s="76">
        <f t="shared" si="108"/>
        <v>0</v>
      </c>
      <c r="N104" s="76">
        <f t="shared" si="108"/>
        <v>0</v>
      </c>
      <c r="O104" s="76">
        <f t="shared" si="108"/>
        <v>0</v>
      </c>
      <c r="P104" s="76">
        <f t="shared" si="108"/>
        <v>0</v>
      </c>
      <c r="Q104" s="76">
        <f t="shared" si="108"/>
        <v>0</v>
      </c>
      <c r="R104" s="76">
        <f t="shared" si="108"/>
        <v>0</v>
      </c>
      <c r="S104" s="76">
        <f t="shared" ref="S104:T104" si="109">IF(S83&lt;0,S83*-1,0)</f>
        <v>0</v>
      </c>
      <c r="T104" s="76">
        <f t="shared" si="109"/>
        <v>0</v>
      </c>
      <c r="U104" s="76">
        <f t="shared" ref="U104:V104" si="110">IF(U83&lt;0,U83*-1,0)</f>
        <v>0</v>
      </c>
      <c r="V104" s="76">
        <f t="shared" si="110"/>
        <v>0</v>
      </c>
      <c r="W104" s="76">
        <f t="shared" ref="W104:Y104" si="111">IF(W83&lt;0,W83*-1,0)</f>
        <v>0</v>
      </c>
      <c r="X104" s="76">
        <f t="shared" si="111"/>
        <v>0</v>
      </c>
      <c r="Y104" s="76">
        <f t="shared" si="111"/>
        <v>0</v>
      </c>
      <c r="Z104" s="76">
        <f t="shared" ref="Z104:AA104" si="112">IF(Z83&lt;0,Z83*-1,0)</f>
        <v>0</v>
      </c>
      <c r="AA104" s="76">
        <f t="shared" si="112"/>
        <v>0</v>
      </c>
      <c r="AB104" s="76">
        <f t="shared" si="108"/>
        <v>0</v>
      </c>
      <c r="AC104" s="76">
        <f t="shared" ref="AC104:AD104" si="113">IF(AC83&lt;0,AC83*-1,0)</f>
        <v>0</v>
      </c>
      <c r="AD104" s="76">
        <f t="shared" si="113"/>
        <v>0</v>
      </c>
      <c r="AE104" s="76">
        <f t="shared" ref="AE104:AF104" si="114">IF(AE83&lt;0,AE83*-1,0)</f>
        <v>0</v>
      </c>
      <c r="AF104" s="76">
        <f t="shared" si="114"/>
        <v>0</v>
      </c>
      <c r="AG104" s="98"/>
      <c r="AH104" s="47">
        <f t="shared" si="40"/>
        <v>0</v>
      </c>
      <c r="AI104" s="48">
        <f t="shared" si="41"/>
        <v>0</v>
      </c>
    </row>
    <row r="105" spans="1:37" x14ac:dyDescent="0.25">
      <c r="A105" s="84" t="s">
        <v>81</v>
      </c>
      <c r="B105" s="76">
        <f t="shared" ref="B105:C105" si="115">IF(B81&lt;0,B81*-1,0)</f>
        <v>0</v>
      </c>
      <c r="C105" s="76">
        <f t="shared" si="115"/>
        <v>0</v>
      </c>
      <c r="D105" s="76">
        <f t="shared" ref="D105" si="116">IF(D81&lt;0,D81*-1,0)</f>
        <v>0</v>
      </c>
      <c r="E105" s="76">
        <f t="shared" ref="E105:AB105" si="117">IF(E81&lt;0,E81*-1,0)</f>
        <v>0</v>
      </c>
      <c r="F105" s="76">
        <f t="shared" si="117"/>
        <v>0</v>
      </c>
      <c r="G105" s="76">
        <f t="shared" si="117"/>
        <v>0</v>
      </c>
      <c r="H105" s="76">
        <f t="shared" si="117"/>
        <v>0</v>
      </c>
      <c r="I105" s="76">
        <f t="shared" si="117"/>
        <v>0</v>
      </c>
      <c r="J105" s="76">
        <f t="shared" si="117"/>
        <v>0</v>
      </c>
      <c r="K105" s="76">
        <f t="shared" si="117"/>
        <v>0</v>
      </c>
      <c r="L105" s="76">
        <f t="shared" si="117"/>
        <v>0</v>
      </c>
      <c r="M105" s="76">
        <f t="shared" si="117"/>
        <v>0</v>
      </c>
      <c r="N105" s="76">
        <f t="shared" si="117"/>
        <v>0</v>
      </c>
      <c r="O105" s="76">
        <f t="shared" si="117"/>
        <v>0</v>
      </c>
      <c r="P105" s="76">
        <f t="shared" si="117"/>
        <v>0</v>
      </c>
      <c r="Q105" s="76">
        <f t="shared" si="117"/>
        <v>0</v>
      </c>
      <c r="R105" s="76">
        <f t="shared" si="117"/>
        <v>0</v>
      </c>
      <c r="S105" s="76">
        <f t="shared" ref="S105:T105" si="118">IF(S81&lt;0,S81*-1,0)</f>
        <v>0</v>
      </c>
      <c r="T105" s="76">
        <f t="shared" si="118"/>
        <v>0</v>
      </c>
      <c r="U105" s="76">
        <f t="shared" ref="U105:V105" si="119">IF(U81&lt;0,U81*-1,0)</f>
        <v>0</v>
      </c>
      <c r="V105" s="76">
        <f t="shared" si="119"/>
        <v>0</v>
      </c>
      <c r="W105" s="76">
        <f t="shared" ref="W105:Y105" si="120">IF(W81&lt;0,W81*-1,0)</f>
        <v>0</v>
      </c>
      <c r="X105" s="76">
        <f t="shared" si="120"/>
        <v>0</v>
      </c>
      <c r="Y105" s="76">
        <f t="shared" si="120"/>
        <v>0</v>
      </c>
      <c r="Z105" s="76">
        <f t="shared" ref="Z105:AA105" si="121">IF(Z81&lt;0,Z81*-1,0)</f>
        <v>0</v>
      </c>
      <c r="AA105" s="76">
        <f t="shared" si="121"/>
        <v>0</v>
      </c>
      <c r="AB105" s="76">
        <f t="shared" si="117"/>
        <v>0</v>
      </c>
      <c r="AC105" s="76">
        <f t="shared" ref="AC105:AD105" si="122">IF(AC81&lt;0,AC81*-1,0)</f>
        <v>0</v>
      </c>
      <c r="AD105" s="76">
        <f t="shared" si="122"/>
        <v>0</v>
      </c>
      <c r="AE105" s="76">
        <f t="shared" ref="AE105:AF105" si="123">IF(AE81&lt;0,AE81*-1,0)</f>
        <v>0</v>
      </c>
      <c r="AF105" s="76">
        <f t="shared" si="123"/>
        <v>0</v>
      </c>
      <c r="AG105" s="98"/>
      <c r="AH105" s="47">
        <f t="shared" si="40"/>
        <v>0</v>
      </c>
      <c r="AI105" s="48">
        <f t="shared" si="41"/>
        <v>0</v>
      </c>
    </row>
    <row r="106" spans="1:37" ht="15.75" thickBot="1" x14ac:dyDescent="0.3">
      <c r="A106" s="84" t="s">
        <v>106</v>
      </c>
      <c r="B106" s="94">
        <v>4</v>
      </c>
      <c r="C106" s="94">
        <v>5</v>
      </c>
      <c r="D106" s="94">
        <v>6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1</v>
      </c>
      <c r="AB106" s="94">
        <v>0</v>
      </c>
      <c r="AC106" s="94">
        <v>1</v>
      </c>
      <c r="AD106" s="94">
        <v>2</v>
      </c>
      <c r="AE106" s="94">
        <v>3</v>
      </c>
      <c r="AF106" s="94">
        <v>4</v>
      </c>
      <c r="AG106" s="85"/>
      <c r="AH106" s="47">
        <f t="shared" si="40"/>
        <v>6</v>
      </c>
      <c r="AI106" s="48">
        <f t="shared" si="41"/>
        <v>0</v>
      </c>
    </row>
    <row r="107" spans="1:37" ht="15.75" thickBot="1" x14ac:dyDescent="0.3">
      <c r="A107" s="99" t="s">
        <v>107</v>
      </c>
      <c r="B107" s="60">
        <f t="shared" ref="B107:C107" si="124">SUM(B101:B106)</f>
        <v>4</v>
      </c>
      <c r="C107" s="60">
        <f t="shared" si="124"/>
        <v>5</v>
      </c>
      <c r="D107" s="60">
        <f t="shared" ref="D107" si="125">SUM(D101:D106)</f>
        <v>6</v>
      </c>
      <c r="E107" s="60">
        <f t="shared" ref="E107:AB107" si="126">SUM(E101:E106)</f>
        <v>0</v>
      </c>
      <c r="F107" s="60">
        <f t="shared" si="126"/>
        <v>0</v>
      </c>
      <c r="G107" s="60">
        <f t="shared" si="126"/>
        <v>0</v>
      </c>
      <c r="H107" s="60">
        <f t="shared" si="126"/>
        <v>0</v>
      </c>
      <c r="I107" s="60">
        <f t="shared" si="126"/>
        <v>0</v>
      </c>
      <c r="J107" s="60">
        <f t="shared" si="126"/>
        <v>0</v>
      </c>
      <c r="K107" s="60">
        <f t="shared" si="126"/>
        <v>0</v>
      </c>
      <c r="L107" s="60">
        <f t="shared" si="126"/>
        <v>0</v>
      </c>
      <c r="M107" s="60">
        <f t="shared" si="126"/>
        <v>0</v>
      </c>
      <c r="N107" s="60">
        <f t="shared" si="126"/>
        <v>0</v>
      </c>
      <c r="O107" s="60">
        <f t="shared" si="126"/>
        <v>0</v>
      </c>
      <c r="P107" s="60">
        <f t="shared" si="126"/>
        <v>0</v>
      </c>
      <c r="Q107" s="60">
        <f t="shared" si="126"/>
        <v>0</v>
      </c>
      <c r="R107" s="60">
        <f t="shared" si="126"/>
        <v>0</v>
      </c>
      <c r="S107" s="60">
        <f t="shared" ref="S107:T107" si="127">SUM(S101:S106)</f>
        <v>0</v>
      </c>
      <c r="T107" s="60">
        <f t="shared" si="127"/>
        <v>0</v>
      </c>
      <c r="U107" s="60">
        <f t="shared" ref="U107:V107" si="128">SUM(U101:U106)</f>
        <v>0</v>
      </c>
      <c r="V107" s="60">
        <f t="shared" si="128"/>
        <v>0</v>
      </c>
      <c r="W107" s="60">
        <f t="shared" ref="W107:Y107" si="129">SUM(W101:W106)</f>
        <v>0</v>
      </c>
      <c r="X107" s="60">
        <f t="shared" si="129"/>
        <v>0</v>
      </c>
      <c r="Y107" s="60">
        <f t="shared" si="129"/>
        <v>0</v>
      </c>
      <c r="Z107" s="60">
        <f t="shared" ref="Z107:AA107" si="130">SUM(Z101:Z106)</f>
        <v>0</v>
      </c>
      <c r="AA107" s="60">
        <f t="shared" si="130"/>
        <v>1</v>
      </c>
      <c r="AB107" s="60">
        <f t="shared" si="126"/>
        <v>0</v>
      </c>
      <c r="AC107" s="60">
        <f t="shared" ref="AC107:AD107" si="131">SUM(AC101:AC106)</f>
        <v>1</v>
      </c>
      <c r="AD107" s="60">
        <f t="shared" si="131"/>
        <v>2</v>
      </c>
      <c r="AE107" s="60">
        <f t="shared" ref="AE107:AF107" si="132">SUM(AE101:AE106)</f>
        <v>3</v>
      </c>
      <c r="AF107" s="60">
        <f t="shared" si="132"/>
        <v>4</v>
      </c>
      <c r="AG107" s="88"/>
      <c r="AH107" s="47">
        <f t="shared" si="40"/>
        <v>6</v>
      </c>
      <c r="AI107" s="48">
        <f t="shared" si="41"/>
        <v>0</v>
      </c>
      <c r="AK107" s="50"/>
    </row>
    <row r="108" spans="1:37" ht="15.75" thickBot="1" x14ac:dyDescent="0.3">
      <c r="A108" s="74" t="s">
        <v>108</v>
      </c>
      <c r="B108" s="60">
        <f t="shared" ref="B108:C108" si="133">B92-B107</f>
        <v>546.5</v>
      </c>
      <c r="C108" s="60">
        <f t="shared" si="133"/>
        <v>528</v>
      </c>
      <c r="D108" s="60">
        <f t="shared" ref="D108" si="134">D92-D107</f>
        <v>489</v>
      </c>
      <c r="E108" s="60">
        <f t="shared" ref="E108:AB108" si="135">E92-E107</f>
        <v>505.6</v>
      </c>
      <c r="F108" s="60">
        <f t="shared" si="135"/>
        <v>501.29999999999995</v>
      </c>
      <c r="G108" s="60">
        <f t="shared" si="135"/>
        <v>510.3</v>
      </c>
      <c r="H108" s="60">
        <f t="shared" si="135"/>
        <v>524.20000000000005</v>
      </c>
      <c r="I108" s="60">
        <f t="shared" si="135"/>
        <v>543.80000000000007</v>
      </c>
      <c r="J108" s="60">
        <f t="shared" si="135"/>
        <v>588.6</v>
      </c>
      <c r="K108" s="60">
        <f t="shared" si="135"/>
        <v>545.9</v>
      </c>
      <c r="L108" s="60">
        <f t="shared" si="135"/>
        <v>315.5</v>
      </c>
      <c r="M108" s="60">
        <f t="shared" si="135"/>
        <v>259.8</v>
      </c>
      <c r="N108" s="60">
        <f t="shared" si="135"/>
        <v>368.70000000000005</v>
      </c>
      <c r="O108" s="60">
        <f t="shared" si="135"/>
        <v>548.20000000000005</v>
      </c>
      <c r="P108" s="60">
        <f t="shared" si="135"/>
        <v>583.5</v>
      </c>
      <c r="Q108" s="60">
        <f t="shared" si="135"/>
        <v>622.20000000000005</v>
      </c>
      <c r="R108" s="60">
        <f t="shared" si="135"/>
        <v>550.5</v>
      </c>
      <c r="S108" s="60">
        <f t="shared" ref="S108:T108" si="136">S92-S107</f>
        <v>684.7</v>
      </c>
      <c r="T108" s="60">
        <f t="shared" si="136"/>
        <v>715.1</v>
      </c>
      <c r="U108" s="60">
        <f t="shared" ref="U108:V108" si="137">U92-U107</f>
        <v>755.99999999999989</v>
      </c>
      <c r="V108" s="60">
        <f t="shared" si="137"/>
        <v>755.99999999999989</v>
      </c>
      <c r="W108" s="60">
        <f t="shared" ref="W108:Y108" si="138">W92-W107</f>
        <v>532</v>
      </c>
      <c r="X108" s="60">
        <f t="shared" si="138"/>
        <v>461</v>
      </c>
      <c r="Y108" s="60">
        <f t="shared" si="138"/>
        <v>528.9</v>
      </c>
      <c r="Z108" s="60">
        <f t="shared" ref="Z108:AA108" si="139">Z92-Z107</f>
        <v>313</v>
      </c>
      <c r="AA108" s="60">
        <f t="shared" si="139"/>
        <v>305.7</v>
      </c>
      <c r="AB108" s="60">
        <f t="shared" si="135"/>
        <v>538.6</v>
      </c>
      <c r="AC108" s="60">
        <f t="shared" ref="AC108:AD108" si="140">AC92-AC107</f>
        <v>627</v>
      </c>
      <c r="AD108" s="60">
        <f t="shared" si="140"/>
        <v>673</v>
      </c>
      <c r="AE108" s="60">
        <f t="shared" ref="AE108:AF108" si="141">AE92-AE107</f>
        <v>679</v>
      </c>
      <c r="AF108" s="60">
        <f t="shared" si="141"/>
        <v>596</v>
      </c>
      <c r="AG108" s="88"/>
      <c r="AH108" s="47">
        <f t="shared" si="40"/>
        <v>755.99999999999989</v>
      </c>
      <c r="AI108" s="48">
        <f t="shared" si="41"/>
        <v>259.8</v>
      </c>
    </row>
    <row r="109" spans="1:37" x14ac:dyDescent="0.25">
      <c r="A109" s="100" t="s">
        <v>109</v>
      </c>
      <c r="B109" s="101">
        <v>49.99</v>
      </c>
      <c r="C109" s="101">
        <v>50.01</v>
      </c>
      <c r="D109" s="101">
        <v>50.01</v>
      </c>
      <c r="E109" s="101">
        <v>49.968000000000004</v>
      </c>
      <c r="F109" s="101">
        <v>49.988</v>
      </c>
      <c r="G109" s="101">
        <v>49.941000000000003</v>
      </c>
      <c r="H109" s="101">
        <v>50</v>
      </c>
      <c r="I109" s="101">
        <v>49.929000000000002</v>
      </c>
      <c r="J109" s="101">
        <v>49.889000000000003</v>
      </c>
      <c r="K109" s="101">
        <v>49.978999999999999</v>
      </c>
      <c r="L109" s="101">
        <v>49.689</v>
      </c>
      <c r="M109" s="101">
        <v>50.01</v>
      </c>
      <c r="N109" s="101">
        <v>49.984999999999999</v>
      </c>
      <c r="O109" s="101">
        <v>50.048999999999999</v>
      </c>
      <c r="P109" s="101">
        <v>50.066000000000003</v>
      </c>
      <c r="Q109" s="101">
        <v>50.030999999999999</v>
      </c>
      <c r="R109" s="101">
        <v>49.904000000000003</v>
      </c>
      <c r="S109" s="101">
        <v>50.04</v>
      </c>
      <c r="T109" s="101">
        <v>49.93</v>
      </c>
      <c r="U109" s="101">
        <v>50.01</v>
      </c>
      <c r="V109" s="101">
        <v>50.01</v>
      </c>
      <c r="W109" s="101">
        <v>50.11</v>
      </c>
      <c r="X109" s="101">
        <v>50.05</v>
      </c>
      <c r="Y109" s="101">
        <v>49.92</v>
      </c>
      <c r="Z109" s="101">
        <v>49.99</v>
      </c>
      <c r="AA109" s="101">
        <v>49.98</v>
      </c>
      <c r="AB109" s="101">
        <v>50.091999999999999</v>
      </c>
      <c r="AC109" s="101">
        <v>50.01</v>
      </c>
      <c r="AD109" s="101">
        <v>50.01</v>
      </c>
      <c r="AE109" s="101">
        <v>50.01</v>
      </c>
      <c r="AF109" s="101">
        <v>50.02</v>
      </c>
      <c r="AG109" s="102"/>
      <c r="AH109" s="47">
        <f t="shared" si="40"/>
        <v>50.11</v>
      </c>
      <c r="AI109" s="48">
        <f t="shared" si="41"/>
        <v>49.689</v>
      </c>
    </row>
    <row r="110" spans="1:37" x14ac:dyDescent="0.25">
      <c r="A110" s="103" t="s">
        <v>110</v>
      </c>
      <c r="B110" s="65">
        <v>126.8</v>
      </c>
      <c r="C110" s="65">
        <v>127</v>
      </c>
      <c r="D110" s="65">
        <v>127</v>
      </c>
      <c r="E110" s="65">
        <v>128.30000000000001</v>
      </c>
      <c r="F110" s="65">
        <v>128.69999999999999</v>
      </c>
      <c r="G110" s="65">
        <v>128.4</v>
      </c>
      <c r="H110" s="65">
        <v>127.7</v>
      </c>
      <c r="I110" s="65">
        <v>126</v>
      </c>
      <c r="J110" s="65">
        <v>125.7</v>
      </c>
      <c r="K110" s="65">
        <v>126.7</v>
      </c>
      <c r="L110" s="65">
        <v>123.6</v>
      </c>
      <c r="M110" s="65">
        <v>124.6</v>
      </c>
      <c r="N110" s="65">
        <v>123.5</v>
      </c>
      <c r="O110" s="65">
        <v>126.4</v>
      </c>
      <c r="P110" s="65">
        <v>126.2</v>
      </c>
      <c r="Q110" s="65">
        <v>124.5</v>
      </c>
      <c r="R110" s="65">
        <v>127.6</v>
      </c>
      <c r="S110" s="65">
        <v>123.4</v>
      </c>
      <c r="T110" s="65">
        <v>123.3</v>
      </c>
      <c r="U110" s="65">
        <v>122.8</v>
      </c>
      <c r="V110" s="65">
        <v>122.8</v>
      </c>
      <c r="W110" s="65">
        <v>127.2</v>
      </c>
      <c r="X110" s="65">
        <v>125.8</v>
      </c>
      <c r="Y110" s="65">
        <v>124.3</v>
      </c>
      <c r="Z110" s="65">
        <v>126.3</v>
      </c>
      <c r="AA110" s="65">
        <v>126.3</v>
      </c>
      <c r="AB110" s="65">
        <v>127.6</v>
      </c>
      <c r="AC110" s="65">
        <v>127.6</v>
      </c>
      <c r="AD110" s="65">
        <v>127.6</v>
      </c>
      <c r="AE110" s="65">
        <v>127.6</v>
      </c>
      <c r="AF110" s="65">
        <v>129</v>
      </c>
      <c r="AG110" s="104"/>
      <c r="AH110" s="47">
        <f t="shared" si="40"/>
        <v>129</v>
      </c>
      <c r="AI110" s="48">
        <f t="shared" si="41"/>
        <v>122.8</v>
      </c>
    </row>
    <row r="111" spans="1:37" x14ac:dyDescent="0.25">
      <c r="A111" s="103" t="s">
        <v>111</v>
      </c>
      <c r="B111" s="65">
        <v>130</v>
      </c>
      <c r="C111" s="65">
        <v>131</v>
      </c>
      <c r="D111" s="65">
        <v>131</v>
      </c>
      <c r="E111" s="65">
        <v>132.6</v>
      </c>
      <c r="F111" s="65">
        <v>132.80000000000001</v>
      </c>
      <c r="G111" s="65">
        <v>132.19999999999999</v>
      </c>
      <c r="H111" s="65">
        <v>131.1</v>
      </c>
      <c r="I111" s="65">
        <v>129.30000000000001</v>
      </c>
      <c r="J111" s="65">
        <v>128.19999999999999</v>
      </c>
      <c r="K111" s="65">
        <v>128</v>
      </c>
      <c r="L111" s="65">
        <v>124.7</v>
      </c>
      <c r="M111" s="65">
        <v>125.4</v>
      </c>
      <c r="N111" s="65">
        <v>124.9</v>
      </c>
      <c r="O111" s="65">
        <v>127.5</v>
      </c>
      <c r="P111" s="65">
        <v>127.6</v>
      </c>
      <c r="Q111" s="65">
        <v>126.6</v>
      </c>
      <c r="R111" s="65">
        <v>129.1</v>
      </c>
      <c r="S111" s="65">
        <v>126.3</v>
      </c>
      <c r="T111" s="65">
        <v>126.3</v>
      </c>
      <c r="U111" s="65">
        <v>126.2</v>
      </c>
      <c r="V111" s="65">
        <v>126.2</v>
      </c>
      <c r="W111" s="65">
        <v>129</v>
      </c>
      <c r="X111" s="65">
        <v>126.9</v>
      </c>
      <c r="Y111" s="65">
        <v>124.9</v>
      </c>
      <c r="Z111" s="65">
        <v>126.7</v>
      </c>
      <c r="AA111" s="65">
        <v>126.7</v>
      </c>
      <c r="AB111" s="65">
        <v>128.5</v>
      </c>
      <c r="AC111" s="65">
        <v>128.5</v>
      </c>
      <c r="AD111" s="65">
        <v>128.5</v>
      </c>
      <c r="AE111" s="65">
        <v>128.5</v>
      </c>
      <c r="AF111" s="65">
        <v>132</v>
      </c>
      <c r="AG111" s="104"/>
      <c r="AH111" s="47">
        <f t="shared" si="40"/>
        <v>132.80000000000001</v>
      </c>
      <c r="AI111" s="48">
        <f t="shared" si="41"/>
        <v>124.7</v>
      </c>
    </row>
    <row r="112" spans="1:37" x14ac:dyDescent="0.25">
      <c r="A112" s="103" t="s">
        <v>112</v>
      </c>
      <c r="B112" s="65">
        <v>132</v>
      </c>
      <c r="C112" s="65">
        <v>129</v>
      </c>
      <c r="D112" s="65">
        <v>129</v>
      </c>
      <c r="E112" s="65">
        <v>130.19999999999999</v>
      </c>
      <c r="F112" s="65">
        <v>132.19999999999999</v>
      </c>
      <c r="G112" s="65">
        <v>127.6</v>
      </c>
      <c r="H112" s="65">
        <v>126.5</v>
      </c>
      <c r="I112" s="65">
        <v>127.8</v>
      </c>
      <c r="J112" s="65">
        <v>127.1</v>
      </c>
      <c r="K112" s="65">
        <v>131.19999999999999</v>
      </c>
      <c r="L112" s="65">
        <v>128.30000000000001</v>
      </c>
      <c r="M112" s="65">
        <v>129.30000000000001</v>
      </c>
      <c r="N112" s="65">
        <v>130.4</v>
      </c>
      <c r="O112" s="65">
        <v>131.5</v>
      </c>
      <c r="P112" s="65">
        <v>127.8</v>
      </c>
      <c r="Q112" s="65">
        <v>127.8</v>
      </c>
      <c r="R112" s="65">
        <v>128.19999999999999</v>
      </c>
      <c r="S112" s="65">
        <v>126.8</v>
      </c>
      <c r="T112" s="65">
        <v>129.9</v>
      </c>
      <c r="U112" s="65">
        <v>126.8</v>
      </c>
      <c r="V112" s="65">
        <v>126.8</v>
      </c>
      <c r="W112" s="65">
        <v>131.4</v>
      </c>
      <c r="X112" s="65">
        <v>126.3</v>
      </c>
      <c r="Y112" s="65">
        <v>127.8</v>
      </c>
      <c r="Z112" s="65">
        <v>129.14099999999999</v>
      </c>
      <c r="AA112" s="65">
        <v>129.14099999999999</v>
      </c>
      <c r="AB112" s="65">
        <v>128.80000000000001</v>
      </c>
      <c r="AC112" s="65">
        <v>128.80000000000001</v>
      </c>
      <c r="AD112" s="65">
        <v>128.80000000000001</v>
      </c>
      <c r="AE112" s="65">
        <v>128.80000000000001</v>
      </c>
      <c r="AF112" s="65">
        <v>129</v>
      </c>
      <c r="AG112" s="104"/>
      <c r="AH112" s="47">
        <f t="shared" si="40"/>
        <v>132.19999999999999</v>
      </c>
      <c r="AI112" s="48">
        <f t="shared" si="41"/>
        <v>126.3</v>
      </c>
    </row>
    <row r="113" spans="1:35" x14ac:dyDescent="0.25">
      <c r="A113" s="105" t="s">
        <v>113</v>
      </c>
      <c r="B113" s="65">
        <v>133</v>
      </c>
      <c r="C113" s="65">
        <v>131</v>
      </c>
      <c r="D113" s="65">
        <v>131</v>
      </c>
      <c r="E113" s="65">
        <v>132.1</v>
      </c>
      <c r="F113" s="65">
        <v>134</v>
      </c>
      <c r="G113" s="65">
        <v>128.5</v>
      </c>
      <c r="H113" s="65">
        <v>126.9</v>
      </c>
      <c r="I113" s="65">
        <v>127.5</v>
      </c>
      <c r="J113" s="65">
        <v>128.69999999999999</v>
      </c>
      <c r="K113" s="65">
        <v>132.6</v>
      </c>
      <c r="L113" s="65">
        <v>129.1</v>
      </c>
      <c r="M113" s="65">
        <v>132.30000000000001</v>
      </c>
      <c r="N113" s="65">
        <v>132</v>
      </c>
      <c r="O113" s="65">
        <v>133.4</v>
      </c>
      <c r="P113" s="65">
        <v>130.1</v>
      </c>
      <c r="Q113" s="65">
        <v>131.80000000000001</v>
      </c>
      <c r="R113" s="65">
        <v>131.4</v>
      </c>
      <c r="S113" s="65">
        <v>130</v>
      </c>
      <c r="T113" s="65">
        <v>132.30000000000001</v>
      </c>
      <c r="U113" s="65">
        <v>129.5</v>
      </c>
      <c r="V113" s="65">
        <v>129.5</v>
      </c>
      <c r="W113" s="65">
        <v>134.1</v>
      </c>
      <c r="X113" s="65">
        <v>126.6</v>
      </c>
      <c r="Y113" s="65">
        <v>127.9</v>
      </c>
      <c r="Z113" s="65">
        <v>130.4</v>
      </c>
      <c r="AA113" s="65">
        <v>130.4</v>
      </c>
      <c r="AB113" s="65">
        <v>132</v>
      </c>
      <c r="AC113" s="65">
        <v>132</v>
      </c>
      <c r="AD113" s="65">
        <v>132</v>
      </c>
      <c r="AE113" s="65">
        <v>132</v>
      </c>
      <c r="AF113" s="65">
        <v>131.6</v>
      </c>
      <c r="AG113" s="104"/>
      <c r="AH113" s="47">
        <f t="shared" si="40"/>
        <v>134.1</v>
      </c>
      <c r="AI113" s="48">
        <f t="shared" si="41"/>
        <v>126.6</v>
      </c>
    </row>
    <row r="114" spans="1:35" x14ac:dyDescent="0.25">
      <c r="A114" s="105" t="s">
        <v>114</v>
      </c>
      <c r="B114" s="106">
        <v>133</v>
      </c>
      <c r="C114" s="106">
        <v>131</v>
      </c>
      <c r="D114" s="106">
        <v>131</v>
      </c>
      <c r="E114" s="106">
        <v>131.9</v>
      </c>
      <c r="F114" s="106">
        <v>132.19999999999999</v>
      </c>
      <c r="G114" s="106">
        <v>132</v>
      </c>
      <c r="H114" s="106">
        <v>132.19999999999999</v>
      </c>
      <c r="I114" s="106">
        <v>132.19999999999999</v>
      </c>
      <c r="J114" s="106">
        <v>135</v>
      </c>
      <c r="K114" s="106">
        <v>135.6</v>
      </c>
      <c r="L114" s="106">
        <v>130.9</v>
      </c>
      <c r="M114" s="106">
        <v>132.69999999999999</v>
      </c>
      <c r="N114" s="106">
        <v>131</v>
      </c>
      <c r="O114" s="106">
        <v>135</v>
      </c>
      <c r="P114" s="106">
        <v>133.9</v>
      </c>
      <c r="Q114" s="106">
        <v>132.1</v>
      </c>
      <c r="R114" s="106">
        <v>135</v>
      </c>
      <c r="S114" s="106">
        <v>132</v>
      </c>
      <c r="T114" s="106">
        <v>130.69999999999999</v>
      </c>
      <c r="U114" s="106">
        <v>131.19999999999999</v>
      </c>
      <c r="V114" s="106">
        <v>131.19999999999999</v>
      </c>
      <c r="W114" s="106">
        <v>133.5</v>
      </c>
      <c r="X114" s="106">
        <v>135.30000000000001</v>
      </c>
      <c r="Y114" s="106">
        <v>133.5</v>
      </c>
      <c r="Z114" s="106">
        <v>134.30000000000001</v>
      </c>
      <c r="AA114" s="106">
        <v>134.30000000000001</v>
      </c>
      <c r="AB114" s="106">
        <v>136.6</v>
      </c>
      <c r="AC114" s="106">
        <v>136.6</v>
      </c>
      <c r="AD114" s="106">
        <v>136.6</v>
      </c>
      <c r="AE114" s="106">
        <v>136.6</v>
      </c>
      <c r="AF114" s="106">
        <v>131</v>
      </c>
      <c r="AG114" s="107"/>
      <c r="AH114" s="47">
        <f t="shared" si="40"/>
        <v>136.6</v>
      </c>
      <c r="AI114" s="48">
        <f t="shared" si="41"/>
        <v>130.69999999999999</v>
      </c>
    </row>
    <row r="115" spans="1:35" x14ac:dyDescent="0.25">
      <c r="A115" s="103" t="s">
        <v>115</v>
      </c>
      <c r="B115" s="65">
        <v>134</v>
      </c>
      <c r="C115" s="65">
        <v>131</v>
      </c>
      <c r="D115" s="65">
        <v>131</v>
      </c>
      <c r="E115" s="65">
        <v>133.30000000000001</v>
      </c>
      <c r="F115" s="65">
        <v>132.80000000000001</v>
      </c>
      <c r="G115" s="65">
        <v>134.6</v>
      </c>
      <c r="H115" s="65">
        <v>124.2</v>
      </c>
      <c r="I115" s="65">
        <v>128.9</v>
      </c>
      <c r="J115" s="65">
        <v>125.6</v>
      </c>
      <c r="K115" s="65">
        <v>135.69999999999999</v>
      </c>
      <c r="L115" s="65">
        <v>125.9</v>
      </c>
      <c r="M115" s="65">
        <v>128.69999999999999</v>
      </c>
      <c r="N115" s="65">
        <v>134.5</v>
      </c>
      <c r="O115" s="65">
        <v>129.6</v>
      </c>
      <c r="P115" s="65">
        <v>129.30000000000001</v>
      </c>
      <c r="Q115" s="65">
        <v>133.69999999999999</v>
      </c>
      <c r="R115" s="65">
        <v>135.9</v>
      </c>
      <c r="S115" s="65">
        <v>126.6</v>
      </c>
      <c r="T115" s="65">
        <v>127.8</v>
      </c>
      <c r="U115" s="65">
        <v>132.80000000000001</v>
      </c>
      <c r="V115" s="65">
        <v>132.80000000000001</v>
      </c>
      <c r="W115" s="65">
        <v>131</v>
      </c>
      <c r="X115" s="65">
        <v>128.30000000000001</v>
      </c>
      <c r="Y115" s="65">
        <v>129</v>
      </c>
      <c r="Z115" s="65">
        <v>129.9</v>
      </c>
      <c r="AA115" s="65">
        <v>129.9</v>
      </c>
      <c r="AB115" s="65">
        <v>131.80000000000001</v>
      </c>
      <c r="AC115" s="65">
        <v>131.80000000000001</v>
      </c>
      <c r="AD115" s="65">
        <v>131.80000000000001</v>
      </c>
      <c r="AE115" s="65">
        <v>131.80000000000001</v>
      </c>
      <c r="AF115" s="65">
        <v>132</v>
      </c>
      <c r="AG115" s="104"/>
      <c r="AH115" s="47">
        <f t="shared" si="40"/>
        <v>135.9</v>
      </c>
      <c r="AI115" s="48">
        <f t="shared" si="41"/>
        <v>124.2</v>
      </c>
    </row>
    <row r="116" spans="1:35" ht="15.75" thickBot="1" x14ac:dyDescent="0.3">
      <c r="A116" s="103" t="s">
        <v>116</v>
      </c>
      <c r="B116" s="92">
        <v>65</v>
      </c>
      <c r="C116" s="92">
        <v>66</v>
      </c>
      <c r="D116" s="92">
        <v>66</v>
      </c>
      <c r="E116" s="92">
        <v>66.599999999999994</v>
      </c>
      <c r="F116" s="92">
        <v>66.599999999999994</v>
      </c>
      <c r="G116" s="92">
        <v>66.2</v>
      </c>
      <c r="H116" s="92">
        <v>65.599999999999994</v>
      </c>
      <c r="I116" s="92">
        <v>64.7</v>
      </c>
      <c r="J116" s="92">
        <v>64.3</v>
      </c>
      <c r="K116" s="92">
        <v>64</v>
      </c>
      <c r="L116" s="92">
        <v>62.3</v>
      </c>
      <c r="M116" s="92">
        <v>62.9</v>
      </c>
      <c r="N116" s="92">
        <v>62.5</v>
      </c>
      <c r="O116" s="92">
        <v>63.6</v>
      </c>
      <c r="P116" s="92">
        <v>63.7</v>
      </c>
      <c r="Q116" s="92">
        <v>63.5</v>
      </c>
      <c r="R116" s="92">
        <v>64.7</v>
      </c>
      <c r="S116" s="92">
        <v>63.4</v>
      </c>
      <c r="T116" s="92">
        <v>63.3</v>
      </c>
      <c r="U116" s="92">
        <v>63</v>
      </c>
      <c r="V116" s="92">
        <v>63</v>
      </c>
      <c r="W116" s="92">
        <v>64.8</v>
      </c>
      <c r="X116" s="92">
        <v>63.8</v>
      </c>
      <c r="Y116" s="92">
        <v>62.9</v>
      </c>
      <c r="Z116" s="92">
        <v>63.9</v>
      </c>
      <c r="AA116" s="92">
        <v>63.9</v>
      </c>
      <c r="AB116" s="92">
        <v>65</v>
      </c>
      <c r="AC116" s="92">
        <v>65</v>
      </c>
      <c r="AD116" s="92">
        <v>65</v>
      </c>
      <c r="AE116" s="92">
        <v>65</v>
      </c>
      <c r="AF116" s="92">
        <v>66.7</v>
      </c>
      <c r="AG116" s="108"/>
      <c r="AH116" s="47">
        <f t="shared" si="40"/>
        <v>66.7</v>
      </c>
      <c r="AI116" s="48">
        <f t="shared" si="41"/>
        <v>62.3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40"/>
        <v>0</v>
      </c>
      <c r="AI117" s="48">
        <f t="shared" si="41"/>
        <v>0</v>
      </c>
    </row>
    <row r="118" spans="1:35" ht="15.75" thickBot="1" x14ac:dyDescent="0.3">
      <c r="A118" s="110" t="s">
        <v>118</v>
      </c>
      <c r="B118" s="111">
        <f t="shared" ref="B118:C118" si="142">SUM(B22,B28,B31:B32,B66,B68:B69,B71,B73,B119:B123,B155,B161,B167,B176,B178,B190,B197,B200:B201,B208,B210,B212,B216:B218,B220:B222,B227,B233:B234,B236:B238,B246,B251)</f>
        <v>152.23999999999998</v>
      </c>
      <c r="C118" s="111">
        <f t="shared" si="142"/>
        <v>130.23999999999998</v>
      </c>
      <c r="D118" s="111">
        <f t="shared" ref="D118" si="143">SUM(D22,D28,D31:D32,D66,D68:D69,D71,D73,D119:D123,D155,D161,D167,D176,D178,D190,D197,D200:D201,D208,D210,D212,D216:D218,D220:D222,D227,D233:D234,D236:D238,D246,D251)</f>
        <v>130.23999999999998</v>
      </c>
      <c r="E118" s="111">
        <f t="shared" ref="E118:O118" si="144">SUM(E22,E28,E31:E32,E66,E68:E69,E71,E73,E119:E123,E155,E161,E167,E176,E178,E190,E197,E200:E201,E208,E210,E212,E216:E218,E220:E222,E227,E233:E234,E236:E238,E246,E251)</f>
        <v>135.69999999999999</v>
      </c>
      <c r="F118" s="111">
        <f t="shared" si="144"/>
        <v>146.16</v>
      </c>
      <c r="G118" s="111">
        <f t="shared" si="144"/>
        <v>170.46</v>
      </c>
      <c r="H118" s="111">
        <f t="shared" si="144"/>
        <v>216.51999999999998</v>
      </c>
      <c r="I118" s="111">
        <f t="shared" si="144"/>
        <v>252.03999999999996</v>
      </c>
      <c r="J118" s="111">
        <f t="shared" si="144"/>
        <v>326.64</v>
      </c>
      <c r="K118" s="111">
        <f t="shared" si="144"/>
        <v>356.98</v>
      </c>
      <c r="L118" s="111">
        <f t="shared" si="144"/>
        <v>430.86</v>
      </c>
      <c r="M118" s="111">
        <f t="shared" si="144"/>
        <v>438.57599999999996</v>
      </c>
      <c r="N118" s="111">
        <f t="shared" si="144"/>
        <v>386.74</v>
      </c>
      <c r="O118" s="111">
        <f t="shared" si="144"/>
        <v>394.24</v>
      </c>
      <c r="P118" s="111">
        <v>42</v>
      </c>
      <c r="Q118" s="111">
        <f t="shared" ref="Q118:AB118" si="145">SUM(Q22,Q28,Q31:Q32,Q66,Q68:Q69,Q71,Q73,Q119:Q123,Q155,Q161,Q167,Q176,Q178,Q190,Q197,Q200:Q201,Q208,Q210,Q212,Q216:Q218,Q220:Q222,Q227,Q233:Q234,Q236:Q238,Q246,Q251)</f>
        <v>401.57099999999997</v>
      </c>
      <c r="R118" s="111">
        <f t="shared" si="145"/>
        <v>365.84</v>
      </c>
      <c r="S118" s="111">
        <f t="shared" ref="S118:T118" si="146">SUM(S22,S28,S31:S32,S66,S68:S69,S71,S73,S119:S123,S155,S161,S167,S176,S178,S190,S197,S200:S201,S208,S210,S212,S216:S218,S220:S222,S227,S233:S234,S236:S238,S246,S251)</f>
        <v>338.34</v>
      </c>
      <c r="T118" s="111">
        <f t="shared" si="146"/>
        <v>339.2</v>
      </c>
      <c r="U118" s="111">
        <f t="shared" ref="U118:V118" si="147">SUM(U22,U28,U31:U32,U66,U68:U69,U71,U73,U119:U123,U155,U161,U167,U176,U178,U190,U197,U200:U201,U208,U210,U212,U216:U218,U220:U222,U227,U233:U234,U236:U238,U246,U251)</f>
        <v>342.26</v>
      </c>
      <c r="V118" s="111">
        <f t="shared" si="147"/>
        <v>338.66</v>
      </c>
      <c r="W118" s="111">
        <f t="shared" ref="W118:Y118" si="148">SUM(W22,W28,W31:W32,W66,W68:W69,W71,W73,W119:W123,W155,W161,W167,W176,W178,W190,W197,W200:W201,W208,W210,W212,W216:W218,W220:W222,W227,W233:W234,W236:W238,W246,W251)</f>
        <v>115.45999999999998</v>
      </c>
      <c r="X118" s="111">
        <f t="shared" si="148"/>
        <v>430.28000000000003</v>
      </c>
      <c r="Y118" s="111">
        <f t="shared" si="148"/>
        <v>481.72</v>
      </c>
      <c r="Z118" s="111">
        <f t="shared" ref="Z118:AA118" si="149">SUM(Z22,Z28,Z31:Z32,Z66,Z68:Z69,Z71,Z73,Z119:Z123,Z155,Z161,Z167,Z176,Z178,Z190,Z197,Z200:Z201,Z208,Z210,Z212,Z216:Z218,Z220:Z222,Z227,Z233:Z234,Z236:Z238,Z246,Z251)</f>
        <v>484.82</v>
      </c>
      <c r="AA118" s="111">
        <f t="shared" si="149"/>
        <v>469.74</v>
      </c>
      <c r="AB118" s="111">
        <f t="shared" si="145"/>
        <v>452.91499999999991</v>
      </c>
      <c r="AC118" s="111">
        <f t="shared" ref="AC118:AD118" si="150">SUM(AC22,AC28,AC31:AC32,AC66,AC68:AC69,AC71,AC73,AC119:AC123,AC155,AC161,AC167,AC176,AC178,AC190,AC197,AC200:AC201,AC208,AC210,AC212,AC216:AC218,AC220:AC222,AC227,AC233:AC234,AC236:AC238,AC246,AC251)</f>
        <v>423.24</v>
      </c>
      <c r="AD118" s="111">
        <f t="shared" si="150"/>
        <v>423.24</v>
      </c>
      <c r="AE118" s="111">
        <f t="shared" ref="AE118:AF118" si="151">SUM(AE22,AE28,AE31:AE32,AE66,AE68:AE69,AE71,AE73,AE119:AE123,AE155,AE161,AE167,AE176,AE178,AE190,AE197,AE200:AE201,AE208,AE210,AE212,AE216:AE218,AE220:AE222,AE227,AE233:AE234,AE236:AE238,AE246,AE251)</f>
        <v>423.24</v>
      </c>
      <c r="AF118" s="111">
        <f t="shared" si="151"/>
        <v>190.24</v>
      </c>
      <c r="AG118" s="112"/>
      <c r="AH118" s="47">
        <f t="shared" si="40"/>
        <v>484.82</v>
      </c>
      <c r="AI118" s="48">
        <f t="shared" si="41"/>
        <v>42</v>
      </c>
    </row>
    <row r="119" spans="1:35" x14ac:dyDescent="0.25">
      <c r="A119" s="172" t="s">
        <v>119</v>
      </c>
      <c r="B119" s="113">
        <v>21</v>
      </c>
      <c r="C119" s="113">
        <v>13</v>
      </c>
      <c r="D119" s="113">
        <v>13</v>
      </c>
      <c r="E119" s="113">
        <v>12.8</v>
      </c>
      <c r="F119" s="113">
        <v>11.9</v>
      </c>
      <c r="G119" s="113">
        <v>16.2</v>
      </c>
      <c r="H119" s="113">
        <v>36.4</v>
      </c>
      <c r="I119" s="113">
        <v>51.3</v>
      </c>
      <c r="J119" s="113">
        <v>47</v>
      </c>
      <c r="K119" s="113">
        <v>31.8</v>
      </c>
      <c r="L119" s="113">
        <v>31</v>
      </c>
      <c r="M119" s="113">
        <v>31.9</v>
      </c>
      <c r="N119" s="113">
        <v>12.3</v>
      </c>
      <c r="O119" s="113">
        <v>31.3</v>
      </c>
      <c r="P119" s="113">
        <v>39.799999999999997</v>
      </c>
      <c r="Q119" s="113">
        <v>58.6</v>
      </c>
      <c r="R119" s="113">
        <v>44.5</v>
      </c>
      <c r="S119" s="113">
        <v>31</v>
      </c>
      <c r="T119" s="113">
        <v>36.700000000000003</v>
      </c>
      <c r="U119" s="113">
        <v>35.9</v>
      </c>
      <c r="V119" s="113">
        <v>35.9</v>
      </c>
      <c r="W119" s="113">
        <v>39.1</v>
      </c>
      <c r="X119" s="113">
        <v>54.6</v>
      </c>
      <c r="Y119" s="113">
        <v>59.7</v>
      </c>
      <c r="Z119" s="113">
        <v>61.6</v>
      </c>
      <c r="AA119" s="113">
        <v>61.5</v>
      </c>
      <c r="AB119" s="113">
        <v>50.9</v>
      </c>
      <c r="AC119" s="113">
        <v>64</v>
      </c>
      <c r="AD119" s="113">
        <v>64</v>
      </c>
      <c r="AE119" s="113">
        <v>64</v>
      </c>
      <c r="AF119" s="113">
        <v>12</v>
      </c>
      <c r="AG119" s="114">
        <v>75</v>
      </c>
      <c r="AH119" s="47">
        <f t="shared" si="40"/>
        <v>64</v>
      </c>
      <c r="AI119" s="48">
        <f t="shared" si="41"/>
        <v>11.9</v>
      </c>
    </row>
    <row r="120" spans="1:35" x14ac:dyDescent="0.25">
      <c r="A120" s="173" t="s">
        <v>120</v>
      </c>
      <c r="B120" s="115">
        <v>19</v>
      </c>
      <c r="C120" s="115">
        <v>12</v>
      </c>
      <c r="D120" s="115">
        <v>12</v>
      </c>
      <c r="E120" s="115">
        <v>14.3</v>
      </c>
      <c r="F120" s="115">
        <v>12.6</v>
      </c>
      <c r="G120" s="115">
        <v>17</v>
      </c>
      <c r="H120" s="115">
        <v>42.9</v>
      </c>
      <c r="I120" s="115">
        <v>64</v>
      </c>
      <c r="J120" s="115">
        <v>54.3</v>
      </c>
      <c r="K120" s="115">
        <v>26.4</v>
      </c>
      <c r="L120" s="115">
        <v>34.6</v>
      </c>
      <c r="M120" s="115">
        <v>41.8</v>
      </c>
      <c r="N120" s="115">
        <v>14.8</v>
      </c>
      <c r="O120" s="115">
        <v>42.3</v>
      </c>
      <c r="P120" s="115">
        <v>52.4</v>
      </c>
      <c r="Q120" s="115">
        <v>77.7</v>
      </c>
      <c r="R120" s="115">
        <v>56</v>
      </c>
      <c r="S120" s="115">
        <v>36.1</v>
      </c>
      <c r="T120" s="115">
        <v>44.1</v>
      </c>
      <c r="U120" s="115">
        <v>42</v>
      </c>
      <c r="V120" s="115">
        <v>42</v>
      </c>
      <c r="W120" s="115">
        <v>53.8</v>
      </c>
      <c r="X120" s="115">
        <v>73.2</v>
      </c>
      <c r="Y120" s="115">
        <v>78</v>
      </c>
      <c r="Z120" s="115">
        <v>81.3</v>
      </c>
      <c r="AA120" s="115">
        <v>81.099999999999994</v>
      </c>
      <c r="AB120" s="115">
        <v>66.2</v>
      </c>
      <c r="AC120" s="115">
        <v>49</v>
      </c>
      <c r="AD120" s="115">
        <v>49</v>
      </c>
      <c r="AE120" s="115">
        <v>49</v>
      </c>
      <c r="AF120" s="115">
        <v>12</v>
      </c>
      <c r="AG120" s="114">
        <v>240</v>
      </c>
      <c r="AH120" s="47">
        <f t="shared" si="40"/>
        <v>81.3</v>
      </c>
      <c r="AI120" s="48">
        <f t="shared" si="41"/>
        <v>12</v>
      </c>
    </row>
    <row r="121" spans="1:35" x14ac:dyDescent="0.25">
      <c r="A121" s="173" t="s">
        <v>121</v>
      </c>
      <c r="B121" s="115">
        <v>-49</v>
      </c>
      <c r="C121" s="115">
        <v>-60</v>
      </c>
      <c r="D121" s="115">
        <v>-60</v>
      </c>
      <c r="E121" s="115">
        <v>-65</v>
      </c>
      <c r="F121" s="115">
        <v>-59</v>
      </c>
      <c r="G121" s="115">
        <v>-55</v>
      </c>
      <c r="H121" s="115">
        <v>-53</v>
      </c>
      <c r="I121" s="115">
        <v>-52</v>
      </c>
      <c r="J121" s="115">
        <v>15</v>
      </c>
      <c r="K121" s="115">
        <v>62</v>
      </c>
      <c r="L121" s="115">
        <v>80</v>
      </c>
      <c r="M121" s="115">
        <v>78.900000000000006</v>
      </c>
      <c r="N121" s="115">
        <v>88</v>
      </c>
      <c r="O121" s="115">
        <v>48</v>
      </c>
      <c r="P121" s="115">
        <v>25.2</v>
      </c>
      <c r="Q121" s="115">
        <v>13.6</v>
      </c>
      <c r="R121" s="115">
        <v>14</v>
      </c>
      <c r="S121" s="115">
        <v>8.8000000000000007</v>
      </c>
      <c r="T121" s="115">
        <v>7.9</v>
      </c>
      <c r="U121" s="115">
        <v>12</v>
      </c>
      <c r="V121" s="115">
        <v>12</v>
      </c>
      <c r="W121" s="115">
        <v>35</v>
      </c>
      <c r="X121" s="115">
        <v>43.6</v>
      </c>
      <c r="Y121" s="115">
        <v>57</v>
      </c>
      <c r="Z121" s="115">
        <v>56.6</v>
      </c>
      <c r="AA121" s="115">
        <v>50</v>
      </c>
      <c r="AB121" s="115">
        <v>58.2</v>
      </c>
      <c r="AC121" s="115">
        <v>49</v>
      </c>
      <c r="AD121" s="115">
        <v>49</v>
      </c>
      <c r="AE121" s="115">
        <v>49</v>
      </c>
      <c r="AF121" s="115">
        <v>-12</v>
      </c>
      <c r="AG121" s="114">
        <v>240</v>
      </c>
      <c r="AH121" s="47">
        <f t="shared" si="40"/>
        <v>88</v>
      </c>
      <c r="AI121" s="48">
        <f t="shared" si="41"/>
        <v>-65</v>
      </c>
    </row>
    <row r="122" spans="1:35" ht="15.75" thickBot="1" x14ac:dyDescent="0.3">
      <c r="A122" s="173" t="s">
        <v>122</v>
      </c>
      <c r="B122" s="115">
        <v>-6</v>
      </c>
      <c r="C122" s="115">
        <v>-12</v>
      </c>
      <c r="D122" s="115">
        <v>-12</v>
      </c>
      <c r="E122" s="115">
        <v>-15</v>
      </c>
      <c r="F122" s="115">
        <v>-13.4</v>
      </c>
      <c r="G122" s="115">
        <v>-8.1999999999999993</v>
      </c>
      <c r="H122" s="115">
        <v>-8</v>
      </c>
      <c r="I122" s="115">
        <v>-6.6</v>
      </c>
      <c r="J122" s="115">
        <v>7</v>
      </c>
      <c r="K122" s="115">
        <v>20</v>
      </c>
      <c r="L122" s="115">
        <v>32.1</v>
      </c>
      <c r="M122" s="115">
        <v>31.2</v>
      </c>
      <c r="N122" s="115">
        <v>31.8</v>
      </c>
      <c r="O122" s="115">
        <v>26.5</v>
      </c>
      <c r="P122" s="115">
        <v>21.9</v>
      </c>
      <c r="Q122" s="115">
        <v>4.9000000000000004</v>
      </c>
      <c r="R122" s="115">
        <v>7</v>
      </c>
      <c r="S122" s="115">
        <v>5</v>
      </c>
      <c r="T122" s="115">
        <v>5.2</v>
      </c>
      <c r="U122" s="115">
        <v>4.0999999999999996</v>
      </c>
      <c r="V122" s="115">
        <v>4.0999999999999996</v>
      </c>
      <c r="W122" s="115">
        <v>19.600000000000001</v>
      </c>
      <c r="X122" s="115">
        <v>21</v>
      </c>
      <c r="Y122" s="115">
        <v>34.1</v>
      </c>
      <c r="Z122" s="115">
        <v>38</v>
      </c>
      <c r="AA122" s="115">
        <v>27.1</v>
      </c>
      <c r="AB122" s="115">
        <v>25.9</v>
      </c>
      <c r="AC122" s="115">
        <v>24</v>
      </c>
      <c r="AD122" s="115">
        <v>24</v>
      </c>
      <c r="AE122" s="115">
        <v>24</v>
      </c>
      <c r="AF122" s="115">
        <v>1</v>
      </c>
      <c r="AG122" s="114">
        <v>60</v>
      </c>
      <c r="AH122" s="47">
        <f t="shared" si="40"/>
        <v>38</v>
      </c>
      <c r="AI122" s="48">
        <f t="shared" si="41"/>
        <v>-15</v>
      </c>
    </row>
    <row r="123" spans="1:35" x14ac:dyDescent="0.25">
      <c r="A123" s="172" t="s">
        <v>260</v>
      </c>
      <c r="B123" s="117">
        <v>70</v>
      </c>
      <c r="C123" s="117">
        <v>80</v>
      </c>
      <c r="D123" s="117">
        <v>80</v>
      </c>
      <c r="E123" s="117">
        <f>57.1*1.6</f>
        <v>91.360000000000014</v>
      </c>
      <c r="F123" s="117">
        <f>60.2*1.6</f>
        <v>96.320000000000007</v>
      </c>
      <c r="G123" s="117">
        <f>64.2*1.6</f>
        <v>102.72000000000001</v>
      </c>
      <c r="H123" s="117">
        <f>62.8*1.6</f>
        <v>100.48</v>
      </c>
      <c r="I123" s="117">
        <f>61*1.6</f>
        <v>97.600000000000009</v>
      </c>
      <c r="J123" s="117">
        <f>66*1.6</f>
        <v>105.60000000000001</v>
      </c>
      <c r="K123" s="117">
        <f>74.4*1.6</f>
        <v>119.04000000000002</v>
      </c>
      <c r="L123" s="117">
        <f>96.2*1.6</f>
        <v>153.92000000000002</v>
      </c>
      <c r="M123" s="117">
        <f>1.67*90.8</f>
        <v>151.636</v>
      </c>
      <c r="N123" s="117">
        <v>140</v>
      </c>
      <c r="O123" s="117">
        <v>140</v>
      </c>
      <c r="P123" s="117">
        <f>1.67*79.1</f>
        <v>132.09699999999998</v>
      </c>
      <c r="Q123" s="117">
        <f>1.67*79.3</f>
        <v>132.43099999999998</v>
      </c>
      <c r="R123" s="117">
        <v>130</v>
      </c>
      <c r="S123" s="117">
        <f>90.5*1.6</f>
        <v>144.80000000000001</v>
      </c>
      <c r="T123" s="117">
        <f>85.6*1.6</f>
        <v>136.96</v>
      </c>
      <c r="U123" s="117">
        <f>91.2*1.6</f>
        <v>145.92000000000002</v>
      </c>
      <c r="V123" s="117">
        <f>91.2*1.6</f>
        <v>145.92000000000002</v>
      </c>
      <c r="W123" s="117">
        <f>-80.8*1.6</f>
        <v>-129.28</v>
      </c>
      <c r="X123" s="117">
        <f>87.9*1.6</f>
        <v>140.64000000000001</v>
      </c>
      <c r="Y123" s="117">
        <f>97.3*1.6</f>
        <v>155.68</v>
      </c>
      <c r="Z123" s="117">
        <f>1.6*93.8</f>
        <v>150.08000000000001</v>
      </c>
      <c r="AA123" s="117">
        <f>95.5*1.6</f>
        <v>152.80000000000001</v>
      </c>
      <c r="AB123" s="117">
        <f>92.5*1.67</f>
        <v>154.47499999999999</v>
      </c>
      <c r="AC123" s="117">
        <v>140</v>
      </c>
      <c r="AD123" s="117">
        <v>140</v>
      </c>
      <c r="AE123" s="117">
        <v>140</v>
      </c>
      <c r="AF123" s="117">
        <v>80</v>
      </c>
      <c r="AG123" s="118">
        <v>120</v>
      </c>
      <c r="AH123" s="47">
        <f t="shared" si="40"/>
        <v>155.68</v>
      </c>
      <c r="AI123" s="48">
        <f t="shared" si="41"/>
        <v>-129.28</v>
      </c>
    </row>
    <row r="124" spans="1:35" x14ac:dyDescent="0.25">
      <c r="A124" s="173" t="s">
        <v>259</v>
      </c>
      <c r="B124" s="117">
        <v>69</v>
      </c>
      <c r="C124" s="117">
        <v>77</v>
      </c>
      <c r="D124" s="117">
        <v>77</v>
      </c>
      <c r="E124" s="117">
        <v>73.2</v>
      </c>
      <c r="F124" s="117">
        <v>76</v>
      </c>
      <c r="G124" s="117">
        <v>79</v>
      </c>
      <c r="H124" s="117">
        <v>76</v>
      </c>
      <c r="I124" s="117">
        <v>75</v>
      </c>
      <c r="J124" s="117">
        <v>78</v>
      </c>
      <c r="K124" s="117">
        <v>86</v>
      </c>
      <c r="L124" s="117">
        <v>104</v>
      </c>
      <c r="M124" s="117">
        <v>98.8</v>
      </c>
      <c r="N124" s="117">
        <v>99.8</v>
      </c>
      <c r="O124" s="117">
        <v>95</v>
      </c>
      <c r="P124" s="117">
        <v>92</v>
      </c>
      <c r="Q124" s="117">
        <v>88.3</v>
      </c>
      <c r="R124" s="117">
        <v>80</v>
      </c>
      <c r="S124" s="117">
        <v>97.25</v>
      </c>
      <c r="T124" s="117">
        <v>93.7</v>
      </c>
      <c r="U124" s="117">
        <v>98.5</v>
      </c>
      <c r="V124" s="117">
        <v>98.5</v>
      </c>
      <c r="W124" s="117">
        <v>90.4</v>
      </c>
      <c r="X124" s="117">
        <v>95.8</v>
      </c>
      <c r="Y124" s="117">
        <v>102.1</v>
      </c>
      <c r="Z124" s="117">
        <v>100.2</v>
      </c>
      <c r="AA124" s="117">
        <v>101.4</v>
      </c>
      <c r="AB124" s="117">
        <v>99.5</v>
      </c>
      <c r="AC124" s="117">
        <v>96</v>
      </c>
      <c r="AD124" s="117">
        <v>96</v>
      </c>
      <c r="AE124" s="117">
        <v>96</v>
      </c>
      <c r="AF124" s="117">
        <v>77</v>
      </c>
      <c r="AG124" s="118"/>
      <c r="AH124" s="47"/>
      <c r="AI124" s="48"/>
    </row>
    <row r="125" spans="1:35" x14ac:dyDescent="0.25">
      <c r="A125" s="173" t="s">
        <v>256</v>
      </c>
      <c r="B125" s="117">
        <v>40</v>
      </c>
      <c r="C125" s="117">
        <v>62</v>
      </c>
      <c r="D125" s="117">
        <v>62</v>
      </c>
      <c r="E125" s="117">
        <v>62</v>
      </c>
      <c r="F125" s="117">
        <v>62.2</v>
      </c>
      <c r="G125" s="117">
        <v>57</v>
      </c>
      <c r="H125" s="117">
        <v>26</v>
      </c>
      <c r="I125" s="117">
        <v>5.0999999999999996</v>
      </c>
      <c r="J125" s="117">
        <v>-25</v>
      </c>
      <c r="K125" s="117">
        <v>-39</v>
      </c>
      <c r="L125" s="117">
        <v>-31</v>
      </c>
      <c r="M125" s="117">
        <v>-38.799999999999997</v>
      </c>
      <c r="N125" s="117">
        <v>-12</v>
      </c>
      <c r="O125" s="117">
        <v>-17</v>
      </c>
      <c r="P125" s="117">
        <v>-14.5</v>
      </c>
      <c r="Q125" s="117">
        <v>-19.2</v>
      </c>
      <c r="R125" s="117">
        <v>-16</v>
      </c>
      <c r="S125" s="117">
        <v>21.5</v>
      </c>
      <c r="T125" s="117">
        <v>10.199999999999999</v>
      </c>
      <c r="U125" s="117">
        <v>14.4</v>
      </c>
      <c r="V125" s="117">
        <v>14.4</v>
      </c>
      <c r="W125" s="117">
        <v>-35.700000000000003</v>
      </c>
      <c r="X125" s="117">
        <v>-61.8</v>
      </c>
      <c r="Y125" s="117">
        <v>-70.47</v>
      </c>
      <c r="Z125" s="117">
        <v>-74.3</v>
      </c>
      <c r="AA125" s="117">
        <v>-66.2</v>
      </c>
      <c r="AB125" s="117">
        <v>-59.6</v>
      </c>
      <c r="AC125" s="117">
        <v>-50</v>
      </c>
      <c r="AD125" s="117">
        <v>-50</v>
      </c>
      <c r="AE125" s="117">
        <v>-50</v>
      </c>
      <c r="AF125" s="117">
        <v>-30</v>
      </c>
      <c r="AG125" s="118"/>
      <c r="AH125" s="47"/>
      <c r="AI125" s="48"/>
    </row>
    <row r="126" spans="1:35" ht="15.75" thickBot="1" x14ac:dyDescent="0.3">
      <c r="A126" s="173" t="s">
        <v>255</v>
      </c>
      <c r="B126" s="117">
        <v>87</v>
      </c>
      <c r="C126" s="117">
        <v>104</v>
      </c>
      <c r="D126" s="117">
        <v>104</v>
      </c>
      <c r="E126" s="117">
        <v>98</v>
      </c>
      <c r="F126" s="117">
        <v>100</v>
      </c>
      <c r="G126" s="117">
        <v>104.2</v>
      </c>
      <c r="H126" s="117">
        <v>93</v>
      </c>
      <c r="I126" s="117">
        <v>98</v>
      </c>
      <c r="J126" s="117">
        <v>82</v>
      </c>
      <c r="K126" s="117">
        <v>73</v>
      </c>
      <c r="L126" s="117">
        <v>93</v>
      </c>
      <c r="M126" s="117">
        <v>79.7</v>
      </c>
      <c r="N126" s="117">
        <v>90.5</v>
      </c>
      <c r="O126" s="117">
        <v>102</v>
      </c>
      <c r="P126" s="117">
        <v>96.9</v>
      </c>
      <c r="Q126" s="117">
        <v>102.5</v>
      </c>
      <c r="R126" s="117">
        <v>77</v>
      </c>
      <c r="S126" s="117">
        <v>102.9</v>
      </c>
      <c r="T126" s="117">
        <v>99.7</v>
      </c>
      <c r="U126" s="117">
        <v>102.9</v>
      </c>
      <c r="V126" s="117">
        <v>102.9</v>
      </c>
      <c r="W126" s="117">
        <v>80.400000000000006</v>
      </c>
      <c r="X126" s="117">
        <v>79.5</v>
      </c>
      <c r="Y126" s="117">
        <v>88.6</v>
      </c>
      <c r="Z126" s="117">
        <v>72.599999999999994</v>
      </c>
      <c r="AA126" s="117">
        <v>77.2</v>
      </c>
      <c r="AB126" s="117">
        <v>84.4</v>
      </c>
      <c r="AC126" s="117">
        <v>88</v>
      </c>
      <c r="AD126" s="117">
        <v>88</v>
      </c>
      <c r="AE126" s="117">
        <v>88</v>
      </c>
      <c r="AF126" s="117">
        <v>80</v>
      </c>
      <c r="AG126" s="114"/>
      <c r="AH126" s="47">
        <f t="shared" si="40"/>
        <v>104.2</v>
      </c>
      <c r="AI126" s="48">
        <f t="shared" si="41"/>
        <v>72.599999999999994</v>
      </c>
    </row>
    <row r="127" spans="1:35" x14ac:dyDescent="0.25">
      <c r="A127" s="172" t="s">
        <v>257</v>
      </c>
      <c r="B127" s="117">
        <v>0</v>
      </c>
      <c r="C127" s="117">
        <v>12</v>
      </c>
      <c r="D127" s="117">
        <v>12</v>
      </c>
      <c r="E127" s="117">
        <v>16</v>
      </c>
      <c r="F127" s="117">
        <v>16.100000000000001</v>
      </c>
      <c r="G127" s="117">
        <v>18</v>
      </c>
      <c r="H127" s="117">
        <v>8</v>
      </c>
      <c r="I127" s="117">
        <v>0</v>
      </c>
      <c r="J127" s="117">
        <v>-36</v>
      </c>
      <c r="K127" s="117">
        <v>-31</v>
      </c>
      <c r="L127" s="117">
        <v>-25</v>
      </c>
      <c r="M127" s="117">
        <v>-30</v>
      </c>
      <c r="N127" s="117">
        <v>-27</v>
      </c>
      <c r="O127" s="117">
        <v>0</v>
      </c>
      <c r="P127" s="117">
        <v>-3.1</v>
      </c>
      <c r="Q127" s="117">
        <v>-9.6999999999999993</v>
      </c>
      <c r="R127" s="117">
        <v>-1.6</v>
      </c>
      <c r="S127" s="117">
        <v>5.9</v>
      </c>
      <c r="T127" s="117">
        <v>6.1</v>
      </c>
      <c r="U127" s="117">
        <v>4.3</v>
      </c>
      <c r="V127" s="117">
        <v>4.3</v>
      </c>
      <c r="W127" s="117">
        <v>-4</v>
      </c>
      <c r="X127" s="117">
        <v>-11.8</v>
      </c>
      <c r="Y127" s="117">
        <v>-14.2</v>
      </c>
      <c r="Z127" s="117">
        <v>-14.9</v>
      </c>
      <c r="AA127" s="117">
        <v>-14</v>
      </c>
      <c r="AB127" s="117">
        <v>-10.5</v>
      </c>
      <c r="AC127" s="117">
        <v>-5</v>
      </c>
      <c r="AD127" s="117">
        <v>-5</v>
      </c>
      <c r="AE127" s="117">
        <v>-5</v>
      </c>
      <c r="AF127" s="117">
        <v>14</v>
      </c>
      <c r="AG127" s="114"/>
      <c r="AH127" s="47">
        <f t="shared" si="40"/>
        <v>18</v>
      </c>
      <c r="AI127" s="48">
        <f t="shared" si="41"/>
        <v>-36</v>
      </c>
    </row>
    <row r="128" spans="1:35" x14ac:dyDescent="0.25">
      <c r="A128" s="173" t="s">
        <v>124</v>
      </c>
      <c r="B128" s="106">
        <v>0</v>
      </c>
      <c r="C128" s="106">
        <v>2</v>
      </c>
      <c r="D128" s="106">
        <v>2</v>
      </c>
      <c r="E128" s="106">
        <v>2.2000000000000002</v>
      </c>
      <c r="F128" s="106">
        <v>-0.2</v>
      </c>
      <c r="G128" s="106">
        <v>-1.1000000000000001</v>
      </c>
      <c r="H128" s="106">
        <v>-6</v>
      </c>
      <c r="I128" s="106">
        <v>-13</v>
      </c>
      <c r="J128" s="106">
        <v>-25</v>
      </c>
      <c r="K128" s="106">
        <v>-31</v>
      </c>
      <c r="L128" s="106">
        <v>-36.299999999999997</v>
      </c>
      <c r="M128" s="106">
        <v>-23</v>
      </c>
      <c r="N128" s="106">
        <v>-20</v>
      </c>
      <c r="O128" s="106">
        <v>-14</v>
      </c>
      <c r="P128" s="106">
        <v>-11.5</v>
      </c>
      <c r="Q128" s="106">
        <v>-7.3</v>
      </c>
      <c r="R128" s="106">
        <v>-4.4000000000000004</v>
      </c>
      <c r="S128" s="106">
        <v>-7.1</v>
      </c>
      <c r="T128" s="106">
        <v>-10.9</v>
      </c>
      <c r="U128" s="106">
        <v>-14</v>
      </c>
      <c r="V128" s="106">
        <v>-14</v>
      </c>
      <c r="W128" s="106">
        <v>-18.399999999999999</v>
      </c>
      <c r="X128" s="106">
        <v>-45.3</v>
      </c>
      <c r="Y128" s="106">
        <v>-44.4</v>
      </c>
      <c r="Z128" s="106">
        <v>-39.700000000000003</v>
      </c>
      <c r="AA128" s="106">
        <v>-32.4</v>
      </c>
      <c r="AB128" s="106">
        <v>-25.1</v>
      </c>
      <c r="AC128" s="106">
        <v>-22</v>
      </c>
      <c r="AD128" s="106">
        <v>-22</v>
      </c>
      <c r="AE128" s="106">
        <v>-22</v>
      </c>
      <c r="AF128" s="106">
        <v>-3</v>
      </c>
      <c r="AG128" s="114"/>
      <c r="AH128" s="47">
        <f t="shared" si="40"/>
        <v>2.2000000000000002</v>
      </c>
      <c r="AI128" s="48">
        <f t="shared" si="41"/>
        <v>-45.3</v>
      </c>
    </row>
    <row r="129" spans="1:37" x14ac:dyDescent="0.25">
      <c r="A129" s="173" t="s">
        <v>261</v>
      </c>
      <c r="B129" s="106">
        <v>15</v>
      </c>
      <c r="C129" s="106">
        <v>5</v>
      </c>
      <c r="D129" s="106">
        <v>5</v>
      </c>
      <c r="E129" s="106">
        <v>4</v>
      </c>
      <c r="F129" s="106">
        <v>2.6</v>
      </c>
      <c r="G129" s="106">
        <v>-2.1</v>
      </c>
      <c r="H129" s="106">
        <v>6.4</v>
      </c>
      <c r="I129" s="106">
        <v>13.2</v>
      </c>
      <c r="J129" s="106">
        <v>15</v>
      </c>
      <c r="K129" s="106">
        <v>-16</v>
      </c>
      <c r="L129" s="106">
        <v>-33</v>
      </c>
      <c r="M129" s="106">
        <v>-27</v>
      </c>
      <c r="N129" s="106">
        <v>-33</v>
      </c>
      <c r="O129" s="106">
        <v>-40</v>
      </c>
      <c r="P129" s="106">
        <v>-32.4</v>
      </c>
      <c r="Q129" s="106">
        <v>-5.5</v>
      </c>
      <c r="R129" s="106">
        <v>-29.8</v>
      </c>
      <c r="S129" s="106">
        <v>30.1</v>
      </c>
      <c r="T129" s="106">
        <v>-30.1</v>
      </c>
      <c r="U129" s="106">
        <v>-31.9</v>
      </c>
      <c r="V129" s="106">
        <v>-31.9</v>
      </c>
      <c r="W129" s="106">
        <v>-30.1</v>
      </c>
      <c r="X129" s="106">
        <v>-28.3</v>
      </c>
      <c r="Y129" s="106">
        <v>-31.5</v>
      </c>
      <c r="Z129" s="106">
        <v>-22.2</v>
      </c>
      <c r="AA129" s="106">
        <v>-27.4</v>
      </c>
      <c r="AB129" s="106">
        <v>-35.700000000000003</v>
      </c>
      <c r="AC129" s="106">
        <v>-37</v>
      </c>
      <c r="AD129" s="106">
        <v>-37</v>
      </c>
      <c r="AE129" s="106">
        <v>-37</v>
      </c>
      <c r="AF129" s="106">
        <v>20</v>
      </c>
      <c r="AG129" s="114"/>
      <c r="AH129" s="47">
        <f t="shared" si="40"/>
        <v>30.1</v>
      </c>
      <c r="AI129" s="48">
        <f t="shared" si="41"/>
        <v>-40</v>
      </c>
    </row>
    <row r="130" spans="1:37" ht="15.75" thickBot="1" x14ac:dyDescent="0.3">
      <c r="A130" s="173" t="s">
        <v>258</v>
      </c>
      <c r="B130" s="106">
        <v>88</v>
      </c>
      <c r="C130" s="106">
        <v>86</v>
      </c>
      <c r="D130" s="106">
        <v>86</v>
      </c>
      <c r="E130" s="106">
        <v>77</v>
      </c>
      <c r="F130" s="106">
        <v>74.099999999999994</v>
      </c>
      <c r="G130" s="106">
        <v>79.3</v>
      </c>
      <c r="H130" s="106">
        <v>85.4</v>
      </c>
      <c r="I130" s="106">
        <v>94.6</v>
      </c>
      <c r="J130" s="106">
        <v>98.2</v>
      </c>
      <c r="K130" s="106">
        <v>101</v>
      </c>
      <c r="L130" s="106">
        <v>82</v>
      </c>
      <c r="M130" s="106">
        <v>77.8</v>
      </c>
      <c r="N130" s="106">
        <v>67.5</v>
      </c>
      <c r="O130" s="106">
        <v>65</v>
      </c>
      <c r="P130" s="106">
        <v>83.2</v>
      </c>
      <c r="Q130" s="106">
        <v>101.2</v>
      </c>
      <c r="R130" s="106">
        <v>90.5</v>
      </c>
      <c r="S130" s="106">
        <v>100.5</v>
      </c>
      <c r="T130" s="106">
        <v>83.2</v>
      </c>
      <c r="U130" s="106">
        <v>101.8</v>
      </c>
      <c r="V130" s="106">
        <v>101.8</v>
      </c>
      <c r="W130" s="106">
        <v>85.7</v>
      </c>
      <c r="X130" s="106">
        <v>111.5</v>
      </c>
      <c r="Y130" s="106">
        <v>116.1</v>
      </c>
      <c r="Z130" s="106">
        <v>110.8</v>
      </c>
      <c r="AA130" s="106">
        <v>104.7</v>
      </c>
      <c r="AB130" s="106">
        <v>110.8</v>
      </c>
      <c r="AC130" s="106">
        <v>113</v>
      </c>
      <c r="AD130" s="106">
        <v>113</v>
      </c>
      <c r="AE130" s="106">
        <v>113</v>
      </c>
      <c r="AF130" s="106">
        <v>88</v>
      </c>
      <c r="AG130" s="114"/>
      <c r="AH130" s="47">
        <f t="shared" si="40"/>
        <v>116.1</v>
      </c>
      <c r="AI130" s="48">
        <f t="shared" si="41"/>
        <v>65</v>
      </c>
    </row>
    <row r="131" spans="1:37" x14ac:dyDescent="0.25">
      <c r="A131" s="144" t="s">
        <v>238</v>
      </c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6"/>
      <c r="AG131" s="43"/>
      <c r="AH131" s="47"/>
      <c r="AI131" s="48"/>
    </row>
    <row r="132" spans="1:37" x14ac:dyDescent="0.25">
      <c r="A132" s="189" t="s">
        <v>368</v>
      </c>
      <c r="B132" s="147">
        <v>1984.92</v>
      </c>
      <c r="C132" s="147">
        <v>1985.18</v>
      </c>
      <c r="D132" s="147">
        <v>1985.4</v>
      </c>
      <c r="E132" s="147">
        <v>1985.61</v>
      </c>
      <c r="F132" s="147">
        <v>1985.8</v>
      </c>
      <c r="G132" s="147">
        <v>1986.03</v>
      </c>
      <c r="H132" s="147">
        <v>1986.14</v>
      </c>
      <c r="I132" s="147">
        <v>1986.25</v>
      </c>
      <c r="J132" s="147">
        <v>1986.35</v>
      </c>
      <c r="K132" s="147">
        <v>1986.45</v>
      </c>
      <c r="L132" s="147">
        <v>1986.43</v>
      </c>
      <c r="M132" s="147">
        <v>1986.1</v>
      </c>
      <c r="N132" s="147">
        <v>1985.62</v>
      </c>
      <c r="O132" s="147">
        <v>1985.38</v>
      </c>
      <c r="P132" s="147">
        <v>1985.52</v>
      </c>
      <c r="Q132" s="147">
        <v>1985.56</v>
      </c>
      <c r="R132" s="147">
        <v>1985.6</v>
      </c>
      <c r="S132" s="147">
        <v>1985.65</v>
      </c>
      <c r="T132" s="147">
        <v>1985.62</v>
      </c>
      <c r="U132" s="147">
        <v>1985.7</v>
      </c>
      <c r="V132" s="147">
        <v>1985.72</v>
      </c>
      <c r="W132" s="147"/>
      <c r="X132" s="147">
        <v>1985.6</v>
      </c>
      <c r="Y132" s="147"/>
      <c r="Z132" s="147">
        <v>1985.09</v>
      </c>
      <c r="AA132" s="147"/>
      <c r="AB132" s="147">
        <v>1984.25</v>
      </c>
      <c r="AC132" s="147"/>
      <c r="AD132" s="147"/>
      <c r="AE132" s="147">
        <v>1984.15</v>
      </c>
      <c r="AF132" s="148">
        <v>1984.42</v>
      </c>
      <c r="AG132" s="149"/>
      <c r="AH132" s="47"/>
      <c r="AI132" s="48"/>
    </row>
    <row r="133" spans="1:37" x14ac:dyDescent="0.25">
      <c r="A133" s="189" t="s">
        <v>239</v>
      </c>
      <c r="B133" s="150">
        <v>520.64400000000001</v>
      </c>
      <c r="C133" s="150">
        <v>521.08000000000004</v>
      </c>
      <c r="D133" s="150">
        <v>521.38</v>
      </c>
      <c r="E133" s="150">
        <v>521.73</v>
      </c>
      <c r="F133" s="150">
        <v>522.08000000000004</v>
      </c>
      <c r="G133" s="150">
        <v>522.41</v>
      </c>
      <c r="H133" s="150"/>
      <c r="I133" s="150">
        <v>522.54</v>
      </c>
      <c r="J133" s="150">
        <v>522.45000000000005</v>
      </c>
      <c r="K133" s="150">
        <v>522.29999999999995</v>
      </c>
      <c r="L133" s="150">
        <v>522.16999999999996</v>
      </c>
      <c r="M133" s="150">
        <v>521.98</v>
      </c>
      <c r="N133" s="150">
        <v>521.66999999999996</v>
      </c>
      <c r="O133" s="150">
        <v>521.36</v>
      </c>
      <c r="P133" s="150">
        <v>521.27</v>
      </c>
      <c r="Q133" s="150">
        <v>521.07000000000005</v>
      </c>
      <c r="R133" s="150">
        <v>520.67999999999995</v>
      </c>
      <c r="S133" s="150">
        <v>520.84</v>
      </c>
      <c r="T133" s="150">
        <v>521</v>
      </c>
      <c r="U133" s="150">
        <v>521.15</v>
      </c>
      <c r="V133" s="150">
        <v>521.17999999999995</v>
      </c>
      <c r="W133" s="150"/>
      <c r="X133" s="150">
        <v>521.11</v>
      </c>
      <c r="Y133" s="150"/>
      <c r="Z133" s="150">
        <v>520.55999999999995</v>
      </c>
      <c r="AA133" s="150"/>
      <c r="AB133" s="150">
        <v>520.02</v>
      </c>
      <c r="AC133" s="150"/>
      <c r="AD133" s="150"/>
      <c r="AE133" s="150">
        <v>520</v>
      </c>
      <c r="AF133" s="151"/>
      <c r="AG133" s="149"/>
      <c r="AH133" s="47"/>
      <c r="AI133" s="48"/>
    </row>
    <row r="134" spans="1:37" x14ac:dyDescent="0.25">
      <c r="A134" s="189" t="s">
        <v>240</v>
      </c>
      <c r="B134" s="150">
        <v>623.62</v>
      </c>
      <c r="C134" s="150">
        <v>623.96</v>
      </c>
      <c r="D134" s="150">
        <v>624.30999999999995</v>
      </c>
      <c r="E134" s="150">
        <v>624.76</v>
      </c>
      <c r="F134" s="150">
        <v>625.1</v>
      </c>
      <c r="G134" s="150">
        <v>625.33000000000004</v>
      </c>
      <c r="H134" s="150"/>
      <c r="I134" s="150">
        <v>625.14</v>
      </c>
      <c r="J134" s="150">
        <v>624.91999999999996</v>
      </c>
      <c r="K134" s="150">
        <v>624.80999999999995</v>
      </c>
      <c r="L134" s="150">
        <v>624.69000000000005</v>
      </c>
      <c r="M134" s="150">
        <v>624.55999999999995</v>
      </c>
      <c r="N134" s="150">
        <v>624.29</v>
      </c>
      <c r="O134" s="150">
        <v>624.36</v>
      </c>
      <c r="P134" s="150">
        <v>624.44000000000005</v>
      </c>
      <c r="Q134" s="150">
        <v>623.9</v>
      </c>
      <c r="R134" s="150">
        <v>623.37</v>
      </c>
      <c r="S134" s="150">
        <v>623.35</v>
      </c>
      <c r="T134" s="150">
        <v>623.46</v>
      </c>
      <c r="U134" s="150">
        <v>623.47</v>
      </c>
      <c r="V134" s="150">
        <v>623.42999999999995</v>
      </c>
      <c r="W134" s="150"/>
      <c r="X134" s="150">
        <v>623.19000000000005</v>
      </c>
      <c r="Y134" s="150"/>
      <c r="Z134" s="150">
        <v>622.65</v>
      </c>
      <c r="AA134" s="150"/>
      <c r="AB134" s="150">
        <v>621.73</v>
      </c>
      <c r="AC134" s="150"/>
      <c r="AD134" s="150"/>
      <c r="AE134" s="150">
        <v>621.82000000000005</v>
      </c>
      <c r="AF134" s="151">
        <v>622.29999999999995</v>
      </c>
      <c r="AG134" s="149"/>
      <c r="AH134" s="47"/>
      <c r="AI134" s="48"/>
    </row>
    <row r="135" spans="1:37" x14ac:dyDescent="0.25">
      <c r="A135" s="189" t="s">
        <v>241</v>
      </c>
      <c r="B135" s="150">
        <v>335.12</v>
      </c>
      <c r="C135" s="150">
        <v>335.58</v>
      </c>
      <c r="D135" s="150">
        <v>336.19</v>
      </c>
      <c r="E135" s="150">
        <v>336.69</v>
      </c>
      <c r="F135" s="150">
        <v>337.04</v>
      </c>
      <c r="G135" s="150">
        <v>337.24</v>
      </c>
      <c r="H135" s="150"/>
      <c r="I135" s="150">
        <v>337.14</v>
      </c>
      <c r="J135" s="150">
        <v>336.94</v>
      </c>
      <c r="K135" s="150">
        <v>336.78</v>
      </c>
      <c r="L135" s="150">
        <v>336.63</v>
      </c>
      <c r="M135" s="150">
        <v>336.49</v>
      </c>
      <c r="N135" s="150">
        <v>336.19</v>
      </c>
      <c r="O135" s="150">
        <v>335.98</v>
      </c>
      <c r="P135" s="150">
        <v>335.79</v>
      </c>
      <c r="Q135" s="150">
        <v>335.69</v>
      </c>
      <c r="R135" s="150">
        <v>335.82</v>
      </c>
      <c r="S135" s="150">
        <v>335.96</v>
      </c>
      <c r="T135" s="150">
        <v>336.01</v>
      </c>
      <c r="U135" s="150">
        <v>335.92</v>
      </c>
      <c r="V135" s="150">
        <v>336.01</v>
      </c>
      <c r="W135" s="150"/>
      <c r="X135" s="150">
        <v>336.27</v>
      </c>
      <c r="Y135" s="150"/>
      <c r="Z135" s="150">
        <v>336.07</v>
      </c>
      <c r="AA135" s="150"/>
      <c r="AB135" s="150">
        <v>335.64</v>
      </c>
      <c r="AC135" s="150"/>
      <c r="AD135" s="150">
        <v>335.32</v>
      </c>
      <c r="AE135" s="150">
        <v>335.12</v>
      </c>
      <c r="AF135" s="151">
        <v>335.29</v>
      </c>
      <c r="AG135" s="149"/>
      <c r="AH135" s="47"/>
      <c r="AI135" s="48"/>
    </row>
    <row r="136" spans="1:37" x14ac:dyDescent="0.25">
      <c r="A136" s="189" t="s">
        <v>407</v>
      </c>
      <c r="B136" s="150"/>
      <c r="C136" s="150"/>
      <c r="D136" s="150">
        <v>885.6</v>
      </c>
      <c r="E136" s="150">
        <v>886.2</v>
      </c>
      <c r="F136" s="150">
        <v>886.8</v>
      </c>
      <c r="G136" s="150">
        <v>887.1</v>
      </c>
      <c r="H136" s="150"/>
      <c r="I136" s="150">
        <v>886.83</v>
      </c>
      <c r="J136" s="150"/>
      <c r="K136" s="150">
        <v>885.8</v>
      </c>
      <c r="L136" s="150">
        <v>885.2</v>
      </c>
      <c r="M136" s="150">
        <v>884.7</v>
      </c>
      <c r="N136" s="150">
        <v>884</v>
      </c>
      <c r="O136" s="150">
        <v>884.4</v>
      </c>
      <c r="P136" s="150">
        <v>885.2</v>
      </c>
      <c r="Q136" s="150">
        <v>885.2</v>
      </c>
      <c r="R136" s="150">
        <v>885.1</v>
      </c>
      <c r="S136" s="150">
        <v>885.7</v>
      </c>
      <c r="T136" s="150">
        <v>886.2</v>
      </c>
      <c r="U136" s="150">
        <v>886.7</v>
      </c>
      <c r="V136" s="150">
        <v>887.1</v>
      </c>
      <c r="W136" s="150"/>
      <c r="X136" s="150">
        <v>887.5</v>
      </c>
      <c r="Y136" s="150"/>
      <c r="Z136" s="150">
        <v>886.9</v>
      </c>
      <c r="AA136" s="150"/>
      <c r="AB136" s="150">
        <v>885.7</v>
      </c>
      <c r="AC136" s="150"/>
      <c r="AD136" s="150"/>
      <c r="AE136" s="150">
        <v>885.4</v>
      </c>
      <c r="AF136" s="151"/>
      <c r="AG136" s="149"/>
      <c r="AH136" s="47"/>
      <c r="AI136" s="48"/>
    </row>
    <row r="137" spans="1:37" ht="15.75" thickBot="1" x14ac:dyDescent="0.3">
      <c r="A137" s="189" t="s">
        <v>242</v>
      </c>
      <c r="B137" s="152">
        <v>1518.9</v>
      </c>
      <c r="C137" s="152"/>
      <c r="D137" s="152"/>
      <c r="E137" s="152"/>
      <c r="F137" s="152"/>
      <c r="G137" s="152"/>
      <c r="H137" s="152"/>
      <c r="I137" s="152"/>
      <c r="J137" s="152"/>
      <c r="K137" s="152">
        <v>1518.91</v>
      </c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>
        <v>1518.92</v>
      </c>
      <c r="AC137" s="152"/>
      <c r="AD137" s="152"/>
      <c r="AE137" s="152"/>
      <c r="AF137" s="153"/>
      <c r="AG137" s="149"/>
      <c r="AH137" s="47"/>
      <c r="AI137" s="48"/>
    </row>
    <row r="138" spans="1:37" ht="15.75" thickBot="1" x14ac:dyDescent="0.3">
      <c r="A138" s="120" t="s">
        <v>125</v>
      </c>
      <c r="B138" s="121"/>
      <c r="C138" s="121"/>
      <c r="D138" s="121"/>
      <c r="E138" s="121"/>
      <c r="F138" s="170" t="s">
        <v>254</v>
      </c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74"/>
      <c r="AH138" s="47"/>
      <c r="AI138" s="48"/>
      <c r="AK138" s="50"/>
    </row>
    <row r="139" spans="1:37" x14ac:dyDescent="0.25">
      <c r="A139" s="122" t="s">
        <v>126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5">
        <v>9.94</v>
      </c>
      <c r="AH139" s="47"/>
      <c r="AI139" s="48"/>
      <c r="AK139" s="50"/>
    </row>
    <row r="140" spans="1:37" x14ac:dyDescent="0.25">
      <c r="A140" s="103" t="s">
        <v>127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5"/>
      <c r="AH140" s="47"/>
      <c r="AI140" s="48"/>
      <c r="AK140" s="50"/>
    </row>
    <row r="141" spans="1:37" x14ac:dyDescent="0.25">
      <c r="A141" s="103" t="s">
        <v>128</v>
      </c>
      <c r="B141" s="123"/>
      <c r="C141" s="124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5"/>
      <c r="AH141" s="47"/>
      <c r="AI141" s="48"/>
      <c r="AK141" s="50"/>
    </row>
    <row r="142" spans="1:37" x14ac:dyDescent="0.25">
      <c r="A142" s="103" t="s">
        <v>129</v>
      </c>
      <c r="B142" s="123"/>
      <c r="C142" s="124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5"/>
      <c r="AH142" s="47"/>
      <c r="AI142" s="48"/>
      <c r="AK142" s="50"/>
    </row>
    <row r="143" spans="1:37" x14ac:dyDescent="0.25">
      <c r="A143" s="103" t="s">
        <v>130</v>
      </c>
      <c r="B143" s="123"/>
      <c r="C143" s="124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5"/>
      <c r="AH143" s="47"/>
      <c r="AI143" s="48"/>
      <c r="AK143" s="50"/>
    </row>
    <row r="144" spans="1:37" x14ac:dyDescent="0.25">
      <c r="A144" s="103" t="s">
        <v>131</v>
      </c>
      <c r="B144" s="123"/>
      <c r="C144" s="124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5"/>
      <c r="AH144" s="47"/>
      <c r="AI144" s="48"/>
      <c r="AK144" s="50"/>
    </row>
    <row r="145" spans="1:37" x14ac:dyDescent="0.25">
      <c r="A145" s="103" t="s">
        <v>132</v>
      </c>
      <c r="B145" s="123"/>
      <c r="C145" s="124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5"/>
      <c r="AH145" s="47"/>
      <c r="AI145" s="48"/>
      <c r="AK145" s="50"/>
    </row>
    <row r="146" spans="1:37" x14ac:dyDescent="0.25">
      <c r="A146" s="103" t="s">
        <v>133</v>
      </c>
      <c r="B146" s="123"/>
      <c r="C146" s="124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5"/>
      <c r="AH146" s="47"/>
      <c r="AI146" s="48"/>
      <c r="AK146" s="50"/>
    </row>
    <row r="147" spans="1:37" x14ac:dyDescent="0.25">
      <c r="A147" s="103" t="s">
        <v>134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5"/>
      <c r="AH147" s="47"/>
      <c r="AI147" s="48"/>
      <c r="AK147" s="50"/>
    </row>
    <row r="148" spans="1:37" x14ac:dyDescent="0.25">
      <c r="A148" s="103" t="s">
        <v>135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5"/>
      <c r="AH148" s="47"/>
      <c r="AI148" s="48"/>
      <c r="AK148" s="50"/>
    </row>
    <row r="149" spans="1:37" x14ac:dyDescent="0.25">
      <c r="A149" s="103" t="s">
        <v>136</v>
      </c>
      <c r="B149" s="123"/>
      <c r="C149" s="124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5"/>
      <c r="AH149" s="47"/>
      <c r="AI149" s="48"/>
      <c r="AK149" s="50"/>
    </row>
    <row r="150" spans="1:37" x14ac:dyDescent="0.25">
      <c r="A150" s="103" t="s">
        <v>137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5"/>
      <c r="AH150" s="47"/>
      <c r="AI150" s="48"/>
      <c r="AK150" s="50"/>
    </row>
    <row r="151" spans="1:37" x14ac:dyDescent="0.25">
      <c r="A151" s="103" t="s">
        <v>138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5"/>
      <c r="AH151" s="47"/>
      <c r="AI151" s="48"/>
      <c r="AK151" s="50"/>
    </row>
    <row r="152" spans="1:37" x14ac:dyDescent="0.25">
      <c r="A152" s="103" t="s">
        <v>139</v>
      </c>
      <c r="B152" s="123"/>
      <c r="C152" s="124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5"/>
      <c r="AH152" s="47"/>
      <c r="AI152" s="48"/>
      <c r="AK152" s="50"/>
    </row>
    <row r="153" spans="1:37" x14ac:dyDescent="0.25">
      <c r="A153" s="103" t="s">
        <v>140</v>
      </c>
      <c r="B153" s="123"/>
      <c r="C153" s="124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5"/>
      <c r="AH153" s="47"/>
      <c r="AI153" s="48"/>
      <c r="AK153" s="50"/>
    </row>
    <row r="154" spans="1:37" x14ac:dyDescent="0.25">
      <c r="A154" s="103" t="s">
        <v>141</v>
      </c>
      <c r="B154" s="123"/>
      <c r="C154" s="124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5"/>
      <c r="AH154" s="47"/>
      <c r="AI154" s="48"/>
      <c r="AK154" s="50"/>
    </row>
    <row r="155" spans="1:37" x14ac:dyDescent="0.25">
      <c r="A155" s="103" t="s">
        <v>142</v>
      </c>
      <c r="B155" s="126"/>
      <c r="C155" s="127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8">
        <v>9.9</v>
      </c>
      <c r="AH155" s="47"/>
      <c r="AI155" s="48"/>
      <c r="AK155" s="50"/>
    </row>
    <row r="156" spans="1:37" x14ac:dyDescent="0.25">
      <c r="A156" s="116" t="s">
        <v>143</v>
      </c>
      <c r="B156" s="126"/>
      <c r="C156" s="127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9">
        <v>9.6579999999999995</v>
      </c>
      <c r="AH156" s="47"/>
      <c r="AI156" s="48"/>
      <c r="AK156" s="50"/>
    </row>
    <row r="157" spans="1:37" x14ac:dyDescent="0.25">
      <c r="A157" s="116" t="s">
        <v>144</v>
      </c>
      <c r="B157" s="126"/>
      <c r="C157" s="127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9">
        <v>9.6</v>
      </c>
      <c r="AH157" s="47"/>
      <c r="AI157" s="48"/>
      <c r="AK157" s="50"/>
    </row>
    <row r="158" spans="1:37" x14ac:dyDescent="0.25">
      <c r="A158" s="116" t="s">
        <v>145</v>
      </c>
      <c r="B158" s="126"/>
      <c r="C158" s="127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9">
        <v>9.51</v>
      </c>
      <c r="AH158" s="47"/>
      <c r="AI158" s="48"/>
      <c r="AK158" s="50"/>
    </row>
    <row r="159" spans="1:37" x14ac:dyDescent="0.25">
      <c r="A159" s="116" t="s">
        <v>146</v>
      </c>
      <c r="B159" s="126"/>
      <c r="C159" s="127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9">
        <v>9.4</v>
      </c>
      <c r="AH159" s="47"/>
      <c r="AI159" s="48"/>
      <c r="AK159" s="50"/>
    </row>
    <row r="160" spans="1:37" x14ac:dyDescent="0.25">
      <c r="A160" s="116" t="s">
        <v>147</v>
      </c>
      <c r="B160" s="126"/>
      <c r="C160" s="127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9">
        <v>8.8000000000000007</v>
      </c>
      <c r="AH160" s="47"/>
      <c r="AI160" s="48"/>
      <c r="AK160" s="50"/>
    </row>
    <row r="161" spans="1:37" x14ac:dyDescent="0.25">
      <c r="A161" s="116" t="s">
        <v>148</v>
      </c>
      <c r="B161" s="126"/>
      <c r="C161" s="127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9">
        <v>8.5</v>
      </c>
      <c r="AH161" s="47"/>
      <c r="AI161" s="48"/>
      <c r="AK161" s="50"/>
    </row>
    <row r="162" spans="1:37" x14ac:dyDescent="0.25">
      <c r="A162" s="116" t="s">
        <v>149</v>
      </c>
      <c r="B162" s="126"/>
      <c r="C162" s="127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9">
        <v>8.5</v>
      </c>
      <c r="AH162" s="47"/>
      <c r="AI162" s="48"/>
      <c r="AK162" s="50"/>
    </row>
    <row r="163" spans="1:37" x14ac:dyDescent="0.25">
      <c r="A163" s="116" t="s">
        <v>150</v>
      </c>
      <c r="B163" s="126"/>
      <c r="C163" s="127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9">
        <v>8.4</v>
      </c>
      <c r="AH163" s="47"/>
      <c r="AI163" s="48"/>
      <c r="AK163" s="50"/>
    </row>
    <row r="164" spans="1:37" ht="13.5" customHeight="1" x14ac:dyDescent="0.25">
      <c r="A164" s="116" t="s">
        <v>151</v>
      </c>
      <c r="B164" s="126"/>
      <c r="C164" s="127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9">
        <v>8</v>
      </c>
      <c r="AH164" s="47"/>
      <c r="AI164" s="48"/>
      <c r="AK164" s="50"/>
    </row>
    <row r="165" spans="1:37" x14ac:dyDescent="0.25">
      <c r="A165" s="116" t="s">
        <v>152</v>
      </c>
      <c r="B165" s="126"/>
      <c r="C165" s="127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9">
        <v>8</v>
      </c>
      <c r="AH165" s="47"/>
      <c r="AI165" s="48"/>
      <c r="AK165" s="50"/>
    </row>
    <row r="166" spans="1:37" x14ac:dyDescent="0.25">
      <c r="A166" s="116" t="s">
        <v>153</v>
      </c>
      <c r="B166" s="126"/>
      <c r="C166" s="127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9">
        <v>8</v>
      </c>
      <c r="AH166" s="47"/>
      <c r="AI166" s="48"/>
      <c r="AK166" s="50"/>
    </row>
    <row r="167" spans="1:37" x14ac:dyDescent="0.25">
      <c r="A167" s="116" t="s">
        <v>154</v>
      </c>
      <c r="B167" s="126"/>
      <c r="C167" s="127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9">
        <v>7.8</v>
      </c>
      <c r="AH167" s="47"/>
      <c r="AI167" s="48"/>
      <c r="AK167" s="50"/>
    </row>
    <row r="168" spans="1:37" x14ac:dyDescent="0.25">
      <c r="A168" s="116" t="s">
        <v>155</v>
      </c>
      <c r="B168" s="126"/>
      <c r="C168" s="127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9">
        <v>7.6</v>
      </c>
      <c r="AH168" s="47"/>
      <c r="AI168" s="48"/>
      <c r="AK168" s="50"/>
    </row>
    <row r="169" spans="1:37" x14ac:dyDescent="0.25">
      <c r="A169" s="116" t="s">
        <v>156</v>
      </c>
      <c r="B169" s="126"/>
      <c r="C169" s="127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9">
        <v>7.5</v>
      </c>
      <c r="AH169" s="47"/>
      <c r="AI169" s="48"/>
      <c r="AK169" s="50"/>
    </row>
    <row r="170" spans="1:37" x14ac:dyDescent="0.25">
      <c r="A170" s="116" t="s">
        <v>157</v>
      </c>
      <c r="B170" s="126"/>
      <c r="C170" s="127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9">
        <v>7.5</v>
      </c>
      <c r="AH170" s="47"/>
      <c r="AI170" s="48"/>
      <c r="AK170" s="50"/>
    </row>
    <row r="171" spans="1:37" x14ac:dyDescent="0.25">
      <c r="A171" s="116" t="s">
        <v>158</v>
      </c>
      <c r="B171" s="126"/>
      <c r="C171" s="127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9">
        <v>7</v>
      </c>
      <c r="AH171" s="47"/>
      <c r="AI171" s="48"/>
      <c r="AK171" s="50"/>
    </row>
    <row r="172" spans="1:37" x14ac:dyDescent="0.25">
      <c r="A172" s="116" t="s">
        <v>159</v>
      </c>
      <c r="B172" s="126"/>
      <c r="C172" s="127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9">
        <v>7</v>
      </c>
      <c r="AH172" s="47"/>
      <c r="AI172" s="48"/>
      <c r="AK172" s="50"/>
    </row>
    <row r="173" spans="1:37" x14ac:dyDescent="0.25">
      <c r="A173" s="116" t="s">
        <v>160</v>
      </c>
      <c r="B173" s="126"/>
      <c r="C173" s="127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9">
        <v>7</v>
      </c>
      <c r="AH173" s="47"/>
      <c r="AI173" s="48"/>
      <c r="AK173" s="50"/>
    </row>
    <row r="174" spans="1:37" x14ac:dyDescent="0.25">
      <c r="A174" s="116" t="s">
        <v>161</v>
      </c>
      <c r="B174" s="126"/>
      <c r="C174" s="127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9">
        <v>7</v>
      </c>
      <c r="AH174" s="47"/>
      <c r="AI174" s="48"/>
      <c r="AK174" s="50"/>
    </row>
    <row r="175" spans="1:37" x14ac:dyDescent="0.25">
      <c r="A175" s="116" t="s">
        <v>162</v>
      </c>
      <c r="B175" s="126"/>
      <c r="C175" s="127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9">
        <v>6.6</v>
      </c>
      <c r="AH175" s="47"/>
      <c r="AI175" s="48"/>
      <c r="AK175" s="50"/>
    </row>
    <row r="176" spans="1:37" x14ac:dyDescent="0.25">
      <c r="A176" s="116" t="s">
        <v>163</v>
      </c>
      <c r="B176" s="126"/>
      <c r="C176" s="127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9">
        <v>6.6</v>
      </c>
      <c r="AH176" s="47"/>
      <c r="AI176" s="48"/>
      <c r="AK176" s="50"/>
    </row>
    <row r="177" spans="1:37" x14ac:dyDescent="0.25">
      <c r="A177" s="116" t="s">
        <v>164</v>
      </c>
      <c r="B177" s="126"/>
      <c r="C177" s="127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9">
        <v>6.4</v>
      </c>
      <c r="AH177" s="47"/>
      <c r="AI177" s="48"/>
      <c r="AK177" s="50"/>
    </row>
    <row r="178" spans="1:37" x14ac:dyDescent="0.25">
      <c r="A178" s="116" t="s">
        <v>165</v>
      </c>
      <c r="B178" s="126"/>
      <c r="C178" s="127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9">
        <v>6</v>
      </c>
      <c r="AH178" s="47"/>
      <c r="AI178" s="48"/>
      <c r="AK178" s="50"/>
    </row>
    <row r="179" spans="1:37" x14ac:dyDescent="0.25">
      <c r="A179" s="116" t="s">
        <v>166</v>
      </c>
      <c r="B179" s="126"/>
      <c r="C179" s="127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9">
        <v>5.0999999999999996</v>
      </c>
      <c r="AH179" s="47"/>
      <c r="AI179" s="48"/>
      <c r="AK179" s="50"/>
    </row>
    <row r="180" spans="1:37" x14ac:dyDescent="0.25">
      <c r="A180" s="116" t="s">
        <v>167</v>
      </c>
      <c r="B180" s="126"/>
      <c r="C180" s="127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9">
        <v>5</v>
      </c>
      <c r="AH180" s="47"/>
      <c r="AI180" s="48"/>
      <c r="AK180" s="50"/>
    </row>
    <row r="181" spans="1:37" x14ac:dyDescent="0.25">
      <c r="A181" s="103" t="s">
        <v>168</v>
      </c>
      <c r="B181" s="126"/>
      <c r="C181" s="127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8">
        <v>5</v>
      </c>
      <c r="AH181" s="47"/>
      <c r="AI181" s="48"/>
      <c r="AK181" s="50"/>
    </row>
    <row r="182" spans="1:37" x14ac:dyDescent="0.25">
      <c r="A182" s="116" t="s">
        <v>169</v>
      </c>
      <c r="B182" s="126"/>
      <c r="C182" s="127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9">
        <v>5</v>
      </c>
      <c r="AH182" s="47"/>
      <c r="AI182" s="48"/>
      <c r="AK182" s="50"/>
    </row>
    <row r="183" spans="1:37" x14ac:dyDescent="0.25">
      <c r="A183" s="116" t="s">
        <v>170</v>
      </c>
      <c r="B183" s="126"/>
      <c r="C183" s="127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9">
        <v>5</v>
      </c>
      <c r="AH183" s="47"/>
      <c r="AI183" s="48"/>
      <c r="AK183" s="50"/>
    </row>
    <row r="184" spans="1:37" x14ac:dyDescent="0.25">
      <c r="A184" s="116" t="s">
        <v>171</v>
      </c>
      <c r="B184" s="126"/>
      <c r="C184" s="127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9">
        <v>5</v>
      </c>
      <c r="AH184" s="47"/>
      <c r="AI184" s="48"/>
      <c r="AK184" s="50"/>
    </row>
    <row r="185" spans="1:37" x14ac:dyDescent="0.25">
      <c r="A185" s="116" t="s">
        <v>172</v>
      </c>
      <c r="B185" s="126"/>
      <c r="C185" s="127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9">
        <v>5</v>
      </c>
      <c r="AH185" s="47"/>
      <c r="AI185" s="48"/>
      <c r="AK185" s="50"/>
    </row>
    <row r="186" spans="1:37" x14ac:dyDescent="0.25">
      <c r="A186" s="116" t="s">
        <v>173</v>
      </c>
      <c r="B186" s="126"/>
      <c r="C186" s="127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9">
        <v>5</v>
      </c>
      <c r="AH186" s="47"/>
      <c r="AI186" s="48"/>
      <c r="AK186" s="50"/>
    </row>
    <row r="187" spans="1:37" x14ac:dyDescent="0.25">
      <c r="A187" s="116" t="s">
        <v>174</v>
      </c>
      <c r="B187" s="126"/>
      <c r="C187" s="127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9">
        <v>4.9930000000000003</v>
      </c>
      <c r="AH187" s="47"/>
      <c r="AI187" s="48"/>
      <c r="AK187" s="50"/>
    </row>
    <row r="188" spans="1:37" x14ac:dyDescent="0.25">
      <c r="A188" s="116" t="s">
        <v>175</v>
      </c>
      <c r="B188" s="126"/>
      <c r="C188" s="127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9">
        <v>4.9800000000000004</v>
      </c>
      <c r="AH188" s="47"/>
      <c r="AI188" s="48"/>
      <c r="AK188" s="50"/>
    </row>
    <row r="189" spans="1:37" x14ac:dyDescent="0.25">
      <c r="A189" s="116" t="s">
        <v>176</v>
      </c>
      <c r="B189" s="126"/>
      <c r="C189" s="127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9">
        <v>4.95</v>
      </c>
      <c r="AH189" s="47"/>
      <c r="AI189" s="48"/>
      <c r="AK189" s="50"/>
    </row>
    <row r="190" spans="1:37" x14ac:dyDescent="0.25">
      <c r="A190" s="116" t="s">
        <v>177</v>
      </c>
      <c r="B190" s="126"/>
      <c r="C190" s="127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9">
        <v>4.95</v>
      </c>
      <c r="AH190" s="47"/>
      <c r="AI190" s="48"/>
      <c r="AK190" s="50"/>
    </row>
    <row r="191" spans="1:37" x14ac:dyDescent="0.25">
      <c r="A191" s="116" t="s">
        <v>178</v>
      </c>
      <c r="B191" s="126"/>
      <c r="C191" s="127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9">
        <v>4.8</v>
      </c>
      <c r="AH191" s="47"/>
      <c r="AI191" s="48"/>
      <c r="AK191" s="50"/>
    </row>
    <row r="192" spans="1:37" x14ac:dyDescent="0.25">
      <c r="A192" s="116" t="s">
        <v>179</v>
      </c>
      <c r="B192" s="126"/>
      <c r="C192" s="127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9">
        <v>4.8</v>
      </c>
      <c r="AH192" s="47"/>
      <c r="AI192" s="48"/>
      <c r="AK192" s="50"/>
    </row>
    <row r="193" spans="1:37" x14ac:dyDescent="0.25">
      <c r="A193" s="116" t="s">
        <v>180</v>
      </c>
      <c r="B193" s="126"/>
      <c r="C193" s="127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9">
        <v>4.8</v>
      </c>
      <c r="AH193" s="47"/>
      <c r="AI193" s="48"/>
      <c r="AK193" s="50"/>
    </row>
    <row r="194" spans="1:37" x14ac:dyDescent="0.25">
      <c r="A194" s="116" t="s">
        <v>181</v>
      </c>
      <c r="B194" s="126"/>
      <c r="C194" s="127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9">
        <v>4.5</v>
      </c>
      <c r="AH194" s="47"/>
      <c r="AI194" s="48"/>
      <c r="AK194" s="50"/>
    </row>
    <row r="195" spans="1:37" x14ac:dyDescent="0.25">
      <c r="A195" s="116" t="s">
        <v>182</v>
      </c>
      <c r="B195" s="126"/>
      <c r="C195" s="127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9">
        <v>4.5</v>
      </c>
      <c r="AH195" s="47"/>
      <c r="AI195" s="48"/>
      <c r="AK195" s="50"/>
    </row>
    <row r="196" spans="1:37" x14ac:dyDescent="0.25">
      <c r="A196" s="116" t="s">
        <v>183</v>
      </c>
      <c r="B196" s="126"/>
      <c r="C196" s="127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9">
        <v>4.4550000000000001</v>
      </c>
      <c r="AH196" s="47"/>
      <c r="AI196" s="48"/>
      <c r="AK196" s="50"/>
    </row>
    <row r="197" spans="1:37" x14ac:dyDescent="0.25">
      <c r="A197" s="116" t="s">
        <v>184</v>
      </c>
      <c r="B197" s="126"/>
      <c r="C197" s="127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9">
        <v>4.41</v>
      </c>
      <c r="AH197" s="47"/>
      <c r="AI197" s="48"/>
      <c r="AK197" s="50"/>
    </row>
    <row r="198" spans="1:37" x14ac:dyDescent="0.25">
      <c r="A198" s="116" t="s">
        <v>185</v>
      </c>
      <c r="B198" s="126"/>
      <c r="C198" s="127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9">
        <v>4.4000000000000004</v>
      </c>
      <c r="AH198" s="47"/>
      <c r="AI198" s="48"/>
      <c r="AK198" s="50"/>
    </row>
    <row r="199" spans="1:37" x14ac:dyDescent="0.25">
      <c r="A199" s="116" t="s">
        <v>186</v>
      </c>
      <c r="B199" s="126"/>
      <c r="C199" s="127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9">
        <v>4.3600000000000003</v>
      </c>
      <c r="AH199" s="47"/>
      <c r="AI199" s="48"/>
      <c r="AK199" s="50"/>
    </row>
    <row r="200" spans="1:37" x14ac:dyDescent="0.25">
      <c r="A200" s="116" t="s">
        <v>187</v>
      </c>
      <c r="B200" s="126"/>
      <c r="C200" s="127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9">
        <v>4.2</v>
      </c>
      <c r="AH200" s="47"/>
      <c r="AI200" s="48"/>
      <c r="AK200" s="50"/>
    </row>
    <row r="201" spans="1:37" x14ac:dyDescent="0.25">
      <c r="A201" s="116" t="s">
        <v>188</v>
      </c>
      <c r="B201" s="126"/>
      <c r="C201" s="127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9">
        <v>4</v>
      </c>
      <c r="AH201" s="47"/>
      <c r="AI201" s="48"/>
      <c r="AK201" s="50"/>
    </row>
    <row r="202" spans="1:37" x14ac:dyDescent="0.25">
      <c r="A202" s="116" t="s">
        <v>189</v>
      </c>
      <c r="B202" s="126"/>
      <c r="C202" s="127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9">
        <v>4</v>
      </c>
      <c r="AH202" s="47"/>
      <c r="AI202" s="48"/>
      <c r="AK202" s="50"/>
    </row>
    <row r="203" spans="1:37" x14ac:dyDescent="0.25">
      <c r="A203" s="116" t="s">
        <v>190</v>
      </c>
      <c r="B203" s="126"/>
      <c r="C203" s="127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9">
        <v>4</v>
      </c>
      <c r="AH203" s="47"/>
      <c r="AI203" s="48"/>
      <c r="AK203" s="50"/>
    </row>
    <row r="204" spans="1:37" x14ac:dyDescent="0.25">
      <c r="A204" s="116" t="s">
        <v>191</v>
      </c>
      <c r="B204" s="126"/>
      <c r="C204" s="127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9">
        <v>4</v>
      </c>
      <c r="AH204" s="47"/>
      <c r="AI204" s="48"/>
      <c r="AK204" s="50"/>
    </row>
    <row r="205" spans="1:37" x14ac:dyDescent="0.25">
      <c r="A205" s="116" t="s">
        <v>192</v>
      </c>
      <c r="B205" s="126"/>
      <c r="C205" s="127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9">
        <v>4</v>
      </c>
      <c r="AH205" s="47"/>
      <c r="AI205" s="48"/>
      <c r="AK205" s="50"/>
    </row>
    <row r="206" spans="1:37" x14ac:dyDescent="0.25">
      <c r="A206" s="116" t="s">
        <v>193</v>
      </c>
      <c r="B206" s="126"/>
      <c r="C206" s="127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9">
        <v>4</v>
      </c>
      <c r="AH206" s="47"/>
      <c r="AI206" s="48"/>
      <c r="AK206" s="50"/>
    </row>
    <row r="207" spans="1:37" x14ac:dyDescent="0.25">
      <c r="A207" s="116" t="s">
        <v>194</v>
      </c>
      <c r="B207" s="126"/>
      <c r="C207" s="127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9">
        <v>4</v>
      </c>
      <c r="AH207" s="47"/>
      <c r="AI207" s="48"/>
      <c r="AK207" s="50"/>
    </row>
    <row r="208" spans="1:37" x14ac:dyDescent="0.25">
      <c r="A208" s="116" t="s">
        <v>195</v>
      </c>
      <c r="B208" s="126"/>
      <c r="C208" s="127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9">
        <v>4</v>
      </c>
      <c r="AH208" s="47"/>
      <c r="AI208" s="48"/>
      <c r="AK208" s="50"/>
    </row>
    <row r="209" spans="1:37" x14ac:dyDescent="0.25">
      <c r="A209" s="116" t="s">
        <v>196</v>
      </c>
      <c r="B209" s="126"/>
      <c r="C209" s="127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9">
        <v>3.75</v>
      </c>
      <c r="AH209" s="47"/>
      <c r="AI209" s="48"/>
      <c r="AK209" s="50"/>
    </row>
    <row r="210" spans="1:37" x14ac:dyDescent="0.25">
      <c r="A210" s="116" t="s">
        <v>197</v>
      </c>
      <c r="B210" s="126"/>
      <c r="C210" s="127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9">
        <v>3.52</v>
      </c>
      <c r="AH210" s="47"/>
      <c r="AI210" s="48"/>
      <c r="AK210" s="50"/>
    </row>
    <row r="211" spans="1:37" x14ac:dyDescent="0.25">
      <c r="A211" s="116" t="s">
        <v>198</v>
      </c>
      <c r="B211" s="126"/>
      <c r="C211" s="127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9">
        <v>3.33</v>
      </c>
      <c r="AH211" s="47"/>
      <c r="AI211" s="48"/>
      <c r="AK211" s="50"/>
    </row>
    <row r="212" spans="1:37" x14ac:dyDescent="0.25">
      <c r="A212" s="116" t="s">
        <v>199</v>
      </c>
      <c r="B212" s="126"/>
      <c r="C212" s="127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9">
        <v>3.2</v>
      </c>
      <c r="AH212" s="47"/>
      <c r="AI212" s="48"/>
      <c r="AK212" s="50"/>
    </row>
    <row r="213" spans="1:37" x14ac:dyDescent="0.25">
      <c r="A213" s="116" t="s">
        <v>200</v>
      </c>
      <c r="B213" s="126"/>
      <c r="C213" s="127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9">
        <v>3</v>
      </c>
      <c r="AH213" s="47"/>
      <c r="AI213" s="48"/>
      <c r="AK213" s="50"/>
    </row>
    <row r="214" spans="1:37" x14ac:dyDescent="0.25">
      <c r="A214" s="116" t="s">
        <v>201</v>
      </c>
      <c r="B214" s="126"/>
      <c r="C214" s="127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9">
        <v>3</v>
      </c>
      <c r="AH214" s="47"/>
      <c r="AI214" s="48"/>
      <c r="AK214" s="50"/>
    </row>
    <row r="215" spans="1:37" x14ac:dyDescent="0.25">
      <c r="A215" s="116" t="s">
        <v>202</v>
      </c>
      <c r="B215" s="126"/>
      <c r="C215" s="127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9">
        <v>3</v>
      </c>
      <c r="AH215" s="47"/>
      <c r="AI215" s="48"/>
      <c r="AK215" s="50"/>
    </row>
    <row r="216" spans="1:37" x14ac:dyDescent="0.25">
      <c r="A216" s="116" t="s">
        <v>203</v>
      </c>
      <c r="B216" s="126"/>
      <c r="C216" s="127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9">
        <v>3</v>
      </c>
      <c r="AH216" s="47"/>
      <c r="AI216" s="48"/>
      <c r="AK216" s="50"/>
    </row>
    <row r="217" spans="1:37" x14ac:dyDescent="0.25">
      <c r="A217" s="116" t="s">
        <v>204</v>
      </c>
      <c r="B217" s="126"/>
      <c r="C217" s="127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9">
        <v>3</v>
      </c>
      <c r="AH217" s="47"/>
      <c r="AI217" s="48"/>
      <c r="AK217" s="50"/>
    </row>
    <row r="218" spans="1:37" x14ac:dyDescent="0.25">
      <c r="A218" s="116" t="s">
        <v>205</v>
      </c>
      <c r="B218" s="126"/>
      <c r="C218" s="127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9">
        <v>3</v>
      </c>
      <c r="AH218" s="47"/>
      <c r="AI218" s="48"/>
      <c r="AK218" s="50"/>
    </row>
    <row r="219" spans="1:37" x14ac:dyDescent="0.25">
      <c r="A219" s="116" t="s">
        <v>206</v>
      </c>
      <c r="B219" s="126"/>
      <c r="C219" s="127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9">
        <v>3</v>
      </c>
      <c r="AH219" s="47"/>
      <c r="AI219" s="48"/>
      <c r="AK219" s="50"/>
    </row>
    <row r="220" spans="1:37" x14ac:dyDescent="0.25">
      <c r="A220" s="116" t="s">
        <v>207</v>
      </c>
      <c r="B220" s="126"/>
      <c r="C220" s="127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9">
        <v>3</v>
      </c>
      <c r="AH220" s="47"/>
      <c r="AI220" s="48"/>
      <c r="AK220" s="50"/>
    </row>
    <row r="221" spans="1:37" x14ac:dyDescent="0.25">
      <c r="A221" s="116" t="s">
        <v>208</v>
      </c>
      <c r="B221" s="126"/>
      <c r="C221" s="127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9">
        <v>2.83</v>
      </c>
      <c r="AH221" s="47"/>
      <c r="AI221" s="48"/>
      <c r="AK221" s="50"/>
    </row>
    <row r="222" spans="1:37" x14ac:dyDescent="0.25">
      <c r="A222" s="116" t="s">
        <v>209</v>
      </c>
      <c r="B222" s="126"/>
      <c r="C222" s="127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9">
        <v>2.5</v>
      </c>
      <c r="AH222" s="47"/>
      <c r="AI222" s="48"/>
      <c r="AK222" s="50"/>
    </row>
    <row r="223" spans="1:37" x14ac:dyDescent="0.25">
      <c r="A223" s="116" t="s">
        <v>210</v>
      </c>
      <c r="B223" s="126"/>
      <c r="C223" s="127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9">
        <v>2.5</v>
      </c>
      <c r="AH223" s="47"/>
      <c r="AI223" s="48"/>
      <c r="AK223" s="50"/>
    </row>
    <row r="224" spans="1:37" x14ac:dyDescent="0.25">
      <c r="A224" s="116" t="s">
        <v>211</v>
      </c>
      <c r="B224" s="126"/>
      <c r="C224" s="127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9">
        <v>2.4</v>
      </c>
      <c r="AH224" s="47"/>
      <c r="AI224" s="48"/>
      <c r="AK224" s="50"/>
    </row>
    <row r="225" spans="1:37" x14ac:dyDescent="0.25">
      <c r="A225" s="116" t="s">
        <v>212</v>
      </c>
      <c r="B225" s="126"/>
      <c r="C225" s="127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9">
        <v>2.4</v>
      </c>
      <c r="AH225" s="47"/>
      <c r="AI225" s="48"/>
      <c r="AK225" s="50"/>
    </row>
    <row r="226" spans="1:37" x14ac:dyDescent="0.25">
      <c r="A226" s="116" t="s">
        <v>213</v>
      </c>
      <c r="B226" s="126"/>
      <c r="C226" s="127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9">
        <v>2.2000000000000002</v>
      </c>
      <c r="AH226" s="47"/>
      <c r="AI226" s="48"/>
      <c r="AK226" s="50"/>
    </row>
    <row r="227" spans="1:37" x14ac:dyDescent="0.25">
      <c r="A227" s="116" t="s">
        <v>214</v>
      </c>
      <c r="B227" s="126"/>
      <c r="C227" s="127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9">
        <v>2</v>
      </c>
      <c r="AH227" s="47"/>
      <c r="AI227" s="48"/>
      <c r="AK227" s="50"/>
    </row>
    <row r="228" spans="1:37" x14ac:dyDescent="0.25">
      <c r="A228" s="116" t="s">
        <v>215</v>
      </c>
      <c r="B228" s="126"/>
      <c r="C228" s="127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9">
        <v>2</v>
      </c>
      <c r="AH228" s="47"/>
      <c r="AI228" s="48"/>
      <c r="AK228" s="50"/>
    </row>
    <row r="229" spans="1:37" x14ac:dyDescent="0.25">
      <c r="A229" s="116" t="s">
        <v>216</v>
      </c>
      <c r="B229" s="126"/>
      <c r="C229" s="127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9">
        <v>2</v>
      </c>
      <c r="AH229" s="47"/>
      <c r="AI229" s="48"/>
      <c r="AK229" s="50"/>
    </row>
    <row r="230" spans="1:37" x14ac:dyDescent="0.25">
      <c r="A230" s="116" t="s">
        <v>217</v>
      </c>
      <c r="B230" s="126"/>
      <c r="C230" s="127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9">
        <v>1.8</v>
      </c>
      <c r="AH230" s="47"/>
      <c r="AI230" s="48"/>
      <c r="AK230" s="50"/>
    </row>
    <row r="231" spans="1:37" x14ac:dyDescent="0.25">
      <c r="A231" s="116" t="s">
        <v>218</v>
      </c>
      <c r="B231" s="126"/>
      <c r="C231" s="127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9">
        <v>1.8</v>
      </c>
      <c r="AH231" s="47"/>
      <c r="AI231" s="48"/>
      <c r="AK231" s="50"/>
    </row>
    <row r="232" spans="1:37" x14ac:dyDescent="0.25">
      <c r="A232" s="116" t="s">
        <v>219</v>
      </c>
      <c r="B232" s="126"/>
      <c r="C232" s="127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9">
        <v>1.65</v>
      </c>
      <c r="AH232" s="47"/>
      <c r="AI232" s="48"/>
      <c r="AK232" s="50"/>
    </row>
    <row r="233" spans="1:37" x14ac:dyDescent="0.25">
      <c r="A233" s="116" t="s">
        <v>220</v>
      </c>
      <c r="B233" s="126"/>
      <c r="C233" s="127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9">
        <v>1.5</v>
      </c>
      <c r="AH233" s="47"/>
      <c r="AI233" s="48"/>
      <c r="AK233" s="50"/>
    </row>
    <row r="234" spans="1:37" x14ac:dyDescent="0.25">
      <c r="A234" s="116" t="s">
        <v>221</v>
      </c>
      <c r="B234" s="126"/>
      <c r="C234" s="127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9">
        <v>0.998</v>
      </c>
      <c r="AH234" s="47"/>
      <c r="AI234" s="48"/>
      <c r="AK234" s="50"/>
    </row>
    <row r="235" spans="1:37" x14ac:dyDescent="0.25">
      <c r="A235" s="116" t="s">
        <v>222</v>
      </c>
      <c r="B235" s="126"/>
      <c r="C235" s="127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9">
        <v>0.997</v>
      </c>
      <c r="AH235" s="47"/>
      <c r="AI235" s="48"/>
      <c r="AK235" s="50"/>
    </row>
    <row r="236" spans="1:37" x14ac:dyDescent="0.25">
      <c r="A236" s="116" t="s">
        <v>223</v>
      </c>
      <c r="B236" s="126"/>
      <c r="C236" s="127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9">
        <v>0.997</v>
      </c>
      <c r="AH236" s="47"/>
      <c r="AI236" s="48"/>
      <c r="AK236" s="50"/>
    </row>
    <row r="237" spans="1:37" x14ac:dyDescent="0.25">
      <c r="A237" s="116" t="s">
        <v>224</v>
      </c>
      <c r="B237" s="126"/>
      <c r="C237" s="127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9">
        <v>0.996</v>
      </c>
      <c r="AH237" s="47"/>
      <c r="AI237" s="48"/>
      <c r="AK237" s="50"/>
    </row>
    <row r="238" spans="1:37" x14ac:dyDescent="0.25">
      <c r="A238" s="116" t="s">
        <v>225</v>
      </c>
      <c r="B238" s="126"/>
      <c r="C238" s="127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9">
        <v>0.996</v>
      </c>
      <c r="AH238" s="47"/>
      <c r="AI238" s="48"/>
      <c r="AK238" s="50"/>
    </row>
    <row r="239" spans="1:37" x14ac:dyDescent="0.25">
      <c r="A239" s="116" t="s">
        <v>226</v>
      </c>
      <c r="B239" s="126"/>
      <c r="C239" s="127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9">
        <v>0.996</v>
      </c>
      <c r="AH239" s="47"/>
      <c r="AI239" s="48"/>
      <c r="AK239" s="50"/>
    </row>
    <row r="240" spans="1:37" x14ac:dyDescent="0.25">
      <c r="A240" s="116" t="s">
        <v>227</v>
      </c>
      <c r="B240" s="126"/>
      <c r="C240" s="127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9">
        <v>0.995</v>
      </c>
      <c r="AH240" s="47"/>
      <c r="AI240" s="48"/>
      <c r="AK240" s="50"/>
    </row>
    <row r="241" spans="1:37" x14ac:dyDescent="0.25">
      <c r="A241" s="116" t="s">
        <v>228</v>
      </c>
      <c r="B241" s="126"/>
      <c r="C241" s="127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9">
        <v>0.99299999999999999</v>
      </c>
      <c r="AH241" s="47"/>
      <c r="AI241" s="48"/>
      <c r="AK241" s="50"/>
    </row>
    <row r="242" spans="1:37" x14ac:dyDescent="0.25">
      <c r="A242" s="116" t="s">
        <v>229</v>
      </c>
      <c r="B242" s="126"/>
      <c r="C242" s="124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9">
        <v>0.99</v>
      </c>
      <c r="AH242" s="47"/>
      <c r="AI242" s="48"/>
      <c r="AK242" s="50"/>
    </row>
    <row r="243" spans="1:37" ht="15.75" thickBot="1" x14ac:dyDescent="0.3">
      <c r="A243" s="116" t="s">
        <v>230</v>
      </c>
      <c r="B243" s="130"/>
      <c r="C243" s="131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29">
        <v>0.97899999999999998</v>
      </c>
      <c r="AH243" s="47"/>
      <c r="AI243" s="48"/>
      <c r="AK243" s="50"/>
    </row>
    <row r="244" spans="1:37" ht="15.75" thickBot="1" x14ac:dyDescent="0.3">
      <c r="A244" s="132" t="s">
        <v>231</v>
      </c>
      <c r="B244" s="133">
        <f t="shared" ref="B244:AG244" si="152">SUM(B139:B243)</f>
        <v>0</v>
      </c>
      <c r="C244" s="134">
        <f t="shared" si="152"/>
        <v>0</v>
      </c>
      <c r="D244" s="134">
        <f t="shared" si="152"/>
        <v>0</v>
      </c>
      <c r="E244" s="134">
        <f t="shared" si="152"/>
        <v>0</v>
      </c>
      <c r="F244" s="134">
        <f t="shared" si="152"/>
        <v>0</v>
      </c>
      <c r="G244" s="134">
        <f t="shared" si="152"/>
        <v>0</v>
      </c>
      <c r="H244" s="134">
        <f t="shared" si="152"/>
        <v>0</v>
      </c>
      <c r="I244" s="134">
        <f t="shared" si="152"/>
        <v>0</v>
      </c>
      <c r="J244" s="134">
        <f t="shared" si="152"/>
        <v>0</v>
      </c>
      <c r="K244" s="134">
        <f t="shared" si="152"/>
        <v>0</v>
      </c>
      <c r="L244" s="134">
        <f t="shared" si="152"/>
        <v>0</v>
      </c>
      <c r="M244" s="134">
        <f t="shared" si="152"/>
        <v>0</v>
      </c>
      <c r="N244" s="134">
        <f t="shared" si="152"/>
        <v>0</v>
      </c>
      <c r="O244" s="134">
        <f t="shared" si="152"/>
        <v>0</v>
      </c>
      <c r="P244" s="134">
        <f t="shared" si="152"/>
        <v>0</v>
      </c>
      <c r="Q244" s="134">
        <f t="shared" si="152"/>
        <v>0</v>
      </c>
      <c r="R244" s="134">
        <f t="shared" si="152"/>
        <v>0</v>
      </c>
      <c r="S244" s="134">
        <f t="shared" si="152"/>
        <v>0</v>
      </c>
      <c r="T244" s="134">
        <f t="shared" si="152"/>
        <v>0</v>
      </c>
      <c r="U244" s="134">
        <f t="shared" si="152"/>
        <v>0</v>
      </c>
      <c r="V244" s="134">
        <f t="shared" si="152"/>
        <v>0</v>
      </c>
      <c r="W244" s="134">
        <f t="shared" si="152"/>
        <v>0</v>
      </c>
      <c r="X244" s="134">
        <f t="shared" si="152"/>
        <v>0</v>
      </c>
      <c r="Y244" s="134">
        <f t="shared" si="152"/>
        <v>0</v>
      </c>
      <c r="Z244" s="134">
        <f t="shared" si="152"/>
        <v>0</v>
      </c>
      <c r="AA244" s="134">
        <f t="shared" si="152"/>
        <v>0</v>
      </c>
      <c r="AB244" s="134">
        <f t="shared" si="152"/>
        <v>0</v>
      </c>
      <c r="AC244" s="134">
        <f t="shared" si="152"/>
        <v>0</v>
      </c>
      <c r="AD244" s="134">
        <f t="shared" si="152"/>
        <v>0</v>
      </c>
      <c r="AE244" s="134">
        <f t="shared" si="152"/>
        <v>0</v>
      </c>
      <c r="AF244" s="135">
        <f t="shared" si="152"/>
        <v>0</v>
      </c>
      <c r="AG244" s="136">
        <f t="shared" si="152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19"/>
      <c r="AH245" s="47"/>
      <c r="AI245" s="48"/>
      <c r="AK245" s="50"/>
    </row>
    <row r="246" spans="1:37" x14ac:dyDescent="0.25">
      <c r="A246" s="100" t="s">
        <v>232</v>
      </c>
      <c r="B246" s="138">
        <f t="shared" ref="B246:B251" si="153">AF246</f>
        <v>0.3</v>
      </c>
      <c r="C246" s="138">
        <v>0.3</v>
      </c>
      <c r="D246" s="138">
        <f t="shared" ref="D246:S251" si="154">C246</f>
        <v>0.3</v>
      </c>
      <c r="E246" s="138">
        <f t="shared" si="154"/>
        <v>0.3</v>
      </c>
      <c r="F246" s="138">
        <f t="shared" si="154"/>
        <v>0.3</v>
      </c>
      <c r="G246" s="138">
        <f t="shared" si="154"/>
        <v>0.3</v>
      </c>
      <c r="H246" s="138">
        <f t="shared" si="154"/>
        <v>0.3</v>
      </c>
      <c r="I246" s="138">
        <f t="shared" si="154"/>
        <v>0.3</v>
      </c>
      <c r="J246" s="138">
        <f t="shared" si="154"/>
        <v>0.3</v>
      </c>
      <c r="K246" s="138">
        <f t="shared" si="154"/>
        <v>0.3</v>
      </c>
      <c r="L246" s="138">
        <f t="shared" si="154"/>
        <v>0.3</v>
      </c>
      <c r="M246" s="138">
        <f t="shared" si="154"/>
        <v>0.3</v>
      </c>
      <c r="N246" s="138">
        <f t="shared" si="154"/>
        <v>0.3</v>
      </c>
      <c r="O246" s="138">
        <f t="shared" si="154"/>
        <v>0.3</v>
      </c>
      <c r="P246" s="138">
        <f t="shared" si="154"/>
        <v>0.3</v>
      </c>
      <c r="Q246" s="138">
        <f t="shared" si="154"/>
        <v>0.3</v>
      </c>
      <c r="R246" s="138">
        <f t="shared" si="154"/>
        <v>0.3</v>
      </c>
      <c r="S246" s="138">
        <f t="shared" si="154"/>
        <v>0.3</v>
      </c>
      <c r="T246" s="138">
        <f t="shared" ref="T246:AF251" si="155">S246</f>
        <v>0.3</v>
      </c>
      <c r="U246" s="138">
        <f t="shared" si="155"/>
        <v>0.3</v>
      </c>
      <c r="V246" s="138">
        <f t="shared" si="155"/>
        <v>0.3</v>
      </c>
      <c r="W246" s="138">
        <f t="shared" si="155"/>
        <v>0.3</v>
      </c>
      <c r="X246" s="138">
        <f t="shared" si="155"/>
        <v>0.3</v>
      </c>
      <c r="Y246" s="138">
        <f t="shared" si="155"/>
        <v>0.3</v>
      </c>
      <c r="Z246" s="138">
        <f t="shared" si="155"/>
        <v>0.3</v>
      </c>
      <c r="AA246" s="138">
        <f t="shared" si="155"/>
        <v>0.3</v>
      </c>
      <c r="AB246" s="138">
        <f t="shared" si="155"/>
        <v>0.3</v>
      </c>
      <c r="AC246" s="138">
        <f t="shared" si="155"/>
        <v>0.3</v>
      </c>
      <c r="AD246" s="138">
        <f t="shared" si="155"/>
        <v>0.3</v>
      </c>
      <c r="AE246" s="138">
        <f t="shared" si="155"/>
        <v>0.3</v>
      </c>
      <c r="AF246" s="138">
        <f t="shared" si="155"/>
        <v>0.3</v>
      </c>
      <c r="AG246" s="139">
        <v>2.4</v>
      </c>
      <c r="AH246" s="47"/>
      <c r="AI246" s="48"/>
      <c r="AK246" s="50"/>
    </row>
    <row r="247" spans="1:37" x14ac:dyDescent="0.25">
      <c r="A247" s="103" t="s">
        <v>233</v>
      </c>
      <c r="B247" s="126">
        <f t="shared" si="153"/>
        <v>0.4</v>
      </c>
      <c r="C247" s="126">
        <v>0.4</v>
      </c>
      <c r="D247" s="126">
        <f t="shared" si="154"/>
        <v>0.4</v>
      </c>
      <c r="E247" s="126">
        <f t="shared" si="154"/>
        <v>0.4</v>
      </c>
      <c r="F247" s="126">
        <f t="shared" si="154"/>
        <v>0.4</v>
      </c>
      <c r="G247" s="126">
        <f t="shared" si="154"/>
        <v>0.4</v>
      </c>
      <c r="H247" s="126">
        <f t="shared" si="154"/>
        <v>0.4</v>
      </c>
      <c r="I247" s="126">
        <f t="shared" si="154"/>
        <v>0.4</v>
      </c>
      <c r="J247" s="126">
        <f t="shared" si="154"/>
        <v>0.4</v>
      </c>
      <c r="K247" s="126">
        <f t="shared" si="154"/>
        <v>0.4</v>
      </c>
      <c r="L247" s="126">
        <f t="shared" si="154"/>
        <v>0.4</v>
      </c>
      <c r="M247" s="126">
        <f t="shared" si="154"/>
        <v>0.4</v>
      </c>
      <c r="N247" s="126">
        <f t="shared" si="154"/>
        <v>0.4</v>
      </c>
      <c r="O247" s="126">
        <f t="shared" si="154"/>
        <v>0.4</v>
      </c>
      <c r="P247" s="126">
        <f t="shared" si="154"/>
        <v>0.4</v>
      </c>
      <c r="Q247" s="126">
        <f t="shared" si="154"/>
        <v>0.4</v>
      </c>
      <c r="R247" s="126">
        <f t="shared" si="154"/>
        <v>0.4</v>
      </c>
      <c r="S247" s="126">
        <f t="shared" si="154"/>
        <v>0.4</v>
      </c>
      <c r="T247" s="126">
        <f t="shared" si="155"/>
        <v>0.4</v>
      </c>
      <c r="U247" s="126">
        <f t="shared" si="155"/>
        <v>0.4</v>
      </c>
      <c r="V247" s="126">
        <f t="shared" si="155"/>
        <v>0.4</v>
      </c>
      <c r="W247" s="126">
        <f t="shared" si="155"/>
        <v>0.4</v>
      </c>
      <c r="X247" s="126">
        <f t="shared" si="155"/>
        <v>0.4</v>
      </c>
      <c r="Y247" s="126">
        <f t="shared" si="155"/>
        <v>0.4</v>
      </c>
      <c r="Z247" s="126">
        <f t="shared" si="155"/>
        <v>0.4</v>
      </c>
      <c r="AA247" s="126">
        <f t="shared" si="155"/>
        <v>0.4</v>
      </c>
      <c r="AB247" s="126">
        <f t="shared" si="155"/>
        <v>0.4</v>
      </c>
      <c r="AC247" s="126">
        <f t="shared" si="155"/>
        <v>0.4</v>
      </c>
      <c r="AD247" s="126">
        <f t="shared" si="155"/>
        <v>0.4</v>
      </c>
      <c r="AE247" s="126">
        <f t="shared" si="155"/>
        <v>0.4</v>
      </c>
      <c r="AF247" s="126">
        <f t="shared" si="155"/>
        <v>0.4</v>
      </c>
      <c r="AG247" s="140">
        <v>2</v>
      </c>
      <c r="AH247" s="47"/>
      <c r="AI247" s="48"/>
      <c r="AK247" s="50"/>
    </row>
    <row r="248" spans="1:37" x14ac:dyDescent="0.25">
      <c r="A248" s="103" t="s">
        <v>234</v>
      </c>
      <c r="B248" s="126">
        <f t="shared" si="153"/>
        <v>1.5</v>
      </c>
      <c r="C248" s="126">
        <v>1.5</v>
      </c>
      <c r="D248" s="126">
        <f t="shared" si="154"/>
        <v>1.5</v>
      </c>
      <c r="E248" s="126">
        <f t="shared" si="154"/>
        <v>1.5</v>
      </c>
      <c r="F248" s="126">
        <f t="shared" si="154"/>
        <v>1.5</v>
      </c>
      <c r="G248" s="126">
        <f t="shared" si="154"/>
        <v>1.5</v>
      </c>
      <c r="H248" s="126">
        <f t="shared" si="154"/>
        <v>1.5</v>
      </c>
      <c r="I248" s="126">
        <f t="shared" si="154"/>
        <v>1.5</v>
      </c>
      <c r="J248" s="126">
        <f t="shared" si="154"/>
        <v>1.5</v>
      </c>
      <c r="K248" s="126">
        <f t="shared" si="154"/>
        <v>1.5</v>
      </c>
      <c r="L248" s="126">
        <f t="shared" si="154"/>
        <v>1.5</v>
      </c>
      <c r="M248" s="126">
        <f t="shared" si="154"/>
        <v>1.5</v>
      </c>
      <c r="N248" s="126">
        <f t="shared" si="154"/>
        <v>1.5</v>
      </c>
      <c r="O248" s="126">
        <f t="shared" si="154"/>
        <v>1.5</v>
      </c>
      <c r="P248" s="126">
        <f t="shared" si="154"/>
        <v>1.5</v>
      </c>
      <c r="Q248" s="126">
        <f t="shared" si="154"/>
        <v>1.5</v>
      </c>
      <c r="R248" s="126">
        <f t="shared" si="154"/>
        <v>1.5</v>
      </c>
      <c r="S248" s="126">
        <f t="shared" si="154"/>
        <v>1.5</v>
      </c>
      <c r="T248" s="126">
        <f t="shared" si="155"/>
        <v>1.5</v>
      </c>
      <c r="U248" s="126">
        <f t="shared" si="155"/>
        <v>1.5</v>
      </c>
      <c r="V248" s="126">
        <f t="shared" si="155"/>
        <v>1.5</v>
      </c>
      <c r="W248" s="126">
        <f t="shared" si="155"/>
        <v>1.5</v>
      </c>
      <c r="X248" s="126">
        <f t="shared" si="155"/>
        <v>1.5</v>
      </c>
      <c r="Y248" s="126">
        <f t="shared" si="155"/>
        <v>1.5</v>
      </c>
      <c r="Z248" s="126">
        <f t="shared" si="155"/>
        <v>1.5</v>
      </c>
      <c r="AA248" s="126">
        <f t="shared" si="155"/>
        <v>1.5</v>
      </c>
      <c r="AB248" s="126">
        <f t="shared" si="155"/>
        <v>1.5</v>
      </c>
      <c r="AC248" s="126">
        <f t="shared" si="155"/>
        <v>1.5</v>
      </c>
      <c r="AD248" s="126">
        <f t="shared" si="155"/>
        <v>1.5</v>
      </c>
      <c r="AE248" s="126">
        <f t="shared" si="155"/>
        <v>1.5</v>
      </c>
      <c r="AF248" s="126">
        <f t="shared" si="155"/>
        <v>1.5</v>
      </c>
      <c r="AG248" s="140">
        <v>1.5</v>
      </c>
      <c r="AH248" s="47"/>
      <c r="AI248" s="48"/>
      <c r="AK248" s="50"/>
    </row>
    <row r="249" spans="1:37" x14ac:dyDescent="0.25">
      <c r="A249" s="103" t="s">
        <v>235</v>
      </c>
      <c r="B249" s="126">
        <f t="shared" si="153"/>
        <v>0.3</v>
      </c>
      <c r="C249" s="126">
        <v>0.3</v>
      </c>
      <c r="D249" s="126">
        <f t="shared" si="154"/>
        <v>0.3</v>
      </c>
      <c r="E249" s="126">
        <f t="shared" si="154"/>
        <v>0.3</v>
      </c>
      <c r="F249" s="126">
        <f t="shared" si="154"/>
        <v>0.3</v>
      </c>
      <c r="G249" s="126">
        <f t="shared" si="154"/>
        <v>0.3</v>
      </c>
      <c r="H249" s="126">
        <f t="shared" si="154"/>
        <v>0.3</v>
      </c>
      <c r="I249" s="126">
        <f t="shared" si="154"/>
        <v>0.3</v>
      </c>
      <c r="J249" s="126">
        <f t="shared" si="154"/>
        <v>0.3</v>
      </c>
      <c r="K249" s="126">
        <f t="shared" si="154"/>
        <v>0.3</v>
      </c>
      <c r="L249" s="126">
        <f t="shared" si="154"/>
        <v>0.3</v>
      </c>
      <c r="M249" s="126">
        <f t="shared" si="154"/>
        <v>0.3</v>
      </c>
      <c r="N249" s="126">
        <f t="shared" si="154"/>
        <v>0.3</v>
      </c>
      <c r="O249" s="126">
        <f t="shared" si="154"/>
        <v>0.3</v>
      </c>
      <c r="P249" s="126">
        <f t="shared" si="154"/>
        <v>0.3</v>
      </c>
      <c r="Q249" s="126">
        <f t="shared" si="154"/>
        <v>0.3</v>
      </c>
      <c r="R249" s="126">
        <f t="shared" si="154"/>
        <v>0.3</v>
      </c>
      <c r="S249" s="126">
        <f t="shared" si="154"/>
        <v>0.3</v>
      </c>
      <c r="T249" s="126">
        <f t="shared" si="155"/>
        <v>0.3</v>
      </c>
      <c r="U249" s="126">
        <f t="shared" si="155"/>
        <v>0.3</v>
      </c>
      <c r="V249" s="126">
        <f t="shared" si="155"/>
        <v>0.3</v>
      </c>
      <c r="W249" s="126">
        <f t="shared" si="155"/>
        <v>0.3</v>
      </c>
      <c r="X249" s="126">
        <f t="shared" si="155"/>
        <v>0.3</v>
      </c>
      <c r="Y249" s="126">
        <f t="shared" si="155"/>
        <v>0.3</v>
      </c>
      <c r="Z249" s="126">
        <f t="shared" si="155"/>
        <v>0.3</v>
      </c>
      <c r="AA249" s="126">
        <f t="shared" si="155"/>
        <v>0.3</v>
      </c>
      <c r="AB249" s="126">
        <f t="shared" si="155"/>
        <v>0.3</v>
      </c>
      <c r="AC249" s="126">
        <f t="shared" si="155"/>
        <v>0.3</v>
      </c>
      <c r="AD249" s="126">
        <f t="shared" si="155"/>
        <v>0.3</v>
      </c>
      <c r="AE249" s="126">
        <f t="shared" si="155"/>
        <v>0.3</v>
      </c>
      <c r="AF249" s="126">
        <f t="shared" si="155"/>
        <v>0.3</v>
      </c>
      <c r="AG249" s="140">
        <v>1</v>
      </c>
      <c r="AH249" s="47"/>
      <c r="AI249" s="48"/>
      <c r="AK249" s="50"/>
    </row>
    <row r="250" spans="1:37" x14ac:dyDescent="0.25">
      <c r="A250" s="103" t="s">
        <v>236</v>
      </c>
      <c r="B250" s="126">
        <f t="shared" si="153"/>
        <v>0.4</v>
      </c>
      <c r="C250" s="126">
        <v>0.4</v>
      </c>
      <c r="D250" s="126">
        <f t="shared" si="154"/>
        <v>0.4</v>
      </c>
      <c r="E250" s="126">
        <f t="shared" si="154"/>
        <v>0.4</v>
      </c>
      <c r="F250" s="126">
        <f t="shared" si="154"/>
        <v>0.4</v>
      </c>
      <c r="G250" s="126">
        <f t="shared" si="154"/>
        <v>0.4</v>
      </c>
      <c r="H250" s="126">
        <f t="shared" si="154"/>
        <v>0.4</v>
      </c>
      <c r="I250" s="126">
        <f t="shared" si="154"/>
        <v>0.4</v>
      </c>
      <c r="J250" s="126">
        <f t="shared" si="154"/>
        <v>0.4</v>
      </c>
      <c r="K250" s="126">
        <f t="shared" si="154"/>
        <v>0.4</v>
      </c>
      <c r="L250" s="126">
        <f t="shared" si="154"/>
        <v>0.4</v>
      </c>
      <c r="M250" s="126">
        <f t="shared" si="154"/>
        <v>0.4</v>
      </c>
      <c r="N250" s="126">
        <f t="shared" si="154"/>
        <v>0.4</v>
      </c>
      <c r="O250" s="126">
        <f t="shared" si="154"/>
        <v>0.4</v>
      </c>
      <c r="P250" s="126">
        <f t="shared" si="154"/>
        <v>0.4</v>
      </c>
      <c r="Q250" s="126">
        <f t="shared" si="154"/>
        <v>0.4</v>
      </c>
      <c r="R250" s="126">
        <f t="shared" si="154"/>
        <v>0.4</v>
      </c>
      <c r="S250" s="126">
        <f t="shared" si="154"/>
        <v>0.4</v>
      </c>
      <c r="T250" s="126">
        <f t="shared" si="155"/>
        <v>0.4</v>
      </c>
      <c r="U250" s="126">
        <f t="shared" si="155"/>
        <v>0.4</v>
      </c>
      <c r="V250" s="126">
        <f t="shared" si="155"/>
        <v>0.4</v>
      </c>
      <c r="W250" s="126">
        <f t="shared" si="155"/>
        <v>0.4</v>
      </c>
      <c r="X250" s="126">
        <f t="shared" si="155"/>
        <v>0.4</v>
      </c>
      <c r="Y250" s="126">
        <f t="shared" si="155"/>
        <v>0.4</v>
      </c>
      <c r="Z250" s="126">
        <f t="shared" si="155"/>
        <v>0.4</v>
      </c>
      <c r="AA250" s="126">
        <f t="shared" si="155"/>
        <v>0.4</v>
      </c>
      <c r="AB250" s="126">
        <f t="shared" si="155"/>
        <v>0.4</v>
      </c>
      <c r="AC250" s="126">
        <f t="shared" si="155"/>
        <v>0.4</v>
      </c>
      <c r="AD250" s="126">
        <f t="shared" si="155"/>
        <v>0.4</v>
      </c>
      <c r="AE250" s="126">
        <f t="shared" si="155"/>
        <v>0.4</v>
      </c>
      <c r="AF250" s="126">
        <f t="shared" si="155"/>
        <v>0.4</v>
      </c>
      <c r="AG250" s="140">
        <v>1</v>
      </c>
      <c r="AH250" s="47"/>
      <c r="AI250" s="48"/>
      <c r="AK250" s="50"/>
    </row>
    <row r="251" spans="1:37" ht="15.75" thickBot="1" x14ac:dyDescent="0.3">
      <c r="A251" s="116" t="s">
        <v>237</v>
      </c>
      <c r="B251" s="130">
        <f t="shared" si="153"/>
        <v>0.64</v>
      </c>
      <c r="C251" s="130">
        <v>0.64</v>
      </c>
      <c r="D251" s="130">
        <f t="shared" si="154"/>
        <v>0.64</v>
      </c>
      <c r="E251" s="130">
        <f t="shared" si="154"/>
        <v>0.64</v>
      </c>
      <c r="F251" s="130">
        <f t="shared" si="154"/>
        <v>0.64</v>
      </c>
      <c r="G251" s="130">
        <f t="shared" si="154"/>
        <v>0.64</v>
      </c>
      <c r="H251" s="130">
        <f t="shared" si="154"/>
        <v>0.64</v>
      </c>
      <c r="I251" s="130">
        <f t="shared" si="154"/>
        <v>0.64</v>
      </c>
      <c r="J251" s="130">
        <f t="shared" si="154"/>
        <v>0.64</v>
      </c>
      <c r="K251" s="130">
        <f t="shared" si="154"/>
        <v>0.64</v>
      </c>
      <c r="L251" s="130">
        <f t="shared" si="154"/>
        <v>0.64</v>
      </c>
      <c r="M251" s="130">
        <f t="shared" si="154"/>
        <v>0.64</v>
      </c>
      <c r="N251" s="130">
        <f t="shared" si="154"/>
        <v>0.64</v>
      </c>
      <c r="O251" s="130">
        <f t="shared" si="154"/>
        <v>0.64</v>
      </c>
      <c r="P251" s="130">
        <f t="shared" si="154"/>
        <v>0.64</v>
      </c>
      <c r="Q251" s="130">
        <f t="shared" si="154"/>
        <v>0.64</v>
      </c>
      <c r="R251" s="130">
        <f t="shared" si="154"/>
        <v>0.64</v>
      </c>
      <c r="S251" s="130">
        <f t="shared" si="154"/>
        <v>0.64</v>
      </c>
      <c r="T251" s="130">
        <f t="shared" si="155"/>
        <v>0.64</v>
      </c>
      <c r="U251" s="130">
        <f t="shared" si="155"/>
        <v>0.64</v>
      </c>
      <c r="V251" s="130">
        <f t="shared" si="155"/>
        <v>0.64</v>
      </c>
      <c r="W251" s="130">
        <f t="shared" si="155"/>
        <v>0.64</v>
      </c>
      <c r="X251" s="130">
        <f t="shared" si="155"/>
        <v>0.64</v>
      </c>
      <c r="Y251" s="130">
        <f t="shared" si="155"/>
        <v>0.64</v>
      </c>
      <c r="Z251" s="130">
        <f t="shared" si="155"/>
        <v>0.64</v>
      </c>
      <c r="AA251" s="130">
        <f t="shared" si="155"/>
        <v>0.64</v>
      </c>
      <c r="AB251" s="130">
        <f t="shared" si="155"/>
        <v>0.64</v>
      </c>
      <c r="AC251" s="130">
        <f t="shared" si="155"/>
        <v>0.64</v>
      </c>
      <c r="AD251" s="130">
        <f t="shared" si="155"/>
        <v>0.64</v>
      </c>
      <c r="AE251" s="130">
        <f t="shared" si="155"/>
        <v>0.64</v>
      </c>
      <c r="AF251" s="130">
        <f t="shared" si="155"/>
        <v>0.64</v>
      </c>
      <c r="AG251" s="141">
        <v>0.66</v>
      </c>
      <c r="AH251" s="47"/>
      <c r="AI251" s="48"/>
    </row>
    <row r="252" spans="1:37" ht="15.75" thickBot="1" x14ac:dyDescent="0.3">
      <c r="A252" s="142" t="s">
        <v>75</v>
      </c>
      <c r="B252" s="134">
        <f t="shared" ref="B252:AG252" si="156">SUM(B246:B251)</f>
        <v>3.54</v>
      </c>
      <c r="C252" s="134">
        <f t="shared" si="156"/>
        <v>3.54</v>
      </c>
      <c r="D252" s="134">
        <f t="shared" si="156"/>
        <v>3.54</v>
      </c>
      <c r="E252" s="134">
        <f t="shared" si="156"/>
        <v>3.54</v>
      </c>
      <c r="F252" s="134">
        <f t="shared" si="156"/>
        <v>3.54</v>
      </c>
      <c r="G252" s="134">
        <f t="shared" si="156"/>
        <v>3.54</v>
      </c>
      <c r="H252" s="134">
        <f t="shared" si="156"/>
        <v>3.54</v>
      </c>
      <c r="I252" s="134">
        <f t="shared" si="156"/>
        <v>3.54</v>
      </c>
      <c r="J252" s="134">
        <f t="shared" si="156"/>
        <v>3.54</v>
      </c>
      <c r="K252" s="134">
        <f t="shared" si="156"/>
        <v>3.54</v>
      </c>
      <c r="L252" s="134">
        <f t="shared" si="156"/>
        <v>3.54</v>
      </c>
      <c r="M252" s="134">
        <f t="shared" si="156"/>
        <v>3.54</v>
      </c>
      <c r="N252" s="134">
        <f t="shared" si="156"/>
        <v>3.54</v>
      </c>
      <c r="O252" s="134">
        <f t="shared" si="156"/>
        <v>3.54</v>
      </c>
      <c r="P252" s="134">
        <f t="shared" si="156"/>
        <v>3.54</v>
      </c>
      <c r="Q252" s="134">
        <f t="shared" si="156"/>
        <v>3.54</v>
      </c>
      <c r="R252" s="134">
        <f t="shared" si="156"/>
        <v>3.54</v>
      </c>
      <c r="S252" s="134">
        <f t="shared" si="156"/>
        <v>3.54</v>
      </c>
      <c r="T252" s="134">
        <f t="shared" si="156"/>
        <v>3.54</v>
      </c>
      <c r="U252" s="134">
        <f t="shared" si="156"/>
        <v>3.54</v>
      </c>
      <c r="V252" s="134">
        <f t="shared" si="156"/>
        <v>3.54</v>
      </c>
      <c r="W252" s="134">
        <f t="shared" si="156"/>
        <v>3.54</v>
      </c>
      <c r="X252" s="134">
        <f t="shared" si="156"/>
        <v>3.54</v>
      </c>
      <c r="Y252" s="134">
        <f t="shared" si="156"/>
        <v>3.54</v>
      </c>
      <c r="Z252" s="134">
        <f t="shared" si="156"/>
        <v>3.54</v>
      </c>
      <c r="AA252" s="134">
        <f t="shared" si="156"/>
        <v>3.54</v>
      </c>
      <c r="AB252" s="134">
        <f t="shared" si="156"/>
        <v>3.54</v>
      </c>
      <c r="AC252" s="134">
        <f t="shared" si="156"/>
        <v>3.54</v>
      </c>
      <c r="AD252" s="134">
        <f t="shared" si="156"/>
        <v>3.54</v>
      </c>
      <c r="AE252" s="134">
        <f t="shared" si="156"/>
        <v>3.54</v>
      </c>
      <c r="AF252" s="134">
        <f t="shared" si="156"/>
        <v>3.54</v>
      </c>
      <c r="AG252" s="143">
        <f t="shared" si="156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37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54" t="s">
        <v>243</v>
      </c>
      <c r="B256" s="155">
        <f>MAX(G99:N99)</f>
        <v>1709.04</v>
      </c>
      <c r="C256" s="156">
        <f>INDEX(G9:N9,1,MATCH(MAX(G99:N99),G99:N99,0))</f>
        <v>0.3125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50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157" t="str">
        <f ca="1">MID(CELL("filename",C7),FIND("]",CELL("filename",C7))+1,600)</f>
        <v>23</v>
      </c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50" x14ac:dyDescent="0.25">
      <c r="A258" s="257" t="s">
        <v>244</v>
      </c>
      <c r="B258" s="257"/>
      <c r="C258" s="43"/>
      <c r="D258" s="157" t="str">
        <f ca="1">"Pie Chart of Daily Peak Demand(Inclusive of Export) of Nepal ("&amp;A4&amp;" "&amp;B4&amp;")"</f>
        <v>Pie Chart of Daily Peak Demand(Inclusive of Export) of Nepal (Nepali Date: 2080/10/23)</v>
      </c>
      <c r="E258" s="43"/>
      <c r="F258" s="43"/>
      <c r="G258" s="157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157" t="str">
        <f ca="1">"Daily Load Curve(Excluding of Export) of Nepal ("&amp;A4&amp;" "&amp;B4&amp;")"</f>
        <v>Daily Load Curve(Excluding of Export) of Nepal (Nepali Date: 2080/10/23)</v>
      </c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50" ht="12.75" customHeight="1" thickBot="1" x14ac:dyDescent="0.3">
      <c r="A259" s="158" t="s">
        <v>7</v>
      </c>
      <c r="B259" s="159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50" ht="15.75" thickTop="1" x14ac:dyDescent="0.25">
      <c r="A260" s="158" t="s">
        <v>245</v>
      </c>
      <c r="B260" s="15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160" t="s">
        <v>246</v>
      </c>
      <c r="T260" s="161">
        <v>0</v>
      </c>
      <c r="U260" s="162">
        <v>4.1666666666666664E-2</v>
      </c>
      <c r="V260" s="163">
        <v>8.3333333333333301E-2</v>
      </c>
      <c r="W260" s="163">
        <v>0.125</v>
      </c>
      <c r="X260" s="163">
        <v>0.16666666666666699</v>
      </c>
      <c r="Y260" s="163">
        <v>0.20833333333333301</v>
      </c>
      <c r="Z260" s="163">
        <v>0.22916666666666666</v>
      </c>
      <c r="AA260" s="163">
        <v>0.25</v>
      </c>
      <c r="AB260" s="163">
        <v>0.27083333333333331</v>
      </c>
      <c r="AC260" s="163">
        <v>0.29166666666666669</v>
      </c>
      <c r="AD260" s="163">
        <v>0.3125</v>
      </c>
      <c r="AE260" s="164">
        <v>0.33333333333333331</v>
      </c>
      <c r="AF260" s="164">
        <v>0.375</v>
      </c>
      <c r="AG260" s="164">
        <v>0.41666666666666702</v>
      </c>
      <c r="AH260" s="164">
        <v>0.45833333333333298</v>
      </c>
      <c r="AI260" s="164">
        <v>0.5</v>
      </c>
      <c r="AJ260" s="164">
        <v>0.54166666666666696</v>
      </c>
      <c r="AK260" s="164">
        <v>0.58333333333333304</v>
      </c>
      <c r="AL260" s="164">
        <v>0.625</v>
      </c>
      <c r="AM260" s="164">
        <v>0.66666666666666696</v>
      </c>
      <c r="AN260" s="164">
        <v>0.70833333333333304</v>
      </c>
      <c r="AO260" s="164">
        <v>0.72916666666666663</v>
      </c>
      <c r="AP260" s="164">
        <v>0.75</v>
      </c>
      <c r="AQ260" s="164">
        <v>0.77083333333333337</v>
      </c>
      <c r="AR260" s="164">
        <v>0.79166666666666663</v>
      </c>
      <c r="AS260" s="164">
        <v>0.8125</v>
      </c>
      <c r="AT260" s="163">
        <v>0.83333333333333337</v>
      </c>
      <c r="AU260" s="163">
        <v>0.85416666666666663</v>
      </c>
      <c r="AV260" s="163">
        <v>0.875</v>
      </c>
      <c r="AW260" s="163">
        <v>0.91666666666666696</v>
      </c>
      <c r="AX260" s="163">
        <v>0.95833333333333304</v>
      </c>
    </row>
    <row r="261" spans="1:50" x14ac:dyDescent="0.25">
      <c r="A261" s="158" t="s">
        <v>247</v>
      </c>
      <c r="B261" s="15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 t="s">
        <v>248</v>
      </c>
      <c r="T261" s="165">
        <f t="shared" ref="T261:AX261" si="157">B99</f>
        <v>1197.44</v>
      </c>
      <c r="U261" s="165">
        <f t="shared" si="157"/>
        <v>1153.94</v>
      </c>
      <c r="V261" s="165">
        <f t="shared" si="157"/>
        <v>1115.94</v>
      </c>
      <c r="W261" s="165">
        <f t="shared" si="157"/>
        <v>1126.54</v>
      </c>
      <c r="X261" s="165">
        <f t="shared" si="157"/>
        <v>1122.74</v>
      </c>
      <c r="Y261" s="165">
        <f t="shared" si="157"/>
        <v>1158.74</v>
      </c>
      <c r="Z261" s="165">
        <f t="shared" si="157"/>
        <v>1282.6400000000001</v>
      </c>
      <c r="AA261" s="165">
        <f t="shared" si="157"/>
        <v>1385.8400000000001</v>
      </c>
      <c r="AB261" s="165">
        <f t="shared" si="157"/>
        <v>1478.54</v>
      </c>
      <c r="AC261" s="165">
        <f t="shared" si="157"/>
        <v>1563.3400000000001</v>
      </c>
      <c r="AD261" s="165">
        <f t="shared" si="157"/>
        <v>1709.04</v>
      </c>
      <c r="AE261" s="165">
        <f t="shared" si="157"/>
        <v>1649.64</v>
      </c>
      <c r="AF261" s="165">
        <f t="shared" si="157"/>
        <v>1625.44</v>
      </c>
      <c r="AG261" s="165">
        <f t="shared" si="157"/>
        <v>1556.2400000000002</v>
      </c>
      <c r="AH261" s="165">
        <f t="shared" si="157"/>
        <v>1403.8400000000001</v>
      </c>
      <c r="AI261" s="165">
        <f t="shared" si="157"/>
        <v>1569.3400000000001</v>
      </c>
      <c r="AJ261" s="165">
        <f t="shared" si="157"/>
        <v>1428.04</v>
      </c>
      <c r="AK261" s="165">
        <f t="shared" si="157"/>
        <v>1488.5400000000002</v>
      </c>
      <c r="AL261" s="165">
        <f t="shared" si="157"/>
        <v>1510.14</v>
      </c>
      <c r="AM261" s="165">
        <f t="shared" si="157"/>
        <v>1553.04</v>
      </c>
      <c r="AN261" s="165">
        <f t="shared" si="157"/>
        <v>1549.44</v>
      </c>
      <c r="AO261" s="165">
        <f t="shared" si="157"/>
        <v>1435.44</v>
      </c>
      <c r="AP261" s="165">
        <f t="shared" si="157"/>
        <v>1548.3400000000001</v>
      </c>
      <c r="AQ261" s="165">
        <f t="shared" si="157"/>
        <v>1921.8400000000001</v>
      </c>
      <c r="AR261" s="165">
        <f t="shared" si="157"/>
        <v>1850.94</v>
      </c>
      <c r="AS261" s="165">
        <f t="shared" si="157"/>
        <v>1844.0400000000002</v>
      </c>
      <c r="AT261" s="165">
        <f t="shared" si="157"/>
        <v>1772.2400000000002</v>
      </c>
      <c r="AU261" s="165">
        <f t="shared" si="157"/>
        <v>1685.8400000000001</v>
      </c>
      <c r="AV261" s="165">
        <f t="shared" si="157"/>
        <v>1552.8400000000001</v>
      </c>
      <c r="AW261" s="165">
        <f t="shared" si="157"/>
        <v>1403.24</v>
      </c>
      <c r="AX261" s="165">
        <f t="shared" si="157"/>
        <v>1232.24</v>
      </c>
    </row>
    <row r="262" spans="1:50" x14ac:dyDescent="0.25">
      <c r="A262" s="158" t="s">
        <v>249</v>
      </c>
      <c r="B262" s="15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50" x14ac:dyDescent="0.25">
      <c r="A263" s="158" t="s">
        <v>250</v>
      </c>
      <c r="B263" s="15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50" x14ac:dyDescent="0.25">
      <c r="A264" s="158" t="s">
        <v>251</v>
      </c>
      <c r="B264" s="15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50" x14ac:dyDescent="0.25">
      <c r="A265" s="158" t="s">
        <v>252</v>
      </c>
      <c r="B265" s="166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50" x14ac:dyDescent="0.25">
      <c r="A266" s="158" t="s">
        <v>253</v>
      </c>
      <c r="B266" s="15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50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50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50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50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50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50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1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1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1:34" x14ac:dyDescent="0.25">
      <c r="A282" s="167" t="s">
        <v>238</v>
      </c>
      <c r="B282" s="168">
        <f t="shared" ref="B282:AE282" si="158">C251</f>
        <v>0.64</v>
      </c>
      <c r="C282" s="168">
        <f t="shared" si="158"/>
        <v>0.64</v>
      </c>
      <c r="D282" s="168">
        <f t="shared" si="158"/>
        <v>0.64</v>
      </c>
      <c r="E282" s="168">
        <f t="shared" si="158"/>
        <v>0.64</v>
      </c>
      <c r="F282" s="168">
        <f t="shared" si="158"/>
        <v>0.64</v>
      </c>
      <c r="G282" s="168">
        <f t="shared" si="158"/>
        <v>0.64</v>
      </c>
      <c r="H282" s="168">
        <f t="shared" si="158"/>
        <v>0.64</v>
      </c>
      <c r="I282" s="168">
        <f t="shared" si="158"/>
        <v>0.64</v>
      </c>
      <c r="J282" s="168">
        <f t="shared" si="158"/>
        <v>0.64</v>
      </c>
      <c r="K282" s="168">
        <f t="shared" si="158"/>
        <v>0.64</v>
      </c>
      <c r="L282" s="168">
        <f t="shared" si="158"/>
        <v>0.64</v>
      </c>
      <c r="M282" s="168">
        <f t="shared" si="158"/>
        <v>0.64</v>
      </c>
      <c r="N282" s="168">
        <f t="shared" si="158"/>
        <v>0.64</v>
      </c>
      <c r="O282" s="168">
        <f t="shared" si="158"/>
        <v>0.64</v>
      </c>
      <c r="P282" s="168">
        <f t="shared" si="158"/>
        <v>0.64</v>
      </c>
      <c r="Q282" s="168">
        <f t="shared" si="158"/>
        <v>0.64</v>
      </c>
      <c r="R282" s="168">
        <f t="shared" si="158"/>
        <v>0.64</v>
      </c>
      <c r="S282" s="168">
        <f t="shared" si="158"/>
        <v>0.64</v>
      </c>
      <c r="T282" s="168">
        <f t="shared" si="158"/>
        <v>0.64</v>
      </c>
      <c r="U282" s="168">
        <f t="shared" si="158"/>
        <v>0.64</v>
      </c>
      <c r="V282" s="168">
        <f t="shared" si="158"/>
        <v>0.64</v>
      </c>
      <c r="W282" s="168">
        <f t="shared" si="158"/>
        <v>0.64</v>
      </c>
      <c r="X282" s="168">
        <f t="shared" si="158"/>
        <v>0.64</v>
      </c>
      <c r="Y282" s="168">
        <f t="shared" si="158"/>
        <v>0.64</v>
      </c>
      <c r="Z282" s="168">
        <f t="shared" si="158"/>
        <v>0.64</v>
      </c>
      <c r="AA282" s="168">
        <f t="shared" si="158"/>
        <v>0.64</v>
      </c>
      <c r="AB282" s="168">
        <f t="shared" si="158"/>
        <v>0.64</v>
      </c>
      <c r="AC282" s="168">
        <f t="shared" si="158"/>
        <v>0.64</v>
      </c>
      <c r="AD282" s="168">
        <f t="shared" si="158"/>
        <v>0.64</v>
      </c>
      <c r="AE282" s="168">
        <f t="shared" si="158"/>
        <v>0.64</v>
      </c>
      <c r="AF282" s="168">
        <f>B251</f>
        <v>0.64</v>
      </c>
      <c r="AG282" s="43"/>
      <c r="AH282" s="43"/>
    </row>
    <row r="283" spans="1:34" x14ac:dyDescent="0.25">
      <c r="A283" s="169" t="e">
        <f>#REF!</f>
        <v>#REF!</v>
      </c>
      <c r="B283" s="169" t="e">
        <f>IF(#REF!&lt;100,"",#REF!-520)</f>
        <v>#REF!</v>
      </c>
      <c r="C283" s="169" t="e">
        <f>IF(#REF!&lt;100,"",#REF!-520)</f>
        <v>#REF!</v>
      </c>
      <c r="D283" s="169" t="e">
        <f>IF(#REF!&lt;100,"",#REF!-520)</f>
        <v>#REF!</v>
      </c>
      <c r="E283" s="169" t="e">
        <f>IF(#REF!&lt;100,"",#REF!-520)</f>
        <v>#REF!</v>
      </c>
      <c r="F283" s="169" t="e">
        <f>IF(#REF!&lt;100,"",#REF!-520)</f>
        <v>#REF!</v>
      </c>
      <c r="G283" s="169" t="e">
        <f>IF(#REF!&lt;100,"",#REF!-520)</f>
        <v>#REF!</v>
      </c>
      <c r="H283" s="169" t="e">
        <f>IF(#REF!&lt;100,"",#REF!-520)</f>
        <v>#REF!</v>
      </c>
      <c r="I283" s="169" t="e">
        <f>IF(#REF!&lt;100,"",#REF!-520)</f>
        <v>#REF!</v>
      </c>
      <c r="J283" s="169" t="e">
        <f>IF(#REF!&lt;100,"",#REF!-520)</f>
        <v>#REF!</v>
      </c>
      <c r="K283" s="169" t="e">
        <f>IF(#REF!&lt;100,"",#REF!-520)</f>
        <v>#REF!</v>
      </c>
      <c r="L283" s="169" t="e">
        <f>IF(#REF!&lt;100,"",#REF!-520)</f>
        <v>#REF!</v>
      </c>
      <c r="M283" s="169" t="e">
        <f>IF(#REF!&lt;100,"",#REF!-520)</f>
        <v>#REF!</v>
      </c>
      <c r="N283" s="169" t="e">
        <f>IF(#REF!&lt;100,"",#REF!-520)</f>
        <v>#REF!</v>
      </c>
      <c r="O283" s="169" t="e">
        <f>IF(#REF!&lt;100,"",#REF!-520)</f>
        <v>#REF!</v>
      </c>
      <c r="P283" s="169" t="e">
        <f>IF(#REF!&lt;100,"",#REF!-520)</f>
        <v>#REF!</v>
      </c>
      <c r="Q283" s="169" t="e">
        <f>IF(#REF!&lt;100,"",#REF!-520)</f>
        <v>#REF!</v>
      </c>
      <c r="R283" s="169" t="e">
        <f>IF(#REF!&lt;100,"",#REF!-520)</f>
        <v>#REF!</v>
      </c>
      <c r="S283" s="169" t="e">
        <f>IF(#REF!&lt;100,"",#REF!-520)</f>
        <v>#REF!</v>
      </c>
      <c r="T283" s="169" t="e">
        <f>IF(#REF!&lt;100,"",#REF!-520)</f>
        <v>#REF!</v>
      </c>
      <c r="U283" s="169" t="e">
        <f>IF(#REF!&lt;100,"",#REF!-520)</f>
        <v>#REF!</v>
      </c>
      <c r="V283" s="169" t="e">
        <f>IF(#REF!&lt;100,"",#REF!-520)</f>
        <v>#REF!</v>
      </c>
      <c r="W283" s="169" t="e">
        <f>IF(#REF!&lt;100,"",#REF!-520)</f>
        <v>#REF!</v>
      </c>
      <c r="X283" s="169" t="e">
        <f>IF(#REF!&lt;100,"",#REF!-520)</f>
        <v>#REF!</v>
      </c>
      <c r="Y283" s="169" t="e">
        <f>IF(#REF!&lt;100,"",#REF!-520)</f>
        <v>#REF!</v>
      </c>
      <c r="Z283" s="169" t="e">
        <f>IF(#REF!&lt;100,"",#REF!-520)</f>
        <v>#REF!</v>
      </c>
      <c r="AA283" s="169" t="e">
        <f>IF(#REF!&lt;100,"",#REF!-520)</f>
        <v>#REF!</v>
      </c>
      <c r="AB283" s="169" t="e">
        <f>IF(#REF!&lt;100,"",#REF!-520)</f>
        <v>#REF!</v>
      </c>
      <c r="AC283" s="169" t="e">
        <f>IF(#REF!&lt;100,"",#REF!-520)</f>
        <v>#REF!</v>
      </c>
      <c r="AD283" s="169" t="e">
        <f>IF(#REF!&lt;100,"",#REF!-520)</f>
        <v>#REF!</v>
      </c>
      <c r="AE283" s="169" t="e">
        <f>IF(#REF!&lt;100,"",#REF!-520)</f>
        <v>#REF!</v>
      </c>
      <c r="AF283" s="169" t="e">
        <f>IF(#REF!&lt;100,"",#REF!-520)</f>
        <v>#REF!</v>
      </c>
      <c r="AG283" s="43"/>
      <c r="AH283" s="43"/>
    </row>
    <row r="284" spans="1:34" x14ac:dyDescent="0.25">
      <c r="A284" s="169" t="e">
        <f>#REF!</f>
        <v>#REF!</v>
      </c>
      <c r="B284" s="169" t="e">
        <f>IF(#REF!&lt;100,"",#REF!-620)</f>
        <v>#REF!</v>
      </c>
      <c r="C284" s="169" t="e">
        <f>IF(#REF!&lt;100,"",#REF!-620)</f>
        <v>#REF!</v>
      </c>
      <c r="D284" s="169" t="e">
        <f>IF(#REF!&lt;100,"",#REF!-620)</f>
        <v>#REF!</v>
      </c>
      <c r="E284" s="169" t="e">
        <f>IF(#REF!&lt;100,"",#REF!-620)</f>
        <v>#REF!</v>
      </c>
      <c r="F284" s="169" t="e">
        <f>IF(#REF!&lt;100,"",#REF!-620)</f>
        <v>#REF!</v>
      </c>
      <c r="G284" s="169" t="e">
        <f>IF(#REF!&lt;100,"",#REF!-620)</f>
        <v>#REF!</v>
      </c>
      <c r="H284" s="169" t="e">
        <f>IF(#REF!&lt;100,"",#REF!-620)</f>
        <v>#REF!</v>
      </c>
      <c r="I284" s="169" t="e">
        <f>IF(#REF!&lt;100,"",#REF!-620)</f>
        <v>#REF!</v>
      </c>
      <c r="J284" s="169" t="e">
        <f>IF(#REF!&lt;100,"",#REF!-620)</f>
        <v>#REF!</v>
      </c>
      <c r="K284" s="169" t="e">
        <f>IF(#REF!&lt;100,"",#REF!-620)</f>
        <v>#REF!</v>
      </c>
      <c r="L284" s="169" t="e">
        <f>IF(#REF!&lt;100,"",#REF!-620)</f>
        <v>#REF!</v>
      </c>
      <c r="M284" s="169" t="e">
        <f>IF(#REF!&lt;100,"",#REF!-620)</f>
        <v>#REF!</v>
      </c>
      <c r="N284" s="169" t="e">
        <f>IF(#REF!&lt;100,"",#REF!-620)</f>
        <v>#REF!</v>
      </c>
      <c r="O284" s="169" t="e">
        <f>IF(#REF!&lt;100,"",#REF!-620)</f>
        <v>#REF!</v>
      </c>
      <c r="P284" s="169" t="e">
        <f>IF(#REF!&lt;100,"",#REF!-620)</f>
        <v>#REF!</v>
      </c>
      <c r="Q284" s="169" t="e">
        <f>IF(#REF!&lt;100,"",#REF!-620)</f>
        <v>#REF!</v>
      </c>
      <c r="R284" s="169" t="e">
        <f>IF(#REF!&lt;100,"",#REF!-620)</f>
        <v>#REF!</v>
      </c>
      <c r="S284" s="169" t="e">
        <f>IF(#REF!&lt;100,"",#REF!-620)</f>
        <v>#REF!</v>
      </c>
      <c r="T284" s="169" t="e">
        <f>IF(#REF!&lt;100,"",#REF!-620)</f>
        <v>#REF!</v>
      </c>
      <c r="U284" s="169" t="e">
        <f>IF(#REF!&lt;100,"",#REF!-620)</f>
        <v>#REF!</v>
      </c>
      <c r="V284" s="169" t="e">
        <f>IF(#REF!&lt;100,"",#REF!-620)</f>
        <v>#REF!</v>
      </c>
      <c r="W284" s="169" t="e">
        <f>IF(#REF!&lt;100,"",#REF!-620)</f>
        <v>#REF!</v>
      </c>
      <c r="X284" s="169" t="e">
        <f>IF(#REF!&lt;100,"",#REF!-620)</f>
        <v>#REF!</v>
      </c>
      <c r="Y284" s="169" t="e">
        <f>IF(#REF!&lt;100,"",#REF!-620)</f>
        <v>#REF!</v>
      </c>
      <c r="Z284" s="169" t="e">
        <f>IF(#REF!&lt;100,"",#REF!-620)</f>
        <v>#REF!</v>
      </c>
      <c r="AA284" s="169" t="e">
        <f>IF(#REF!&lt;100,"",#REF!-620)</f>
        <v>#REF!</v>
      </c>
      <c r="AB284" s="169" t="e">
        <f>IF(#REF!&lt;100,"",#REF!-620)</f>
        <v>#REF!</v>
      </c>
      <c r="AC284" s="169" t="e">
        <f>IF(#REF!&lt;100,"",#REF!-620)</f>
        <v>#REF!</v>
      </c>
      <c r="AD284" s="169" t="e">
        <f>IF(#REF!&lt;100,"",#REF!-620)</f>
        <v>#REF!</v>
      </c>
      <c r="AE284" s="169" t="e">
        <f>IF(#REF!&lt;100,"",#REF!-620)</f>
        <v>#REF!</v>
      </c>
      <c r="AF284" s="169" t="e">
        <f>IF(#REF!&lt;100,"",#REF!-620)</f>
        <v>#REF!</v>
      </c>
      <c r="AG284" s="43"/>
      <c r="AH284" s="43"/>
    </row>
    <row r="285" spans="1:34" x14ac:dyDescent="0.25">
      <c r="A285" s="169" t="e">
        <f>#REF!</f>
        <v>#REF!</v>
      </c>
      <c r="B285" s="169" t="e">
        <f>IF(#REF!&lt;100,"",#REF!-330)</f>
        <v>#REF!</v>
      </c>
      <c r="C285" s="169" t="e">
        <f>IF(#REF!&lt;100,"",#REF!-330)</f>
        <v>#REF!</v>
      </c>
      <c r="D285" s="169" t="e">
        <f>IF(#REF!&lt;100,"",#REF!-330)</f>
        <v>#REF!</v>
      </c>
      <c r="E285" s="169" t="e">
        <f>IF(#REF!&lt;100,"",#REF!-330)</f>
        <v>#REF!</v>
      </c>
      <c r="F285" s="169" t="e">
        <f>IF(#REF!&lt;100,"",#REF!-330)</f>
        <v>#REF!</v>
      </c>
      <c r="G285" s="169" t="e">
        <f>IF(#REF!&lt;100,"",#REF!-330)</f>
        <v>#REF!</v>
      </c>
      <c r="H285" s="169" t="e">
        <f>IF(#REF!&lt;100,"",#REF!-330)</f>
        <v>#REF!</v>
      </c>
      <c r="I285" s="169" t="e">
        <f>IF(#REF!&lt;100,"",#REF!-330)</f>
        <v>#REF!</v>
      </c>
      <c r="J285" s="169" t="e">
        <f>IF(#REF!&lt;100,"",#REF!-330)</f>
        <v>#REF!</v>
      </c>
      <c r="K285" s="169" t="e">
        <f>IF(#REF!&lt;100,"",#REF!-330)</f>
        <v>#REF!</v>
      </c>
      <c r="L285" s="169" t="e">
        <f>IF(#REF!&lt;100,"",#REF!-330)</f>
        <v>#REF!</v>
      </c>
      <c r="M285" s="169" t="e">
        <f>IF(#REF!&lt;100,"",#REF!-330)</f>
        <v>#REF!</v>
      </c>
      <c r="N285" s="169" t="e">
        <f>IF(#REF!&lt;100,"",#REF!-330)</f>
        <v>#REF!</v>
      </c>
      <c r="O285" s="169" t="e">
        <f>IF(#REF!&lt;100,"",#REF!-330)</f>
        <v>#REF!</v>
      </c>
      <c r="P285" s="169" t="e">
        <f>IF(#REF!&lt;100,"",#REF!-330)</f>
        <v>#REF!</v>
      </c>
      <c r="Q285" s="169" t="e">
        <f>IF(#REF!&lt;100,"",#REF!-330)</f>
        <v>#REF!</v>
      </c>
      <c r="R285" s="169" t="e">
        <f>IF(#REF!&lt;100,"",#REF!-330)</f>
        <v>#REF!</v>
      </c>
      <c r="S285" s="169" t="e">
        <f>IF(#REF!&lt;100,"",#REF!-330)</f>
        <v>#REF!</v>
      </c>
      <c r="T285" s="169" t="e">
        <f>IF(#REF!&lt;100,"",#REF!-330)</f>
        <v>#REF!</v>
      </c>
      <c r="U285" s="169" t="e">
        <f>IF(#REF!&lt;100,"",#REF!-330)</f>
        <v>#REF!</v>
      </c>
      <c r="V285" s="169" t="e">
        <f>IF(#REF!&lt;100,"",#REF!-330)</f>
        <v>#REF!</v>
      </c>
      <c r="W285" s="169" t="e">
        <f>IF(#REF!&lt;100,"",#REF!-330)</f>
        <v>#REF!</v>
      </c>
      <c r="X285" s="169" t="e">
        <f>IF(#REF!&lt;100,"",#REF!-330)</f>
        <v>#REF!</v>
      </c>
      <c r="Y285" s="169" t="e">
        <f>IF(#REF!&lt;100,"",#REF!-330)</f>
        <v>#REF!</v>
      </c>
      <c r="Z285" s="169" t="e">
        <f>IF(#REF!&lt;100,"",#REF!-330)</f>
        <v>#REF!</v>
      </c>
      <c r="AA285" s="169" t="e">
        <f>IF(#REF!&lt;100,"",#REF!-330)</f>
        <v>#REF!</v>
      </c>
      <c r="AB285" s="169" t="e">
        <f>IF(#REF!&lt;100,"",#REF!-330)</f>
        <v>#REF!</v>
      </c>
      <c r="AC285" s="169" t="e">
        <f>IF(#REF!&lt;100,"",#REF!-330)</f>
        <v>#REF!</v>
      </c>
      <c r="AD285" s="169" t="e">
        <f>IF(#REF!&lt;100,"",#REF!-330)</f>
        <v>#REF!</v>
      </c>
      <c r="AE285" s="169" t="e">
        <f>IF(#REF!&lt;100,"",#REF!-330)</f>
        <v>#REF!</v>
      </c>
      <c r="AF285" s="169" t="e">
        <f>IF(#REF!&lt;100,"",#REF!-330)</f>
        <v>#REF!</v>
      </c>
      <c r="AG285" s="43"/>
      <c r="AH285" s="43"/>
    </row>
    <row r="286" spans="1:34" x14ac:dyDescent="0.25">
      <c r="A286" s="169" t="e">
        <f>#REF!</f>
        <v>#REF!</v>
      </c>
      <c r="B286" s="169" t="e">
        <f>IF(#REF!&lt;100,"",#REF!-1500)</f>
        <v>#REF!</v>
      </c>
      <c r="C286" s="169" t="e">
        <f>IF(#REF!&lt;100,"",#REF!-1500)</f>
        <v>#REF!</v>
      </c>
      <c r="D286" s="169" t="e">
        <f>IF(#REF!&lt;100,"",#REF!-1500)</f>
        <v>#REF!</v>
      </c>
      <c r="E286" s="169" t="e">
        <f>IF(#REF!&lt;100,"",#REF!-1500)</f>
        <v>#REF!</v>
      </c>
      <c r="F286" s="169" t="e">
        <f>IF(#REF!&lt;100,"",#REF!-1500)</f>
        <v>#REF!</v>
      </c>
      <c r="G286" s="169" t="e">
        <f>IF(#REF!&lt;100,"",#REF!-1500)</f>
        <v>#REF!</v>
      </c>
      <c r="H286" s="169" t="e">
        <f>IF(#REF!&lt;100,"",#REF!-1500)</f>
        <v>#REF!</v>
      </c>
      <c r="I286" s="169" t="e">
        <f>IF(#REF!&lt;100,"",#REF!-1500)</f>
        <v>#REF!</v>
      </c>
      <c r="J286" s="169" t="e">
        <f>IF(#REF!&lt;100,"",#REF!-1500)</f>
        <v>#REF!</v>
      </c>
      <c r="K286" s="169" t="e">
        <f>IF(#REF!&lt;100,"",#REF!-1500)</f>
        <v>#REF!</v>
      </c>
      <c r="L286" s="169" t="e">
        <f>IF(#REF!&lt;100,"",#REF!-1500)</f>
        <v>#REF!</v>
      </c>
      <c r="M286" s="169" t="e">
        <f>IF(#REF!&lt;100,"",#REF!-1500)</f>
        <v>#REF!</v>
      </c>
      <c r="N286" s="169" t="e">
        <f>IF(#REF!&lt;100,"",#REF!-1500)</f>
        <v>#REF!</v>
      </c>
      <c r="O286" s="169" t="e">
        <f>IF(#REF!&lt;100,"",#REF!-1500)</f>
        <v>#REF!</v>
      </c>
      <c r="P286" s="169" t="e">
        <f>IF(#REF!&lt;100,"",#REF!-1500)</f>
        <v>#REF!</v>
      </c>
      <c r="Q286" s="169" t="e">
        <f>IF(#REF!&lt;100,"",#REF!-1500)</f>
        <v>#REF!</v>
      </c>
      <c r="R286" s="169" t="e">
        <f>IF(#REF!&lt;100,"",#REF!-1500)</f>
        <v>#REF!</v>
      </c>
      <c r="S286" s="169" t="e">
        <f>IF(#REF!&lt;100,"",#REF!-1500)</f>
        <v>#REF!</v>
      </c>
      <c r="T286" s="169" t="e">
        <f>IF(#REF!&lt;100,"",#REF!-1500)</f>
        <v>#REF!</v>
      </c>
      <c r="U286" s="169" t="e">
        <f>IF(#REF!&lt;100,"",#REF!-1500)</f>
        <v>#REF!</v>
      </c>
      <c r="V286" s="169" t="e">
        <f>IF(#REF!&lt;100,"",#REF!-1500)</f>
        <v>#REF!</v>
      </c>
      <c r="W286" s="169" t="e">
        <f>IF(#REF!&lt;100,"",#REF!-1500)</f>
        <v>#REF!</v>
      </c>
      <c r="X286" s="169" t="e">
        <f>IF(#REF!&lt;100,"",#REF!-1500)</f>
        <v>#REF!</v>
      </c>
      <c r="Y286" s="169" t="e">
        <f>IF(#REF!&lt;100,"",#REF!-1500)</f>
        <v>#REF!</v>
      </c>
      <c r="Z286" s="169" t="e">
        <f>IF(#REF!&lt;100,"",#REF!-1500)</f>
        <v>#REF!</v>
      </c>
      <c r="AA286" s="169" t="e">
        <f>IF(#REF!&lt;100,"",#REF!-1500)</f>
        <v>#REF!</v>
      </c>
      <c r="AB286" s="169" t="e">
        <f>IF(#REF!&lt;100,"",#REF!-1500)</f>
        <v>#REF!</v>
      </c>
      <c r="AC286" s="169" t="e">
        <f>IF(#REF!&lt;100,"",#REF!-1500)</f>
        <v>#REF!</v>
      </c>
      <c r="AD286" s="169" t="e">
        <f>IF(#REF!&lt;100,"",#REF!-1500)</f>
        <v>#REF!</v>
      </c>
      <c r="AE286" s="169" t="e">
        <f>IF(#REF!&lt;100,"",#REF!-1500)</f>
        <v>#REF!</v>
      </c>
      <c r="AF286" s="169" t="e">
        <f>IF(#REF!&lt;100,"",#REF!-1500)</f>
        <v>#REF!</v>
      </c>
      <c r="AG286" s="43"/>
      <c r="AH286" s="43"/>
    </row>
    <row r="287" spans="1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1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2:34" x14ac:dyDescent="0.25"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2:34" x14ac:dyDescent="0.25"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2:34" x14ac:dyDescent="0.25"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2:34" x14ac:dyDescent="0.25"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2:34" x14ac:dyDescent="0.25"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358" priority="1">
      <formula>$AH11=0</formula>
    </cfRule>
  </conditionalFormatting>
  <conditionalFormatting sqref="A132:A253">
    <cfRule type="expression" dxfId="357" priority="6">
      <formula>$AH132=0</formula>
    </cfRule>
  </conditionalFormatting>
  <conditionalFormatting sqref="B8 M8 S8 AB8">
    <cfRule type="expression" dxfId="356" priority="116">
      <formula>C$9&lt;8/24</formula>
    </cfRule>
    <cfRule type="expression" dxfId="355" priority="115">
      <formula>AND(C$9&gt;=8/24,C$9&lt;14/24)</formula>
    </cfRule>
    <cfRule type="expression" dxfId="354" priority="114">
      <formula>AND(C$9&gt;=14/24,C$9&lt;20/24)</formula>
    </cfRule>
  </conditionalFormatting>
  <conditionalFormatting sqref="B63:L74 M73:X74">
    <cfRule type="expression" dxfId="353" priority="21">
      <formula>B$9&gt;=20/24</formula>
    </cfRule>
    <cfRule type="expression" dxfId="352" priority="22">
      <formula>AND(B$9&gt;=14/24,B$9&lt;20/24)</formula>
    </cfRule>
    <cfRule type="expression" dxfId="351" priority="23">
      <formula>AND(B$9&gt;=8/24,B$9&lt;14/24)</formula>
    </cfRule>
    <cfRule type="expression" dxfId="350" priority="24">
      <formula>B$9&lt;8/24</formula>
    </cfRule>
  </conditionalFormatting>
  <conditionalFormatting sqref="B11:X54">
    <cfRule type="expression" dxfId="349" priority="15">
      <formula>B11&gt;$AG11</formula>
    </cfRule>
  </conditionalFormatting>
  <conditionalFormatting sqref="B53:X54">
    <cfRule type="expression" dxfId="348" priority="14">
      <formula>B$9&lt;8/24</formula>
    </cfRule>
  </conditionalFormatting>
  <conditionalFormatting sqref="B55:X55">
    <cfRule type="expression" dxfId="347" priority="35">
      <formula>B55&gt;$AG55</formula>
    </cfRule>
  </conditionalFormatting>
  <conditionalFormatting sqref="B55:X57">
    <cfRule type="expression" dxfId="346" priority="34">
      <formula>B$9&lt;8/24</formula>
    </cfRule>
  </conditionalFormatting>
  <conditionalFormatting sqref="B9:AF52">
    <cfRule type="expression" dxfId="345" priority="26">
      <formula>B$9&gt;=20/24</formula>
    </cfRule>
    <cfRule type="expression" dxfId="344" priority="27">
      <formula>AND(B$9&gt;=14/24,B$9&lt;20/24)</formula>
    </cfRule>
    <cfRule type="expression" dxfId="343" priority="28">
      <formula>AND(B$9&gt;=8/24,B$9&lt;14/24)</formula>
    </cfRule>
    <cfRule type="expression" dxfId="342" priority="29">
      <formula>B$9&lt;8/24</formula>
    </cfRule>
  </conditionalFormatting>
  <conditionalFormatting sqref="B53:AF54">
    <cfRule type="expression" dxfId="341" priority="11">
      <formula>B$9&gt;=20/24</formula>
    </cfRule>
    <cfRule type="expression" dxfId="340" priority="12">
      <formula>AND(B$9&gt;=14/24,B$9&lt;20/24)</formula>
    </cfRule>
    <cfRule type="expression" dxfId="339" priority="13">
      <formula>AND(B$9&gt;=8/24,B$9&lt;14/24)</formula>
    </cfRule>
  </conditionalFormatting>
  <conditionalFormatting sqref="B55:AF57">
    <cfRule type="expression" dxfId="338" priority="33">
      <formula>AND(B$9&gt;=8/24,B$9&lt;14/24)</formula>
    </cfRule>
    <cfRule type="expression" dxfId="337" priority="31">
      <formula>B$9&gt;=20/24</formula>
    </cfRule>
    <cfRule type="expression" dxfId="336" priority="32">
      <formula>AND(B$9&gt;=14/24,B$9&lt;20/24)</formula>
    </cfRule>
  </conditionalFormatting>
  <conditionalFormatting sqref="B56:AF61">
    <cfRule type="expression" dxfId="335" priority="30">
      <formula>B56&gt;$AG56</formula>
    </cfRule>
  </conditionalFormatting>
  <conditionalFormatting sqref="B59:AF61">
    <cfRule type="expression" dxfId="334" priority="41">
      <formula>B$9&gt;=20/24</formula>
    </cfRule>
    <cfRule type="expression" dxfId="333" priority="42">
      <formula>AND(B$9&gt;=14/24,B$9&lt;20/24)</formula>
    </cfRule>
    <cfRule type="expression" dxfId="332" priority="43">
      <formula>AND(B$9&gt;=8/24,B$9&lt;14/24)</formula>
    </cfRule>
    <cfRule type="expression" dxfId="331" priority="44">
      <formula>B$9&lt;8/24</formula>
    </cfRule>
  </conditionalFormatting>
  <conditionalFormatting sqref="B63:AF74">
    <cfRule type="expression" dxfId="330" priority="20">
      <formula>B63&gt;$AG63</formula>
    </cfRule>
  </conditionalFormatting>
  <conditionalFormatting sqref="B77:AF79">
    <cfRule type="expression" dxfId="329" priority="47">
      <formula>AND(B$9&gt;=14/24,B$9&lt;20/24)</formula>
    </cfRule>
    <cfRule type="expression" dxfId="328" priority="45">
      <formula>B77&gt;$AG77</formula>
    </cfRule>
    <cfRule type="expression" dxfId="327" priority="46">
      <formula>B$9&gt;=20/24</formula>
    </cfRule>
    <cfRule type="expression" dxfId="326" priority="48">
      <formula>AND(B$9&gt;=8/24,B$9&lt;14/24)</formula>
    </cfRule>
    <cfRule type="expression" dxfId="325" priority="49">
      <formula>B$9&lt;8/24</formula>
    </cfRule>
  </conditionalFormatting>
  <conditionalFormatting sqref="B81:AF99">
    <cfRule type="expression" dxfId="324" priority="19">
      <formula>B$9&lt;8/24</formula>
    </cfRule>
    <cfRule type="expression" dxfId="323" priority="18">
      <formula>AND(B$9&gt;=8/24,B$9&lt;14/24)</formula>
    </cfRule>
    <cfRule type="expression" dxfId="322" priority="16">
      <formula>B$9&gt;=20/24</formula>
    </cfRule>
    <cfRule type="expression" dxfId="321" priority="17">
      <formula>AND(B$9&gt;=14/24,B$9&lt;20/24)</formula>
    </cfRule>
  </conditionalFormatting>
  <conditionalFormatting sqref="B101:AF117">
    <cfRule type="expression" dxfId="320" priority="7">
      <formula>B$9&gt;=20/24</formula>
    </cfRule>
    <cfRule type="expression" dxfId="319" priority="8">
      <formula>AND(B$9&gt;=14/24,B$9&lt;20/24)</formula>
    </cfRule>
    <cfRule type="expression" dxfId="318" priority="10">
      <formula>B$9&lt;8/24</formula>
    </cfRule>
    <cfRule type="expression" dxfId="317" priority="9">
      <formula>AND(B$9&gt;=8/24,B$9&lt;14/24)</formula>
    </cfRule>
  </conditionalFormatting>
  <conditionalFormatting sqref="B119:AF137">
    <cfRule type="expression" dxfId="316" priority="3">
      <formula>AND(B$9&gt;=14/24,B$9&lt;20/24)</formula>
    </cfRule>
    <cfRule type="expression" dxfId="315" priority="4">
      <formula>AND(B$9&gt;=8/24,B$9&lt;14/24)</formula>
    </cfRule>
    <cfRule type="expression" dxfId="314" priority="5">
      <formula>B$9&lt;8/24</formula>
    </cfRule>
    <cfRule type="expression" dxfId="313" priority="2">
      <formula>B$9&gt;=20/24</formula>
    </cfRule>
  </conditionalFormatting>
  <conditionalFormatting sqref="B244:AF244 B246:B252 D246:AF252 U260:AF260">
    <cfRule type="expression" dxfId="312" priority="110">
      <formula>B$9&lt;8/24</formula>
    </cfRule>
    <cfRule type="expression" dxfId="311" priority="109">
      <formula>AND(B$9&gt;=8/24,B$9&lt;14/24)</formula>
    </cfRule>
    <cfRule type="expression" dxfId="310" priority="108">
      <formula>AND(B$9&gt;=14/24,B$9&lt;20/24)</formula>
    </cfRule>
    <cfRule type="expression" dxfId="309" priority="107">
      <formula>B$9&gt;=20/24</formula>
    </cfRule>
  </conditionalFormatting>
  <conditionalFormatting sqref="B62:AG62">
    <cfRule type="expression" dxfId="308" priority="50">
      <formula>B62&gt;$AG62</formula>
    </cfRule>
    <cfRule type="expression" dxfId="307" priority="51">
      <formula>B$9&gt;=20/24</formula>
    </cfRule>
    <cfRule type="expression" dxfId="306" priority="52">
      <formula>AND(B$9&gt;=14/24,B$9&lt;20/24)</formula>
    </cfRule>
    <cfRule type="expression" dxfId="305" priority="53">
      <formula>AND(B$9&gt;=8/24,B$9&lt;14/24)</formula>
    </cfRule>
    <cfRule type="expression" dxfId="304" priority="54">
      <formula>B$9&lt;8/24</formula>
    </cfRule>
  </conditionalFormatting>
  <conditionalFormatting sqref="B75:AG76 B80:AG80">
    <cfRule type="expression" dxfId="303" priority="36">
      <formula>B75&gt;$AG75</formula>
    </cfRule>
  </conditionalFormatting>
  <conditionalFormatting sqref="B80:AG80">
    <cfRule type="expression" dxfId="302" priority="37">
      <formula>B$9&gt;=20/24</formula>
    </cfRule>
    <cfRule type="expression" dxfId="301" priority="40">
      <formula>B$9&lt;8/24</formula>
    </cfRule>
    <cfRule type="expression" dxfId="300" priority="39">
      <formula>AND(B$9&gt;=8/24,B$9&lt;14/24)</formula>
    </cfRule>
    <cfRule type="expression" dxfId="299" priority="38">
      <formula>AND(B$9&gt;=14/24,B$9&lt;20/24)</formula>
    </cfRule>
  </conditionalFormatting>
  <conditionalFormatting sqref="F63:L65">
    <cfRule type="expression" dxfId="298" priority="91">
      <formula>F$9&lt;8/24</formula>
    </cfRule>
    <cfRule type="expression" dxfId="297" priority="90">
      <formula>AND(F$9&gt;=8/24,F$9&lt;14/24)</formula>
    </cfRule>
    <cfRule type="expression" dxfId="296" priority="89">
      <formula>AND(F$9&gt;=14/24,F$9&lt;20/24)</formula>
    </cfRule>
    <cfRule type="expression" dxfId="295" priority="88">
      <formula>F$9&gt;=20/24</formula>
    </cfRule>
  </conditionalFormatting>
  <conditionalFormatting sqref="F68:X68">
    <cfRule type="expression" dxfId="294" priority="65">
      <formula>F$9&gt;=20/24</formula>
    </cfRule>
    <cfRule type="expression" dxfId="293" priority="66">
      <formula>AND(F$9&gt;=14/24,F$9&lt;20/24)</formula>
    </cfRule>
    <cfRule type="expression" dxfId="292" priority="67">
      <formula>AND(F$9&gt;=8/24,F$9&lt;14/24)</formula>
    </cfRule>
    <cfRule type="expression" dxfId="291" priority="68">
      <formula>F$9&lt;8/24</formula>
    </cfRule>
  </conditionalFormatting>
  <conditionalFormatting sqref="F69:AF74">
    <cfRule type="expression" dxfId="290" priority="55">
      <formula>F$9&gt;=20/24</formula>
    </cfRule>
    <cfRule type="expression" dxfId="289" priority="56">
      <formula>AND(F$9&gt;=14/24,F$9&lt;20/24)</formula>
    </cfRule>
    <cfRule type="expression" dxfId="288" priority="57">
      <formula>AND(F$9&gt;=8/24,F$9&lt;14/24)</formula>
    </cfRule>
    <cfRule type="expression" dxfId="287" priority="58">
      <formula>F$9&lt;8/24</formula>
    </cfRule>
  </conditionalFormatting>
  <conditionalFormatting sqref="M63:X67">
    <cfRule type="expression" dxfId="286" priority="93">
      <formula>AND(M$9&gt;=14/24,M$9&lt;20/24)</formula>
    </cfRule>
    <cfRule type="expression" dxfId="285" priority="92">
      <formula>M$9&gt;=20/24</formula>
    </cfRule>
    <cfRule type="expression" dxfId="284" priority="94">
      <formula>AND(M$9&gt;=8/24,M$9&lt;14/24)</formula>
    </cfRule>
    <cfRule type="expression" dxfId="283" priority="95">
      <formula>M$9&lt;8/24</formula>
    </cfRule>
  </conditionalFormatting>
  <conditionalFormatting sqref="O3:P3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282" priority="113">
      <formula>C$9&gt;=20/24</formula>
    </cfRule>
  </conditionalFormatting>
  <conditionalFormatting sqref="S8">
    <cfRule type="expression" dxfId="281" priority="101">
      <formula>AND(U$9&gt;=14/24,U$9&lt;20/24)</formula>
    </cfRule>
    <cfRule type="expression" dxfId="280" priority="103">
      <formula>U$9&lt;8/24</formula>
    </cfRule>
    <cfRule type="expression" dxfId="279" priority="102">
      <formula>AND(U$9&gt;=8/24,U$9&lt;14/24)</formula>
    </cfRule>
    <cfRule type="expression" dxfId="278" priority="100">
      <formula>U$9&gt;=20/24</formula>
    </cfRule>
  </conditionalFormatting>
  <conditionalFormatting sqref="T260">
    <cfRule type="expression" dxfId="277" priority="128">
      <formula>AX$9&lt;8/24</formula>
    </cfRule>
    <cfRule type="expression" dxfId="276" priority="125">
      <formula>AX$9&gt;=20/24</formula>
    </cfRule>
    <cfRule type="expression" dxfId="275" priority="126">
      <formula>AND(AX$9&gt;=14/24,AX$9&lt;20/24)</formula>
    </cfRule>
    <cfRule type="expression" dxfId="274" priority="127">
      <formula>AND(AX$9&gt;=8/24,AX$9&lt;14/24)</formula>
    </cfRule>
  </conditionalFormatting>
  <conditionalFormatting sqref="V3 AB3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Y11:AF52">
    <cfRule type="expression" dxfId="273" priority="25">
      <formula>Y11&gt;$AG11</formula>
    </cfRule>
  </conditionalFormatting>
  <conditionalFormatting sqref="Y53:AF55">
    <cfRule type="expression" dxfId="272" priority="64">
      <formula>Y53&gt;$AG53</formula>
    </cfRule>
  </conditionalFormatting>
  <conditionalFormatting sqref="Y53:AF57">
    <cfRule type="expression" dxfId="271" priority="63">
      <formula>Y$9&lt;8/24</formula>
    </cfRule>
  </conditionalFormatting>
  <conditionalFormatting sqref="Y63:AF68">
    <cfRule type="expression" dxfId="270" priority="59">
      <formula>Y$9&gt;=20/24</formula>
    </cfRule>
    <cfRule type="expression" dxfId="269" priority="60">
      <formula>AND(Y$9&gt;=14/24,Y$9&lt;20/24)</formula>
    </cfRule>
    <cfRule type="expression" dxfId="268" priority="62">
      <formula>Y$9&lt;8/24</formula>
    </cfRule>
    <cfRule type="expression" dxfId="267" priority="61">
      <formula>AND(Y$9&gt;=8/24,Y$9&lt;14/24)</formula>
    </cfRule>
  </conditionalFormatting>
  <conditionalFormatting sqref="AB8">
    <cfRule type="expression" dxfId="266" priority="96">
      <formula>AD$9&gt;=20/24</formula>
    </cfRule>
    <cfRule type="expression" dxfId="265" priority="97">
      <formula>AND(AD$9&gt;=14/24,AD$9&lt;20/24)</formula>
    </cfRule>
    <cfRule type="expression" dxfId="264" priority="98">
      <formula>AND(AD$9&gt;=8/24,AD$9&lt;14/24)</formula>
    </cfRule>
    <cfRule type="expression" dxfId="263" priority="99">
      <formula>AD$9&lt;8/24</formula>
    </cfRule>
  </conditionalFormatting>
  <conditionalFormatting sqref="AG58">
    <cfRule type="expression" dxfId="262" priority="83">
      <formula>AG58&gt;$AG58</formula>
    </cfRule>
  </conditionalFormatting>
  <conditionalFormatting sqref="AG97">
    <cfRule type="expression" dxfId="261" priority="84">
      <formula>AG$9&gt;=20/24</formula>
    </cfRule>
    <cfRule type="expression" dxfId="260" priority="85">
      <formula>AND(AG$9&gt;=14/24,AG$9&lt;20/24)</formula>
    </cfRule>
    <cfRule type="expression" dxfId="259" priority="87">
      <formula>AG$9&lt;8/24</formula>
    </cfRule>
    <cfRule type="expression" dxfId="258" priority="86">
      <formula>AND(AG$9&gt;=8/24,AG$9&lt;14/24)</formula>
    </cfRule>
  </conditionalFormatting>
  <conditionalFormatting sqref="AG260">
    <cfRule type="expression" dxfId="257" priority="120">
      <formula>B$9&lt;8/24</formula>
    </cfRule>
    <cfRule type="expression" dxfId="256" priority="117">
      <formula>B$9&gt;=20/24</formula>
    </cfRule>
    <cfRule type="expression" dxfId="255" priority="118">
      <formula>AND(B$9&gt;=14/24,B$9&lt;20/24)</formula>
    </cfRule>
    <cfRule type="expression" dxfId="254" priority="119">
      <formula>AND(B$9&gt;=8/24,B$9&lt;14/24)</formula>
    </cfRule>
  </conditionalFormatting>
  <conditionalFormatting sqref="AH260:AX260">
    <cfRule type="expression" dxfId="253" priority="121">
      <formula>AG$9&gt;=20/24</formula>
    </cfRule>
    <cfRule type="expression" dxfId="252" priority="122">
      <formula>AND(AG$9&gt;=14/24,AG$9&lt;20/24)</formula>
    </cfRule>
    <cfRule type="expression" dxfId="251" priority="123">
      <formula>AND(AG$9&gt;=8/24,AG$9&lt;14/24)</formula>
    </cfRule>
    <cfRule type="expression" dxfId="250" priority="124">
      <formula>AG$9&lt;8/24</formula>
    </cfRule>
  </conditionalFormatting>
  <conditionalFormatting sqref="AL4:AL6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19:AL20">
    <cfRule type="iconSet" priority="71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8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70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8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82">
      <iconSet iconSet="3TrafficLights2" reverse="1">
        <cfvo type="percent" val="0"/>
        <cfvo type="num" val="1"/>
        <cfvo type="num" val="1"/>
      </iconSet>
    </cfRule>
  </conditionalFormatting>
  <conditionalFormatting sqref="AL48 AL45:AL46 AL21:AL24 AL7:AL18 AL26:AL37 AL39:AL43 AL54:AL55">
    <cfRule type="iconSet" priority="129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04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69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249" priority="130">
      <formula>AJ$9&gt;=20/24</formula>
    </cfRule>
    <cfRule type="expression" dxfId="248" priority="131">
      <formula>AND(AJ$9&gt;=14/24,AJ$9&lt;20/24)</formula>
    </cfRule>
    <cfRule type="expression" dxfId="247" priority="132">
      <formula>AND(AJ$9&gt;=8/24,AJ$9&lt;14/24)</formula>
    </cfRule>
    <cfRule type="expression" dxfId="246" priority="133">
      <formula>AJ$9&lt;8/24</formula>
    </cfRule>
  </conditionalFormatting>
  <conditionalFormatting sqref="AL88:AN88 AL94:AN94">
    <cfRule type="expression" dxfId="245" priority="79">
      <formula>AL$9&lt;8/24</formula>
    </cfRule>
    <cfRule type="expression" dxfId="244" priority="78">
      <formula>AND(AL$9&gt;=8/24,AL$9&lt;14/24)</formula>
    </cfRule>
    <cfRule type="expression" dxfId="243" priority="76">
      <formula>AL$9&gt;=20/24</formula>
    </cfRule>
    <cfRule type="expression" dxfId="242" priority="77">
      <formula>AND(AL$9&gt;=14/24,AL$9&lt;20/24)</formula>
    </cfRule>
  </conditionalFormatting>
  <conditionalFormatting sqref="AN89:AN92">
    <cfRule type="expression" dxfId="241" priority="75">
      <formula>AN$9&lt;8/24</formula>
    </cfRule>
    <cfRule type="expression" dxfId="240" priority="74">
      <formula>AND(AN$9&gt;=8/24,AN$9&lt;14/24)</formula>
    </cfRule>
    <cfRule type="expression" dxfId="239" priority="73">
      <formula>AND(AN$9&gt;=14/24,AN$9&lt;20/24)</formula>
    </cfRule>
    <cfRule type="expression" dxfId="238" priority="72">
      <formula>AN$9&gt;=20/24</formula>
    </cfRule>
  </conditionalFormatting>
  <pageMargins left="0.7" right="0.7" top="0.75" bottom="0.75" header="0.3" footer="0.3"/>
  <drawing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DDA60-409D-4D66-8FD1-6A2576650044}">
  <sheetPr codeName="Sheet24"/>
  <dimension ref="A1:CJ293"/>
  <sheetViews>
    <sheetView zoomScale="115" zoomScaleNormal="115" workbookViewId="0">
      <pane xSplit="1" ySplit="10" topLeftCell="B120" activePane="bottomRight" state="frozen"/>
      <selection activeCell="Z63" sqref="Z63"/>
      <selection pane="topRight" activeCell="Z63" sqref="Z63"/>
      <selection pane="bottomLeft" activeCell="Z63" sqref="Z63"/>
      <selection pane="bottomRight" activeCell="F83" sqref="F83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710937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1" width="7.28515625" style="1" customWidth="1"/>
    <col min="12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hidden="1" customHeight="1" thickBot="1" x14ac:dyDescent="0.3">
      <c r="A1" s="275" t="s">
        <v>0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  <c r="AD1" s="275"/>
      <c r="AE1" s="275"/>
      <c r="AF1" s="275"/>
      <c r="AG1" s="276" t="s">
        <v>1</v>
      </c>
      <c r="AH1" s="276"/>
      <c r="AI1" s="276"/>
      <c r="AL1" s="2"/>
    </row>
    <row r="2" spans="1:88" ht="20.25" hidden="1" x14ac:dyDescent="0.25">
      <c r="A2" s="3"/>
      <c r="B2" s="277" t="s">
        <v>2</v>
      </c>
      <c r="C2" s="4"/>
      <c r="D2" s="279" t="s">
        <v>3</v>
      </c>
      <c r="E2" s="4"/>
      <c r="F2" s="279" t="s">
        <v>4</v>
      </c>
      <c r="G2" s="4"/>
      <c r="H2" s="279" t="s">
        <v>5</v>
      </c>
      <c r="I2" s="5"/>
      <c r="J2" s="281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78"/>
      <c r="C3" s="16"/>
      <c r="D3" s="280"/>
      <c r="E3" s="16"/>
      <c r="F3" s="280"/>
      <c r="G3" s="16"/>
      <c r="H3" s="280"/>
      <c r="I3" s="17"/>
      <c r="J3" s="281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70" t="str">
        <f ca="1">"2080/"&amp;"10/"&amp;INT(MID(CELL("filename",D6),FIND("]",CELL("filename",D6))+1,200))</f>
        <v>2080/10/24</v>
      </c>
      <c r="C4" s="270"/>
      <c r="D4" s="270"/>
      <c r="E4" s="271" t="str">
        <f ca="1">"2080/"&amp;"10/"&amp;INT(MID(CELL("filename",G6),FIND("]",CELL("filename",G6))+1,200))</f>
        <v>2080/10/24</v>
      </c>
      <c r="F4" s="271"/>
      <c r="G4" s="271"/>
      <c r="H4" s="271" t="str">
        <f ca="1">TEXT(E4,"dddd")</f>
        <v>Thursday</v>
      </c>
      <c r="I4" s="271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C92</f>
        <v>572</v>
      </c>
      <c r="C5" s="30">
        <f t="shared" si="0"/>
        <v>509.5</v>
      </c>
      <c r="D5" s="30">
        <f t="shared" si="0"/>
        <v>492.4</v>
      </c>
      <c r="E5" s="30">
        <f t="shared" si="0"/>
        <v>539.79999999999995</v>
      </c>
      <c r="F5" s="30">
        <f t="shared" si="0"/>
        <v>572.9</v>
      </c>
      <c r="G5" s="30">
        <f t="shared" si="0"/>
        <v>556.9</v>
      </c>
      <c r="H5" s="30">
        <f t="shared" si="0"/>
        <v>594.6</v>
      </c>
      <c r="I5" s="30">
        <f t="shared" si="0"/>
        <v>646.9</v>
      </c>
      <c r="J5" s="30">
        <f t="shared" si="0"/>
        <v>373.7</v>
      </c>
      <c r="K5" s="30">
        <f t="shared" si="0"/>
        <v>238.2</v>
      </c>
      <c r="L5" s="30">
        <f t="shared" si="0"/>
        <v>184</v>
      </c>
      <c r="M5" s="30">
        <f t="shared" si="0"/>
        <v>385.66</v>
      </c>
      <c r="N5" s="30">
        <f t="shared" si="0"/>
        <v>412.29</v>
      </c>
      <c r="O5" s="30">
        <f t="shared" si="0"/>
        <v>573.59999999999991</v>
      </c>
      <c r="P5" s="30">
        <f t="shared" si="0"/>
        <v>679.6</v>
      </c>
      <c r="Q5" s="30">
        <f t="shared" si="0"/>
        <v>523.9</v>
      </c>
      <c r="R5" s="30">
        <f t="shared" si="0"/>
        <v>562</v>
      </c>
      <c r="S5" s="30">
        <f t="shared" si="0"/>
        <v>603.1</v>
      </c>
      <c r="T5" s="30">
        <f t="shared" si="0"/>
        <v>679.4</v>
      </c>
      <c r="U5" s="30">
        <f t="shared" si="0"/>
        <v>512.6</v>
      </c>
      <c r="V5" s="30">
        <f t="shared" si="0"/>
        <v>331.3</v>
      </c>
      <c r="W5" s="30">
        <f t="shared" si="0"/>
        <v>305.10000000000002</v>
      </c>
      <c r="X5" s="30">
        <f t="shared" si="0"/>
        <v>344</v>
      </c>
      <c r="Y5" s="30">
        <f t="shared" si="0"/>
        <v>284</v>
      </c>
      <c r="Z5" s="30">
        <f t="shared" si="0"/>
        <v>341</v>
      </c>
      <c r="AA5" s="30">
        <f t="shared" si="0"/>
        <v>415.7</v>
      </c>
      <c r="AB5" s="30">
        <f t="shared" si="0"/>
        <v>539</v>
      </c>
      <c r="AC5" s="30">
        <f t="shared" si="0"/>
        <v>579.29999999999995</v>
      </c>
      <c r="AD5" s="30">
        <f t="shared" si="0"/>
        <v>607.9</v>
      </c>
      <c r="AE5" s="30">
        <f t="shared" si="0"/>
        <v>543.29999999999995</v>
      </c>
      <c r="AF5" s="30">
        <f>B92</f>
        <v>563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1868MW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Load=1128</v>
      </c>
      <c r="B7" s="35">
        <f>B100</f>
        <v>1192.54</v>
      </c>
      <c r="C7" s="35">
        <f t="shared" ref="C7:AF7" si="1">C100</f>
        <v>1191.54</v>
      </c>
      <c r="D7" s="35">
        <f t="shared" si="1"/>
        <v>1145.04</v>
      </c>
      <c r="E7" s="35">
        <f t="shared" si="1"/>
        <v>1127.54</v>
      </c>
      <c r="F7" s="35">
        <f t="shared" si="1"/>
        <v>1174.74</v>
      </c>
      <c r="G7" s="35">
        <f t="shared" si="1"/>
        <v>1237.54</v>
      </c>
      <c r="H7" s="35">
        <f t="shared" si="1"/>
        <v>1272.44</v>
      </c>
      <c r="I7" s="35">
        <f t="shared" si="1"/>
        <v>1402.04</v>
      </c>
      <c r="J7" s="35">
        <f t="shared" si="1"/>
        <v>1509.3400000000001</v>
      </c>
      <c r="K7" s="35">
        <f t="shared" si="1"/>
        <v>1688.24</v>
      </c>
      <c r="L7" s="35">
        <f t="shared" si="1"/>
        <v>1828.74</v>
      </c>
      <c r="M7" s="35">
        <f t="shared" si="1"/>
        <v>1792.24</v>
      </c>
      <c r="N7" s="35">
        <f t="shared" si="1"/>
        <v>1867.6000000000001</v>
      </c>
      <c r="O7" s="35">
        <f t="shared" si="1"/>
        <v>1633.73</v>
      </c>
      <c r="P7" s="35">
        <f t="shared" si="1"/>
        <v>1568.3400000000001</v>
      </c>
      <c r="Q7" s="35">
        <f t="shared" si="1"/>
        <v>1663.94</v>
      </c>
      <c r="R7" s="35">
        <f t="shared" si="1"/>
        <v>1483.2400000000002</v>
      </c>
      <c r="S7" s="35">
        <f t="shared" si="1"/>
        <v>1503.64</v>
      </c>
      <c r="T7" s="35">
        <f t="shared" si="1"/>
        <v>1528.3400000000001</v>
      </c>
      <c r="U7" s="35">
        <f t="shared" si="1"/>
        <v>1587.6399999999999</v>
      </c>
      <c r="V7" s="35">
        <f t="shared" si="1"/>
        <v>1490.7400000000002</v>
      </c>
      <c r="W7" s="35">
        <f t="shared" si="1"/>
        <v>1509.54</v>
      </c>
      <c r="X7" s="35">
        <f t="shared" si="1"/>
        <v>1735.6399999999999</v>
      </c>
      <c r="Y7" s="35">
        <f t="shared" si="1"/>
        <v>1881</v>
      </c>
      <c r="Z7" s="35">
        <f t="shared" si="1"/>
        <v>1857.3000000000002</v>
      </c>
      <c r="AA7" s="35">
        <f t="shared" si="1"/>
        <v>1789.8400000000001</v>
      </c>
      <c r="AB7" s="35">
        <f t="shared" si="1"/>
        <v>1615.14</v>
      </c>
      <c r="AC7" s="35">
        <f t="shared" si="1"/>
        <v>1544.44</v>
      </c>
      <c r="AD7" s="35">
        <f t="shared" si="1"/>
        <v>1470.44</v>
      </c>
      <c r="AE7" s="35">
        <f t="shared" si="1"/>
        <v>1430.3400000000001</v>
      </c>
      <c r="AF7" s="35">
        <f t="shared" si="1"/>
        <v>1283.8400000000001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72" t="s">
        <v>14</v>
      </c>
      <c r="C8" s="273"/>
      <c r="D8" s="273"/>
      <c r="E8" s="273"/>
      <c r="F8" s="273"/>
      <c r="G8" s="273"/>
      <c r="H8" s="273"/>
      <c r="I8" s="273"/>
      <c r="J8" s="273"/>
      <c r="K8" s="273"/>
      <c r="L8" s="274"/>
      <c r="M8" s="265" t="s">
        <v>15</v>
      </c>
      <c r="N8" s="266"/>
      <c r="O8" s="266"/>
      <c r="P8" s="266"/>
      <c r="Q8" s="266"/>
      <c r="R8" s="267"/>
      <c r="S8" s="265" t="s">
        <v>16</v>
      </c>
      <c r="T8" s="266"/>
      <c r="U8" s="266"/>
      <c r="V8" s="266"/>
      <c r="W8" s="266"/>
      <c r="X8" s="266"/>
      <c r="Y8" s="266"/>
      <c r="Z8" s="266"/>
      <c r="AA8" s="267"/>
      <c r="AB8" s="265" t="s">
        <v>17</v>
      </c>
      <c r="AC8" s="266"/>
      <c r="AD8" s="266"/>
      <c r="AE8" s="266"/>
      <c r="AF8" s="267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68" t="s">
        <v>18</v>
      </c>
      <c r="B9" s="264">
        <v>0</v>
      </c>
      <c r="C9" s="264">
        <v>4.1666666666666664E-2</v>
      </c>
      <c r="D9" s="264">
        <v>8.3333333333333301E-2</v>
      </c>
      <c r="E9" s="264">
        <v>0.125</v>
      </c>
      <c r="F9" s="264">
        <v>0.16666666666666699</v>
      </c>
      <c r="G9" s="264">
        <v>0.20833333333333301</v>
      </c>
      <c r="H9" s="264">
        <v>0.22916666666666666</v>
      </c>
      <c r="I9" s="264">
        <v>0.25</v>
      </c>
      <c r="J9" s="264">
        <v>0.27083333333333331</v>
      </c>
      <c r="K9" s="264">
        <v>0.29166666666666669</v>
      </c>
      <c r="L9" s="264">
        <v>0.3125</v>
      </c>
      <c r="M9" s="262">
        <v>0.33333333333333331</v>
      </c>
      <c r="N9" s="262">
        <v>0.375</v>
      </c>
      <c r="O9" s="262">
        <v>0.41666666666666702</v>
      </c>
      <c r="P9" s="262">
        <v>0.45833333333333298</v>
      </c>
      <c r="Q9" s="262">
        <v>0.5</v>
      </c>
      <c r="R9" s="262">
        <v>0.54166666666666696</v>
      </c>
      <c r="S9" s="258">
        <v>0.58333333333333304</v>
      </c>
      <c r="T9" s="258">
        <v>0.625</v>
      </c>
      <c r="U9" s="258">
        <v>0.66666666666666696</v>
      </c>
      <c r="V9" s="258">
        <v>0.70833333333333304</v>
      </c>
      <c r="W9" s="258">
        <v>0.72916666666666663</v>
      </c>
      <c r="X9" s="258">
        <v>0.75</v>
      </c>
      <c r="Y9" s="258">
        <v>0.77083333333333337</v>
      </c>
      <c r="Z9" s="258">
        <v>0.79166666666666663</v>
      </c>
      <c r="AA9" s="258">
        <v>0.8125</v>
      </c>
      <c r="AB9" s="258">
        <v>0.83333333333333337</v>
      </c>
      <c r="AC9" s="258">
        <v>0.85416666666666663</v>
      </c>
      <c r="AD9" s="258">
        <v>0.875</v>
      </c>
      <c r="AE9" s="258">
        <v>0.91666666666666696</v>
      </c>
      <c r="AF9" s="258">
        <v>0.95833333333333304</v>
      </c>
      <c r="AG9" s="260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69"/>
      <c r="B10" s="259"/>
      <c r="C10" s="259"/>
      <c r="D10" s="259"/>
      <c r="E10" s="259"/>
      <c r="F10" s="259"/>
      <c r="G10" s="259"/>
      <c r="H10" s="259"/>
      <c r="I10" s="259"/>
      <c r="J10" s="259"/>
      <c r="K10" s="259"/>
      <c r="L10" s="259"/>
      <c r="M10" s="263"/>
      <c r="N10" s="263"/>
      <c r="O10" s="263"/>
      <c r="P10" s="263"/>
      <c r="Q10" s="263"/>
      <c r="R10" s="263"/>
      <c r="S10" s="259"/>
      <c r="T10" s="259"/>
      <c r="U10" s="259"/>
      <c r="V10" s="259"/>
      <c r="W10" s="259"/>
      <c r="X10" s="259"/>
      <c r="Y10" s="259"/>
      <c r="Z10" s="259"/>
      <c r="AA10" s="259"/>
      <c r="AB10" s="259"/>
      <c r="AC10" s="259"/>
      <c r="AD10" s="259"/>
      <c r="AE10" s="259"/>
      <c r="AF10" s="259"/>
      <c r="AG10" s="261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30.6</v>
      </c>
      <c r="C11" s="45">
        <v>30.6</v>
      </c>
      <c r="D11" s="45">
        <v>30.6</v>
      </c>
      <c r="E11" s="45">
        <v>30.6</v>
      </c>
      <c r="F11" s="45">
        <v>30.6</v>
      </c>
      <c r="G11" s="45">
        <v>30.6</v>
      </c>
      <c r="H11" s="45">
        <v>30.6</v>
      </c>
      <c r="I11" s="45">
        <v>30.6</v>
      </c>
      <c r="J11" s="45">
        <v>30.6</v>
      </c>
      <c r="K11" s="45">
        <v>30.6</v>
      </c>
      <c r="L11" s="45">
        <v>30.6</v>
      </c>
      <c r="M11" s="45">
        <v>30.6</v>
      </c>
      <c r="N11" s="45">
        <v>30.6</v>
      </c>
      <c r="O11" s="45">
        <v>30.6</v>
      </c>
      <c r="P11" s="45">
        <v>30.6</v>
      </c>
      <c r="Q11" s="45">
        <v>30.6</v>
      </c>
      <c r="R11" s="45">
        <v>30.6</v>
      </c>
      <c r="S11" s="45">
        <v>28</v>
      </c>
      <c r="T11" s="45">
        <v>26.6</v>
      </c>
      <c r="U11" s="45">
        <v>26.9</v>
      </c>
      <c r="V11" s="45">
        <v>27.2</v>
      </c>
      <c r="W11" s="45">
        <v>0</v>
      </c>
      <c r="X11" s="45">
        <v>30.3</v>
      </c>
      <c r="Y11" s="45">
        <v>20.9</v>
      </c>
      <c r="Z11" s="45">
        <v>25</v>
      </c>
      <c r="AA11" s="45">
        <v>25</v>
      </c>
      <c r="AB11" s="45">
        <v>29.5</v>
      </c>
      <c r="AC11" s="45">
        <v>29.5</v>
      </c>
      <c r="AD11" s="45">
        <v>29.5</v>
      </c>
      <c r="AE11" s="45">
        <v>29.5</v>
      </c>
      <c r="AF11" s="45">
        <v>29.5</v>
      </c>
      <c r="AG11" s="46">
        <v>86</v>
      </c>
      <c r="AH11" s="47">
        <f t="shared" ref="AH11:AH84" si="2">MAX(B11:AF11)</f>
        <v>30.6</v>
      </c>
      <c r="AI11" s="48">
        <f t="shared" ref="AI11:AI84" si="3">MIN(B11:AF11)</f>
        <v>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262</v>
      </c>
      <c r="B12" s="45">
        <v>9.8000000000000007</v>
      </c>
      <c r="C12" s="45">
        <v>9.8000000000000007</v>
      </c>
      <c r="D12" s="45">
        <v>9.8000000000000007</v>
      </c>
      <c r="E12" s="45">
        <v>9.8000000000000007</v>
      </c>
      <c r="F12" s="45">
        <v>9.8000000000000007</v>
      </c>
      <c r="G12" s="45">
        <v>9.8000000000000007</v>
      </c>
      <c r="H12" s="45">
        <v>9.8000000000000007</v>
      </c>
      <c r="I12" s="45">
        <v>9.8000000000000007</v>
      </c>
      <c r="J12" s="45">
        <v>9.8000000000000007</v>
      </c>
      <c r="K12" s="45">
        <v>9.8000000000000007</v>
      </c>
      <c r="L12" s="45">
        <v>9.8000000000000007</v>
      </c>
      <c r="M12" s="45">
        <v>9.8000000000000007</v>
      </c>
      <c r="N12" s="45">
        <v>9.8000000000000007</v>
      </c>
      <c r="O12" s="45">
        <v>9.8000000000000007</v>
      </c>
      <c r="P12" s="45">
        <v>9.8000000000000007</v>
      </c>
      <c r="Q12" s="45">
        <v>9.8000000000000007</v>
      </c>
      <c r="R12" s="45">
        <v>9.8000000000000007</v>
      </c>
      <c r="S12" s="45">
        <v>9.8000000000000007</v>
      </c>
      <c r="T12" s="45">
        <v>9.8000000000000007</v>
      </c>
      <c r="U12" s="45">
        <v>9.8000000000000007</v>
      </c>
      <c r="V12" s="45">
        <v>9.8000000000000007</v>
      </c>
      <c r="W12" s="45">
        <v>9.8000000000000007</v>
      </c>
      <c r="X12" s="45">
        <v>9.8000000000000007</v>
      </c>
      <c r="Y12" s="45">
        <v>9.8000000000000007</v>
      </c>
      <c r="Z12" s="45">
        <v>9.8000000000000007</v>
      </c>
      <c r="AA12" s="45">
        <v>9.8000000000000007</v>
      </c>
      <c r="AB12" s="45">
        <v>9.8000000000000007</v>
      </c>
      <c r="AC12" s="45">
        <v>9.8000000000000007</v>
      </c>
      <c r="AD12" s="45">
        <v>9.8000000000000007</v>
      </c>
      <c r="AE12" s="45">
        <v>9.8000000000000007</v>
      </c>
      <c r="AF12" s="45">
        <v>9.8000000000000007</v>
      </c>
      <c r="AG12" s="49">
        <v>54</v>
      </c>
      <c r="AH12" s="47">
        <f t="shared" si="2"/>
        <v>9.8000000000000007</v>
      </c>
      <c r="AI12" s="48">
        <f t="shared" si="3"/>
        <v>9.8000000000000007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12</v>
      </c>
      <c r="C13" s="45">
        <v>12</v>
      </c>
      <c r="D13" s="45">
        <v>12</v>
      </c>
      <c r="E13" s="45">
        <v>12</v>
      </c>
      <c r="F13" s="45">
        <v>12</v>
      </c>
      <c r="G13" s="45">
        <v>12</v>
      </c>
      <c r="H13" s="45">
        <v>12</v>
      </c>
      <c r="I13" s="45">
        <v>12</v>
      </c>
      <c r="J13" s="45">
        <v>12</v>
      </c>
      <c r="K13" s="45">
        <v>12</v>
      </c>
      <c r="L13" s="45">
        <v>12</v>
      </c>
      <c r="M13" s="45">
        <v>12</v>
      </c>
      <c r="N13" s="45">
        <v>12</v>
      </c>
      <c r="O13" s="45">
        <v>12</v>
      </c>
      <c r="P13" s="45">
        <v>12</v>
      </c>
      <c r="Q13" s="45">
        <v>12</v>
      </c>
      <c r="R13" s="45">
        <v>12</v>
      </c>
      <c r="S13" s="45">
        <v>12</v>
      </c>
      <c r="T13" s="45">
        <v>12</v>
      </c>
      <c r="U13" s="45">
        <v>12</v>
      </c>
      <c r="V13" s="45">
        <v>12</v>
      </c>
      <c r="W13" s="45">
        <v>12</v>
      </c>
      <c r="X13" s="45">
        <v>12</v>
      </c>
      <c r="Y13" s="45">
        <v>12</v>
      </c>
      <c r="Z13" s="45">
        <v>12</v>
      </c>
      <c r="AA13" s="45">
        <v>12</v>
      </c>
      <c r="AB13" s="45">
        <v>12</v>
      </c>
      <c r="AC13" s="45">
        <v>12</v>
      </c>
      <c r="AD13" s="45">
        <v>12</v>
      </c>
      <c r="AE13" s="45">
        <v>12</v>
      </c>
      <c r="AF13" s="45">
        <v>12</v>
      </c>
      <c r="AG13" s="49">
        <v>54</v>
      </c>
      <c r="AH13" s="47">
        <f t="shared" si="2"/>
        <v>12</v>
      </c>
      <c r="AI13" s="48">
        <f t="shared" si="3"/>
        <v>12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14.2</v>
      </c>
      <c r="C14" s="45">
        <v>14.2</v>
      </c>
      <c r="D14" s="45">
        <v>14.2</v>
      </c>
      <c r="E14" s="45">
        <v>14.2</v>
      </c>
      <c r="F14" s="45">
        <v>14.2</v>
      </c>
      <c r="G14" s="45">
        <v>14.2</v>
      </c>
      <c r="H14" s="45">
        <v>14.2</v>
      </c>
      <c r="I14" s="45">
        <v>14.2</v>
      </c>
      <c r="J14" s="45">
        <v>14.2</v>
      </c>
      <c r="K14" s="45">
        <v>14.2</v>
      </c>
      <c r="L14" s="45">
        <v>14.2</v>
      </c>
      <c r="M14" s="45">
        <v>14.2</v>
      </c>
      <c r="N14" s="45">
        <v>14.2</v>
      </c>
      <c r="O14" s="45">
        <v>14.2</v>
      </c>
      <c r="P14" s="45">
        <v>14.2</v>
      </c>
      <c r="Q14" s="45">
        <v>14.2</v>
      </c>
      <c r="R14" s="45">
        <v>14.2</v>
      </c>
      <c r="S14" s="45">
        <v>14.2</v>
      </c>
      <c r="T14" s="45">
        <v>14.2</v>
      </c>
      <c r="U14" s="45">
        <v>14.2</v>
      </c>
      <c r="V14" s="45">
        <v>14.2</v>
      </c>
      <c r="W14" s="45">
        <v>14.2</v>
      </c>
      <c r="X14" s="45">
        <v>14.2</v>
      </c>
      <c r="Y14" s="45">
        <v>14.2</v>
      </c>
      <c r="Z14" s="45">
        <v>14.2</v>
      </c>
      <c r="AA14" s="45">
        <v>14.2</v>
      </c>
      <c r="AB14" s="45">
        <v>14.2</v>
      </c>
      <c r="AC14" s="45">
        <v>14.2</v>
      </c>
      <c r="AD14" s="45">
        <v>14.2</v>
      </c>
      <c r="AE14" s="45">
        <v>14.2</v>
      </c>
      <c r="AF14" s="45">
        <v>14.2</v>
      </c>
      <c r="AG14" s="46">
        <v>52.4</v>
      </c>
      <c r="AH14" s="47">
        <f t="shared" si="2"/>
        <v>14.2</v>
      </c>
      <c r="AI14" s="48">
        <f t="shared" si="3"/>
        <v>14.2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25</v>
      </c>
      <c r="C15" s="45">
        <v>25</v>
      </c>
      <c r="D15" s="45">
        <v>25</v>
      </c>
      <c r="E15" s="45">
        <v>25</v>
      </c>
      <c r="F15" s="45">
        <v>25</v>
      </c>
      <c r="G15" s="45">
        <v>25</v>
      </c>
      <c r="H15" s="45">
        <v>25</v>
      </c>
      <c r="I15" s="45">
        <v>25</v>
      </c>
      <c r="J15" s="45">
        <v>25</v>
      </c>
      <c r="K15" s="45">
        <v>25</v>
      </c>
      <c r="L15" s="45">
        <v>25</v>
      </c>
      <c r="M15" s="45">
        <v>25</v>
      </c>
      <c r="N15" s="45">
        <v>25</v>
      </c>
      <c r="O15" s="45">
        <v>25</v>
      </c>
      <c r="P15" s="45">
        <v>25</v>
      </c>
      <c r="Q15" s="45">
        <v>25</v>
      </c>
      <c r="R15" s="45">
        <v>25</v>
      </c>
      <c r="S15" s="45">
        <v>25</v>
      </c>
      <c r="T15" s="45">
        <v>25</v>
      </c>
      <c r="U15" s="45">
        <v>25</v>
      </c>
      <c r="V15" s="45">
        <v>25</v>
      </c>
      <c r="W15" s="45">
        <v>25</v>
      </c>
      <c r="X15" s="45">
        <v>25</v>
      </c>
      <c r="Y15" s="51">
        <v>25</v>
      </c>
      <c r="Z15" s="51">
        <v>25</v>
      </c>
      <c r="AA15" s="51">
        <v>25</v>
      </c>
      <c r="AB15" s="51">
        <v>25</v>
      </c>
      <c r="AC15" s="51">
        <v>25</v>
      </c>
      <c r="AD15" s="51">
        <v>25</v>
      </c>
      <c r="AE15" s="51">
        <v>25</v>
      </c>
      <c r="AF15" s="51">
        <v>25</v>
      </c>
      <c r="AG15" s="49">
        <v>50</v>
      </c>
      <c r="AH15" s="47">
        <f t="shared" si="2"/>
        <v>25</v>
      </c>
      <c r="AI15" s="48">
        <f t="shared" si="3"/>
        <v>25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15.8</v>
      </c>
      <c r="C16" s="45">
        <v>15.8</v>
      </c>
      <c r="D16" s="45">
        <v>15.8</v>
      </c>
      <c r="E16" s="45">
        <v>15.8</v>
      </c>
      <c r="F16" s="45">
        <v>15.8</v>
      </c>
      <c r="G16" s="45">
        <v>15.8</v>
      </c>
      <c r="H16" s="45">
        <v>15.8</v>
      </c>
      <c r="I16" s="45">
        <v>15.8</v>
      </c>
      <c r="J16" s="45">
        <v>15.8</v>
      </c>
      <c r="K16" s="45">
        <v>15.8</v>
      </c>
      <c r="L16" s="45">
        <v>15.8</v>
      </c>
      <c r="M16" s="45">
        <v>15.8</v>
      </c>
      <c r="N16" s="45">
        <v>15.8</v>
      </c>
      <c r="O16" s="45">
        <v>15.8</v>
      </c>
      <c r="P16" s="45">
        <v>15.8</v>
      </c>
      <c r="Q16" s="45">
        <v>15.8</v>
      </c>
      <c r="R16" s="45">
        <v>15.8</v>
      </c>
      <c r="S16" s="45">
        <v>15.8</v>
      </c>
      <c r="T16" s="45">
        <v>15.8</v>
      </c>
      <c r="U16" s="45">
        <v>15.8</v>
      </c>
      <c r="V16" s="45">
        <v>15.8</v>
      </c>
      <c r="W16" s="45">
        <v>15.8</v>
      </c>
      <c r="X16" s="45">
        <v>15.8</v>
      </c>
      <c r="Y16" s="45">
        <v>15.8</v>
      </c>
      <c r="Z16" s="45">
        <v>15.8</v>
      </c>
      <c r="AA16" s="45">
        <v>15.8</v>
      </c>
      <c r="AB16" s="45">
        <v>15.8</v>
      </c>
      <c r="AC16" s="45">
        <v>15.8</v>
      </c>
      <c r="AD16" s="45">
        <v>15.8</v>
      </c>
      <c r="AE16" s="45">
        <v>15.8</v>
      </c>
      <c r="AF16" s="45">
        <v>15.8</v>
      </c>
      <c r="AG16" s="49">
        <v>45</v>
      </c>
      <c r="AH16" s="47">
        <f t="shared" si="2"/>
        <v>15.8</v>
      </c>
      <c r="AI16" s="48">
        <f t="shared" si="3"/>
        <v>15.8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14</v>
      </c>
      <c r="C17" s="45">
        <v>14</v>
      </c>
      <c r="D17" s="45">
        <v>14</v>
      </c>
      <c r="E17" s="45">
        <v>14</v>
      </c>
      <c r="F17" s="45">
        <v>14</v>
      </c>
      <c r="G17" s="45">
        <v>14</v>
      </c>
      <c r="H17" s="45">
        <v>14</v>
      </c>
      <c r="I17" s="45">
        <v>14</v>
      </c>
      <c r="J17" s="45">
        <v>14</v>
      </c>
      <c r="K17" s="45">
        <v>14</v>
      </c>
      <c r="L17" s="45">
        <v>14</v>
      </c>
      <c r="M17" s="45">
        <v>14</v>
      </c>
      <c r="N17" s="45">
        <v>14</v>
      </c>
      <c r="O17" s="45">
        <v>14</v>
      </c>
      <c r="P17" s="45">
        <v>14</v>
      </c>
      <c r="Q17" s="45">
        <v>14</v>
      </c>
      <c r="R17" s="45">
        <v>14</v>
      </c>
      <c r="S17" s="45">
        <v>14</v>
      </c>
      <c r="T17" s="45">
        <v>14</v>
      </c>
      <c r="U17" s="45">
        <v>14</v>
      </c>
      <c r="V17" s="45">
        <v>14</v>
      </c>
      <c r="W17" s="45">
        <v>14</v>
      </c>
      <c r="X17" s="45">
        <v>14</v>
      </c>
      <c r="Y17" s="45">
        <v>14</v>
      </c>
      <c r="Z17" s="45">
        <v>14</v>
      </c>
      <c r="AA17" s="45">
        <v>14</v>
      </c>
      <c r="AB17" s="45">
        <v>14</v>
      </c>
      <c r="AC17" s="45">
        <v>14</v>
      </c>
      <c r="AD17" s="45">
        <v>14</v>
      </c>
      <c r="AE17" s="45">
        <v>14</v>
      </c>
      <c r="AF17" s="45">
        <v>14</v>
      </c>
      <c r="AG17" s="49">
        <v>44</v>
      </c>
      <c r="AH17" s="47">
        <f>MAX(B17:AG17)</f>
        <v>44</v>
      </c>
      <c r="AI17" s="48">
        <f>MIN(B17:AG17)</f>
        <v>14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7.9</v>
      </c>
      <c r="C18" s="45">
        <v>7.9</v>
      </c>
      <c r="D18" s="45">
        <v>7.9</v>
      </c>
      <c r="E18" s="45">
        <v>7.9</v>
      </c>
      <c r="F18" s="45">
        <v>7.9</v>
      </c>
      <c r="G18" s="45">
        <v>7.9</v>
      </c>
      <c r="H18" s="45">
        <v>7.9</v>
      </c>
      <c r="I18" s="45">
        <v>7.9</v>
      </c>
      <c r="J18" s="45">
        <v>7.9</v>
      </c>
      <c r="K18" s="45">
        <v>7.9</v>
      </c>
      <c r="L18" s="45">
        <v>7.9</v>
      </c>
      <c r="M18" s="45">
        <v>7.9</v>
      </c>
      <c r="N18" s="45">
        <v>7.9</v>
      </c>
      <c r="O18" s="45">
        <v>7.9</v>
      </c>
      <c r="P18" s="45">
        <v>7.9</v>
      </c>
      <c r="Q18" s="45">
        <v>7.9</v>
      </c>
      <c r="R18" s="45">
        <v>7.9</v>
      </c>
      <c r="S18" s="45">
        <v>7.9</v>
      </c>
      <c r="T18" s="45">
        <v>7.9</v>
      </c>
      <c r="U18" s="45">
        <v>7.9</v>
      </c>
      <c r="V18" s="45">
        <v>7.9</v>
      </c>
      <c r="W18" s="45">
        <v>7.9</v>
      </c>
      <c r="X18" s="45">
        <v>7.9</v>
      </c>
      <c r="Y18" s="45">
        <v>7.9</v>
      </c>
      <c r="Z18" s="45">
        <v>7.9</v>
      </c>
      <c r="AA18" s="45">
        <v>7.9</v>
      </c>
      <c r="AB18" s="45">
        <v>7.9</v>
      </c>
      <c r="AC18" s="45">
        <v>7.9</v>
      </c>
      <c r="AD18" s="45">
        <v>7.9</v>
      </c>
      <c r="AE18" s="45">
        <v>7.9</v>
      </c>
      <c r="AF18" s="45">
        <v>7.9</v>
      </c>
      <c r="AG18" s="49">
        <v>42</v>
      </c>
      <c r="AH18" s="47">
        <f t="shared" si="2"/>
        <v>7.9</v>
      </c>
      <c r="AI18" s="48">
        <f t="shared" si="3"/>
        <v>7.9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263</v>
      </c>
      <c r="B19" s="45">
        <v>15</v>
      </c>
      <c r="C19" s="45">
        <v>15</v>
      </c>
      <c r="D19" s="45">
        <v>15</v>
      </c>
      <c r="E19" s="45">
        <v>15</v>
      </c>
      <c r="F19" s="45">
        <v>15</v>
      </c>
      <c r="G19" s="45">
        <v>15</v>
      </c>
      <c r="H19" s="45">
        <v>15</v>
      </c>
      <c r="I19" s="45">
        <v>15</v>
      </c>
      <c r="J19" s="45">
        <v>15</v>
      </c>
      <c r="K19" s="45">
        <v>15</v>
      </c>
      <c r="L19" s="45">
        <v>15</v>
      </c>
      <c r="M19" s="45">
        <v>15</v>
      </c>
      <c r="N19" s="45">
        <v>15</v>
      </c>
      <c r="O19" s="45">
        <v>15</v>
      </c>
      <c r="P19" s="45">
        <v>15</v>
      </c>
      <c r="Q19" s="45">
        <v>15</v>
      </c>
      <c r="R19" s="45">
        <v>15</v>
      </c>
      <c r="S19" s="45">
        <v>15</v>
      </c>
      <c r="T19" s="45">
        <v>15</v>
      </c>
      <c r="U19" s="45">
        <v>15</v>
      </c>
      <c r="V19" s="45">
        <v>15</v>
      </c>
      <c r="W19" s="45">
        <v>15</v>
      </c>
      <c r="X19" s="45">
        <v>15</v>
      </c>
      <c r="Y19" s="45">
        <v>15</v>
      </c>
      <c r="Z19" s="45">
        <v>15</v>
      </c>
      <c r="AA19" s="45">
        <v>15</v>
      </c>
      <c r="AB19" s="45">
        <v>15</v>
      </c>
      <c r="AC19" s="45">
        <v>15</v>
      </c>
      <c r="AD19" s="45">
        <v>15</v>
      </c>
      <c r="AE19" s="45">
        <v>15</v>
      </c>
      <c r="AF19" s="45">
        <v>15</v>
      </c>
      <c r="AG19" s="49">
        <v>38.46</v>
      </c>
      <c r="AH19" s="47">
        <f t="shared" si="2"/>
        <v>15</v>
      </c>
      <c r="AI19" s="48">
        <f t="shared" si="3"/>
        <v>15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10</v>
      </c>
      <c r="C20" s="45">
        <v>10</v>
      </c>
      <c r="D20" s="45">
        <v>10</v>
      </c>
      <c r="E20" s="45">
        <v>10</v>
      </c>
      <c r="F20" s="45">
        <v>10</v>
      </c>
      <c r="G20" s="45">
        <v>10</v>
      </c>
      <c r="H20" s="45">
        <v>10</v>
      </c>
      <c r="I20" s="45">
        <v>10</v>
      </c>
      <c r="J20" s="45">
        <v>10</v>
      </c>
      <c r="K20" s="45">
        <v>10</v>
      </c>
      <c r="L20" s="45">
        <v>10</v>
      </c>
      <c r="M20" s="45">
        <v>10</v>
      </c>
      <c r="N20" s="45">
        <v>10</v>
      </c>
      <c r="O20" s="45">
        <v>10</v>
      </c>
      <c r="P20" s="45">
        <v>10</v>
      </c>
      <c r="Q20" s="45">
        <v>10</v>
      </c>
      <c r="R20" s="45">
        <v>10</v>
      </c>
      <c r="S20" s="45">
        <v>10</v>
      </c>
      <c r="T20" s="45">
        <v>10</v>
      </c>
      <c r="U20" s="45">
        <v>10</v>
      </c>
      <c r="V20" s="45">
        <v>10</v>
      </c>
      <c r="W20" s="45">
        <v>10</v>
      </c>
      <c r="X20" s="45">
        <v>10</v>
      </c>
      <c r="Y20" s="45">
        <v>10</v>
      </c>
      <c r="Z20" s="45">
        <v>10</v>
      </c>
      <c r="AA20" s="45">
        <v>10</v>
      </c>
      <c r="AB20" s="45">
        <v>10</v>
      </c>
      <c r="AC20" s="45">
        <v>10</v>
      </c>
      <c r="AD20" s="45">
        <v>10</v>
      </c>
      <c r="AE20" s="45">
        <v>10</v>
      </c>
      <c r="AF20" s="45">
        <v>10</v>
      </c>
      <c r="AG20" s="49">
        <v>38.46</v>
      </c>
      <c r="AH20" s="47">
        <f t="shared" si="2"/>
        <v>10</v>
      </c>
      <c r="AI20" s="48">
        <f t="shared" si="3"/>
        <v>10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</v>
      </c>
      <c r="C21" s="45">
        <v>13</v>
      </c>
      <c r="D21" s="45">
        <v>13</v>
      </c>
      <c r="E21" s="45">
        <v>13</v>
      </c>
      <c r="F21" s="45">
        <v>13</v>
      </c>
      <c r="G21" s="45">
        <v>13</v>
      </c>
      <c r="H21" s="45">
        <v>13</v>
      </c>
      <c r="I21" s="45">
        <v>13</v>
      </c>
      <c r="J21" s="45">
        <v>13</v>
      </c>
      <c r="K21" s="45">
        <v>13</v>
      </c>
      <c r="L21" s="45">
        <v>13</v>
      </c>
      <c r="M21" s="45">
        <v>13</v>
      </c>
      <c r="N21" s="45">
        <v>13</v>
      </c>
      <c r="O21" s="45">
        <v>13</v>
      </c>
      <c r="P21" s="45">
        <v>13</v>
      </c>
      <c r="Q21" s="45">
        <v>13</v>
      </c>
      <c r="R21" s="45">
        <v>13</v>
      </c>
      <c r="S21" s="45">
        <v>13</v>
      </c>
      <c r="T21" s="45">
        <v>13</v>
      </c>
      <c r="U21" s="45">
        <v>13</v>
      </c>
      <c r="V21" s="45">
        <v>13</v>
      </c>
      <c r="W21" s="45">
        <v>13</v>
      </c>
      <c r="X21" s="45">
        <v>13</v>
      </c>
      <c r="Y21" s="45">
        <v>13</v>
      </c>
      <c r="Z21" s="45">
        <v>13</v>
      </c>
      <c r="AA21" s="45">
        <v>13</v>
      </c>
      <c r="AB21" s="45">
        <v>13</v>
      </c>
      <c r="AC21" s="45">
        <v>13</v>
      </c>
      <c r="AD21" s="45">
        <v>13</v>
      </c>
      <c r="AE21" s="45">
        <v>13</v>
      </c>
      <c r="AF21" s="45">
        <v>13</v>
      </c>
      <c r="AG21" s="49">
        <v>36</v>
      </c>
      <c r="AH21" s="47">
        <f t="shared" si="2"/>
        <v>13</v>
      </c>
      <c r="AI21" s="48">
        <f t="shared" si="3"/>
        <v>13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8.4</v>
      </c>
      <c r="C22" s="45">
        <v>8.4</v>
      </c>
      <c r="D22" s="45">
        <v>8.4</v>
      </c>
      <c r="E22" s="45">
        <v>8.4</v>
      </c>
      <c r="F22" s="45">
        <v>8.4</v>
      </c>
      <c r="G22" s="45">
        <v>8.4</v>
      </c>
      <c r="H22" s="45">
        <v>8.4</v>
      </c>
      <c r="I22" s="45">
        <v>8.4</v>
      </c>
      <c r="J22" s="45">
        <v>8.4</v>
      </c>
      <c r="K22" s="45">
        <v>8.4</v>
      </c>
      <c r="L22" s="45">
        <v>8.4</v>
      </c>
      <c r="M22" s="45">
        <v>8.4</v>
      </c>
      <c r="N22" s="45">
        <v>8.4</v>
      </c>
      <c r="O22" s="45">
        <v>8.4</v>
      </c>
      <c r="P22" s="45">
        <v>8.4</v>
      </c>
      <c r="Q22" s="45">
        <v>8.4</v>
      </c>
      <c r="R22" s="45">
        <v>8.4</v>
      </c>
      <c r="S22" s="45">
        <v>8.4</v>
      </c>
      <c r="T22" s="45">
        <v>8.4</v>
      </c>
      <c r="U22" s="45">
        <v>8.4</v>
      </c>
      <c r="V22" s="45">
        <v>8.4</v>
      </c>
      <c r="W22" s="45">
        <v>8.4</v>
      </c>
      <c r="X22" s="45">
        <v>8.4</v>
      </c>
      <c r="Y22" s="45">
        <v>8.4</v>
      </c>
      <c r="Z22" s="45">
        <v>8.4</v>
      </c>
      <c r="AA22" s="45">
        <v>8.4</v>
      </c>
      <c r="AB22" s="45">
        <v>8.4</v>
      </c>
      <c r="AC22" s="45">
        <v>8.4</v>
      </c>
      <c r="AD22" s="45">
        <v>8.4</v>
      </c>
      <c r="AE22" s="45">
        <v>8.4</v>
      </c>
      <c r="AF22" s="45">
        <v>8.4</v>
      </c>
      <c r="AG22" s="52">
        <v>30</v>
      </c>
      <c r="AH22" s="47">
        <f t="shared" si="2"/>
        <v>8.4</v>
      </c>
      <c r="AI22" s="48">
        <f t="shared" si="3"/>
        <v>8.4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9</v>
      </c>
      <c r="C23" s="45">
        <v>9</v>
      </c>
      <c r="D23" s="45">
        <v>9</v>
      </c>
      <c r="E23" s="45">
        <v>9</v>
      </c>
      <c r="F23" s="45">
        <v>9</v>
      </c>
      <c r="G23" s="45">
        <v>9</v>
      </c>
      <c r="H23" s="45">
        <v>9</v>
      </c>
      <c r="I23" s="45">
        <v>9</v>
      </c>
      <c r="J23" s="45">
        <v>9</v>
      </c>
      <c r="K23" s="45">
        <v>9</v>
      </c>
      <c r="L23" s="45">
        <v>9</v>
      </c>
      <c r="M23" s="45">
        <v>9</v>
      </c>
      <c r="N23" s="45">
        <v>9</v>
      </c>
      <c r="O23" s="45">
        <v>9</v>
      </c>
      <c r="P23" s="45">
        <v>9</v>
      </c>
      <c r="Q23" s="45">
        <v>9</v>
      </c>
      <c r="R23" s="45">
        <v>9</v>
      </c>
      <c r="S23" s="45">
        <v>9</v>
      </c>
      <c r="T23" s="45">
        <v>9</v>
      </c>
      <c r="U23" s="45">
        <v>9</v>
      </c>
      <c r="V23" s="45">
        <v>9</v>
      </c>
      <c r="W23" s="45">
        <v>9</v>
      </c>
      <c r="X23" s="45">
        <v>9</v>
      </c>
      <c r="Y23" s="45">
        <v>9</v>
      </c>
      <c r="Z23" s="45">
        <v>9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9</v>
      </c>
      <c r="AG23" s="49">
        <v>24.2</v>
      </c>
      <c r="AH23" s="47">
        <f t="shared" si="2"/>
        <v>9</v>
      </c>
      <c r="AI23" s="48">
        <f t="shared" si="3"/>
        <v>9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9.4</v>
      </c>
      <c r="C24" s="45">
        <v>9.4</v>
      </c>
      <c r="D24" s="45">
        <v>9.4</v>
      </c>
      <c r="E24" s="45">
        <v>9.4</v>
      </c>
      <c r="F24" s="45">
        <v>9.4</v>
      </c>
      <c r="G24" s="45">
        <v>9.4</v>
      </c>
      <c r="H24" s="45">
        <v>9.4</v>
      </c>
      <c r="I24" s="45">
        <v>9.4</v>
      </c>
      <c r="J24" s="45">
        <v>9.4</v>
      </c>
      <c r="K24" s="45">
        <v>9.4</v>
      </c>
      <c r="L24" s="45">
        <v>9.4</v>
      </c>
      <c r="M24" s="45">
        <v>9.4</v>
      </c>
      <c r="N24" s="45">
        <v>9.4</v>
      </c>
      <c r="O24" s="45">
        <v>9.4</v>
      </c>
      <c r="P24" s="45">
        <v>9.4</v>
      </c>
      <c r="Q24" s="45">
        <v>9.4</v>
      </c>
      <c r="R24" s="45">
        <v>9.4</v>
      </c>
      <c r="S24" s="45">
        <v>9.4</v>
      </c>
      <c r="T24" s="45">
        <v>9.4</v>
      </c>
      <c r="U24" s="45">
        <v>9.4</v>
      </c>
      <c r="V24" s="45">
        <v>9.4</v>
      </c>
      <c r="W24" s="45">
        <v>9.4</v>
      </c>
      <c r="X24" s="45">
        <v>9.4</v>
      </c>
      <c r="Y24" s="45">
        <v>9.4</v>
      </c>
      <c r="Z24" s="45">
        <v>9.4</v>
      </c>
      <c r="AA24" s="45">
        <v>9.4</v>
      </c>
      <c r="AB24" s="45">
        <v>9.4</v>
      </c>
      <c r="AC24" s="45">
        <v>9.4</v>
      </c>
      <c r="AD24" s="45">
        <v>9.4</v>
      </c>
      <c r="AE24" s="45">
        <v>9.4</v>
      </c>
      <c r="AF24" s="45">
        <v>9.4</v>
      </c>
      <c r="AG24" s="49">
        <v>28</v>
      </c>
      <c r="AH24" s="47">
        <f t="shared" si="2"/>
        <v>9.4</v>
      </c>
      <c r="AI24" s="48">
        <f t="shared" si="3"/>
        <v>9.4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7.3</v>
      </c>
      <c r="C25" s="45">
        <v>7.3</v>
      </c>
      <c r="D25" s="45">
        <v>7.3</v>
      </c>
      <c r="E25" s="45">
        <v>7.3</v>
      </c>
      <c r="F25" s="45">
        <v>7.3</v>
      </c>
      <c r="G25" s="45">
        <v>7.3</v>
      </c>
      <c r="H25" s="45">
        <v>7.3</v>
      </c>
      <c r="I25" s="45">
        <v>7.3</v>
      </c>
      <c r="J25" s="45">
        <v>7.3</v>
      </c>
      <c r="K25" s="45">
        <v>7.3</v>
      </c>
      <c r="L25" s="45">
        <v>7.3</v>
      </c>
      <c r="M25" s="45">
        <v>7.3</v>
      </c>
      <c r="N25" s="45">
        <v>7.3</v>
      </c>
      <c r="O25" s="45">
        <v>7.3</v>
      </c>
      <c r="P25" s="45">
        <v>7.3</v>
      </c>
      <c r="Q25" s="45">
        <v>7.3</v>
      </c>
      <c r="R25" s="45">
        <v>7.3</v>
      </c>
      <c r="S25" s="45">
        <v>7.3</v>
      </c>
      <c r="T25" s="45">
        <v>7.3</v>
      </c>
      <c r="U25" s="45">
        <v>7.3</v>
      </c>
      <c r="V25" s="45">
        <v>7.3</v>
      </c>
      <c r="W25" s="45">
        <v>7.3</v>
      </c>
      <c r="X25" s="45">
        <v>7.3</v>
      </c>
      <c r="Y25" s="45">
        <v>7.3</v>
      </c>
      <c r="Z25" s="45">
        <v>7.3</v>
      </c>
      <c r="AA25" s="45">
        <v>7.3</v>
      </c>
      <c r="AB25" s="45">
        <v>7.3</v>
      </c>
      <c r="AC25" s="45">
        <v>7.3</v>
      </c>
      <c r="AD25" s="45">
        <v>7.3</v>
      </c>
      <c r="AE25" s="45">
        <v>7.3</v>
      </c>
      <c r="AF25" s="45">
        <v>7.3</v>
      </c>
      <c r="AG25" s="52">
        <v>30</v>
      </c>
      <c r="AH25" s="47">
        <f t="shared" si="2"/>
        <v>7.3</v>
      </c>
      <c r="AI25" s="48">
        <f t="shared" si="3"/>
        <v>7.3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8.5</v>
      </c>
      <c r="C26" s="45">
        <v>8.5</v>
      </c>
      <c r="D26" s="45">
        <v>8.5</v>
      </c>
      <c r="E26" s="45">
        <v>8.5</v>
      </c>
      <c r="F26" s="45">
        <v>8.5</v>
      </c>
      <c r="G26" s="45">
        <v>8.5</v>
      </c>
      <c r="H26" s="45">
        <v>8.5</v>
      </c>
      <c r="I26" s="45">
        <v>8.5</v>
      </c>
      <c r="J26" s="45">
        <v>8.5</v>
      </c>
      <c r="K26" s="45">
        <v>8.5</v>
      </c>
      <c r="L26" s="45">
        <v>8.5</v>
      </c>
      <c r="M26" s="45">
        <v>8.5</v>
      </c>
      <c r="N26" s="45">
        <v>8.5</v>
      </c>
      <c r="O26" s="45">
        <v>8.5</v>
      </c>
      <c r="P26" s="45">
        <v>8.5</v>
      </c>
      <c r="Q26" s="45">
        <v>8.5</v>
      </c>
      <c r="R26" s="45">
        <v>8.5</v>
      </c>
      <c r="S26" s="45">
        <v>8.5</v>
      </c>
      <c r="T26" s="45">
        <v>8.5</v>
      </c>
      <c r="U26" s="45">
        <v>8.5</v>
      </c>
      <c r="V26" s="45">
        <v>8.5</v>
      </c>
      <c r="W26" s="45">
        <v>8.5</v>
      </c>
      <c r="X26" s="45">
        <v>8.5</v>
      </c>
      <c r="Y26" s="45">
        <v>8.5</v>
      </c>
      <c r="Z26" s="45">
        <v>8.5</v>
      </c>
      <c r="AA26" s="45">
        <v>8.5</v>
      </c>
      <c r="AB26" s="45">
        <v>8.5</v>
      </c>
      <c r="AC26" s="45">
        <v>8.5</v>
      </c>
      <c r="AD26" s="45">
        <v>8.5</v>
      </c>
      <c r="AE26" s="45">
        <v>8.5</v>
      </c>
      <c r="AF26" s="45">
        <v>8.5</v>
      </c>
      <c r="AG26" s="49">
        <v>25</v>
      </c>
      <c r="AH26" s="47">
        <f t="shared" si="2"/>
        <v>8.5</v>
      </c>
      <c r="AI26" s="48">
        <f t="shared" si="3"/>
        <v>8.5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5</v>
      </c>
      <c r="C27" s="45">
        <v>5</v>
      </c>
      <c r="D27" s="45">
        <v>5</v>
      </c>
      <c r="E27" s="45">
        <v>5</v>
      </c>
      <c r="F27" s="45">
        <v>5</v>
      </c>
      <c r="G27" s="45">
        <v>5</v>
      </c>
      <c r="H27" s="45">
        <v>5</v>
      </c>
      <c r="I27" s="45">
        <v>5</v>
      </c>
      <c r="J27" s="45">
        <v>5</v>
      </c>
      <c r="K27" s="45">
        <v>5</v>
      </c>
      <c r="L27" s="45">
        <v>5</v>
      </c>
      <c r="M27" s="45">
        <v>5</v>
      </c>
      <c r="N27" s="45">
        <v>5</v>
      </c>
      <c r="O27" s="45">
        <v>5</v>
      </c>
      <c r="P27" s="45">
        <v>5</v>
      </c>
      <c r="Q27" s="45">
        <v>5</v>
      </c>
      <c r="R27" s="45">
        <v>5</v>
      </c>
      <c r="S27" s="45">
        <v>5</v>
      </c>
      <c r="T27" s="45">
        <v>5</v>
      </c>
      <c r="U27" s="45">
        <v>5</v>
      </c>
      <c r="V27" s="45">
        <v>5</v>
      </c>
      <c r="W27" s="45">
        <v>5</v>
      </c>
      <c r="X27" s="45">
        <v>5</v>
      </c>
      <c r="Y27" s="45">
        <v>5</v>
      </c>
      <c r="Z27" s="45">
        <v>5</v>
      </c>
      <c r="AA27" s="45">
        <v>5</v>
      </c>
      <c r="AB27" s="45">
        <v>5</v>
      </c>
      <c r="AC27" s="45">
        <v>5</v>
      </c>
      <c r="AD27" s="45">
        <v>5</v>
      </c>
      <c r="AE27" s="45">
        <v>5</v>
      </c>
      <c r="AF27" s="45">
        <v>5</v>
      </c>
      <c r="AG27" s="49">
        <v>25</v>
      </c>
      <c r="AH27" s="47">
        <f t="shared" si="2"/>
        <v>5</v>
      </c>
      <c r="AI27" s="48">
        <f t="shared" si="3"/>
        <v>5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6</v>
      </c>
      <c r="C28" s="45">
        <v>6</v>
      </c>
      <c r="D28" s="45">
        <v>6</v>
      </c>
      <c r="E28" s="45">
        <v>6</v>
      </c>
      <c r="F28" s="45">
        <v>6</v>
      </c>
      <c r="G28" s="45">
        <v>6</v>
      </c>
      <c r="H28" s="45">
        <v>6</v>
      </c>
      <c r="I28" s="45">
        <v>6</v>
      </c>
      <c r="J28" s="45">
        <v>6</v>
      </c>
      <c r="K28" s="45">
        <v>6</v>
      </c>
      <c r="L28" s="45">
        <v>6</v>
      </c>
      <c r="M28" s="45">
        <v>6</v>
      </c>
      <c r="N28" s="45">
        <v>6</v>
      </c>
      <c r="O28" s="45">
        <v>6</v>
      </c>
      <c r="P28" s="45">
        <v>6</v>
      </c>
      <c r="Q28" s="45">
        <v>6</v>
      </c>
      <c r="R28" s="45">
        <v>6</v>
      </c>
      <c r="S28" s="45">
        <v>6</v>
      </c>
      <c r="T28" s="45">
        <v>6</v>
      </c>
      <c r="U28" s="45">
        <v>6</v>
      </c>
      <c r="V28" s="45">
        <v>6</v>
      </c>
      <c r="W28" s="45">
        <v>6</v>
      </c>
      <c r="X28" s="45">
        <v>6</v>
      </c>
      <c r="Y28" s="45">
        <v>6</v>
      </c>
      <c r="Z28" s="45">
        <v>6</v>
      </c>
      <c r="AA28" s="45">
        <v>6</v>
      </c>
      <c r="AB28" s="45">
        <v>6</v>
      </c>
      <c r="AC28" s="45">
        <v>6</v>
      </c>
      <c r="AD28" s="45">
        <v>6</v>
      </c>
      <c r="AE28" s="45">
        <v>6</v>
      </c>
      <c r="AF28" s="45">
        <v>6</v>
      </c>
      <c r="AG28" s="49">
        <v>25</v>
      </c>
      <c r="AH28" s="47">
        <f t="shared" si="2"/>
        <v>6</v>
      </c>
      <c r="AI28" s="48">
        <f t="shared" si="3"/>
        <v>6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8.1999999999999993</v>
      </c>
      <c r="C29" s="45">
        <v>8.1999999999999993</v>
      </c>
      <c r="D29" s="45">
        <v>8.1999999999999993</v>
      </c>
      <c r="E29" s="45">
        <v>8.1999999999999993</v>
      </c>
      <c r="F29" s="45">
        <v>8.1999999999999993</v>
      </c>
      <c r="G29" s="45">
        <v>8.1999999999999993</v>
      </c>
      <c r="H29" s="45">
        <v>8.1999999999999993</v>
      </c>
      <c r="I29" s="45">
        <v>8.1999999999999993</v>
      </c>
      <c r="J29" s="45">
        <v>8.1999999999999993</v>
      </c>
      <c r="K29" s="45">
        <v>8.1999999999999993</v>
      </c>
      <c r="L29" s="45">
        <v>8.1999999999999993</v>
      </c>
      <c r="M29" s="45">
        <v>8.1999999999999993</v>
      </c>
      <c r="N29" s="45">
        <v>8.1999999999999993</v>
      </c>
      <c r="O29" s="45">
        <v>8.1999999999999993</v>
      </c>
      <c r="P29" s="45">
        <v>8.1999999999999993</v>
      </c>
      <c r="Q29" s="45">
        <v>8.1999999999999993</v>
      </c>
      <c r="R29" s="45">
        <v>8.1999999999999993</v>
      </c>
      <c r="S29" s="45">
        <v>8.1999999999999993</v>
      </c>
      <c r="T29" s="45">
        <v>8.1999999999999993</v>
      </c>
      <c r="U29" s="45">
        <v>8.1999999999999993</v>
      </c>
      <c r="V29" s="45">
        <v>8.1999999999999993</v>
      </c>
      <c r="W29" s="45">
        <v>8.1999999999999993</v>
      </c>
      <c r="X29" s="45">
        <v>8.1999999999999993</v>
      </c>
      <c r="Y29" s="45">
        <v>8.1999999999999993</v>
      </c>
      <c r="Z29" s="45">
        <v>8.1999999999999993</v>
      </c>
      <c r="AA29" s="45">
        <v>8.1999999999999993</v>
      </c>
      <c r="AB29" s="45">
        <v>8.1999999999999993</v>
      </c>
      <c r="AC29" s="45">
        <v>8.1999999999999993</v>
      </c>
      <c r="AD29" s="45">
        <v>8.1999999999999993</v>
      </c>
      <c r="AE29" s="45">
        <v>8.1999999999999993</v>
      </c>
      <c r="AF29" s="45">
        <v>8.1999999999999993</v>
      </c>
      <c r="AG29" s="49">
        <v>25</v>
      </c>
      <c r="AH29" s="47">
        <f t="shared" si="2"/>
        <v>8.1999999999999993</v>
      </c>
      <c r="AI29" s="48">
        <f t="shared" si="3"/>
        <v>8.1999999999999993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6.5</v>
      </c>
      <c r="C30" s="45">
        <v>6.5</v>
      </c>
      <c r="D30" s="45">
        <v>6.5</v>
      </c>
      <c r="E30" s="45">
        <v>6.5</v>
      </c>
      <c r="F30" s="45">
        <v>6.5</v>
      </c>
      <c r="G30" s="45">
        <v>6.5</v>
      </c>
      <c r="H30" s="45">
        <v>6.5</v>
      </c>
      <c r="I30" s="45">
        <v>6.5</v>
      </c>
      <c r="J30" s="45">
        <v>6.5</v>
      </c>
      <c r="K30" s="45">
        <v>6.5</v>
      </c>
      <c r="L30" s="45">
        <v>6.5</v>
      </c>
      <c r="M30" s="45">
        <v>6.5</v>
      </c>
      <c r="N30" s="45">
        <v>6.5</v>
      </c>
      <c r="O30" s="45">
        <v>6.5</v>
      </c>
      <c r="P30" s="45">
        <v>6.5</v>
      </c>
      <c r="Q30" s="45">
        <v>6.5</v>
      </c>
      <c r="R30" s="45">
        <v>6.5</v>
      </c>
      <c r="S30" s="45">
        <v>6.5</v>
      </c>
      <c r="T30" s="45">
        <v>6.5</v>
      </c>
      <c r="U30" s="45">
        <v>6.5</v>
      </c>
      <c r="V30" s="45">
        <v>6.5</v>
      </c>
      <c r="W30" s="45">
        <v>6.5</v>
      </c>
      <c r="X30" s="45">
        <v>6.5</v>
      </c>
      <c r="Y30" s="45">
        <v>6.5</v>
      </c>
      <c r="Z30" s="45">
        <v>6.5</v>
      </c>
      <c r="AA30" s="45">
        <v>6.5</v>
      </c>
      <c r="AB30" s="45">
        <v>6.5</v>
      </c>
      <c r="AC30" s="45">
        <v>6.5</v>
      </c>
      <c r="AD30" s="45">
        <v>6.5</v>
      </c>
      <c r="AE30" s="45">
        <v>6.5</v>
      </c>
      <c r="AF30" s="45">
        <v>6.5</v>
      </c>
      <c r="AG30" s="49">
        <v>23.5</v>
      </c>
      <c r="AH30" s="47">
        <f t="shared" si="2"/>
        <v>6.5</v>
      </c>
      <c r="AI30" s="48">
        <f t="shared" si="3"/>
        <v>6.5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4.5</v>
      </c>
      <c r="C31" s="45">
        <v>4.5</v>
      </c>
      <c r="D31" s="45">
        <v>4.5</v>
      </c>
      <c r="E31" s="45">
        <v>4.5</v>
      </c>
      <c r="F31" s="45">
        <v>4.5</v>
      </c>
      <c r="G31" s="45">
        <v>4.5</v>
      </c>
      <c r="H31" s="45">
        <v>4.5</v>
      </c>
      <c r="I31" s="45">
        <v>4.5</v>
      </c>
      <c r="J31" s="45">
        <v>4.5</v>
      </c>
      <c r="K31" s="45">
        <v>4.5</v>
      </c>
      <c r="L31" s="45">
        <v>4.5</v>
      </c>
      <c r="M31" s="45">
        <v>4.5</v>
      </c>
      <c r="N31" s="45">
        <v>4.5</v>
      </c>
      <c r="O31" s="45">
        <v>4.5</v>
      </c>
      <c r="P31" s="45">
        <v>4.5</v>
      </c>
      <c r="Q31" s="45">
        <v>4.5</v>
      </c>
      <c r="R31" s="45">
        <v>4.5</v>
      </c>
      <c r="S31" s="45">
        <v>4.5</v>
      </c>
      <c r="T31" s="45">
        <v>4.5</v>
      </c>
      <c r="U31" s="45">
        <v>4.5</v>
      </c>
      <c r="V31" s="45">
        <v>4.5</v>
      </c>
      <c r="W31" s="45">
        <v>4.5</v>
      </c>
      <c r="X31" s="45">
        <v>4.5</v>
      </c>
      <c r="Y31" s="45">
        <v>4.5</v>
      </c>
      <c r="Z31" s="45">
        <v>4.5</v>
      </c>
      <c r="AA31" s="45">
        <v>4.5</v>
      </c>
      <c r="AB31" s="45">
        <v>4.5</v>
      </c>
      <c r="AC31" s="45">
        <v>4.5</v>
      </c>
      <c r="AD31" s="45">
        <v>4.5</v>
      </c>
      <c r="AE31" s="45">
        <v>4.5</v>
      </c>
      <c r="AF31" s="45">
        <v>4.5</v>
      </c>
      <c r="AG31" s="49">
        <v>22.2</v>
      </c>
      <c r="AH31" s="47">
        <f t="shared" si="2"/>
        <v>4.5</v>
      </c>
      <c r="AI31" s="48">
        <f t="shared" si="3"/>
        <v>4.5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>
        <v>5.5</v>
      </c>
      <c r="N32" s="45">
        <v>5.5</v>
      </c>
      <c r="O32" s="45">
        <v>5.5</v>
      </c>
      <c r="P32" s="45">
        <v>5.5</v>
      </c>
      <c r="Q32" s="45">
        <v>5.5</v>
      </c>
      <c r="R32" s="45">
        <v>5.5</v>
      </c>
      <c r="S32" s="45">
        <v>5.5</v>
      </c>
      <c r="T32" s="45">
        <v>5.5</v>
      </c>
      <c r="U32" s="45">
        <v>5.5</v>
      </c>
      <c r="V32" s="45">
        <v>5.5</v>
      </c>
      <c r="W32" s="45">
        <v>5.5</v>
      </c>
      <c r="X32" s="45">
        <v>5.5</v>
      </c>
      <c r="Y32" s="45">
        <v>5.5</v>
      </c>
      <c r="Z32" s="45">
        <v>5.5</v>
      </c>
      <c r="AA32" s="45">
        <v>5.5</v>
      </c>
      <c r="AB32" s="45">
        <v>5.5</v>
      </c>
      <c r="AC32" s="45">
        <v>5.5</v>
      </c>
      <c r="AD32" s="45">
        <v>5.5</v>
      </c>
      <c r="AE32" s="45">
        <v>5.5</v>
      </c>
      <c r="AF32" s="45">
        <v>5.5</v>
      </c>
      <c r="AG32" s="49">
        <v>22.1</v>
      </c>
      <c r="AH32" s="47">
        <f t="shared" si="2"/>
        <v>5.5</v>
      </c>
      <c r="AI32" s="48">
        <f t="shared" si="3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22</v>
      </c>
      <c r="AH33" s="47">
        <f t="shared" si="2"/>
        <v>6</v>
      </c>
      <c r="AI33" s="48">
        <f t="shared" si="3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8.1</v>
      </c>
      <c r="C34" s="45">
        <v>8.1</v>
      </c>
      <c r="D34" s="45">
        <v>8.1</v>
      </c>
      <c r="E34" s="45">
        <v>8.1</v>
      </c>
      <c r="F34" s="45">
        <v>8.1</v>
      </c>
      <c r="G34" s="45">
        <v>8.1</v>
      </c>
      <c r="H34" s="45">
        <v>8.1</v>
      </c>
      <c r="I34" s="45">
        <v>8.1</v>
      </c>
      <c r="J34" s="45">
        <v>8.1</v>
      </c>
      <c r="K34" s="45">
        <v>8.1</v>
      </c>
      <c r="L34" s="45">
        <v>8.1</v>
      </c>
      <c r="M34" s="45">
        <v>8.1</v>
      </c>
      <c r="N34" s="45">
        <v>8.1</v>
      </c>
      <c r="O34" s="45">
        <v>8.1</v>
      </c>
      <c r="P34" s="45">
        <v>8.1</v>
      </c>
      <c r="Q34" s="45">
        <v>8.1</v>
      </c>
      <c r="R34" s="45">
        <v>8.1</v>
      </c>
      <c r="S34" s="45">
        <v>8.1</v>
      </c>
      <c r="T34" s="45">
        <v>8.1</v>
      </c>
      <c r="U34" s="45">
        <v>8.1</v>
      </c>
      <c r="V34" s="45">
        <v>8.1</v>
      </c>
      <c r="W34" s="45">
        <v>8.1</v>
      </c>
      <c r="X34" s="45">
        <v>8.1</v>
      </c>
      <c r="Y34" s="45">
        <v>8.1</v>
      </c>
      <c r="Z34" s="45">
        <v>8.1</v>
      </c>
      <c r="AA34" s="45">
        <v>8.1</v>
      </c>
      <c r="AB34" s="45">
        <v>8.1</v>
      </c>
      <c r="AC34" s="45">
        <v>8.1</v>
      </c>
      <c r="AD34" s="45">
        <v>8.1</v>
      </c>
      <c r="AE34" s="45">
        <v>8.1</v>
      </c>
      <c r="AF34" s="45">
        <v>8.1</v>
      </c>
      <c r="AG34" s="49">
        <v>22</v>
      </c>
      <c r="AH34" s="47">
        <f t="shared" si="2"/>
        <v>8.1</v>
      </c>
      <c r="AI34" s="48">
        <f t="shared" si="3"/>
        <v>8.1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6.5</v>
      </c>
      <c r="C35" s="45">
        <v>6.5</v>
      </c>
      <c r="D35" s="45">
        <v>6.5</v>
      </c>
      <c r="E35" s="45">
        <v>6.5</v>
      </c>
      <c r="F35" s="45">
        <v>6.5</v>
      </c>
      <c r="G35" s="45">
        <v>6.5</v>
      </c>
      <c r="H35" s="45">
        <v>6.5</v>
      </c>
      <c r="I35" s="45">
        <v>6.5</v>
      </c>
      <c r="J35" s="45">
        <v>6.5</v>
      </c>
      <c r="K35" s="45">
        <v>6.5</v>
      </c>
      <c r="L35" s="45">
        <v>6.5</v>
      </c>
      <c r="M35" s="45">
        <v>6.5</v>
      </c>
      <c r="N35" s="45">
        <v>6.5</v>
      </c>
      <c r="O35" s="45">
        <v>6.5</v>
      </c>
      <c r="P35" s="45">
        <v>6.5</v>
      </c>
      <c r="Q35" s="45">
        <v>6.5</v>
      </c>
      <c r="R35" s="45">
        <v>6.5</v>
      </c>
      <c r="S35" s="45">
        <v>6.5</v>
      </c>
      <c r="T35" s="45">
        <v>6.5</v>
      </c>
      <c r="U35" s="45">
        <v>6.5</v>
      </c>
      <c r="V35" s="45">
        <v>6.5</v>
      </c>
      <c r="W35" s="45">
        <v>6.5</v>
      </c>
      <c r="X35" s="45">
        <v>6.5</v>
      </c>
      <c r="Y35" s="45">
        <v>6.5</v>
      </c>
      <c r="Z35" s="45">
        <v>6.5</v>
      </c>
      <c r="AA35" s="45">
        <v>6.5</v>
      </c>
      <c r="AB35" s="45">
        <v>6.5</v>
      </c>
      <c r="AC35" s="45">
        <v>6.5</v>
      </c>
      <c r="AD35" s="45">
        <v>6.5</v>
      </c>
      <c r="AE35" s="45">
        <v>6.5</v>
      </c>
      <c r="AF35" s="45">
        <v>6.5</v>
      </c>
      <c r="AG35" s="49">
        <v>20</v>
      </c>
      <c r="AH35" s="47">
        <f t="shared" si="2"/>
        <v>6.5</v>
      </c>
      <c r="AI35" s="48">
        <f t="shared" si="3"/>
        <v>6.5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264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2"/>
        <v>4</v>
      </c>
      <c r="AI36" s="48">
        <f t="shared" si="3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5.5</v>
      </c>
      <c r="C37" s="45">
        <v>5.5</v>
      </c>
      <c r="D37" s="45">
        <v>5.5</v>
      </c>
      <c r="E37" s="45">
        <v>5.5</v>
      </c>
      <c r="F37" s="45">
        <v>5.5</v>
      </c>
      <c r="G37" s="45">
        <v>5.5</v>
      </c>
      <c r="H37" s="45">
        <v>5.5</v>
      </c>
      <c r="I37" s="45">
        <v>5.5</v>
      </c>
      <c r="J37" s="45">
        <v>5.5</v>
      </c>
      <c r="K37" s="45">
        <v>5.5</v>
      </c>
      <c r="L37" s="45">
        <v>5.5</v>
      </c>
      <c r="M37" s="45">
        <v>5.5</v>
      </c>
      <c r="N37" s="45">
        <v>5.5</v>
      </c>
      <c r="O37" s="45">
        <v>5.5</v>
      </c>
      <c r="P37" s="45">
        <v>5.5</v>
      </c>
      <c r="Q37" s="45">
        <v>5.5</v>
      </c>
      <c r="R37" s="45">
        <v>5.5</v>
      </c>
      <c r="S37" s="45">
        <v>5.5</v>
      </c>
      <c r="T37" s="45">
        <v>5.5</v>
      </c>
      <c r="U37" s="45">
        <v>5.5</v>
      </c>
      <c r="V37" s="45">
        <v>5.5</v>
      </c>
      <c r="W37" s="45">
        <v>5.5</v>
      </c>
      <c r="X37" s="45">
        <v>5.5</v>
      </c>
      <c r="Y37" s="45">
        <v>5.5</v>
      </c>
      <c r="Z37" s="45">
        <v>5.5</v>
      </c>
      <c r="AA37" s="45">
        <v>5.5</v>
      </c>
      <c r="AB37" s="45">
        <v>5.5</v>
      </c>
      <c r="AC37" s="45">
        <v>5.5</v>
      </c>
      <c r="AD37" s="45">
        <v>5.5</v>
      </c>
      <c r="AE37" s="45">
        <v>5.5</v>
      </c>
      <c r="AF37" s="45">
        <v>5.5</v>
      </c>
      <c r="AG37" s="49">
        <v>18</v>
      </c>
      <c r="AH37" s="47">
        <f t="shared" si="2"/>
        <v>5.5</v>
      </c>
      <c r="AI37" s="48">
        <f t="shared" si="3"/>
        <v>5.5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>
        <v>7.2</v>
      </c>
      <c r="N38" s="45">
        <v>7.2</v>
      </c>
      <c r="O38" s="45">
        <v>7.2</v>
      </c>
      <c r="P38" s="45">
        <v>7.2</v>
      </c>
      <c r="Q38" s="45">
        <v>7.2</v>
      </c>
      <c r="R38" s="45">
        <v>7.2</v>
      </c>
      <c r="S38" s="45">
        <v>7.2</v>
      </c>
      <c r="T38" s="45">
        <v>7.2</v>
      </c>
      <c r="U38" s="45">
        <v>7.2</v>
      </c>
      <c r="V38" s="45">
        <v>7.2</v>
      </c>
      <c r="W38" s="45">
        <v>7.2</v>
      </c>
      <c r="X38" s="45">
        <v>7.2</v>
      </c>
      <c r="Y38" s="45">
        <v>7.2</v>
      </c>
      <c r="Z38" s="45">
        <v>7.2</v>
      </c>
      <c r="AA38" s="45">
        <v>7.2</v>
      </c>
      <c r="AB38" s="45">
        <v>7.2</v>
      </c>
      <c r="AC38" s="45">
        <v>7.2</v>
      </c>
      <c r="AD38" s="45">
        <v>7.2</v>
      </c>
      <c r="AE38" s="45">
        <v>7.2</v>
      </c>
      <c r="AF38" s="45">
        <v>7.2</v>
      </c>
      <c r="AG38" s="49">
        <v>14.9</v>
      </c>
      <c r="AH38" s="47">
        <f t="shared" si="2"/>
        <v>7.2</v>
      </c>
      <c r="AI38" s="48">
        <f t="shared" si="3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265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2"/>
        <v>5</v>
      </c>
      <c r="AI40" s="48">
        <f t="shared" si="3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266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>
        <v>4</v>
      </c>
      <c r="N41" s="45">
        <v>4</v>
      </c>
      <c r="O41" s="45">
        <v>4</v>
      </c>
      <c r="P41" s="45">
        <v>4</v>
      </c>
      <c r="Q41" s="45">
        <v>4</v>
      </c>
      <c r="R41" s="45">
        <v>4</v>
      </c>
      <c r="S41" s="45">
        <v>4</v>
      </c>
      <c r="T41" s="45">
        <v>4</v>
      </c>
      <c r="U41" s="45">
        <v>4</v>
      </c>
      <c r="V41" s="45">
        <v>4</v>
      </c>
      <c r="W41" s="45">
        <v>4</v>
      </c>
      <c r="X41" s="45">
        <v>4</v>
      </c>
      <c r="Y41" s="45">
        <v>4</v>
      </c>
      <c r="Z41" s="45">
        <v>4</v>
      </c>
      <c r="AA41" s="45">
        <v>4</v>
      </c>
      <c r="AB41" s="45">
        <v>4</v>
      </c>
      <c r="AC41" s="45">
        <v>4</v>
      </c>
      <c r="AD41" s="45">
        <v>4</v>
      </c>
      <c r="AE41" s="45">
        <v>4</v>
      </c>
      <c r="AF41" s="45">
        <v>4</v>
      </c>
      <c r="AG41" s="49">
        <v>14.9</v>
      </c>
      <c r="AH41" s="47">
        <f t="shared" si="2"/>
        <v>4</v>
      </c>
      <c r="AI41" s="48">
        <f t="shared" si="3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2"/>
        <v>1.8</v>
      </c>
      <c r="AI42" s="48">
        <f t="shared" si="3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2"/>
        <v>3.8</v>
      </c>
      <c r="AI43" s="48">
        <f t="shared" si="3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4</v>
      </c>
      <c r="C44" s="45">
        <v>4</v>
      </c>
      <c r="D44" s="45">
        <v>4</v>
      </c>
      <c r="E44" s="45">
        <v>4</v>
      </c>
      <c r="F44" s="45">
        <v>4</v>
      </c>
      <c r="G44" s="45">
        <v>4</v>
      </c>
      <c r="H44" s="45">
        <v>4</v>
      </c>
      <c r="I44" s="45">
        <v>4</v>
      </c>
      <c r="J44" s="45">
        <v>4</v>
      </c>
      <c r="K44" s="45">
        <v>4</v>
      </c>
      <c r="L44" s="45">
        <v>4</v>
      </c>
      <c r="M44" s="45">
        <v>4</v>
      </c>
      <c r="N44" s="45">
        <v>4</v>
      </c>
      <c r="O44" s="45">
        <v>4</v>
      </c>
      <c r="P44" s="45">
        <v>4</v>
      </c>
      <c r="Q44" s="45">
        <v>4</v>
      </c>
      <c r="R44" s="45">
        <v>4</v>
      </c>
      <c r="S44" s="45">
        <v>4</v>
      </c>
      <c r="T44" s="45">
        <v>4</v>
      </c>
      <c r="U44" s="45">
        <v>4</v>
      </c>
      <c r="V44" s="45">
        <v>4</v>
      </c>
      <c r="W44" s="45">
        <v>4</v>
      </c>
      <c r="X44" s="45">
        <v>4</v>
      </c>
      <c r="Y44" s="45">
        <v>4</v>
      </c>
      <c r="Z44" s="45">
        <v>4</v>
      </c>
      <c r="AA44" s="45">
        <v>4</v>
      </c>
      <c r="AB44" s="45">
        <v>4</v>
      </c>
      <c r="AC44" s="45">
        <v>4</v>
      </c>
      <c r="AD44" s="45">
        <v>4</v>
      </c>
      <c r="AE44" s="45">
        <v>4</v>
      </c>
      <c r="AF44" s="45">
        <v>4</v>
      </c>
      <c r="AG44" s="49">
        <v>12</v>
      </c>
      <c r="AH44" s="47">
        <f t="shared" si="2"/>
        <v>4</v>
      </c>
      <c r="AI44" s="48">
        <f t="shared" si="3"/>
        <v>4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49">
        <v>12</v>
      </c>
      <c r="AH45" s="47">
        <f t="shared" si="2"/>
        <v>9</v>
      </c>
      <c r="AI45" s="48">
        <f t="shared" si="3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2"/>
        <v>3</v>
      </c>
      <c r="AI46" s="48">
        <f t="shared" si="3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2"/>
        <v>3.5</v>
      </c>
      <c r="AI47" s="48">
        <f t="shared" si="3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>
        <v>5</v>
      </c>
      <c r="N48" s="45">
        <v>5</v>
      </c>
      <c r="O48" s="45">
        <v>5</v>
      </c>
      <c r="P48" s="45">
        <v>5</v>
      </c>
      <c r="Q48" s="45">
        <v>5</v>
      </c>
      <c r="R48" s="45">
        <v>5</v>
      </c>
      <c r="S48" s="45">
        <v>5</v>
      </c>
      <c r="T48" s="45">
        <v>5</v>
      </c>
      <c r="U48" s="45">
        <v>5</v>
      </c>
      <c r="V48" s="45">
        <v>5</v>
      </c>
      <c r="W48" s="45">
        <v>5</v>
      </c>
      <c r="X48" s="45">
        <v>5</v>
      </c>
      <c r="Y48" s="45">
        <v>5</v>
      </c>
      <c r="Z48" s="45">
        <v>5</v>
      </c>
      <c r="AA48" s="45">
        <v>5</v>
      </c>
      <c r="AB48" s="45">
        <v>5</v>
      </c>
      <c r="AC48" s="45">
        <v>5</v>
      </c>
      <c r="AD48" s="45">
        <v>5</v>
      </c>
      <c r="AE48" s="45">
        <v>5</v>
      </c>
      <c r="AF48" s="45">
        <v>5</v>
      </c>
      <c r="AG48" s="52">
        <v>11.88</v>
      </c>
      <c r="AH48" s="47">
        <f t="shared" si="2"/>
        <v>5</v>
      </c>
      <c r="AI48" s="48">
        <f t="shared" si="3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>
        <v>3</v>
      </c>
      <c r="N49" s="45">
        <v>3</v>
      </c>
      <c r="O49" s="45">
        <v>3</v>
      </c>
      <c r="P49" s="45">
        <v>3</v>
      </c>
      <c r="Q49" s="45">
        <v>3</v>
      </c>
      <c r="R49" s="45">
        <v>3</v>
      </c>
      <c r="S49" s="45">
        <v>3</v>
      </c>
      <c r="T49" s="45">
        <v>3</v>
      </c>
      <c r="U49" s="45">
        <v>3</v>
      </c>
      <c r="V49" s="45">
        <v>3</v>
      </c>
      <c r="W49" s="45">
        <v>3</v>
      </c>
      <c r="X49" s="45">
        <v>3</v>
      </c>
      <c r="Y49" s="45">
        <v>3</v>
      </c>
      <c r="Z49" s="45">
        <v>3</v>
      </c>
      <c r="AA49" s="45">
        <v>3</v>
      </c>
      <c r="AB49" s="45">
        <v>3</v>
      </c>
      <c r="AC49" s="45">
        <v>3</v>
      </c>
      <c r="AD49" s="45">
        <v>3</v>
      </c>
      <c r="AE49" s="45">
        <v>3</v>
      </c>
      <c r="AF49" s="45">
        <v>3</v>
      </c>
      <c r="AG49" s="55">
        <v>11</v>
      </c>
      <c r="AH49" s="47">
        <f t="shared" si="2"/>
        <v>3</v>
      </c>
      <c r="AI49" s="48">
        <f t="shared" si="3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267</v>
      </c>
      <c r="B50" s="45">
        <v>3.3</v>
      </c>
      <c r="C50" s="45">
        <v>3.3</v>
      </c>
      <c r="D50" s="45">
        <v>3.3</v>
      </c>
      <c r="E50" s="45">
        <v>3.3</v>
      </c>
      <c r="F50" s="45">
        <v>3.3</v>
      </c>
      <c r="G50" s="45">
        <v>3.3</v>
      </c>
      <c r="H50" s="45">
        <v>3.3</v>
      </c>
      <c r="I50" s="45">
        <v>3.3</v>
      </c>
      <c r="J50" s="45">
        <v>3.3</v>
      </c>
      <c r="K50" s="45">
        <v>3.3</v>
      </c>
      <c r="L50" s="45">
        <v>3.3</v>
      </c>
      <c r="M50" s="45">
        <v>3.3</v>
      </c>
      <c r="N50" s="45">
        <v>3.3</v>
      </c>
      <c r="O50" s="45">
        <v>3.3</v>
      </c>
      <c r="P50" s="45">
        <v>3.3</v>
      </c>
      <c r="Q50" s="45">
        <v>3.3</v>
      </c>
      <c r="R50" s="45">
        <v>3.3</v>
      </c>
      <c r="S50" s="45">
        <v>3.3</v>
      </c>
      <c r="T50" s="45">
        <v>3.3</v>
      </c>
      <c r="U50" s="45">
        <v>3.3</v>
      </c>
      <c r="V50" s="45">
        <v>3.3</v>
      </c>
      <c r="W50" s="45">
        <v>3.3</v>
      </c>
      <c r="X50" s="45">
        <v>3.3</v>
      </c>
      <c r="Y50" s="45">
        <v>3.3</v>
      </c>
      <c r="Z50" s="45">
        <v>3.3</v>
      </c>
      <c r="AA50" s="45">
        <v>3.3</v>
      </c>
      <c r="AB50" s="45">
        <v>3.3</v>
      </c>
      <c r="AC50" s="45">
        <v>3.3</v>
      </c>
      <c r="AD50" s="45">
        <v>3.3</v>
      </c>
      <c r="AE50" s="45">
        <v>3.3</v>
      </c>
      <c r="AF50" s="45">
        <v>3.3</v>
      </c>
      <c r="AG50" s="55">
        <v>11</v>
      </c>
      <c r="AH50" s="47">
        <f t="shared" si="2"/>
        <v>3.3</v>
      </c>
      <c r="AI50" s="48">
        <f t="shared" si="3"/>
        <v>3.3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268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"/>
        <v>3</v>
      </c>
      <c r="AI51" s="48">
        <f t="shared" si="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2"/>
        <v>4</v>
      </c>
      <c r="AI52" s="48">
        <f t="shared" si="3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"/>
        <v>4.5</v>
      </c>
      <c r="AI53" s="48">
        <f t="shared" si="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269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"/>
        <v>0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150</v>
      </c>
      <c r="C56" s="57">
        <v>150</v>
      </c>
      <c r="D56" s="57">
        <v>150</v>
      </c>
      <c r="E56" s="57">
        <v>150</v>
      </c>
      <c r="F56" s="57">
        <v>150</v>
      </c>
      <c r="G56" s="57">
        <v>150</v>
      </c>
      <c r="H56" s="57">
        <v>150</v>
      </c>
      <c r="I56" s="57">
        <v>150</v>
      </c>
      <c r="J56" s="57">
        <v>150</v>
      </c>
      <c r="K56" s="57">
        <v>150</v>
      </c>
      <c r="L56" s="57">
        <v>150</v>
      </c>
      <c r="M56" s="57">
        <v>150</v>
      </c>
      <c r="N56" s="57">
        <v>150</v>
      </c>
      <c r="O56" s="57">
        <v>150</v>
      </c>
      <c r="P56" s="57">
        <v>150</v>
      </c>
      <c r="Q56" s="57">
        <v>150</v>
      </c>
      <c r="R56" s="57">
        <v>150</v>
      </c>
      <c r="S56" s="57">
        <v>150</v>
      </c>
      <c r="T56" s="57">
        <v>150</v>
      </c>
      <c r="U56" s="57">
        <v>150</v>
      </c>
      <c r="V56" s="57">
        <v>150</v>
      </c>
      <c r="W56" s="57">
        <v>150</v>
      </c>
      <c r="X56" s="57">
        <v>150</v>
      </c>
      <c r="Y56" s="57">
        <v>150</v>
      </c>
      <c r="Z56" s="57">
        <v>150</v>
      </c>
      <c r="AA56" s="57">
        <v>150</v>
      </c>
      <c r="AB56" s="57">
        <v>150</v>
      </c>
      <c r="AC56" s="57">
        <v>150</v>
      </c>
      <c r="AD56" s="57">
        <v>150</v>
      </c>
      <c r="AE56" s="57">
        <v>150</v>
      </c>
      <c r="AF56" s="57">
        <v>150</v>
      </c>
      <c r="AG56" s="55">
        <v>85</v>
      </c>
      <c r="AH56" s="47">
        <f t="shared" si="2"/>
        <v>150</v>
      </c>
      <c r="AI56" s="48">
        <f t="shared" si="3"/>
        <v>150</v>
      </c>
      <c r="AK56" s="50"/>
    </row>
    <row r="57" spans="1:88" ht="15.75" thickBot="1" x14ac:dyDescent="0.3">
      <c r="A57" s="58" t="s">
        <v>57</v>
      </c>
      <c r="B57" s="57">
        <v>29.1</v>
      </c>
      <c r="C57" s="57">
        <v>29.1</v>
      </c>
      <c r="D57" s="57">
        <v>29.1</v>
      </c>
      <c r="E57" s="57">
        <v>29.1</v>
      </c>
      <c r="F57" s="57">
        <v>29.1</v>
      </c>
      <c r="G57" s="57">
        <v>29.1</v>
      </c>
      <c r="H57" s="57">
        <v>29.1</v>
      </c>
      <c r="I57" s="57">
        <v>29.1</v>
      </c>
      <c r="J57" s="57">
        <v>29.1</v>
      </c>
      <c r="K57" s="57">
        <v>29.1</v>
      </c>
      <c r="L57" s="57">
        <v>29.1</v>
      </c>
      <c r="M57" s="57">
        <v>29.1</v>
      </c>
      <c r="N57" s="57">
        <v>28.9</v>
      </c>
      <c r="O57" s="57">
        <v>28.9</v>
      </c>
      <c r="P57" s="57">
        <v>28.9</v>
      </c>
      <c r="Q57" s="57">
        <v>28.9</v>
      </c>
      <c r="R57" s="57">
        <v>28.9</v>
      </c>
      <c r="S57" s="51">
        <f>17.7+7.6</f>
        <v>25.299999999999997</v>
      </c>
      <c r="T57" s="51">
        <f>17.3+7.3</f>
        <v>24.6</v>
      </c>
      <c r="U57" s="51">
        <f>18.5+7.7</f>
        <v>26.2</v>
      </c>
      <c r="V57" s="51">
        <v>24</v>
      </c>
      <c r="W57" s="51">
        <v>0</v>
      </c>
      <c r="X57" s="57">
        <f>17+8.6</f>
        <v>25.6</v>
      </c>
      <c r="Y57" s="57">
        <v>22.2</v>
      </c>
      <c r="Z57" s="57">
        <f t="shared" ref="Z57:AF57" si="4">14.9+6.5</f>
        <v>21.4</v>
      </c>
      <c r="AA57" s="57">
        <f t="shared" si="4"/>
        <v>21.4</v>
      </c>
      <c r="AB57" s="57">
        <f t="shared" si="4"/>
        <v>21.4</v>
      </c>
      <c r="AC57" s="57">
        <f t="shared" si="4"/>
        <v>21.4</v>
      </c>
      <c r="AD57" s="57">
        <f t="shared" si="4"/>
        <v>21.4</v>
      </c>
      <c r="AE57" s="57">
        <f t="shared" si="4"/>
        <v>21.4</v>
      </c>
      <c r="AF57" s="57">
        <f t="shared" si="4"/>
        <v>21.4</v>
      </c>
      <c r="AG57" s="55">
        <v>240</v>
      </c>
      <c r="AH57" s="47">
        <f t="shared" si="2"/>
        <v>29.1</v>
      </c>
      <c r="AI57" s="48">
        <f t="shared" si="3"/>
        <v>0</v>
      </c>
      <c r="AK57" s="50"/>
    </row>
    <row r="58" spans="1:88" ht="15.75" thickBot="1" x14ac:dyDescent="0.3">
      <c r="A58" s="59" t="s">
        <v>58</v>
      </c>
      <c r="B58" s="60">
        <f t="shared" ref="B58:C58" si="5">SUM(B11:B56)</f>
        <v>489.80000000000007</v>
      </c>
      <c r="C58" s="60">
        <f t="shared" si="5"/>
        <v>489.80000000000007</v>
      </c>
      <c r="D58" s="60">
        <f t="shared" ref="D58" si="6">SUM(D11:D56)</f>
        <v>489.80000000000007</v>
      </c>
      <c r="E58" s="60">
        <f t="shared" ref="E58:AA58" si="7">SUM(E11:E56)</f>
        <v>489.80000000000007</v>
      </c>
      <c r="F58" s="60">
        <f t="shared" si="7"/>
        <v>489.80000000000007</v>
      </c>
      <c r="G58" s="60">
        <f t="shared" si="7"/>
        <v>489.80000000000007</v>
      </c>
      <c r="H58" s="60">
        <f t="shared" si="7"/>
        <v>489.80000000000007</v>
      </c>
      <c r="I58" s="60">
        <f t="shared" si="7"/>
        <v>489.80000000000007</v>
      </c>
      <c r="J58" s="60">
        <f t="shared" si="7"/>
        <v>489.80000000000007</v>
      </c>
      <c r="K58" s="60">
        <f t="shared" si="7"/>
        <v>489.80000000000007</v>
      </c>
      <c r="L58" s="60">
        <f t="shared" si="7"/>
        <v>489.80000000000007</v>
      </c>
      <c r="M58" s="60">
        <f t="shared" ref="M58:N58" si="8">SUM(M11:M56)</f>
        <v>489.80000000000007</v>
      </c>
      <c r="N58" s="60">
        <f t="shared" si="8"/>
        <v>489.80000000000007</v>
      </c>
      <c r="O58" s="60">
        <f t="shared" ref="O58:P58" si="9">SUM(O11:O56)</f>
        <v>489.80000000000007</v>
      </c>
      <c r="P58" s="60">
        <f t="shared" si="9"/>
        <v>489.80000000000007</v>
      </c>
      <c r="Q58" s="60">
        <f t="shared" ref="Q58:R58" si="10">SUM(Q11:Q56)</f>
        <v>489.80000000000007</v>
      </c>
      <c r="R58" s="60">
        <f t="shared" si="10"/>
        <v>489.80000000000007</v>
      </c>
      <c r="S58" s="60">
        <f t="shared" si="7"/>
        <v>487.20000000000005</v>
      </c>
      <c r="T58" s="60">
        <f t="shared" si="7"/>
        <v>485.80000000000007</v>
      </c>
      <c r="U58" s="60">
        <f t="shared" si="7"/>
        <v>486.10000000000008</v>
      </c>
      <c r="V58" s="60">
        <f t="shared" si="7"/>
        <v>486.40000000000003</v>
      </c>
      <c r="W58" s="60">
        <f t="shared" si="7"/>
        <v>459.2</v>
      </c>
      <c r="X58" s="60">
        <f t="shared" si="7"/>
        <v>489.50000000000006</v>
      </c>
      <c r="Y58" s="60">
        <v>480.1</v>
      </c>
      <c r="Z58" s="60">
        <f>SUM(Z11:Z56)</f>
        <v>484.20000000000005</v>
      </c>
      <c r="AA58" s="60">
        <f t="shared" si="7"/>
        <v>484.20000000000005</v>
      </c>
      <c r="AB58" s="60">
        <f t="shared" ref="AB58:AC58" si="11">SUM(AB11:AB56)</f>
        <v>488.70000000000005</v>
      </c>
      <c r="AC58" s="60">
        <f t="shared" si="11"/>
        <v>488.70000000000005</v>
      </c>
      <c r="AD58" s="60">
        <f t="shared" ref="AD58:AE58" si="12">SUM(AD11:AD56)</f>
        <v>488.70000000000005</v>
      </c>
      <c r="AE58" s="60">
        <f t="shared" si="12"/>
        <v>488.70000000000005</v>
      </c>
      <c r="AF58" s="60">
        <f t="shared" ref="AF58" si="13">SUM(AF11:AF56)</f>
        <v>488.70000000000005</v>
      </c>
      <c r="AG58" s="61">
        <f>SUM(AG14:AG56)</f>
        <v>1042.4000000000001</v>
      </c>
      <c r="AH58" s="47">
        <f t="shared" si="2"/>
        <v>489.80000000000007</v>
      </c>
      <c r="AI58" s="48">
        <f t="shared" si="3"/>
        <v>459.2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50</v>
      </c>
      <c r="J59" s="45">
        <v>75</v>
      </c>
      <c r="K59" s="45">
        <v>280</v>
      </c>
      <c r="L59" s="45">
        <v>420</v>
      </c>
      <c r="M59" s="45">
        <v>440</v>
      </c>
      <c r="N59" s="45">
        <v>300</v>
      </c>
      <c r="O59" s="45">
        <v>70</v>
      </c>
      <c r="P59" s="45">
        <v>20</v>
      </c>
      <c r="Q59" s="45">
        <v>30</v>
      </c>
      <c r="R59" s="45">
        <v>30</v>
      </c>
      <c r="S59" s="45">
        <v>30</v>
      </c>
      <c r="T59" s="45">
        <v>30</v>
      </c>
      <c r="U59" s="45">
        <v>30</v>
      </c>
      <c r="V59" s="45">
        <v>45</v>
      </c>
      <c r="W59" s="45">
        <v>170</v>
      </c>
      <c r="X59" s="45">
        <v>270</v>
      </c>
      <c r="Y59" s="45">
        <v>280</v>
      </c>
      <c r="Z59" s="45">
        <v>320</v>
      </c>
      <c r="AA59" s="45">
        <v>260</v>
      </c>
      <c r="AB59" s="45">
        <v>260</v>
      </c>
      <c r="AC59" s="45">
        <v>80</v>
      </c>
      <c r="AD59" s="45">
        <v>50</v>
      </c>
      <c r="AE59" s="45">
        <v>0</v>
      </c>
      <c r="AF59" s="45">
        <v>0</v>
      </c>
      <c r="AG59" s="52">
        <v>456</v>
      </c>
      <c r="AH59" s="47">
        <f t="shared" si="2"/>
        <v>440</v>
      </c>
      <c r="AI59" s="48">
        <f t="shared" si="3"/>
        <v>0</v>
      </c>
      <c r="AK59" s="50"/>
    </row>
    <row r="60" spans="1:88" x14ac:dyDescent="0.25">
      <c r="A60" s="64" t="s">
        <v>60</v>
      </c>
      <c r="B60" s="65">
        <v>30</v>
      </c>
      <c r="C60" s="65">
        <v>30</v>
      </c>
      <c r="D60" s="65">
        <v>30</v>
      </c>
      <c r="E60" s="65">
        <v>30</v>
      </c>
      <c r="F60" s="65">
        <v>30</v>
      </c>
      <c r="G60" s="65">
        <v>30</v>
      </c>
      <c r="H60" s="65">
        <v>30</v>
      </c>
      <c r="I60" s="65">
        <v>30</v>
      </c>
      <c r="J60" s="65">
        <v>30</v>
      </c>
      <c r="K60" s="65">
        <v>30</v>
      </c>
      <c r="L60" s="65">
        <v>30</v>
      </c>
      <c r="M60" s="65">
        <v>30</v>
      </c>
      <c r="N60" s="65">
        <v>30</v>
      </c>
      <c r="O60" s="65">
        <v>30</v>
      </c>
      <c r="P60" s="65">
        <v>30</v>
      </c>
      <c r="Q60" s="65">
        <v>30</v>
      </c>
      <c r="R60" s="65">
        <v>30</v>
      </c>
      <c r="S60" s="65">
        <v>30</v>
      </c>
      <c r="T60" s="65">
        <v>30</v>
      </c>
      <c r="U60" s="65">
        <v>30</v>
      </c>
      <c r="V60" s="65">
        <v>30</v>
      </c>
      <c r="W60" s="65">
        <v>30</v>
      </c>
      <c r="X60" s="65">
        <v>30</v>
      </c>
      <c r="Y60" s="65">
        <v>30</v>
      </c>
      <c r="Z60" s="65">
        <v>30</v>
      </c>
      <c r="AA60" s="65">
        <v>30</v>
      </c>
      <c r="AB60" s="65">
        <v>30</v>
      </c>
      <c r="AC60" s="65">
        <v>30</v>
      </c>
      <c r="AD60" s="65">
        <v>30</v>
      </c>
      <c r="AE60" s="65">
        <v>30</v>
      </c>
      <c r="AF60" s="65">
        <v>30</v>
      </c>
      <c r="AG60" s="55">
        <v>60</v>
      </c>
      <c r="AH60" s="47">
        <f t="shared" si="2"/>
        <v>30</v>
      </c>
      <c r="AI60" s="48">
        <f t="shared" si="3"/>
        <v>30</v>
      </c>
      <c r="AK60" s="50"/>
    </row>
    <row r="61" spans="1:88" ht="15.75" thickBot="1" x14ac:dyDescent="0.3">
      <c r="A61" s="66" t="s">
        <v>61</v>
      </c>
      <c r="B61" s="67">
        <v>15</v>
      </c>
      <c r="C61" s="67">
        <v>15</v>
      </c>
      <c r="D61" s="67">
        <v>15</v>
      </c>
      <c r="E61" s="67">
        <v>10.199999999999999</v>
      </c>
      <c r="F61" s="67">
        <v>10.199999999999999</v>
      </c>
      <c r="G61" s="67">
        <v>9.1999999999999993</v>
      </c>
      <c r="H61" s="67">
        <v>9.1999999999999993</v>
      </c>
      <c r="I61" s="67">
        <v>9.3000000000000007</v>
      </c>
      <c r="J61" s="67">
        <v>9.1999999999999993</v>
      </c>
      <c r="K61" s="67">
        <v>9.1999999999999993</v>
      </c>
      <c r="L61" s="67">
        <v>9.1999999999999993</v>
      </c>
      <c r="M61" s="67">
        <v>9.1999999999999993</v>
      </c>
      <c r="N61" s="67">
        <v>9.1999999999999993</v>
      </c>
      <c r="O61" s="67">
        <v>9.1999999999999993</v>
      </c>
      <c r="P61" s="67">
        <v>9.1999999999999993</v>
      </c>
      <c r="Q61" s="67">
        <v>9.1999999999999993</v>
      </c>
      <c r="R61" s="67">
        <v>9.1999999999999993</v>
      </c>
      <c r="S61" s="67">
        <v>9.1999999999999993</v>
      </c>
      <c r="T61" s="67">
        <v>9.1999999999999993</v>
      </c>
      <c r="U61" s="67">
        <v>9.1999999999999993</v>
      </c>
      <c r="V61" s="67">
        <v>9.1999999999999993</v>
      </c>
      <c r="W61" s="67">
        <v>9.1999999999999993</v>
      </c>
      <c r="X61" s="67">
        <v>9.3000000000000007</v>
      </c>
      <c r="Y61" s="67">
        <v>15.2</v>
      </c>
      <c r="Z61" s="67">
        <v>15.2</v>
      </c>
      <c r="AA61" s="67">
        <v>15.2</v>
      </c>
      <c r="AB61" s="67">
        <v>15.2</v>
      </c>
      <c r="AC61" s="67">
        <v>15.2</v>
      </c>
      <c r="AD61" s="67">
        <v>15.2</v>
      </c>
      <c r="AE61" s="67">
        <v>15.2</v>
      </c>
      <c r="AF61" s="67">
        <v>15.2</v>
      </c>
      <c r="AG61" s="68">
        <v>22.1</v>
      </c>
      <c r="AH61" s="47">
        <f t="shared" si="2"/>
        <v>15.2</v>
      </c>
      <c r="AI61" s="48">
        <f t="shared" si="3"/>
        <v>9.1999999999999993</v>
      </c>
      <c r="AK61" s="50"/>
    </row>
    <row r="62" spans="1:88" ht="15.75" thickBot="1" x14ac:dyDescent="0.3">
      <c r="A62" s="69" t="s">
        <v>62</v>
      </c>
      <c r="B62" s="60">
        <f t="shared" ref="B62:C62" si="14">SUM(B59:B61)</f>
        <v>45</v>
      </c>
      <c r="C62" s="60">
        <f t="shared" si="14"/>
        <v>45</v>
      </c>
      <c r="D62" s="60">
        <f t="shared" ref="D62" si="15">SUM(D59:D61)</f>
        <v>45</v>
      </c>
      <c r="E62" s="60">
        <f t="shared" ref="E62:AG62" si="16">SUM(E59:E61)</f>
        <v>40.200000000000003</v>
      </c>
      <c r="F62" s="60">
        <f t="shared" si="16"/>
        <v>40.200000000000003</v>
      </c>
      <c r="G62" s="60">
        <f t="shared" si="16"/>
        <v>39.200000000000003</v>
      </c>
      <c r="H62" s="60">
        <f t="shared" si="16"/>
        <v>39.200000000000003</v>
      </c>
      <c r="I62" s="60">
        <f t="shared" si="16"/>
        <v>89.3</v>
      </c>
      <c r="J62" s="60">
        <f t="shared" si="16"/>
        <v>114.2</v>
      </c>
      <c r="K62" s="60">
        <f t="shared" si="16"/>
        <v>319.2</v>
      </c>
      <c r="L62" s="60">
        <f t="shared" si="16"/>
        <v>459.2</v>
      </c>
      <c r="M62" s="60">
        <f t="shared" ref="M62:N62" si="17">SUM(M59:M61)</f>
        <v>479.2</v>
      </c>
      <c r="N62" s="60">
        <f t="shared" si="17"/>
        <v>339.2</v>
      </c>
      <c r="O62" s="60">
        <f t="shared" ref="O62:P62" si="18">SUM(O59:O61)</f>
        <v>109.2</v>
      </c>
      <c r="P62" s="60">
        <f t="shared" si="18"/>
        <v>59.2</v>
      </c>
      <c r="Q62" s="60">
        <f t="shared" ref="Q62:R62" si="19">SUM(Q59:Q61)</f>
        <v>69.2</v>
      </c>
      <c r="R62" s="60">
        <f t="shared" si="19"/>
        <v>69.2</v>
      </c>
      <c r="S62" s="60">
        <f t="shared" si="16"/>
        <v>69.2</v>
      </c>
      <c r="T62" s="60">
        <f t="shared" si="16"/>
        <v>69.2</v>
      </c>
      <c r="U62" s="60">
        <f t="shared" si="16"/>
        <v>69.2</v>
      </c>
      <c r="V62" s="60">
        <f t="shared" si="16"/>
        <v>84.2</v>
      </c>
      <c r="W62" s="60">
        <f t="shared" si="16"/>
        <v>209.2</v>
      </c>
      <c r="X62" s="60">
        <f t="shared" si="16"/>
        <v>309.3</v>
      </c>
      <c r="Y62" s="60">
        <v>325.2</v>
      </c>
      <c r="Z62" s="60">
        <f>SUM(Z59:Z61)</f>
        <v>365.2</v>
      </c>
      <c r="AA62" s="60">
        <f t="shared" si="16"/>
        <v>305.2</v>
      </c>
      <c r="AB62" s="60">
        <f t="shared" ref="AB62:AC62" si="20">SUM(AB59:AB61)</f>
        <v>305.2</v>
      </c>
      <c r="AC62" s="60">
        <f t="shared" si="20"/>
        <v>125.2</v>
      </c>
      <c r="AD62" s="60">
        <f t="shared" ref="AD62:AE62" si="21">SUM(AD59:AD61)</f>
        <v>95.2</v>
      </c>
      <c r="AE62" s="60">
        <f t="shared" si="21"/>
        <v>45.2</v>
      </c>
      <c r="AF62" s="60">
        <f t="shared" ref="AF62" si="22">SUM(AF59:AF61)</f>
        <v>45.2</v>
      </c>
      <c r="AG62" s="61">
        <f t="shared" si="16"/>
        <v>538.1</v>
      </c>
      <c r="AH62" s="47">
        <f t="shared" si="2"/>
        <v>479.2</v>
      </c>
      <c r="AI62" s="48">
        <f t="shared" si="3"/>
        <v>39.200000000000003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48</v>
      </c>
      <c r="I63" s="45">
        <v>61</v>
      </c>
      <c r="J63" s="45">
        <v>81.099999999999994</v>
      </c>
      <c r="K63" s="45">
        <v>112</v>
      </c>
      <c r="L63" s="45">
        <v>145</v>
      </c>
      <c r="M63" s="45">
        <v>136.4</v>
      </c>
      <c r="N63" s="45">
        <v>121.7</v>
      </c>
      <c r="O63" s="45">
        <v>102.1</v>
      </c>
      <c r="P63" s="45">
        <v>102.1</v>
      </c>
      <c r="Q63" s="45">
        <v>102.1</v>
      </c>
      <c r="R63" s="45">
        <v>93</v>
      </c>
      <c r="S63" s="45">
        <v>81.5</v>
      </c>
      <c r="T63" s="45">
        <v>35.5</v>
      </c>
      <c r="U63" s="45">
        <v>0</v>
      </c>
      <c r="V63" s="45">
        <v>20</v>
      </c>
      <c r="W63" s="45">
        <v>30.3</v>
      </c>
      <c r="X63" s="45">
        <v>86.5</v>
      </c>
      <c r="Y63" s="45">
        <v>143.19999999999999</v>
      </c>
      <c r="Z63" s="45">
        <v>143.19999999999999</v>
      </c>
      <c r="AA63" s="45">
        <v>140</v>
      </c>
      <c r="AB63" s="45">
        <v>140</v>
      </c>
      <c r="AC63" s="45">
        <v>140</v>
      </c>
      <c r="AD63" s="45">
        <v>86.8</v>
      </c>
      <c r="AE63" s="45">
        <v>86.8</v>
      </c>
      <c r="AF63" s="45">
        <v>60.9</v>
      </c>
      <c r="AG63" s="52">
        <v>144</v>
      </c>
      <c r="AH63" s="47">
        <f t="shared" si="2"/>
        <v>145</v>
      </c>
      <c r="AI63" s="48">
        <f t="shared" si="3"/>
        <v>0</v>
      </c>
      <c r="AK63" s="50"/>
    </row>
    <row r="64" spans="1:88" x14ac:dyDescent="0.25">
      <c r="A64" s="54" t="s">
        <v>64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25</v>
      </c>
      <c r="J64" s="65">
        <v>35</v>
      </c>
      <c r="K64" s="65">
        <v>35</v>
      </c>
      <c r="L64" s="65">
        <v>35</v>
      </c>
      <c r="M64" s="65">
        <v>35</v>
      </c>
      <c r="N64" s="65">
        <v>69.400000000000006</v>
      </c>
      <c r="O64" s="65">
        <v>69.400000000000006</v>
      </c>
      <c r="P64" s="65">
        <v>69.400000000000006</v>
      </c>
      <c r="Q64" s="65">
        <v>69.400000000000006</v>
      </c>
      <c r="R64" s="65">
        <v>69.400000000000006</v>
      </c>
      <c r="S64" s="45">
        <v>25</v>
      </c>
      <c r="T64" s="45">
        <v>25</v>
      </c>
      <c r="U64" s="45">
        <v>0</v>
      </c>
      <c r="V64" s="45">
        <v>0</v>
      </c>
      <c r="W64" s="45">
        <v>25</v>
      </c>
      <c r="X64" s="45">
        <v>35</v>
      </c>
      <c r="Y64" s="45">
        <v>70</v>
      </c>
      <c r="Z64" s="45">
        <v>70</v>
      </c>
      <c r="AA64" s="45">
        <v>70</v>
      </c>
      <c r="AB64" s="45">
        <v>70</v>
      </c>
      <c r="AC64" s="45">
        <v>70</v>
      </c>
      <c r="AD64" s="45">
        <v>35</v>
      </c>
      <c r="AE64" s="45">
        <v>25</v>
      </c>
      <c r="AF64" s="45">
        <v>25</v>
      </c>
      <c r="AG64" s="55">
        <v>70</v>
      </c>
      <c r="AH64" s="47">
        <f t="shared" si="2"/>
        <v>70</v>
      </c>
      <c r="AI64" s="48">
        <f t="shared" si="3"/>
        <v>0</v>
      </c>
      <c r="AK64" s="50"/>
    </row>
    <row r="65" spans="1:41" x14ac:dyDescent="0.25">
      <c r="A65" s="54" t="s">
        <v>65</v>
      </c>
      <c r="B65" s="65">
        <v>0</v>
      </c>
      <c r="C65" s="65">
        <v>0</v>
      </c>
      <c r="D65" s="65">
        <v>16</v>
      </c>
      <c r="E65" s="65">
        <v>22.9</v>
      </c>
      <c r="F65" s="65">
        <v>22.9</v>
      </c>
      <c r="G65" s="65">
        <v>43.4</v>
      </c>
      <c r="H65" s="65">
        <v>46.3</v>
      </c>
      <c r="I65" s="65">
        <v>46.1</v>
      </c>
      <c r="J65" s="65">
        <v>46.1</v>
      </c>
      <c r="K65" s="65">
        <v>33.1</v>
      </c>
      <c r="L65" s="65">
        <v>48.4</v>
      </c>
      <c r="M65" s="65">
        <v>69.099999999999994</v>
      </c>
      <c r="N65" s="65">
        <v>67.900000000000006</v>
      </c>
      <c r="O65" s="65">
        <v>54.7</v>
      </c>
      <c r="P65" s="65">
        <v>54.7</v>
      </c>
      <c r="Q65" s="65">
        <v>54.7</v>
      </c>
      <c r="R65" s="65">
        <v>39.299999999999997</v>
      </c>
      <c r="S65" s="45">
        <v>20</v>
      </c>
      <c r="T65" s="45">
        <v>22.3</v>
      </c>
      <c r="U65" s="45">
        <v>36</v>
      </c>
      <c r="V65" s="45">
        <v>36</v>
      </c>
      <c r="W65" s="45">
        <v>36.200000000000003</v>
      </c>
      <c r="X65" s="45">
        <v>64.900000000000006</v>
      </c>
      <c r="Y65" s="45">
        <v>68.3</v>
      </c>
      <c r="Z65" s="45">
        <v>68.3</v>
      </c>
      <c r="AA65" s="45">
        <v>68.3</v>
      </c>
      <c r="AB65" s="45">
        <v>68.3</v>
      </c>
      <c r="AC65" s="45">
        <v>68.3</v>
      </c>
      <c r="AD65" s="45">
        <v>64.3</v>
      </c>
      <c r="AE65" s="45">
        <v>52.7</v>
      </c>
      <c r="AF65" s="45">
        <v>32.200000000000003</v>
      </c>
      <c r="AG65" s="55">
        <v>69</v>
      </c>
      <c r="AH65" s="47">
        <f t="shared" si="2"/>
        <v>69.099999999999994</v>
      </c>
      <c r="AI65" s="48">
        <f t="shared" si="3"/>
        <v>0</v>
      </c>
      <c r="AK65" s="50"/>
    </row>
    <row r="66" spans="1:41" x14ac:dyDescent="0.25">
      <c r="A66" s="54" t="s">
        <v>66</v>
      </c>
      <c r="B66" s="65">
        <v>41.1</v>
      </c>
      <c r="C66" s="65">
        <v>41.1</v>
      </c>
      <c r="D66" s="65">
        <v>41.1</v>
      </c>
      <c r="E66" s="65">
        <v>40</v>
      </c>
      <c r="F66" s="65">
        <v>39.799999999999997</v>
      </c>
      <c r="G66" s="65">
        <v>40</v>
      </c>
      <c r="H66" s="65">
        <v>40</v>
      </c>
      <c r="I66" s="65">
        <v>40</v>
      </c>
      <c r="J66" s="65">
        <v>40</v>
      </c>
      <c r="K66" s="65">
        <v>40</v>
      </c>
      <c r="L66" s="57">
        <v>40</v>
      </c>
      <c r="M66" s="57">
        <v>40</v>
      </c>
      <c r="N66" s="57">
        <v>40</v>
      </c>
      <c r="O66" s="57">
        <v>40</v>
      </c>
      <c r="P66" s="57">
        <v>40</v>
      </c>
      <c r="Q66" s="57">
        <v>40</v>
      </c>
      <c r="R66" s="57">
        <v>40</v>
      </c>
      <c r="S66" s="45">
        <v>37.799999999999997</v>
      </c>
      <c r="T66" s="45">
        <v>37.799999999999997</v>
      </c>
      <c r="U66" s="45">
        <v>37.799999999999997</v>
      </c>
      <c r="V66" s="45">
        <v>37.799999999999997</v>
      </c>
      <c r="W66" s="45">
        <v>38</v>
      </c>
      <c r="X66" s="45">
        <v>38</v>
      </c>
      <c r="Y66" s="45">
        <v>38</v>
      </c>
      <c r="Z66" s="45">
        <v>40.299999999999997</v>
      </c>
      <c r="AA66" s="45">
        <v>40.299999999999997</v>
      </c>
      <c r="AB66" s="45">
        <v>40.299999999999997</v>
      </c>
      <c r="AC66" s="45">
        <v>40.299999999999997</v>
      </c>
      <c r="AD66" s="45">
        <v>40.299999999999997</v>
      </c>
      <c r="AE66" s="45">
        <v>40.299999999999997</v>
      </c>
      <c r="AF66" s="45">
        <v>40.299999999999997</v>
      </c>
      <c r="AG66" s="55">
        <v>60</v>
      </c>
      <c r="AH66" s="47">
        <f t="shared" si="2"/>
        <v>41.1</v>
      </c>
      <c r="AI66" s="48">
        <f t="shared" si="3"/>
        <v>37.799999999999997</v>
      </c>
      <c r="AK66" s="50"/>
    </row>
    <row r="67" spans="1:41" x14ac:dyDescent="0.25">
      <c r="A67" s="54" t="s">
        <v>67</v>
      </c>
      <c r="B67" s="65">
        <v>10</v>
      </c>
      <c r="C67" s="65">
        <v>0</v>
      </c>
      <c r="D67" s="65">
        <v>0</v>
      </c>
      <c r="E67" s="65">
        <v>0</v>
      </c>
      <c r="F67" s="65">
        <v>0</v>
      </c>
      <c r="G67" s="65">
        <v>10</v>
      </c>
      <c r="H67" s="65">
        <v>10</v>
      </c>
      <c r="I67" s="65">
        <v>14</v>
      </c>
      <c r="J67" s="65">
        <v>14</v>
      </c>
      <c r="K67" s="65">
        <v>23</v>
      </c>
      <c r="L67" s="57">
        <v>29</v>
      </c>
      <c r="M67" s="57">
        <v>29</v>
      </c>
      <c r="N67" s="57">
        <v>27.5</v>
      </c>
      <c r="O67" s="57">
        <v>27.5</v>
      </c>
      <c r="P67" s="57">
        <v>27.5</v>
      </c>
      <c r="Q67" s="57">
        <v>0</v>
      </c>
      <c r="R67" s="57">
        <v>0</v>
      </c>
      <c r="S67" s="45">
        <v>0</v>
      </c>
      <c r="T67" s="45">
        <v>0</v>
      </c>
      <c r="U67" s="45">
        <v>0</v>
      </c>
      <c r="V67" s="45">
        <v>0</v>
      </c>
      <c r="W67" s="45">
        <v>10</v>
      </c>
      <c r="X67" s="45">
        <v>23</v>
      </c>
      <c r="Y67" s="45">
        <v>30</v>
      </c>
      <c r="Z67" s="45">
        <v>28</v>
      </c>
      <c r="AA67" s="45">
        <v>28</v>
      </c>
      <c r="AB67" s="45">
        <v>28</v>
      </c>
      <c r="AC67" s="45">
        <v>15</v>
      </c>
      <c r="AD67" s="45">
        <v>10</v>
      </c>
      <c r="AE67" s="45">
        <v>10</v>
      </c>
      <c r="AF67" s="45">
        <v>10</v>
      </c>
      <c r="AG67" s="55">
        <v>30</v>
      </c>
      <c r="AH67" s="47">
        <f t="shared" si="2"/>
        <v>30</v>
      </c>
      <c r="AI67" s="48">
        <f t="shared" si="3"/>
        <v>0</v>
      </c>
      <c r="AK67" s="50"/>
    </row>
    <row r="68" spans="1:41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0.2</v>
      </c>
      <c r="L68" s="65">
        <v>0.8</v>
      </c>
      <c r="M68" s="65">
        <v>1.8</v>
      </c>
      <c r="N68" s="65">
        <v>4.2</v>
      </c>
      <c r="O68" s="65">
        <v>6.5</v>
      </c>
      <c r="P68" s="65">
        <v>9.8000000000000007</v>
      </c>
      <c r="Q68" s="65">
        <v>16.899999999999999</v>
      </c>
      <c r="R68" s="65">
        <v>16.399999999999999</v>
      </c>
      <c r="S68" s="45">
        <v>13.8</v>
      </c>
      <c r="T68" s="45">
        <v>10.199999999999999</v>
      </c>
      <c r="U68" s="45">
        <v>7</v>
      </c>
      <c r="V68" s="45">
        <v>0.3</v>
      </c>
      <c r="W68" s="45">
        <v>0</v>
      </c>
      <c r="X68" s="45">
        <v>0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55">
        <v>25</v>
      </c>
      <c r="AH68" s="47">
        <f t="shared" si="2"/>
        <v>16.899999999999999</v>
      </c>
      <c r="AI68" s="48">
        <f t="shared" si="3"/>
        <v>0</v>
      </c>
      <c r="AK68" s="50"/>
    </row>
    <row r="69" spans="1:41" x14ac:dyDescent="0.25">
      <c r="A69" s="54" t="s">
        <v>69</v>
      </c>
      <c r="B69" s="65">
        <v>15</v>
      </c>
      <c r="C69" s="65">
        <v>15</v>
      </c>
      <c r="D69" s="65">
        <v>15</v>
      </c>
      <c r="E69" s="65">
        <v>15</v>
      </c>
      <c r="F69" s="65">
        <v>15</v>
      </c>
      <c r="G69" s="65">
        <v>15</v>
      </c>
      <c r="H69" s="65">
        <v>15</v>
      </c>
      <c r="I69" s="65">
        <v>15</v>
      </c>
      <c r="J69" s="65">
        <v>15</v>
      </c>
      <c r="K69" s="65">
        <v>15</v>
      </c>
      <c r="L69" s="65">
        <v>15</v>
      </c>
      <c r="M69" s="65">
        <v>15</v>
      </c>
      <c r="N69" s="65">
        <v>15</v>
      </c>
      <c r="O69" s="65">
        <v>15</v>
      </c>
      <c r="P69" s="65">
        <v>15</v>
      </c>
      <c r="Q69" s="65">
        <v>15</v>
      </c>
      <c r="R69" s="65">
        <v>15</v>
      </c>
      <c r="S69" s="65">
        <v>15</v>
      </c>
      <c r="T69" s="65">
        <v>15</v>
      </c>
      <c r="U69" s="65">
        <v>15</v>
      </c>
      <c r="V69" s="65">
        <v>15</v>
      </c>
      <c r="W69" s="65">
        <v>15</v>
      </c>
      <c r="X69" s="65">
        <v>15</v>
      </c>
      <c r="Y69" s="65">
        <v>15</v>
      </c>
      <c r="Z69" s="65">
        <v>15</v>
      </c>
      <c r="AA69" s="65">
        <v>15</v>
      </c>
      <c r="AB69" s="65">
        <v>15</v>
      </c>
      <c r="AC69" s="65">
        <v>15</v>
      </c>
      <c r="AD69" s="65">
        <v>15</v>
      </c>
      <c r="AE69" s="65">
        <v>15</v>
      </c>
      <c r="AF69" s="65">
        <v>15</v>
      </c>
      <c r="AG69" s="55">
        <v>24</v>
      </c>
      <c r="AH69" s="47">
        <f t="shared" si="2"/>
        <v>15</v>
      </c>
      <c r="AI69" s="48">
        <f t="shared" si="3"/>
        <v>15</v>
      </c>
      <c r="AK69" s="50"/>
    </row>
    <row r="70" spans="1:41" x14ac:dyDescent="0.25">
      <c r="A70" s="54" t="s">
        <v>70</v>
      </c>
      <c r="B70" s="65">
        <v>4</v>
      </c>
      <c r="C70" s="65">
        <v>4</v>
      </c>
      <c r="D70" s="65">
        <v>4</v>
      </c>
      <c r="E70" s="65">
        <v>4</v>
      </c>
      <c r="F70" s="65">
        <v>4</v>
      </c>
      <c r="G70" s="65">
        <v>4</v>
      </c>
      <c r="H70" s="65">
        <v>4</v>
      </c>
      <c r="I70" s="65">
        <v>4</v>
      </c>
      <c r="J70" s="65">
        <v>4</v>
      </c>
      <c r="K70" s="65">
        <v>4</v>
      </c>
      <c r="L70" s="65">
        <v>4</v>
      </c>
      <c r="M70" s="65">
        <v>4</v>
      </c>
      <c r="N70" s="65">
        <v>4</v>
      </c>
      <c r="O70" s="65">
        <v>4</v>
      </c>
      <c r="P70" s="65">
        <v>4</v>
      </c>
      <c r="Q70" s="65">
        <v>4</v>
      </c>
      <c r="R70" s="65">
        <v>4</v>
      </c>
      <c r="S70" s="65">
        <v>4</v>
      </c>
      <c r="T70" s="65">
        <v>4</v>
      </c>
      <c r="U70" s="65">
        <v>4</v>
      </c>
      <c r="V70" s="65">
        <v>4</v>
      </c>
      <c r="W70" s="65">
        <v>4</v>
      </c>
      <c r="X70" s="65">
        <v>4</v>
      </c>
      <c r="Y70" s="65">
        <v>4</v>
      </c>
      <c r="Z70" s="65">
        <v>4</v>
      </c>
      <c r="AA70" s="65">
        <v>4</v>
      </c>
      <c r="AB70" s="65">
        <v>4</v>
      </c>
      <c r="AC70" s="65">
        <v>4</v>
      </c>
      <c r="AD70" s="65">
        <v>4</v>
      </c>
      <c r="AE70" s="65">
        <v>4</v>
      </c>
      <c r="AF70" s="65">
        <v>4</v>
      </c>
      <c r="AG70" s="55">
        <v>15</v>
      </c>
      <c r="AH70" s="47">
        <f t="shared" si="2"/>
        <v>4</v>
      </c>
      <c r="AI70" s="48">
        <f t="shared" si="3"/>
        <v>4</v>
      </c>
      <c r="AK70" s="50"/>
      <c r="AL70" s="70"/>
      <c r="AO70" s="70"/>
    </row>
    <row r="71" spans="1:41" s="70" customFormat="1" x14ac:dyDescent="0.25">
      <c r="A71" s="54" t="s">
        <v>71</v>
      </c>
      <c r="B71" s="65">
        <v>10.8</v>
      </c>
      <c r="C71" s="65">
        <v>10.8</v>
      </c>
      <c r="D71" s="65">
        <v>10.8</v>
      </c>
      <c r="E71" s="65">
        <v>9.4</v>
      </c>
      <c r="F71" s="65">
        <v>9.4</v>
      </c>
      <c r="G71" s="65">
        <v>9.4</v>
      </c>
      <c r="H71" s="65">
        <v>9.4</v>
      </c>
      <c r="I71" s="65">
        <v>9.4</v>
      </c>
      <c r="J71" s="65">
        <v>9.4</v>
      </c>
      <c r="K71" s="65">
        <v>9.4</v>
      </c>
      <c r="L71" s="65">
        <v>9.4</v>
      </c>
      <c r="M71" s="65">
        <v>9.4</v>
      </c>
      <c r="N71" s="65">
        <v>9.4</v>
      </c>
      <c r="O71" s="65">
        <v>9.4</v>
      </c>
      <c r="P71" s="65">
        <v>9.4</v>
      </c>
      <c r="Q71" s="65">
        <v>9.4</v>
      </c>
      <c r="R71" s="65">
        <v>9.4</v>
      </c>
      <c r="S71" s="65">
        <v>9.4</v>
      </c>
      <c r="T71" s="65">
        <v>9.4</v>
      </c>
      <c r="U71" s="65">
        <v>9.4</v>
      </c>
      <c r="V71" s="65">
        <v>9.4</v>
      </c>
      <c r="W71" s="65">
        <v>9.4</v>
      </c>
      <c r="X71" s="65">
        <v>9.4</v>
      </c>
      <c r="Y71" s="65">
        <v>9.4</v>
      </c>
      <c r="Z71" s="65">
        <v>9.4</v>
      </c>
      <c r="AA71" s="65">
        <v>9.4</v>
      </c>
      <c r="AB71" s="65">
        <v>9.4</v>
      </c>
      <c r="AC71" s="65">
        <v>9.4</v>
      </c>
      <c r="AD71" s="65">
        <v>9.4</v>
      </c>
      <c r="AE71" s="65">
        <v>9.4</v>
      </c>
      <c r="AF71" s="65">
        <v>9.4</v>
      </c>
      <c r="AG71" s="55">
        <v>14.1</v>
      </c>
      <c r="AH71" s="47">
        <f t="shared" si="2"/>
        <v>10.8</v>
      </c>
      <c r="AI71" s="48">
        <f t="shared" si="3"/>
        <v>9.4</v>
      </c>
      <c r="AJ71" s="1"/>
      <c r="AK71" s="50"/>
      <c r="AL71" s="1"/>
      <c r="AM71" s="1"/>
      <c r="AN71" s="1"/>
      <c r="AO71" s="1"/>
    </row>
    <row r="72" spans="1:41" x14ac:dyDescent="0.25">
      <c r="A72" s="71" t="s">
        <v>72</v>
      </c>
      <c r="B72" s="65">
        <v>3.3</v>
      </c>
      <c r="C72" s="65">
        <v>3.3</v>
      </c>
      <c r="D72" s="65">
        <v>3.3</v>
      </c>
      <c r="E72" s="65">
        <v>3.3</v>
      </c>
      <c r="F72" s="65">
        <v>3.3</v>
      </c>
      <c r="G72" s="65">
        <v>3.3</v>
      </c>
      <c r="H72" s="65">
        <v>3.3</v>
      </c>
      <c r="I72" s="65">
        <v>3.3</v>
      </c>
      <c r="J72" s="65">
        <v>3.3</v>
      </c>
      <c r="K72" s="65">
        <v>3.3</v>
      </c>
      <c r="L72" s="65">
        <v>3.3</v>
      </c>
      <c r="M72" s="65">
        <v>3.3</v>
      </c>
      <c r="N72" s="65">
        <v>3.3</v>
      </c>
      <c r="O72" s="65">
        <v>3.3</v>
      </c>
      <c r="P72" s="65">
        <v>3.3</v>
      </c>
      <c r="Q72" s="65">
        <v>3.3</v>
      </c>
      <c r="R72" s="65">
        <v>3.3</v>
      </c>
      <c r="S72" s="65">
        <v>3.3</v>
      </c>
      <c r="T72" s="65">
        <v>3.3</v>
      </c>
      <c r="U72" s="65">
        <v>3.3</v>
      </c>
      <c r="V72" s="65">
        <v>3.3</v>
      </c>
      <c r="W72" s="65">
        <v>3.3</v>
      </c>
      <c r="X72" s="65">
        <v>3.3</v>
      </c>
      <c r="Y72" s="65">
        <v>3.3</v>
      </c>
      <c r="Z72" s="65">
        <v>3.3</v>
      </c>
      <c r="AA72" s="65">
        <v>3.3</v>
      </c>
      <c r="AB72" s="65">
        <v>3.3</v>
      </c>
      <c r="AC72" s="65">
        <v>3.3</v>
      </c>
      <c r="AD72" s="65">
        <v>3.3</v>
      </c>
      <c r="AE72" s="65">
        <v>3.3</v>
      </c>
      <c r="AF72" s="65">
        <v>3.3</v>
      </c>
      <c r="AG72" s="55">
        <v>14</v>
      </c>
      <c r="AH72" s="47">
        <f t="shared" si="2"/>
        <v>3.3</v>
      </c>
      <c r="AI72" s="48">
        <f t="shared" si="3"/>
        <v>3.3</v>
      </c>
      <c r="AK72" s="50"/>
    </row>
    <row r="73" spans="1:41" x14ac:dyDescent="0.25">
      <c r="A73" s="54" t="s">
        <v>73</v>
      </c>
      <c r="B73" s="65">
        <v>5</v>
      </c>
      <c r="C73" s="65">
        <v>5</v>
      </c>
      <c r="D73" s="65">
        <v>5</v>
      </c>
      <c r="E73" s="65">
        <v>5</v>
      </c>
      <c r="F73" s="65">
        <v>5</v>
      </c>
      <c r="G73" s="65">
        <v>5</v>
      </c>
      <c r="H73" s="65">
        <v>5</v>
      </c>
      <c r="I73" s="65">
        <v>5</v>
      </c>
      <c r="J73" s="65">
        <v>5</v>
      </c>
      <c r="K73" s="65">
        <v>5</v>
      </c>
      <c r="L73" s="65">
        <v>5</v>
      </c>
      <c r="M73" s="65">
        <v>5</v>
      </c>
      <c r="N73" s="65">
        <v>5</v>
      </c>
      <c r="O73" s="65">
        <v>5</v>
      </c>
      <c r="P73" s="65">
        <v>5</v>
      </c>
      <c r="Q73" s="65">
        <v>5</v>
      </c>
      <c r="R73" s="65">
        <v>5</v>
      </c>
      <c r="S73" s="65">
        <v>5</v>
      </c>
      <c r="T73" s="65">
        <v>5</v>
      </c>
      <c r="U73" s="65">
        <v>5</v>
      </c>
      <c r="V73" s="65">
        <v>5</v>
      </c>
      <c r="W73" s="65">
        <v>5</v>
      </c>
      <c r="X73" s="65">
        <v>5</v>
      </c>
      <c r="Y73" s="65">
        <v>5</v>
      </c>
      <c r="Z73" s="65">
        <v>5</v>
      </c>
      <c r="AA73" s="65">
        <v>5</v>
      </c>
      <c r="AB73" s="65">
        <v>5</v>
      </c>
      <c r="AC73" s="65">
        <v>5</v>
      </c>
      <c r="AD73" s="65">
        <v>5</v>
      </c>
      <c r="AE73" s="65">
        <v>5</v>
      </c>
      <c r="AF73" s="65">
        <v>5</v>
      </c>
      <c r="AG73" s="55">
        <v>10.050000000000001</v>
      </c>
      <c r="AH73" s="47">
        <f t="shared" si="2"/>
        <v>5</v>
      </c>
      <c r="AI73" s="48">
        <f t="shared" si="3"/>
        <v>5</v>
      </c>
      <c r="AK73" s="50"/>
    </row>
    <row r="74" spans="1:41" x14ac:dyDescent="0.25">
      <c r="A74" s="54" t="s">
        <v>74</v>
      </c>
      <c r="B74" s="65">
        <v>2</v>
      </c>
      <c r="C74" s="65">
        <v>2</v>
      </c>
      <c r="D74" s="65">
        <v>2</v>
      </c>
      <c r="E74" s="65">
        <v>2</v>
      </c>
      <c r="F74" s="65">
        <v>2</v>
      </c>
      <c r="G74" s="65">
        <v>2</v>
      </c>
      <c r="H74" s="65">
        <v>2</v>
      </c>
      <c r="I74" s="65">
        <v>2</v>
      </c>
      <c r="J74" s="65">
        <v>2</v>
      </c>
      <c r="K74" s="65">
        <v>2</v>
      </c>
      <c r="L74" s="65">
        <v>2</v>
      </c>
      <c r="M74" s="65">
        <v>2</v>
      </c>
      <c r="N74" s="65">
        <v>2</v>
      </c>
      <c r="O74" s="65">
        <v>2</v>
      </c>
      <c r="P74" s="65">
        <v>2</v>
      </c>
      <c r="Q74" s="65">
        <v>2</v>
      </c>
      <c r="R74" s="65">
        <v>2</v>
      </c>
      <c r="S74" s="65">
        <v>2</v>
      </c>
      <c r="T74" s="65">
        <v>2</v>
      </c>
      <c r="U74" s="65">
        <v>2</v>
      </c>
      <c r="V74" s="65">
        <v>2</v>
      </c>
      <c r="W74" s="65">
        <v>2</v>
      </c>
      <c r="X74" s="65">
        <v>2</v>
      </c>
      <c r="Y74" s="65">
        <v>2</v>
      </c>
      <c r="Z74" s="65">
        <v>2</v>
      </c>
      <c r="AA74" s="65">
        <v>2</v>
      </c>
      <c r="AB74" s="65">
        <v>2</v>
      </c>
      <c r="AC74" s="65">
        <v>2</v>
      </c>
      <c r="AD74" s="65">
        <v>2</v>
      </c>
      <c r="AE74" s="65">
        <v>2</v>
      </c>
      <c r="AF74" s="65">
        <v>2</v>
      </c>
      <c r="AG74" s="55">
        <v>6.2</v>
      </c>
      <c r="AH74" s="47">
        <f t="shared" si="2"/>
        <v>2</v>
      </c>
      <c r="AI74" s="48">
        <f t="shared" si="3"/>
        <v>2</v>
      </c>
      <c r="AK74" s="50"/>
    </row>
    <row r="75" spans="1:41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</v>
      </c>
      <c r="Z75" s="72">
        <v>5.5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2"/>
        <v>5.5</v>
      </c>
      <c r="AI75" s="48">
        <f t="shared" si="3"/>
        <v>3.5</v>
      </c>
      <c r="AK75" s="50"/>
    </row>
    <row r="76" spans="1:41" ht="15.75" thickBot="1" x14ac:dyDescent="0.3">
      <c r="A76" s="74" t="s">
        <v>76</v>
      </c>
      <c r="B76" s="60">
        <f t="shared" ref="B76:C76" si="23">SUM(B63:B75)</f>
        <v>94.74</v>
      </c>
      <c r="C76" s="60">
        <f t="shared" si="23"/>
        <v>84.740000000000009</v>
      </c>
      <c r="D76" s="60">
        <f t="shared" ref="D76" si="24">SUM(D63:D75)</f>
        <v>100.74</v>
      </c>
      <c r="E76" s="60">
        <f t="shared" ref="E76:AG76" si="25">SUM(E63:E75)</f>
        <v>105.14000000000001</v>
      </c>
      <c r="F76" s="60">
        <f t="shared" si="25"/>
        <v>104.94</v>
      </c>
      <c r="G76" s="60">
        <f t="shared" si="25"/>
        <v>135.64000000000001</v>
      </c>
      <c r="H76" s="60">
        <f t="shared" si="25"/>
        <v>186.54000000000002</v>
      </c>
      <c r="I76" s="60">
        <f t="shared" si="25"/>
        <v>228.34</v>
      </c>
      <c r="J76" s="60">
        <f t="shared" si="25"/>
        <v>258.44</v>
      </c>
      <c r="K76" s="60">
        <f t="shared" si="25"/>
        <v>285.53999999999996</v>
      </c>
      <c r="L76" s="60">
        <f t="shared" si="25"/>
        <v>340.44</v>
      </c>
      <c r="M76" s="60">
        <f t="shared" ref="M76:N76" si="26">SUM(M63:M75)</f>
        <v>353.54</v>
      </c>
      <c r="N76" s="60">
        <f t="shared" si="26"/>
        <v>372.94</v>
      </c>
      <c r="O76" s="60">
        <f t="shared" ref="O76:P76" si="27">SUM(O63:O75)</f>
        <v>342.44</v>
      </c>
      <c r="P76" s="60">
        <f t="shared" si="27"/>
        <v>345.74</v>
      </c>
      <c r="Q76" s="60">
        <f t="shared" ref="Q76:R76" si="28">SUM(Q63:Q75)</f>
        <v>325.33999999999997</v>
      </c>
      <c r="R76" s="60">
        <f t="shared" si="28"/>
        <v>300.33999999999997</v>
      </c>
      <c r="S76" s="60">
        <f t="shared" si="25"/>
        <v>220.34000000000003</v>
      </c>
      <c r="T76" s="60">
        <f t="shared" si="25"/>
        <v>173.04</v>
      </c>
      <c r="U76" s="60">
        <f t="shared" si="25"/>
        <v>123.04</v>
      </c>
      <c r="V76" s="60">
        <f t="shared" si="25"/>
        <v>136.34</v>
      </c>
      <c r="W76" s="60">
        <f t="shared" si="25"/>
        <v>181.74</v>
      </c>
      <c r="X76" s="60">
        <f t="shared" si="25"/>
        <v>289.64</v>
      </c>
      <c r="Y76" s="60">
        <v>391.7</v>
      </c>
      <c r="Z76" s="60">
        <f>SUM(Z63:Z75)</f>
        <v>394</v>
      </c>
      <c r="AA76" s="60">
        <f t="shared" si="25"/>
        <v>388.84000000000003</v>
      </c>
      <c r="AB76" s="60">
        <f t="shared" si="25"/>
        <v>388.84000000000003</v>
      </c>
      <c r="AC76" s="60">
        <f t="shared" ref="AC76:AD76" si="29">SUM(AC63:AC75)</f>
        <v>375.84000000000003</v>
      </c>
      <c r="AD76" s="60">
        <f t="shared" si="29"/>
        <v>278.64</v>
      </c>
      <c r="AE76" s="60">
        <f t="shared" ref="AE76:AF76" si="30">SUM(AE63:AE75)</f>
        <v>257.04000000000002</v>
      </c>
      <c r="AF76" s="60">
        <f t="shared" si="30"/>
        <v>210.64000000000001</v>
      </c>
      <c r="AG76" s="61">
        <f t="shared" si="25"/>
        <v>489.91</v>
      </c>
      <c r="AH76" s="47">
        <f t="shared" si="2"/>
        <v>394</v>
      </c>
      <c r="AI76" s="48">
        <f t="shared" si="3"/>
        <v>84.740000000000009</v>
      </c>
      <c r="AK76" s="50"/>
    </row>
    <row r="77" spans="1:41" x14ac:dyDescent="0.25">
      <c r="A77" s="44" t="s">
        <v>77</v>
      </c>
      <c r="B77" s="45">
        <v>0</v>
      </c>
      <c r="C77" s="45">
        <v>0</v>
      </c>
      <c r="D77" s="4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14.4</v>
      </c>
      <c r="M77" s="45">
        <v>0</v>
      </c>
      <c r="N77" s="45">
        <v>0</v>
      </c>
      <c r="O77" s="45">
        <v>0</v>
      </c>
      <c r="P77" s="45">
        <v>0</v>
      </c>
      <c r="Q77" s="45">
        <v>0</v>
      </c>
      <c r="R77" s="45">
        <v>0</v>
      </c>
      <c r="S77" s="45">
        <v>43.6</v>
      </c>
      <c r="T77" s="45">
        <v>59.3</v>
      </c>
      <c r="U77" s="45">
        <v>29.4</v>
      </c>
      <c r="V77" s="45">
        <v>49</v>
      </c>
      <c r="W77" s="45">
        <v>49</v>
      </c>
      <c r="X77" s="45">
        <v>39.700000000000003</v>
      </c>
      <c r="Y77" s="45">
        <v>39.5</v>
      </c>
      <c r="Z77" s="45">
        <v>33.700000000000003</v>
      </c>
      <c r="AA77" s="45">
        <v>14</v>
      </c>
      <c r="AB77" s="45">
        <v>10.1</v>
      </c>
      <c r="AC77" s="45">
        <v>10.1</v>
      </c>
      <c r="AD77" s="45">
        <v>14</v>
      </c>
      <c r="AE77" s="45">
        <v>19.600000000000001</v>
      </c>
      <c r="AF77" s="45">
        <v>0</v>
      </c>
      <c r="AG77" s="52">
        <v>60</v>
      </c>
      <c r="AH77" s="47">
        <f t="shared" si="2"/>
        <v>59.3</v>
      </c>
      <c r="AI77" s="48">
        <f t="shared" si="3"/>
        <v>0</v>
      </c>
      <c r="AK77" s="50"/>
    </row>
    <row r="78" spans="1:41" x14ac:dyDescent="0.25">
      <c r="A78" s="54" t="s">
        <v>78</v>
      </c>
      <c r="B78" s="65">
        <v>0</v>
      </c>
      <c r="C78" s="65">
        <v>0</v>
      </c>
      <c r="D78" s="65">
        <v>0</v>
      </c>
      <c r="E78" s="65">
        <v>0</v>
      </c>
      <c r="F78" s="65">
        <v>0</v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4.9000000000000004</v>
      </c>
      <c r="M78" s="65">
        <v>4.2</v>
      </c>
      <c r="N78" s="65">
        <v>0</v>
      </c>
      <c r="O78" s="65">
        <v>0</v>
      </c>
      <c r="P78" s="65">
        <v>0</v>
      </c>
      <c r="Q78" s="65">
        <v>0</v>
      </c>
      <c r="R78" s="65">
        <v>0</v>
      </c>
      <c r="S78" s="65">
        <v>15.6</v>
      </c>
      <c r="T78" s="65">
        <v>27.8</v>
      </c>
      <c r="U78" s="65">
        <v>15</v>
      </c>
      <c r="V78" s="65">
        <v>16.399999999999999</v>
      </c>
      <c r="W78" s="65">
        <v>21.3</v>
      </c>
      <c r="X78" s="65">
        <v>16.399999999999999</v>
      </c>
      <c r="Y78" s="65">
        <v>15</v>
      </c>
      <c r="Z78" s="65">
        <v>11.9</v>
      </c>
      <c r="AA78" s="65">
        <v>4.8</v>
      </c>
      <c r="AB78" s="65">
        <v>4.8</v>
      </c>
      <c r="AC78" s="65">
        <v>4.8</v>
      </c>
      <c r="AD78" s="65">
        <v>11.8</v>
      </c>
      <c r="AE78" s="65">
        <v>10.9</v>
      </c>
      <c r="AF78" s="65">
        <v>0</v>
      </c>
      <c r="AG78" s="55">
        <v>32</v>
      </c>
      <c r="AH78" s="47">
        <f t="shared" si="2"/>
        <v>27.8</v>
      </c>
      <c r="AI78" s="48">
        <f t="shared" si="3"/>
        <v>0</v>
      </c>
      <c r="AK78" s="50"/>
    </row>
    <row r="79" spans="1:41" ht="15.75" thickBot="1" x14ac:dyDescent="0.3">
      <c r="A79" s="71" t="s">
        <v>79</v>
      </c>
      <c r="B79" s="67">
        <v>0</v>
      </c>
      <c r="C79" s="67">
        <v>0</v>
      </c>
      <c r="D79" s="67">
        <v>0</v>
      </c>
      <c r="E79" s="67">
        <v>0</v>
      </c>
      <c r="F79" s="67">
        <v>0</v>
      </c>
      <c r="G79" s="67">
        <v>0</v>
      </c>
      <c r="H79" s="67">
        <v>0</v>
      </c>
      <c r="I79" s="67">
        <v>0</v>
      </c>
      <c r="J79" s="67">
        <v>0</v>
      </c>
      <c r="K79" s="67">
        <v>0</v>
      </c>
      <c r="L79" s="67">
        <v>1.8</v>
      </c>
      <c r="M79" s="67">
        <v>1.5</v>
      </c>
      <c r="N79" s="67">
        <v>0</v>
      </c>
      <c r="O79" s="67">
        <v>0</v>
      </c>
      <c r="P79" s="67">
        <v>0</v>
      </c>
      <c r="Q79" s="67">
        <v>0</v>
      </c>
      <c r="R79" s="67">
        <v>0</v>
      </c>
      <c r="S79" s="67">
        <v>5.7</v>
      </c>
      <c r="T79" s="67">
        <v>10.1</v>
      </c>
      <c r="U79" s="67">
        <v>5.5</v>
      </c>
      <c r="V79" s="67">
        <v>5.8</v>
      </c>
      <c r="W79" s="67">
        <v>7.8</v>
      </c>
      <c r="X79" s="67">
        <v>6</v>
      </c>
      <c r="Y79" s="67">
        <v>5.5</v>
      </c>
      <c r="Z79" s="67">
        <v>4.3</v>
      </c>
      <c r="AA79" s="67">
        <v>1.8</v>
      </c>
      <c r="AB79" s="67">
        <v>1.8</v>
      </c>
      <c r="AC79" s="67">
        <v>1.8</v>
      </c>
      <c r="AD79" s="67">
        <v>4.8</v>
      </c>
      <c r="AE79" s="67">
        <v>4</v>
      </c>
      <c r="AF79" s="67">
        <v>0</v>
      </c>
      <c r="AG79" s="68">
        <v>14</v>
      </c>
      <c r="AH79" s="47">
        <f t="shared" si="2"/>
        <v>10.1</v>
      </c>
      <c r="AI79" s="48">
        <f t="shared" si="3"/>
        <v>0</v>
      </c>
      <c r="AK79" s="50"/>
    </row>
    <row r="80" spans="1:41" ht="15.75" thickBot="1" x14ac:dyDescent="0.3">
      <c r="A80" s="74" t="s">
        <v>80</v>
      </c>
      <c r="B80" s="60">
        <f t="shared" ref="B80:C80" si="31">B77+B78+B79</f>
        <v>0</v>
      </c>
      <c r="C80" s="60">
        <f t="shared" si="31"/>
        <v>0</v>
      </c>
      <c r="D80" s="60">
        <f t="shared" ref="D80" si="32">D77+D78+D79</f>
        <v>0</v>
      </c>
      <c r="E80" s="60">
        <f t="shared" ref="E80:AB80" si="33">E77+E78+E79</f>
        <v>0</v>
      </c>
      <c r="F80" s="60">
        <f t="shared" si="33"/>
        <v>0</v>
      </c>
      <c r="G80" s="60">
        <f t="shared" si="33"/>
        <v>0</v>
      </c>
      <c r="H80" s="60">
        <f t="shared" si="33"/>
        <v>0</v>
      </c>
      <c r="I80" s="60">
        <f t="shared" si="33"/>
        <v>0</v>
      </c>
      <c r="J80" s="60">
        <f t="shared" si="33"/>
        <v>0</v>
      </c>
      <c r="K80" s="60">
        <f t="shared" si="33"/>
        <v>0</v>
      </c>
      <c r="L80" s="60">
        <f t="shared" si="33"/>
        <v>21.1</v>
      </c>
      <c r="M80" s="60">
        <f t="shared" ref="M80:N80" si="34">M77+M78+M79</f>
        <v>5.7</v>
      </c>
      <c r="N80" s="60">
        <f t="shared" si="34"/>
        <v>0</v>
      </c>
      <c r="O80" s="60">
        <f t="shared" ref="O80:P80" si="35">O77+O78+O79</f>
        <v>0</v>
      </c>
      <c r="P80" s="60">
        <f t="shared" si="35"/>
        <v>0</v>
      </c>
      <c r="Q80" s="60">
        <f t="shared" ref="Q80:R80" si="36">Q77+Q78+Q79</f>
        <v>0</v>
      </c>
      <c r="R80" s="60">
        <f t="shared" si="36"/>
        <v>0</v>
      </c>
      <c r="S80" s="60">
        <f t="shared" si="33"/>
        <v>64.900000000000006</v>
      </c>
      <c r="T80" s="60">
        <f t="shared" si="33"/>
        <v>97.199999999999989</v>
      </c>
      <c r="U80" s="60">
        <f t="shared" si="33"/>
        <v>49.9</v>
      </c>
      <c r="V80" s="60">
        <f t="shared" si="33"/>
        <v>71.2</v>
      </c>
      <c r="W80" s="60">
        <f t="shared" si="33"/>
        <v>78.099999999999994</v>
      </c>
      <c r="X80" s="60">
        <f t="shared" si="33"/>
        <v>62.1</v>
      </c>
      <c r="Y80" s="60">
        <v>60</v>
      </c>
      <c r="Z80" s="60">
        <f>Z77+Z78+Z79</f>
        <v>49.9</v>
      </c>
      <c r="AA80" s="60">
        <f t="shared" si="33"/>
        <v>20.6</v>
      </c>
      <c r="AB80" s="60">
        <f t="shared" si="33"/>
        <v>16.7</v>
      </c>
      <c r="AC80" s="60">
        <f t="shared" ref="AC80:AD80" si="37">AC77+AC78+AC79</f>
        <v>16.7</v>
      </c>
      <c r="AD80" s="60">
        <f t="shared" si="37"/>
        <v>30.6</v>
      </c>
      <c r="AE80" s="60">
        <f t="shared" ref="AE80:AF80" si="38">AE77+AE78+AE79</f>
        <v>34.5</v>
      </c>
      <c r="AF80" s="60">
        <f t="shared" si="38"/>
        <v>0</v>
      </c>
      <c r="AG80" s="61">
        <f>SUM(AG77:AG79)</f>
        <v>106</v>
      </c>
      <c r="AH80" s="47">
        <f t="shared" si="2"/>
        <v>97.199999999999989</v>
      </c>
      <c r="AI80" s="48">
        <f t="shared" si="3"/>
        <v>0</v>
      </c>
      <c r="AK80" s="50"/>
    </row>
    <row r="81" spans="1:40" x14ac:dyDescent="0.25">
      <c r="A81" s="44" t="s">
        <v>81</v>
      </c>
      <c r="B81" s="45">
        <v>59</v>
      </c>
      <c r="C81" s="45">
        <v>70</v>
      </c>
      <c r="D81" s="45">
        <v>69.5</v>
      </c>
      <c r="E81" s="45">
        <v>69.7</v>
      </c>
      <c r="F81" s="45">
        <v>73.8</v>
      </c>
      <c r="G81" s="45">
        <v>62.9</v>
      </c>
      <c r="H81" s="45">
        <v>70.900000000000006</v>
      </c>
      <c r="I81" s="45">
        <v>61.1</v>
      </c>
      <c r="J81" s="45">
        <v>63.9</v>
      </c>
      <c r="K81" s="45">
        <v>61.7</v>
      </c>
      <c r="L81" s="45">
        <v>28.2</v>
      </c>
      <c r="M81" s="45">
        <v>34.9</v>
      </c>
      <c r="N81" s="45">
        <v>38.799999999999997</v>
      </c>
      <c r="O81" s="45">
        <v>38.799999999999997</v>
      </c>
      <c r="P81" s="45">
        <v>55.9</v>
      </c>
      <c r="Q81" s="45">
        <v>55.3</v>
      </c>
      <c r="R81" s="45">
        <v>58.7</v>
      </c>
      <c r="S81" s="45">
        <v>47.3</v>
      </c>
      <c r="T81" s="45">
        <v>48.6</v>
      </c>
      <c r="U81" s="45">
        <v>51.4</v>
      </c>
      <c r="V81" s="45">
        <v>60.6</v>
      </c>
      <c r="W81" s="45">
        <v>62.2</v>
      </c>
      <c r="X81" s="45">
        <v>60.2</v>
      </c>
      <c r="Y81" s="45">
        <v>70.8</v>
      </c>
      <c r="Z81" s="45">
        <v>58.6</v>
      </c>
      <c r="AA81" s="45">
        <v>56</v>
      </c>
      <c r="AB81" s="45">
        <v>59</v>
      </c>
      <c r="AC81" s="45">
        <v>58.8</v>
      </c>
      <c r="AD81" s="45">
        <v>57.9</v>
      </c>
      <c r="AE81" s="45">
        <v>62.7</v>
      </c>
      <c r="AF81" s="45">
        <v>64.900000000000006</v>
      </c>
      <c r="AG81" s="52"/>
      <c r="AH81" s="47">
        <f t="shared" si="2"/>
        <v>73.8</v>
      </c>
      <c r="AI81" s="48">
        <f t="shared" si="3"/>
        <v>28.2</v>
      </c>
      <c r="AK81" s="50"/>
    </row>
    <row r="82" spans="1:40" x14ac:dyDescent="0.25">
      <c r="A82" s="54" t="s">
        <v>82</v>
      </c>
      <c r="B82" s="65">
        <v>0</v>
      </c>
      <c r="C82" s="65">
        <v>0</v>
      </c>
      <c r="D82" s="65">
        <v>0</v>
      </c>
      <c r="E82" s="65">
        <v>0</v>
      </c>
      <c r="F82" s="65">
        <v>0</v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  <c r="O82" s="65">
        <v>0</v>
      </c>
      <c r="P82" s="65">
        <v>0</v>
      </c>
      <c r="Q82" s="65">
        <v>0</v>
      </c>
      <c r="R82" s="65">
        <v>0</v>
      </c>
      <c r="S82" s="65">
        <v>0</v>
      </c>
      <c r="T82" s="65"/>
      <c r="U82" s="65"/>
      <c r="V82" s="65"/>
      <c r="W82" s="65"/>
      <c r="X82" s="65"/>
      <c r="Y82" s="65"/>
      <c r="Z82" s="65">
        <v>0</v>
      </c>
      <c r="AA82" s="65"/>
      <c r="AB82" s="65"/>
      <c r="AC82" s="65"/>
      <c r="AD82" s="65"/>
      <c r="AE82" s="65"/>
      <c r="AF82" s="65"/>
      <c r="AG82" s="55"/>
      <c r="AH82" s="47">
        <f t="shared" si="2"/>
        <v>0</v>
      </c>
      <c r="AI82" s="48">
        <f t="shared" si="3"/>
        <v>0</v>
      </c>
      <c r="AK82" s="50"/>
    </row>
    <row r="83" spans="1:40" x14ac:dyDescent="0.25">
      <c r="A83" s="54" t="s">
        <v>83</v>
      </c>
      <c r="B83" s="65">
        <v>400</v>
      </c>
      <c r="C83" s="65">
        <v>392</v>
      </c>
      <c r="D83" s="65">
        <v>405</v>
      </c>
      <c r="E83" s="65">
        <v>383.7</v>
      </c>
      <c r="F83" s="65">
        <v>418</v>
      </c>
      <c r="G83" s="65">
        <v>460</v>
      </c>
      <c r="H83" s="65">
        <v>420</v>
      </c>
      <c r="I83" s="65">
        <v>385</v>
      </c>
      <c r="J83" s="65">
        <v>431</v>
      </c>
      <c r="K83" s="65">
        <v>172</v>
      </c>
      <c r="L83" s="65">
        <v>67</v>
      </c>
      <c r="M83" s="65">
        <v>6.9</v>
      </c>
      <c r="N83" s="65">
        <v>200</v>
      </c>
      <c r="O83" s="65">
        <v>230</v>
      </c>
      <c r="P83" s="65">
        <v>369</v>
      </c>
      <c r="Q83" s="65">
        <v>462.6</v>
      </c>
      <c r="R83" s="65">
        <v>389.7</v>
      </c>
      <c r="S83" s="65">
        <v>439.7</v>
      </c>
      <c r="T83" s="65">
        <v>473.9</v>
      </c>
      <c r="U83" s="65">
        <v>479.6</v>
      </c>
      <c r="V83" s="65">
        <v>380</v>
      </c>
      <c r="W83" s="65">
        <v>196.1</v>
      </c>
      <c r="X83" s="65">
        <v>166</v>
      </c>
      <c r="Y83" s="65">
        <v>190.6</v>
      </c>
      <c r="Z83" s="65">
        <v>147</v>
      </c>
      <c r="AA83" s="65">
        <v>208</v>
      </c>
      <c r="AB83" s="65">
        <v>282</v>
      </c>
      <c r="AC83" s="65">
        <v>402</v>
      </c>
      <c r="AD83" s="65">
        <v>438</v>
      </c>
      <c r="AE83" s="65">
        <v>464.4</v>
      </c>
      <c r="AF83" s="65">
        <v>404.5</v>
      </c>
      <c r="AG83" s="75"/>
      <c r="AH83" s="47">
        <f t="shared" si="2"/>
        <v>479.6</v>
      </c>
      <c r="AI83" s="48">
        <f t="shared" si="3"/>
        <v>6.9</v>
      </c>
      <c r="AK83" s="50"/>
    </row>
    <row r="84" spans="1:40" x14ac:dyDescent="0.25">
      <c r="A84" s="54" t="s">
        <v>84</v>
      </c>
      <c r="B84" s="65">
        <v>10</v>
      </c>
      <c r="C84" s="65">
        <v>10</v>
      </c>
      <c r="D84" s="65">
        <v>15</v>
      </c>
      <c r="E84" s="76">
        <v>18</v>
      </c>
      <c r="F84" s="76">
        <v>25</v>
      </c>
      <c r="G84" s="76">
        <v>28</v>
      </c>
      <c r="H84" s="76">
        <v>43</v>
      </c>
      <c r="I84" s="76">
        <v>50</v>
      </c>
      <c r="J84" s="76">
        <v>52</v>
      </c>
      <c r="K84" s="76">
        <v>42</v>
      </c>
      <c r="L84" s="76">
        <v>44</v>
      </c>
      <c r="M84" s="76">
        <v>44</v>
      </c>
      <c r="N84" s="76">
        <v>47</v>
      </c>
      <c r="O84" s="76">
        <v>42</v>
      </c>
      <c r="P84" s="76">
        <v>44.78</v>
      </c>
      <c r="Q84" s="76">
        <v>52.1</v>
      </c>
      <c r="R84" s="76">
        <v>0</v>
      </c>
      <c r="S84" s="76">
        <v>5</v>
      </c>
      <c r="T84" s="76">
        <v>5</v>
      </c>
      <c r="U84" s="76">
        <v>5</v>
      </c>
      <c r="V84" s="76">
        <v>5</v>
      </c>
      <c r="W84" s="76">
        <v>5</v>
      </c>
      <c r="X84" s="76">
        <v>5</v>
      </c>
      <c r="Y84" s="76">
        <v>5</v>
      </c>
      <c r="Z84" s="76">
        <v>5</v>
      </c>
      <c r="AA84" s="76">
        <v>5</v>
      </c>
      <c r="AB84" s="76">
        <v>7</v>
      </c>
      <c r="AC84" s="76">
        <v>5</v>
      </c>
      <c r="AD84" s="76">
        <v>5</v>
      </c>
      <c r="AE84" s="76">
        <v>5</v>
      </c>
      <c r="AF84" s="76">
        <v>5</v>
      </c>
      <c r="AG84" s="75"/>
      <c r="AH84" s="47">
        <f t="shared" si="2"/>
        <v>52.1</v>
      </c>
      <c r="AI84" s="48">
        <f t="shared" si="3"/>
        <v>0</v>
      </c>
      <c r="AK84" s="50"/>
    </row>
    <row r="85" spans="1:40" x14ac:dyDescent="0.25">
      <c r="A85" s="54" t="s">
        <v>85</v>
      </c>
      <c r="B85" s="45">
        <v>94</v>
      </c>
      <c r="C85" s="45">
        <v>100</v>
      </c>
      <c r="D85" s="45">
        <v>20</v>
      </c>
      <c r="E85" s="45">
        <v>21</v>
      </c>
      <c r="F85" s="45">
        <v>23</v>
      </c>
      <c r="G85" s="45">
        <v>22</v>
      </c>
      <c r="H85" s="45">
        <v>23</v>
      </c>
      <c r="I85" s="45">
        <v>25</v>
      </c>
      <c r="J85" s="45">
        <v>25</v>
      </c>
      <c r="K85" s="45">
        <v>28</v>
      </c>
      <c r="L85" s="45">
        <v>26</v>
      </c>
      <c r="M85" s="45">
        <v>28.3</v>
      </c>
      <c r="N85" s="45">
        <f>14.68*2</f>
        <v>29.36</v>
      </c>
      <c r="O85" s="45">
        <v>36</v>
      </c>
      <c r="P85" s="45">
        <v>37.200000000000003</v>
      </c>
      <c r="Q85" s="45">
        <f>18.6*2</f>
        <v>37.200000000000003</v>
      </c>
      <c r="R85" s="45">
        <v>0</v>
      </c>
      <c r="S85" s="45"/>
      <c r="T85" s="45"/>
      <c r="U85" s="45">
        <v>87</v>
      </c>
      <c r="V85" s="45">
        <v>0</v>
      </c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75"/>
      <c r="AH85" s="47">
        <f t="shared" ref="AH85:AH130" si="39">MAX(B85:AF85)</f>
        <v>100</v>
      </c>
      <c r="AI85" s="48">
        <f t="shared" ref="AI85:AI130" si="40">MIN(B85:AF85)</f>
        <v>0</v>
      </c>
      <c r="AK85" s="50"/>
    </row>
    <row r="86" spans="1:40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5"/>
      <c r="AH86" s="47">
        <f t="shared" si="39"/>
        <v>0</v>
      </c>
      <c r="AI86" s="48">
        <f t="shared" si="40"/>
        <v>0</v>
      </c>
      <c r="AK86" s="50"/>
    </row>
    <row r="87" spans="1:40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5"/>
      <c r="AH87" s="47">
        <f t="shared" si="39"/>
        <v>0</v>
      </c>
      <c r="AI87" s="48">
        <f t="shared" si="40"/>
        <v>0</v>
      </c>
      <c r="AK87" s="50"/>
      <c r="AL87" s="78" t="s">
        <v>88</v>
      </c>
      <c r="AM87" s="78"/>
    </row>
    <row r="88" spans="1:40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5"/>
      <c r="AH88" s="47">
        <f t="shared" si="39"/>
        <v>0</v>
      </c>
      <c r="AI88" s="48">
        <f t="shared" si="40"/>
        <v>0</v>
      </c>
      <c r="AK88" s="79"/>
      <c r="AL88" s="80"/>
      <c r="AM88" s="80"/>
      <c r="AN88" s="81"/>
    </row>
    <row r="89" spans="1:40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5"/>
      <c r="AH89" s="47">
        <f t="shared" si="39"/>
        <v>0</v>
      </c>
      <c r="AI89" s="48">
        <f t="shared" si="40"/>
        <v>0</v>
      </c>
      <c r="AK89" s="82" t="s">
        <v>91</v>
      </c>
      <c r="AL89" s="65"/>
      <c r="AM89" s="76"/>
      <c r="AN89" s="83"/>
    </row>
    <row r="90" spans="1:40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85"/>
      <c r="AH90" s="47">
        <f t="shared" si="39"/>
        <v>0</v>
      </c>
      <c r="AI90" s="48">
        <f t="shared" si="40"/>
        <v>0</v>
      </c>
      <c r="AK90" s="82" t="s">
        <v>93</v>
      </c>
      <c r="AL90" s="76"/>
      <c r="AM90" s="76"/>
      <c r="AN90" s="83"/>
    </row>
    <row r="91" spans="1:40" ht="15.75" thickBot="1" x14ac:dyDescent="0.3">
      <c r="A91" s="84" t="s">
        <v>421</v>
      </c>
      <c r="B91" s="77">
        <v>0</v>
      </c>
      <c r="C91" s="77">
        <v>0</v>
      </c>
      <c r="D91" s="77">
        <v>0</v>
      </c>
      <c r="E91" s="77">
        <v>0</v>
      </c>
      <c r="F91" s="77">
        <v>0</v>
      </c>
      <c r="G91" s="77">
        <v>0</v>
      </c>
      <c r="H91" s="77">
        <v>0</v>
      </c>
      <c r="I91" s="77">
        <v>73.5</v>
      </c>
      <c r="J91" s="77">
        <v>75</v>
      </c>
      <c r="K91" s="77">
        <v>70</v>
      </c>
      <c r="L91" s="77">
        <v>73</v>
      </c>
      <c r="M91" s="77">
        <v>69.900000000000006</v>
      </c>
      <c r="N91" s="77">
        <v>70.5</v>
      </c>
      <c r="O91" s="77">
        <v>65.489999999999995</v>
      </c>
      <c r="P91" s="77">
        <v>66.72</v>
      </c>
      <c r="Q91" s="77">
        <v>72.400000000000006</v>
      </c>
      <c r="R91" s="77">
        <v>75.5</v>
      </c>
      <c r="S91" s="77">
        <v>70</v>
      </c>
      <c r="T91" s="77">
        <v>75.599999999999994</v>
      </c>
      <c r="U91" s="77">
        <v>56.4</v>
      </c>
      <c r="V91" s="77">
        <v>67</v>
      </c>
      <c r="W91" s="77">
        <v>68</v>
      </c>
      <c r="X91" s="77">
        <v>73.900000000000006</v>
      </c>
      <c r="Y91" s="77">
        <v>77.599999999999994</v>
      </c>
      <c r="Z91" s="77">
        <v>73.400000000000006</v>
      </c>
      <c r="AA91" s="77">
        <v>72</v>
      </c>
      <c r="AB91" s="77">
        <v>67.7</v>
      </c>
      <c r="AC91" s="77">
        <v>73.2</v>
      </c>
      <c r="AD91" s="77">
        <v>78.400000000000006</v>
      </c>
      <c r="AE91" s="77">
        <v>75.8</v>
      </c>
      <c r="AF91" s="77">
        <v>68.900000000000006</v>
      </c>
      <c r="AG91" s="85"/>
      <c r="AH91" s="47">
        <f t="shared" si="39"/>
        <v>78.400000000000006</v>
      </c>
      <c r="AI91" s="48">
        <f t="shared" si="40"/>
        <v>0</v>
      </c>
      <c r="AK91" s="86"/>
      <c r="AL91" s="45"/>
      <c r="AM91" s="45"/>
      <c r="AN91" s="87"/>
    </row>
    <row r="92" spans="1:40" ht="15.75" thickBot="1" x14ac:dyDescent="0.3">
      <c r="A92" s="74" t="s">
        <v>95</v>
      </c>
      <c r="B92" s="60">
        <f t="shared" ref="B92:C92" si="41">SUMIF(B81:B91,"&gt;0")</f>
        <v>563</v>
      </c>
      <c r="C92" s="60">
        <f t="shared" si="41"/>
        <v>572</v>
      </c>
      <c r="D92" s="60">
        <f t="shared" ref="D92" si="42">SUMIF(D81:D91,"&gt;0")</f>
        <v>509.5</v>
      </c>
      <c r="E92" s="60">
        <f t="shared" ref="E92:AB92" si="43">SUMIF(E81:E91,"&gt;0")</f>
        <v>492.4</v>
      </c>
      <c r="F92" s="60">
        <f t="shared" si="43"/>
        <v>539.79999999999995</v>
      </c>
      <c r="G92" s="60">
        <f t="shared" si="43"/>
        <v>572.9</v>
      </c>
      <c r="H92" s="60">
        <f t="shared" si="43"/>
        <v>556.9</v>
      </c>
      <c r="I92" s="60">
        <f t="shared" si="43"/>
        <v>594.6</v>
      </c>
      <c r="J92" s="60">
        <f t="shared" si="43"/>
        <v>646.9</v>
      </c>
      <c r="K92" s="60">
        <f t="shared" si="43"/>
        <v>373.7</v>
      </c>
      <c r="L92" s="60">
        <f t="shared" si="43"/>
        <v>238.2</v>
      </c>
      <c r="M92" s="60">
        <f t="shared" ref="M92:N92" si="44">SUMIF(M81:M91,"&gt;0")</f>
        <v>184</v>
      </c>
      <c r="N92" s="60">
        <f t="shared" si="44"/>
        <v>385.66</v>
      </c>
      <c r="O92" s="60">
        <f t="shared" ref="O92:P92" si="45">SUMIF(O81:O91,"&gt;0")</f>
        <v>412.29</v>
      </c>
      <c r="P92" s="60">
        <f t="shared" si="45"/>
        <v>573.59999999999991</v>
      </c>
      <c r="Q92" s="60">
        <f t="shared" ref="Q92:R92" si="46">SUMIF(Q81:Q91,"&gt;0")</f>
        <v>679.6</v>
      </c>
      <c r="R92" s="60">
        <f t="shared" si="46"/>
        <v>523.9</v>
      </c>
      <c r="S92" s="60">
        <f t="shared" si="43"/>
        <v>562</v>
      </c>
      <c r="T92" s="60">
        <f t="shared" si="43"/>
        <v>603.1</v>
      </c>
      <c r="U92" s="60">
        <f t="shared" si="43"/>
        <v>679.4</v>
      </c>
      <c r="V92" s="60">
        <f t="shared" si="43"/>
        <v>512.6</v>
      </c>
      <c r="W92" s="60">
        <f t="shared" si="43"/>
        <v>331.3</v>
      </c>
      <c r="X92" s="60">
        <f t="shared" si="43"/>
        <v>305.10000000000002</v>
      </c>
      <c r="Y92" s="60">
        <f>SUMIF(Y81:Y91,"&gt;0")</f>
        <v>344</v>
      </c>
      <c r="Z92" s="60">
        <f>SUMIF(Z81:Z91,"&gt;0")</f>
        <v>284</v>
      </c>
      <c r="AA92" s="60">
        <f t="shared" si="43"/>
        <v>341</v>
      </c>
      <c r="AB92" s="60">
        <f t="shared" si="43"/>
        <v>415.7</v>
      </c>
      <c r="AC92" s="60">
        <f t="shared" ref="AC92:AD92" si="47">SUMIF(AC81:AC91,"&gt;0")</f>
        <v>539</v>
      </c>
      <c r="AD92" s="60">
        <f t="shared" si="47"/>
        <v>579.29999999999995</v>
      </c>
      <c r="AE92" s="60">
        <f t="shared" ref="AE92:AF92" si="48">SUMIF(AE81:AE91,"&gt;0")</f>
        <v>607.9</v>
      </c>
      <c r="AF92" s="60">
        <f t="shared" si="48"/>
        <v>543.29999999999995</v>
      </c>
      <c r="AG92" s="88">
        <f>SUM(AG81:AG91)</f>
        <v>0</v>
      </c>
      <c r="AH92" s="47">
        <f t="shared" si="39"/>
        <v>679.6</v>
      </c>
      <c r="AI92" s="48">
        <f t="shared" si="40"/>
        <v>184</v>
      </c>
      <c r="AK92" s="86"/>
      <c r="AL92" s="77"/>
      <c r="AM92" s="89"/>
      <c r="AN92" s="255"/>
    </row>
    <row r="93" spans="1:40" x14ac:dyDescent="0.25">
      <c r="A93" s="44" t="s">
        <v>96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39"/>
        <v>0</v>
      </c>
      <c r="AI93" s="48">
        <f t="shared" si="40"/>
        <v>0</v>
      </c>
      <c r="AK93" s="86"/>
      <c r="AL93" s="77"/>
      <c r="AM93" s="77"/>
      <c r="AN93" s="256"/>
    </row>
    <row r="94" spans="1:40" ht="15.75" thickBot="1" x14ac:dyDescent="0.3">
      <c r="A94" s="54" t="s">
        <v>97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39"/>
        <v>0</v>
      </c>
      <c r="AI94" s="48">
        <f t="shared" si="40"/>
        <v>0</v>
      </c>
      <c r="AK94" s="91"/>
      <c r="AL94" s="92"/>
      <c r="AM94" s="92"/>
      <c r="AN94" s="93"/>
    </row>
    <row r="95" spans="1:40" ht="15.75" thickBot="1" x14ac:dyDescent="0.3">
      <c r="A95" s="84" t="s">
        <v>98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39"/>
        <v>0</v>
      </c>
      <c r="AI95" s="48">
        <f t="shared" si="40"/>
        <v>0</v>
      </c>
    </row>
    <row r="96" spans="1:40" ht="15.75" thickBot="1" x14ac:dyDescent="0.3">
      <c r="A96" s="74" t="s">
        <v>99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>
        <v>0</v>
      </c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39"/>
        <v>0</v>
      </c>
      <c r="AI96" s="48">
        <f t="shared" si="40"/>
        <v>0</v>
      </c>
    </row>
    <row r="97" spans="1:37" ht="15.75" thickBot="1" x14ac:dyDescent="0.3">
      <c r="A97" s="74" t="s">
        <v>100</v>
      </c>
      <c r="B97" s="95">
        <f t="shared" ref="B97:C97" si="49">B58+B62+B80+B76+B92+B96</f>
        <v>1192.54</v>
      </c>
      <c r="C97" s="95">
        <f t="shared" si="49"/>
        <v>1191.54</v>
      </c>
      <c r="D97" s="95">
        <f t="shared" ref="D97" si="50">D58+D62+D80+D76+D92+D96</f>
        <v>1145.04</v>
      </c>
      <c r="E97" s="95">
        <f t="shared" ref="E97:AG97" si="51">E58+E62+E80+E76+E92+E96</f>
        <v>1127.54</v>
      </c>
      <c r="F97" s="95">
        <f t="shared" si="51"/>
        <v>1174.74</v>
      </c>
      <c r="G97" s="95">
        <f t="shared" si="51"/>
        <v>1237.54</v>
      </c>
      <c r="H97" s="95">
        <f t="shared" si="51"/>
        <v>1272.44</v>
      </c>
      <c r="I97" s="95">
        <f t="shared" si="51"/>
        <v>1402.04</v>
      </c>
      <c r="J97" s="95">
        <f t="shared" si="51"/>
        <v>1509.3400000000001</v>
      </c>
      <c r="K97" s="95">
        <f t="shared" si="51"/>
        <v>1468.24</v>
      </c>
      <c r="L97" s="95">
        <f t="shared" si="51"/>
        <v>1548.74</v>
      </c>
      <c r="M97" s="95">
        <f t="shared" ref="M97:N97" si="52">M58+M62+M80+M76+M92+M96</f>
        <v>1512.24</v>
      </c>
      <c r="N97" s="95">
        <f t="shared" si="52"/>
        <v>1587.6000000000001</v>
      </c>
      <c r="O97" s="95">
        <f t="shared" ref="O97:P97" si="53">O58+O62+O80+O76+O92+O96</f>
        <v>1353.73</v>
      </c>
      <c r="P97" s="95">
        <f t="shared" si="53"/>
        <v>1468.3400000000001</v>
      </c>
      <c r="Q97" s="95">
        <f t="shared" ref="Q97:R97" si="54">Q58+Q62+Q80+Q76+Q92+Q96</f>
        <v>1563.94</v>
      </c>
      <c r="R97" s="95">
        <f t="shared" si="54"/>
        <v>1383.2400000000002</v>
      </c>
      <c r="S97" s="95">
        <f t="shared" si="51"/>
        <v>1403.64</v>
      </c>
      <c r="T97" s="95">
        <f t="shared" si="51"/>
        <v>1428.3400000000001</v>
      </c>
      <c r="U97" s="95">
        <f t="shared" si="51"/>
        <v>1407.6399999999999</v>
      </c>
      <c r="V97" s="95">
        <f t="shared" si="51"/>
        <v>1290.7400000000002</v>
      </c>
      <c r="W97" s="95">
        <f t="shared" si="51"/>
        <v>1259.54</v>
      </c>
      <c r="X97" s="95">
        <f t="shared" si="51"/>
        <v>1455.6399999999999</v>
      </c>
      <c r="Y97" s="95">
        <f>Y58+Y62+Y80+Y76+Y92+Y96</f>
        <v>1601</v>
      </c>
      <c r="Z97" s="95">
        <f>Z58+Z62+Z80+Z76+Z92+Z96</f>
        <v>1577.3000000000002</v>
      </c>
      <c r="AA97" s="95">
        <f t="shared" si="51"/>
        <v>1539.8400000000001</v>
      </c>
      <c r="AB97" s="95">
        <f t="shared" si="51"/>
        <v>1615.14</v>
      </c>
      <c r="AC97" s="95">
        <f t="shared" ref="AC97:AD97" si="55">AC58+AC62+AC80+AC76+AC92+AC96</f>
        <v>1545.44</v>
      </c>
      <c r="AD97" s="95">
        <f t="shared" si="55"/>
        <v>1472.44</v>
      </c>
      <c r="AE97" s="95">
        <f t="shared" ref="AE97:AF97" si="56">AE58+AE62+AE80+AE76+AE92+AE96</f>
        <v>1433.3400000000001</v>
      </c>
      <c r="AF97" s="95">
        <f t="shared" si="56"/>
        <v>1287.8400000000001</v>
      </c>
      <c r="AG97" s="61">
        <f t="shared" si="51"/>
        <v>2231.81</v>
      </c>
      <c r="AH97" s="47">
        <f t="shared" si="39"/>
        <v>1615.14</v>
      </c>
      <c r="AI97" s="48">
        <f t="shared" si="40"/>
        <v>1127.54</v>
      </c>
    </row>
    <row r="98" spans="1:37" ht="15.75" thickBot="1" x14ac:dyDescent="0.3">
      <c r="A98" s="96" t="s">
        <v>101</v>
      </c>
      <c r="B98" s="97">
        <v>0</v>
      </c>
      <c r="C98" s="97">
        <v>0</v>
      </c>
      <c r="D98" s="97">
        <v>0</v>
      </c>
      <c r="E98" s="97"/>
      <c r="F98" s="97"/>
      <c r="G98" s="97"/>
      <c r="H98" s="97"/>
      <c r="I98" s="97"/>
      <c r="J98" s="97"/>
      <c r="K98" s="97">
        <v>220</v>
      </c>
      <c r="L98" s="97">
        <v>280</v>
      </c>
      <c r="M98" s="97">
        <v>280</v>
      </c>
      <c r="N98" s="97">
        <v>280</v>
      </c>
      <c r="O98" s="97">
        <v>280</v>
      </c>
      <c r="P98" s="97">
        <v>100</v>
      </c>
      <c r="Q98" s="97">
        <v>100</v>
      </c>
      <c r="R98" s="97">
        <v>100</v>
      </c>
      <c r="S98" s="97">
        <v>100</v>
      </c>
      <c r="T98" s="97">
        <v>100</v>
      </c>
      <c r="U98" s="97">
        <v>180</v>
      </c>
      <c r="V98" s="97">
        <v>200</v>
      </c>
      <c r="W98" s="97">
        <v>250</v>
      </c>
      <c r="X98" s="97">
        <v>280</v>
      </c>
      <c r="Y98" s="97">
        <v>280</v>
      </c>
      <c r="Z98" s="97">
        <v>280</v>
      </c>
      <c r="AA98" s="97">
        <v>250</v>
      </c>
      <c r="AB98" s="97"/>
      <c r="AC98" s="97"/>
      <c r="AD98" s="97"/>
      <c r="AE98" s="97"/>
      <c r="AF98" s="97"/>
      <c r="AG98" s="88"/>
      <c r="AH98" s="47">
        <f t="shared" si="39"/>
        <v>280</v>
      </c>
      <c r="AI98" s="48">
        <f t="shared" si="40"/>
        <v>0</v>
      </c>
    </row>
    <row r="99" spans="1:37" ht="15.75" thickBot="1" x14ac:dyDescent="0.3">
      <c r="A99" s="74" t="s">
        <v>102</v>
      </c>
      <c r="B99" s="95">
        <f t="shared" ref="B99:C99" si="57">B97+B98</f>
        <v>1192.54</v>
      </c>
      <c r="C99" s="95">
        <f t="shared" si="57"/>
        <v>1191.54</v>
      </c>
      <c r="D99" s="95">
        <f t="shared" ref="D99" si="58">D97+D98</f>
        <v>1145.04</v>
      </c>
      <c r="E99" s="95">
        <f t="shared" ref="E99:AB99" si="59">E97+E98</f>
        <v>1127.54</v>
      </c>
      <c r="F99" s="95">
        <f t="shared" si="59"/>
        <v>1174.74</v>
      </c>
      <c r="G99" s="95">
        <f t="shared" si="59"/>
        <v>1237.54</v>
      </c>
      <c r="H99" s="95">
        <f t="shared" si="59"/>
        <v>1272.44</v>
      </c>
      <c r="I99" s="95">
        <f t="shared" si="59"/>
        <v>1402.04</v>
      </c>
      <c r="J99" s="95">
        <f t="shared" si="59"/>
        <v>1509.3400000000001</v>
      </c>
      <c r="K99" s="95">
        <f t="shared" si="59"/>
        <v>1688.24</v>
      </c>
      <c r="L99" s="95">
        <f t="shared" si="59"/>
        <v>1828.74</v>
      </c>
      <c r="M99" s="95">
        <f t="shared" ref="M99:N99" si="60">M97+M98</f>
        <v>1792.24</v>
      </c>
      <c r="N99" s="95">
        <f t="shared" si="60"/>
        <v>1867.6000000000001</v>
      </c>
      <c r="O99" s="95">
        <f t="shared" ref="O99:P99" si="61">O97+O98</f>
        <v>1633.73</v>
      </c>
      <c r="P99" s="95">
        <f t="shared" si="61"/>
        <v>1568.3400000000001</v>
      </c>
      <c r="Q99" s="95">
        <f t="shared" ref="Q99:R99" si="62">Q97+Q98</f>
        <v>1663.94</v>
      </c>
      <c r="R99" s="95">
        <f t="shared" si="62"/>
        <v>1483.2400000000002</v>
      </c>
      <c r="S99" s="95">
        <f t="shared" si="59"/>
        <v>1503.64</v>
      </c>
      <c r="T99" s="95">
        <f t="shared" si="59"/>
        <v>1528.3400000000001</v>
      </c>
      <c r="U99" s="95">
        <f t="shared" si="59"/>
        <v>1587.6399999999999</v>
      </c>
      <c r="V99" s="95">
        <f t="shared" si="59"/>
        <v>1490.7400000000002</v>
      </c>
      <c r="W99" s="95">
        <f t="shared" si="59"/>
        <v>1509.54</v>
      </c>
      <c r="X99" s="95">
        <f t="shared" si="59"/>
        <v>1735.6399999999999</v>
      </c>
      <c r="Y99" s="95">
        <f>Y97+Y98</f>
        <v>1881</v>
      </c>
      <c r="Z99" s="95">
        <f>Z97+Z98</f>
        <v>1857.3000000000002</v>
      </c>
      <c r="AA99" s="95">
        <f t="shared" si="59"/>
        <v>1789.8400000000001</v>
      </c>
      <c r="AB99" s="95">
        <f t="shared" si="59"/>
        <v>1615.14</v>
      </c>
      <c r="AC99" s="95">
        <f t="shared" ref="AC99:AD99" si="63">AC97+AC98</f>
        <v>1545.44</v>
      </c>
      <c r="AD99" s="95">
        <f t="shared" si="63"/>
        <v>1472.44</v>
      </c>
      <c r="AE99" s="95">
        <f t="shared" ref="AE99:AF99" si="64">AE97+AE98</f>
        <v>1433.3400000000001</v>
      </c>
      <c r="AF99" s="95">
        <f t="shared" si="64"/>
        <v>1287.8400000000001</v>
      </c>
      <c r="AG99" s="88">
        <f>AG96+AG92+AG80+AG76+AG58+AG98</f>
        <v>1693.71</v>
      </c>
      <c r="AH99" s="47">
        <f t="shared" si="39"/>
        <v>1881</v>
      </c>
      <c r="AI99" s="48">
        <f t="shared" si="40"/>
        <v>1127.54</v>
      </c>
    </row>
    <row r="100" spans="1:37" ht="15.75" thickBot="1" x14ac:dyDescent="0.3">
      <c r="A100" s="74" t="s">
        <v>103</v>
      </c>
      <c r="B100" s="95">
        <f t="shared" ref="B100:C100" si="65">B99-(B107)</f>
        <v>1192.54</v>
      </c>
      <c r="C100" s="95">
        <f t="shared" si="65"/>
        <v>1191.54</v>
      </c>
      <c r="D100" s="95">
        <f t="shared" ref="D100" si="66">D99-(D107)</f>
        <v>1145.04</v>
      </c>
      <c r="E100" s="95">
        <f t="shared" ref="E100:L100" si="67">E99-(E107)</f>
        <v>1127.54</v>
      </c>
      <c r="F100" s="95">
        <f t="shared" si="67"/>
        <v>1174.74</v>
      </c>
      <c r="G100" s="95">
        <f t="shared" si="67"/>
        <v>1237.54</v>
      </c>
      <c r="H100" s="95">
        <f t="shared" si="67"/>
        <v>1272.44</v>
      </c>
      <c r="I100" s="95">
        <f t="shared" si="67"/>
        <v>1402.04</v>
      </c>
      <c r="J100" s="95">
        <f t="shared" si="67"/>
        <v>1509.3400000000001</v>
      </c>
      <c r="K100" s="95">
        <f t="shared" si="67"/>
        <v>1688.24</v>
      </c>
      <c r="L100" s="95">
        <f t="shared" si="67"/>
        <v>1828.74</v>
      </c>
      <c r="M100" s="95">
        <f t="shared" ref="M100:N100" si="68">M99-(M107)</f>
        <v>1792.24</v>
      </c>
      <c r="N100" s="95">
        <f t="shared" si="68"/>
        <v>1867.6000000000001</v>
      </c>
      <c r="O100" s="95">
        <f t="shared" ref="O100:P100" si="69">O99-(O107)</f>
        <v>1633.73</v>
      </c>
      <c r="P100" s="95">
        <f t="shared" si="69"/>
        <v>1568.3400000000001</v>
      </c>
      <c r="Q100" s="95">
        <f t="shared" ref="Q100:R100" si="70">Q99-(Q107)</f>
        <v>1663.94</v>
      </c>
      <c r="R100" s="95">
        <f t="shared" si="70"/>
        <v>1483.2400000000002</v>
      </c>
      <c r="S100" s="95">
        <f t="shared" ref="S100:AB100" si="71">S99-(S107)</f>
        <v>1503.64</v>
      </c>
      <c r="T100" s="95">
        <f t="shared" si="71"/>
        <v>1528.3400000000001</v>
      </c>
      <c r="U100" s="95">
        <f t="shared" si="71"/>
        <v>1587.6399999999999</v>
      </c>
      <c r="V100" s="95">
        <f t="shared" si="71"/>
        <v>1490.7400000000002</v>
      </c>
      <c r="W100" s="95">
        <f t="shared" si="71"/>
        <v>1509.54</v>
      </c>
      <c r="X100" s="95">
        <f t="shared" si="71"/>
        <v>1735.6399999999999</v>
      </c>
      <c r="Y100" s="95">
        <f t="shared" si="71"/>
        <v>1881</v>
      </c>
      <c r="Z100" s="95">
        <f t="shared" si="71"/>
        <v>1857.3000000000002</v>
      </c>
      <c r="AA100" s="95">
        <f t="shared" si="71"/>
        <v>1789.8400000000001</v>
      </c>
      <c r="AB100" s="95">
        <f t="shared" si="71"/>
        <v>1615.14</v>
      </c>
      <c r="AC100" s="95">
        <f t="shared" ref="AC100:AD100" si="72">AC99-(AC107)</f>
        <v>1544.44</v>
      </c>
      <c r="AD100" s="95">
        <f t="shared" si="72"/>
        <v>1470.44</v>
      </c>
      <c r="AE100" s="95">
        <f t="shared" ref="AE100:AF100" si="73">AE99-(AE107)</f>
        <v>1430.3400000000001</v>
      </c>
      <c r="AF100" s="95">
        <f t="shared" si="73"/>
        <v>1283.8400000000001</v>
      </c>
      <c r="AG100" s="88"/>
      <c r="AH100" s="47">
        <f t="shared" si="39"/>
        <v>1881</v>
      </c>
      <c r="AI100" s="48">
        <f t="shared" si="40"/>
        <v>1127.54</v>
      </c>
    </row>
    <row r="101" spans="1:37" x14ac:dyDescent="0.25">
      <c r="A101" s="44" t="s">
        <v>84</v>
      </c>
      <c r="B101" s="76">
        <f t="shared" ref="B101:C101" si="74">IF(B84&lt;0,B84*-1,0)</f>
        <v>0</v>
      </c>
      <c r="C101" s="76">
        <f t="shared" si="74"/>
        <v>0</v>
      </c>
      <c r="D101" s="76">
        <f t="shared" ref="D101" si="75">IF(D84&lt;0,D84*-1,0)</f>
        <v>0</v>
      </c>
      <c r="E101" s="76">
        <f t="shared" ref="E101:AB101" si="76">IF(E84&lt;0,E84*-1,0)</f>
        <v>0</v>
      </c>
      <c r="F101" s="76">
        <f t="shared" si="76"/>
        <v>0</v>
      </c>
      <c r="G101" s="76">
        <f t="shared" si="76"/>
        <v>0</v>
      </c>
      <c r="H101" s="76">
        <f t="shared" si="76"/>
        <v>0</v>
      </c>
      <c r="I101" s="76">
        <f t="shared" si="76"/>
        <v>0</v>
      </c>
      <c r="J101" s="76">
        <f t="shared" si="76"/>
        <v>0</v>
      </c>
      <c r="K101" s="76">
        <f t="shared" si="76"/>
        <v>0</v>
      </c>
      <c r="L101" s="76">
        <f t="shared" si="76"/>
        <v>0</v>
      </c>
      <c r="M101" s="76">
        <f t="shared" ref="M101:N101" si="77">IF(M84&lt;0,M84*-1,0)</f>
        <v>0</v>
      </c>
      <c r="N101" s="76">
        <f t="shared" si="77"/>
        <v>0</v>
      </c>
      <c r="O101" s="76">
        <f t="shared" ref="O101:P101" si="78">IF(O84&lt;0,O84*-1,0)</f>
        <v>0</v>
      </c>
      <c r="P101" s="76">
        <f t="shared" si="78"/>
        <v>0</v>
      </c>
      <c r="Q101" s="76">
        <f t="shared" ref="Q101:R101" si="79">IF(Q84&lt;0,Q84*-1,0)</f>
        <v>0</v>
      </c>
      <c r="R101" s="76">
        <f t="shared" si="79"/>
        <v>0</v>
      </c>
      <c r="S101" s="76">
        <f t="shared" si="76"/>
        <v>0</v>
      </c>
      <c r="T101" s="76">
        <f t="shared" si="76"/>
        <v>0</v>
      </c>
      <c r="U101" s="76">
        <f t="shared" si="76"/>
        <v>0</v>
      </c>
      <c r="V101" s="76">
        <f t="shared" si="76"/>
        <v>0</v>
      </c>
      <c r="W101" s="76">
        <f t="shared" si="76"/>
        <v>0</v>
      </c>
      <c r="X101" s="76">
        <f t="shared" si="76"/>
        <v>0</v>
      </c>
      <c r="Y101" s="76">
        <f t="shared" si="76"/>
        <v>0</v>
      </c>
      <c r="Z101" s="76">
        <f t="shared" si="76"/>
        <v>0</v>
      </c>
      <c r="AA101" s="76">
        <f t="shared" si="76"/>
        <v>0</v>
      </c>
      <c r="AB101" s="76">
        <f t="shared" si="76"/>
        <v>0</v>
      </c>
      <c r="AC101" s="76">
        <f t="shared" ref="AC101:AD101" si="80">IF(AC84&lt;0,AC84*-1,0)</f>
        <v>0</v>
      </c>
      <c r="AD101" s="76">
        <f t="shared" si="80"/>
        <v>0</v>
      </c>
      <c r="AE101" s="76">
        <f t="shared" ref="AE101:AF101" si="81">IF(AE84&lt;0,AE84*-1,0)</f>
        <v>0</v>
      </c>
      <c r="AF101" s="76">
        <f t="shared" si="81"/>
        <v>0</v>
      </c>
      <c r="AG101" s="52"/>
      <c r="AH101" s="47">
        <f t="shared" si="39"/>
        <v>0</v>
      </c>
      <c r="AI101" s="48">
        <f t="shared" si="40"/>
        <v>0</v>
      </c>
    </row>
    <row r="102" spans="1:37" x14ac:dyDescent="0.25">
      <c r="A102" s="54" t="s">
        <v>82</v>
      </c>
      <c r="B102" s="76">
        <f t="shared" ref="B102:C102" si="82">IF(B82&lt;0,B82*-1,0)</f>
        <v>0</v>
      </c>
      <c r="C102" s="76">
        <f t="shared" si="82"/>
        <v>0</v>
      </c>
      <c r="D102" s="76">
        <f t="shared" ref="D102" si="83">IF(D82&lt;0,D82*-1,0)</f>
        <v>0</v>
      </c>
      <c r="E102" s="76">
        <f t="shared" ref="E102:AB102" si="84">IF(E82&lt;0,E82*-1,0)</f>
        <v>0</v>
      </c>
      <c r="F102" s="76">
        <f t="shared" si="84"/>
        <v>0</v>
      </c>
      <c r="G102" s="76">
        <f t="shared" si="84"/>
        <v>0</v>
      </c>
      <c r="H102" s="76">
        <f t="shared" si="84"/>
        <v>0</v>
      </c>
      <c r="I102" s="76">
        <f t="shared" si="84"/>
        <v>0</v>
      </c>
      <c r="J102" s="76">
        <f t="shared" si="84"/>
        <v>0</v>
      </c>
      <c r="K102" s="76">
        <f t="shared" si="84"/>
        <v>0</v>
      </c>
      <c r="L102" s="76">
        <f t="shared" si="84"/>
        <v>0</v>
      </c>
      <c r="M102" s="76">
        <f t="shared" ref="M102:N102" si="85">IF(M82&lt;0,M82*-1,0)</f>
        <v>0</v>
      </c>
      <c r="N102" s="76">
        <f t="shared" si="85"/>
        <v>0</v>
      </c>
      <c r="O102" s="76">
        <f t="shared" ref="O102:P102" si="86">IF(O82&lt;0,O82*-1,0)</f>
        <v>0</v>
      </c>
      <c r="P102" s="76">
        <f t="shared" si="86"/>
        <v>0</v>
      </c>
      <c r="Q102" s="76">
        <f t="shared" ref="Q102:R102" si="87">IF(Q82&lt;0,Q82*-1,0)</f>
        <v>0</v>
      </c>
      <c r="R102" s="76">
        <f t="shared" si="87"/>
        <v>0</v>
      </c>
      <c r="S102" s="76">
        <f t="shared" si="84"/>
        <v>0</v>
      </c>
      <c r="T102" s="76">
        <f t="shared" si="84"/>
        <v>0</v>
      </c>
      <c r="U102" s="76">
        <f t="shared" si="84"/>
        <v>0</v>
      </c>
      <c r="V102" s="76">
        <f t="shared" si="84"/>
        <v>0</v>
      </c>
      <c r="W102" s="76">
        <f t="shared" si="84"/>
        <v>0</v>
      </c>
      <c r="X102" s="76">
        <f t="shared" si="84"/>
        <v>0</v>
      </c>
      <c r="Y102" s="76">
        <f t="shared" si="84"/>
        <v>0</v>
      </c>
      <c r="Z102" s="76">
        <f t="shared" si="84"/>
        <v>0</v>
      </c>
      <c r="AA102" s="76">
        <f t="shared" si="84"/>
        <v>0</v>
      </c>
      <c r="AB102" s="76">
        <f t="shared" si="84"/>
        <v>0</v>
      </c>
      <c r="AC102" s="76">
        <f t="shared" ref="AC102:AD102" si="88">IF(AC82&lt;0,AC82*-1,0)</f>
        <v>0</v>
      </c>
      <c r="AD102" s="76">
        <f t="shared" si="88"/>
        <v>0</v>
      </c>
      <c r="AE102" s="76">
        <f t="shared" ref="AE102:AF102" si="89">IF(AE82&lt;0,AE82*-1,0)</f>
        <v>0</v>
      </c>
      <c r="AF102" s="76">
        <f t="shared" si="89"/>
        <v>0</v>
      </c>
      <c r="AG102" s="55"/>
      <c r="AH102" s="47">
        <f t="shared" si="39"/>
        <v>0</v>
      </c>
      <c r="AI102" s="48">
        <f t="shared" si="40"/>
        <v>0</v>
      </c>
    </row>
    <row r="103" spans="1:37" x14ac:dyDescent="0.25">
      <c r="A103" s="84" t="s">
        <v>104</v>
      </c>
      <c r="B103" s="76">
        <f t="shared" ref="B103:C103" si="90">IF(B85&lt;0,B85*-1,0)</f>
        <v>0</v>
      </c>
      <c r="C103" s="76">
        <f t="shared" si="90"/>
        <v>0</v>
      </c>
      <c r="D103" s="76">
        <f t="shared" ref="D103" si="91">IF(D85&lt;0,D85*-1,0)</f>
        <v>0</v>
      </c>
      <c r="E103" s="76">
        <f t="shared" ref="E103:AB103" si="92">IF(E85&lt;0,E85*-1,0)</f>
        <v>0</v>
      </c>
      <c r="F103" s="76">
        <f t="shared" si="92"/>
        <v>0</v>
      </c>
      <c r="G103" s="76">
        <f t="shared" si="92"/>
        <v>0</v>
      </c>
      <c r="H103" s="76">
        <f t="shared" si="92"/>
        <v>0</v>
      </c>
      <c r="I103" s="76">
        <f t="shared" si="92"/>
        <v>0</v>
      </c>
      <c r="J103" s="76">
        <f t="shared" si="92"/>
        <v>0</v>
      </c>
      <c r="K103" s="76">
        <f t="shared" si="92"/>
        <v>0</v>
      </c>
      <c r="L103" s="76">
        <f t="shared" si="92"/>
        <v>0</v>
      </c>
      <c r="M103" s="76">
        <f t="shared" ref="M103:N103" si="93">IF(M85&lt;0,M85*-1,0)</f>
        <v>0</v>
      </c>
      <c r="N103" s="76">
        <f t="shared" si="93"/>
        <v>0</v>
      </c>
      <c r="O103" s="76">
        <f t="shared" ref="O103:P103" si="94">IF(O85&lt;0,O85*-1,0)</f>
        <v>0</v>
      </c>
      <c r="P103" s="76">
        <f t="shared" si="94"/>
        <v>0</v>
      </c>
      <c r="Q103" s="76">
        <f t="shared" ref="Q103:R103" si="95">IF(Q85&lt;0,Q85*-1,0)</f>
        <v>0</v>
      </c>
      <c r="R103" s="76">
        <f t="shared" si="95"/>
        <v>0</v>
      </c>
      <c r="S103" s="76">
        <f t="shared" si="92"/>
        <v>0</v>
      </c>
      <c r="T103" s="76">
        <f t="shared" si="92"/>
        <v>0</v>
      </c>
      <c r="U103" s="76">
        <f t="shared" si="92"/>
        <v>0</v>
      </c>
      <c r="V103" s="76">
        <f t="shared" si="92"/>
        <v>0</v>
      </c>
      <c r="W103" s="76">
        <f t="shared" si="92"/>
        <v>0</v>
      </c>
      <c r="X103" s="76">
        <f t="shared" si="92"/>
        <v>0</v>
      </c>
      <c r="Y103" s="76">
        <f t="shared" si="92"/>
        <v>0</v>
      </c>
      <c r="Z103" s="76">
        <f t="shared" si="92"/>
        <v>0</v>
      </c>
      <c r="AA103" s="76">
        <f t="shared" si="92"/>
        <v>0</v>
      </c>
      <c r="AB103" s="76">
        <f t="shared" si="92"/>
        <v>0</v>
      </c>
      <c r="AC103" s="76">
        <f t="shared" ref="AC103:AD103" si="96">IF(AC85&lt;0,AC85*-1,0)</f>
        <v>0</v>
      </c>
      <c r="AD103" s="76">
        <f t="shared" si="96"/>
        <v>0</v>
      </c>
      <c r="AE103" s="76">
        <f t="shared" ref="AE103:AF103" si="97">IF(AE85&lt;0,AE85*-1,0)</f>
        <v>0</v>
      </c>
      <c r="AF103" s="76">
        <f t="shared" si="97"/>
        <v>0</v>
      </c>
      <c r="AG103" s="98"/>
      <c r="AH103" s="47">
        <f t="shared" si="39"/>
        <v>0</v>
      </c>
      <c r="AI103" s="48">
        <f t="shared" si="40"/>
        <v>0</v>
      </c>
    </row>
    <row r="104" spans="1:37" x14ac:dyDescent="0.25">
      <c r="A104" s="84" t="s">
        <v>105</v>
      </c>
      <c r="B104" s="76">
        <f t="shared" ref="B104:C104" si="98">IF(B83&lt;0,B83*-1,0)</f>
        <v>0</v>
      </c>
      <c r="C104" s="76">
        <f t="shared" si="98"/>
        <v>0</v>
      </c>
      <c r="D104" s="76">
        <f t="shared" ref="D104" si="99">IF(D83&lt;0,D83*-1,0)</f>
        <v>0</v>
      </c>
      <c r="E104" s="76">
        <f t="shared" ref="E104:AB104" si="100">IF(E83&lt;0,E83*-1,0)</f>
        <v>0</v>
      </c>
      <c r="F104" s="76">
        <f t="shared" si="100"/>
        <v>0</v>
      </c>
      <c r="G104" s="76">
        <f t="shared" si="100"/>
        <v>0</v>
      </c>
      <c r="H104" s="76">
        <f t="shared" si="100"/>
        <v>0</v>
      </c>
      <c r="I104" s="76">
        <f t="shared" si="100"/>
        <v>0</v>
      </c>
      <c r="J104" s="76">
        <f t="shared" si="100"/>
        <v>0</v>
      </c>
      <c r="K104" s="76">
        <f t="shared" si="100"/>
        <v>0</v>
      </c>
      <c r="L104" s="76">
        <f t="shared" si="100"/>
        <v>0</v>
      </c>
      <c r="M104" s="76">
        <f t="shared" ref="M104:N104" si="101">IF(M83&lt;0,M83*-1,0)</f>
        <v>0</v>
      </c>
      <c r="N104" s="76">
        <f t="shared" si="101"/>
        <v>0</v>
      </c>
      <c r="O104" s="76">
        <f t="shared" ref="O104:P104" si="102">IF(O83&lt;0,O83*-1,0)</f>
        <v>0</v>
      </c>
      <c r="P104" s="76">
        <f t="shared" si="102"/>
        <v>0</v>
      </c>
      <c r="Q104" s="76">
        <f t="shared" ref="Q104:R104" si="103">IF(Q83&lt;0,Q83*-1,0)</f>
        <v>0</v>
      </c>
      <c r="R104" s="76">
        <f t="shared" si="103"/>
        <v>0</v>
      </c>
      <c r="S104" s="76">
        <f t="shared" si="100"/>
        <v>0</v>
      </c>
      <c r="T104" s="76">
        <f t="shared" si="100"/>
        <v>0</v>
      </c>
      <c r="U104" s="76">
        <f t="shared" si="100"/>
        <v>0</v>
      </c>
      <c r="V104" s="76">
        <f t="shared" si="100"/>
        <v>0</v>
      </c>
      <c r="W104" s="76">
        <f t="shared" si="100"/>
        <v>0</v>
      </c>
      <c r="X104" s="76">
        <f t="shared" si="100"/>
        <v>0</v>
      </c>
      <c r="Y104" s="76">
        <f t="shared" si="100"/>
        <v>0</v>
      </c>
      <c r="Z104" s="76">
        <f t="shared" si="100"/>
        <v>0</v>
      </c>
      <c r="AA104" s="76">
        <f t="shared" si="100"/>
        <v>0</v>
      </c>
      <c r="AB104" s="76">
        <f t="shared" si="100"/>
        <v>0</v>
      </c>
      <c r="AC104" s="76">
        <f t="shared" ref="AC104:AD104" si="104">IF(AC83&lt;0,AC83*-1,0)</f>
        <v>0</v>
      </c>
      <c r="AD104" s="76">
        <f t="shared" si="104"/>
        <v>0</v>
      </c>
      <c r="AE104" s="76">
        <f t="shared" ref="AE104:AF104" si="105">IF(AE83&lt;0,AE83*-1,0)</f>
        <v>0</v>
      </c>
      <c r="AF104" s="76">
        <f t="shared" si="105"/>
        <v>0</v>
      </c>
      <c r="AG104" s="98"/>
      <c r="AH104" s="47">
        <f t="shared" si="39"/>
        <v>0</v>
      </c>
      <c r="AI104" s="48">
        <f t="shared" si="40"/>
        <v>0</v>
      </c>
    </row>
    <row r="105" spans="1:37" x14ac:dyDescent="0.25">
      <c r="A105" s="84" t="s">
        <v>81</v>
      </c>
      <c r="B105" s="76">
        <f t="shared" ref="B105:C105" si="106">IF(B81&lt;0,B81*-1,0)</f>
        <v>0</v>
      </c>
      <c r="C105" s="76">
        <f t="shared" si="106"/>
        <v>0</v>
      </c>
      <c r="D105" s="76">
        <f t="shared" ref="D105" si="107">IF(D81&lt;0,D81*-1,0)</f>
        <v>0</v>
      </c>
      <c r="E105" s="76">
        <f t="shared" ref="E105:AB105" si="108">IF(E81&lt;0,E81*-1,0)</f>
        <v>0</v>
      </c>
      <c r="F105" s="76">
        <f t="shared" si="108"/>
        <v>0</v>
      </c>
      <c r="G105" s="76">
        <f t="shared" si="108"/>
        <v>0</v>
      </c>
      <c r="H105" s="76">
        <f t="shared" si="108"/>
        <v>0</v>
      </c>
      <c r="I105" s="76">
        <f t="shared" si="108"/>
        <v>0</v>
      </c>
      <c r="J105" s="76">
        <f t="shared" si="108"/>
        <v>0</v>
      </c>
      <c r="K105" s="76">
        <f t="shared" si="108"/>
        <v>0</v>
      </c>
      <c r="L105" s="76">
        <f t="shared" si="108"/>
        <v>0</v>
      </c>
      <c r="M105" s="76">
        <f t="shared" ref="M105:N105" si="109">IF(M81&lt;0,M81*-1,0)</f>
        <v>0</v>
      </c>
      <c r="N105" s="76">
        <f t="shared" si="109"/>
        <v>0</v>
      </c>
      <c r="O105" s="76">
        <f t="shared" ref="O105:P105" si="110">IF(O81&lt;0,O81*-1,0)</f>
        <v>0</v>
      </c>
      <c r="P105" s="76">
        <f t="shared" si="110"/>
        <v>0</v>
      </c>
      <c r="Q105" s="76">
        <f t="shared" ref="Q105:R105" si="111">IF(Q81&lt;0,Q81*-1,0)</f>
        <v>0</v>
      </c>
      <c r="R105" s="76">
        <f t="shared" si="111"/>
        <v>0</v>
      </c>
      <c r="S105" s="76">
        <f t="shared" si="108"/>
        <v>0</v>
      </c>
      <c r="T105" s="76">
        <f t="shared" si="108"/>
        <v>0</v>
      </c>
      <c r="U105" s="76">
        <f t="shared" si="108"/>
        <v>0</v>
      </c>
      <c r="V105" s="76">
        <f t="shared" si="108"/>
        <v>0</v>
      </c>
      <c r="W105" s="76">
        <f t="shared" si="108"/>
        <v>0</v>
      </c>
      <c r="X105" s="76">
        <f t="shared" si="108"/>
        <v>0</v>
      </c>
      <c r="Y105" s="76">
        <f t="shared" si="108"/>
        <v>0</v>
      </c>
      <c r="Z105" s="76">
        <f t="shared" si="108"/>
        <v>0</v>
      </c>
      <c r="AA105" s="76">
        <f t="shared" si="108"/>
        <v>0</v>
      </c>
      <c r="AB105" s="76">
        <f t="shared" si="108"/>
        <v>0</v>
      </c>
      <c r="AC105" s="76">
        <f t="shared" ref="AC105:AD105" si="112">IF(AC81&lt;0,AC81*-1,0)</f>
        <v>0</v>
      </c>
      <c r="AD105" s="76">
        <f t="shared" si="112"/>
        <v>0</v>
      </c>
      <c r="AE105" s="76">
        <f t="shared" ref="AE105:AF105" si="113">IF(AE81&lt;0,AE81*-1,0)</f>
        <v>0</v>
      </c>
      <c r="AF105" s="76">
        <f t="shared" si="113"/>
        <v>0</v>
      </c>
      <c r="AG105" s="98"/>
      <c r="AH105" s="47">
        <f t="shared" si="39"/>
        <v>0</v>
      </c>
      <c r="AI105" s="48">
        <f t="shared" si="40"/>
        <v>0</v>
      </c>
    </row>
    <row r="106" spans="1:37" ht="15.75" thickBot="1" x14ac:dyDescent="0.3">
      <c r="A106" s="84" t="s">
        <v>106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0</v>
      </c>
      <c r="AB106" s="94">
        <v>0</v>
      </c>
      <c r="AC106" s="94">
        <v>1</v>
      </c>
      <c r="AD106" s="94">
        <v>2</v>
      </c>
      <c r="AE106" s="94">
        <v>3</v>
      </c>
      <c r="AF106" s="94">
        <v>4</v>
      </c>
      <c r="AG106" s="85"/>
      <c r="AH106" s="47">
        <f t="shared" si="39"/>
        <v>4</v>
      </c>
      <c r="AI106" s="48">
        <f t="shared" si="40"/>
        <v>0</v>
      </c>
    </row>
    <row r="107" spans="1:37" ht="15.75" thickBot="1" x14ac:dyDescent="0.3">
      <c r="A107" s="99" t="s">
        <v>107</v>
      </c>
      <c r="B107" s="60">
        <f t="shared" ref="B107:C107" si="114">SUM(B101:B106)</f>
        <v>0</v>
      </c>
      <c r="C107" s="60">
        <f t="shared" si="114"/>
        <v>0</v>
      </c>
      <c r="D107" s="60">
        <f t="shared" ref="D107" si="115">SUM(D101:D106)</f>
        <v>0</v>
      </c>
      <c r="E107" s="60">
        <f t="shared" ref="E107:AB107" si="116">SUM(E101:E106)</f>
        <v>0</v>
      </c>
      <c r="F107" s="60">
        <f t="shared" si="116"/>
        <v>0</v>
      </c>
      <c r="G107" s="60">
        <f t="shared" si="116"/>
        <v>0</v>
      </c>
      <c r="H107" s="60">
        <f t="shared" si="116"/>
        <v>0</v>
      </c>
      <c r="I107" s="60">
        <f t="shared" si="116"/>
        <v>0</v>
      </c>
      <c r="J107" s="60">
        <f t="shared" si="116"/>
        <v>0</v>
      </c>
      <c r="K107" s="60">
        <f t="shared" si="116"/>
        <v>0</v>
      </c>
      <c r="L107" s="60">
        <f t="shared" si="116"/>
        <v>0</v>
      </c>
      <c r="M107" s="60">
        <v>0</v>
      </c>
      <c r="N107" s="60">
        <v>0</v>
      </c>
      <c r="O107" s="60">
        <v>0</v>
      </c>
      <c r="P107" s="60">
        <v>0</v>
      </c>
      <c r="Q107" s="60">
        <v>0</v>
      </c>
      <c r="R107" s="60">
        <v>0</v>
      </c>
      <c r="S107" s="60">
        <f t="shared" si="116"/>
        <v>0</v>
      </c>
      <c r="T107" s="60">
        <f t="shared" si="116"/>
        <v>0</v>
      </c>
      <c r="U107" s="60">
        <f t="shared" si="116"/>
        <v>0</v>
      </c>
      <c r="V107" s="60">
        <f t="shared" si="116"/>
        <v>0</v>
      </c>
      <c r="W107" s="60">
        <f t="shared" si="116"/>
        <v>0</v>
      </c>
      <c r="X107" s="60">
        <f t="shared" si="116"/>
        <v>0</v>
      </c>
      <c r="Y107" s="60">
        <f t="shared" si="116"/>
        <v>0</v>
      </c>
      <c r="Z107" s="60">
        <f t="shared" si="116"/>
        <v>0</v>
      </c>
      <c r="AA107" s="60">
        <f t="shared" si="116"/>
        <v>0</v>
      </c>
      <c r="AB107" s="60">
        <f t="shared" si="116"/>
        <v>0</v>
      </c>
      <c r="AC107" s="60">
        <f t="shared" ref="AC107:AD107" si="117">SUM(AC101:AC106)</f>
        <v>1</v>
      </c>
      <c r="AD107" s="60">
        <f t="shared" si="117"/>
        <v>2</v>
      </c>
      <c r="AE107" s="60">
        <f t="shared" ref="AE107:AF107" si="118">SUM(AE101:AE106)</f>
        <v>3</v>
      </c>
      <c r="AF107" s="60">
        <f t="shared" si="118"/>
        <v>4</v>
      </c>
      <c r="AG107" s="88"/>
      <c r="AH107" s="47">
        <f t="shared" si="39"/>
        <v>4</v>
      </c>
      <c r="AI107" s="48">
        <f t="shared" si="40"/>
        <v>0</v>
      </c>
      <c r="AK107" s="50"/>
    </row>
    <row r="108" spans="1:37" ht="15.75" thickBot="1" x14ac:dyDescent="0.3">
      <c r="A108" s="74" t="s">
        <v>108</v>
      </c>
      <c r="B108" s="60">
        <f t="shared" ref="B108:C108" si="119">B92-B107</f>
        <v>563</v>
      </c>
      <c r="C108" s="60">
        <f t="shared" si="119"/>
        <v>572</v>
      </c>
      <c r="D108" s="60">
        <f t="shared" ref="D108" si="120">D92-D107</f>
        <v>509.5</v>
      </c>
      <c r="E108" s="60">
        <f t="shared" ref="E108:AB108" si="121">E92-E107</f>
        <v>492.4</v>
      </c>
      <c r="F108" s="60">
        <f t="shared" si="121"/>
        <v>539.79999999999995</v>
      </c>
      <c r="G108" s="60">
        <f t="shared" si="121"/>
        <v>572.9</v>
      </c>
      <c r="H108" s="60">
        <f t="shared" si="121"/>
        <v>556.9</v>
      </c>
      <c r="I108" s="60">
        <f t="shared" si="121"/>
        <v>594.6</v>
      </c>
      <c r="J108" s="60">
        <f t="shared" si="121"/>
        <v>646.9</v>
      </c>
      <c r="K108" s="60">
        <f t="shared" si="121"/>
        <v>373.7</v>
      </c>
      <c r="L108" s="60">
        <f t="shared" si="121"/>
        <v>238.2</v>
      </c>
      <c r="M108" s="60">
        <f t="shared" ref="M108:N108" si="122">M92-M107</f>
        <v>184</v>
      </c>
      <c r="N108" s="60">
        <f t="shared" si="122"/>
        <v>385.66</v>
      </c>
      <c r="O108" s="60">
        <f t="shared" ref="O108:P108" si="123">O92-O107</f>
        <v>412.29</v>
      </c>
      <c r="P108" s="60">
        <f t="shared" si="123"/>
        <v>573.59999999999991</v>
      </c>
      <c r="Q108" s="60">
        <f t="shared" ref="Q108:R108" si="124">Q92-Q107</f>
        <v>679.6</v>
      </c>
      <c r="R108" s="60">
        <f t="shared" si="124"/>
        <v>523.9</v>
      </c>
      <c r="S108" s="60">
        <f t="shared" si="121"/>
        <v>562</v>
      </c>
      <c r="T108" s="60">
        <f t="shared" si="121"/>
        <v>603.1</v>
      </c>
      <c r="U108" s="60">
        <f t="shared" si="121"/>
        <v>679.4</v>
      </c>
      <c r="V108" s="60">
        <f t="shared" si="121"/>
        <v>512.6</v>
      </c>
      <c r="W108" s="60">
        <f t="shared" si="121"/>
        <v>331.3</v>
      </c>
      <c r="X108" s="60">
        <f t="shared" si="121"/>
        <v>305.10000000000002</v>
      </c>
      <c r="Y108" s="60">
        <f>Y92-Y107</f>
        <v>344</v>
      </c>
      <c r="Z108" s="60">
        <f>Z92-Z107</f>
        <v>284</v>
      </c>
      <c r="AA108" s="60">
        <f t="shared" si="121"/>
        <v>341</v>
      </c>
      <c r="AB108" s="60">
        <f t="shared" si="121"/>
        <v>415.7</v>
      </c>
      <c r="AC108" s="60">
        <f t="shared" ref="AC108:AD108" si="125">AC92-AC107</f>
        <v>538</v>
      </c>
      <c r="AD108" s="60">
        <f t="shared" si="125"/>
        <v>577.29999999999995</v>
      </c>
      <c r="AE108" s="60">
        <f t="shared" ref="AE108:AF108" si="126">AE92-AE107</f>
        <v>604.9</v>
      </c>
      <c r="AF108" s="60">
        <f t="shared" si="126"/>
        <v>539.29999999999995</v>
      </c>
      <c r="AG108" s="88"/>
      <c r="AH108" s="47">
        <f t="shared" si="39"/>
        <v>679.6</v>
      </c>
      <c r="AI108" s="48">
        <f t="shared" si="40"/>
        <v>184</v>
      </c>
    </row>
    <row r="109" spans="1:37" x14ac:dyDescent="0.25">
      <c r="A109" s="100" t="s">
        <v>109</v>
      </c>
      <c r="B109" s="101">
        <v>49.99</v>
      </c>
      <c r="C109" s="101">
        <v>49.99</v>
      </c>
      <c r="D109" s="101">
        <v>50.04</v>
      </c>
      <c r="E109" s="101">
        <v>50.01</v>
      </c>
      <c r="F109" s="101">
        <v>50.110999999999997</v>
      </c>
      <c r="G109" s="101">
        <v>50.021999999999998</v>
      </c>
      <c r="H109" s="101">
        <v>50.015000000000001</v>
      </c>
      <c r="I109" s="101">
        <v>50.031999999999996</v>
      </c>
      <c r="J109" s="101">
        <v>50.04</v>
      </c>
      <c r="K109" s="101">
        <v>50.029000000000003</v>
      </c>
      <c r="L109" s="101">
        <v>49.932000000000002</v>
      </c>
      <c r="M109" s="101">
        <v>50.02</v>
      </c>
      <c r="N109" s="101">
        <v>50.02</v>
      </c>
      <c r="O109" s="101">
        <v>50.09</v>
      </c>
      <c r="P109" s="101">
        <v>50.01</v>
      </c>
      <c r="Q109" s="101">
        <v>50</v>
      </c>
      <c r="R109" s="101">
        <v>49.98</v>
      </c>
      <c r="S109" s="101">
        <v>49.962000000000003</v>
      </c>
      <c r="T109" s="101">
        <v>50.046999999999997</v>
      </c>
      <c r="U109" s="101">
        <v>49.94</v>
      </c>
      <c r="V109" s="101">
        <v>49.918999999999997</v>
      </c>
      <c r="W109" s="101">
        <v>50.064</v>
      </c>
      <c r="X109" s="101">
        <v>49.997999999999998</v>
      </c>
      <c r="Y109" s="101">
        <v>49.945999999999998</v>
      </c>
      <c r="Z109" s="101">
        <v>50.023000000000003</v>
      </c>
      <c r="AA109" s="101">
        <v>50.006999999999998</v>
      </c>
      <c r="AB109" s="101">
        <v>50.023000000000003</v>
      </c>
      <c r="AC109" s="101">
        <v>49.9</v>
      </c>
      <c r="AD109" s="101">
        <v>50.07</v>
      </c>
      <c r="AE109" s="101">
        <v>50.027000000000001</v>
      </c>
      <c r="AF109" s="101">
        <v>50.01</v>
      </c>
      <c r="AG109" s="102"/>
      <c r="AH109" s="47">
        <f t="shared" si="39"/>
        <v>50.110999999999997</v>
      </c>
      <c r="AI109" s="48">
        <f t="shared" si="40"/>
        <v>49.9</v>
      </c>
    </row>
    <row r="110" spans="1:37" x14ac:dyDescent="0.25">
      <c r="A110" s="103" t="s">
        <v>110</v>
      </c>
      <c r="B110" s="65">
        <v>127</v>
      </c>
      <c r="C110" s="65">
        <v>128</v>
      </c>
      <c r="D110" s="65">
        <v>124</v>
      </c>
      <c r="E110" s="65">
        <v>130.1</v>
      </c>
      <c r="F110" s="65">
        <v>127.2</v>
      </c>
      <c r="G110" s="65">
        <v>125.6</v>
      </c>
      <c r="H110" s="65">
        <v>127.6</v>
      </c>
      <c r="I110" s="65">
        <v>127.6</v>
      </c>
      <c r="J110" s="65">
        <v>124.9</v>
      </c>
      <c r="K110" s="65">
        <v>124.5</v>
      </c>
      <c r="L110" s="65">
        <v>124.9</v>
      </c>
      <c r="M110" s="65">
        <v>124.5</v>
      </c>
      <c r="N110" s="65">
        <v>124.5</v>
      </c>
      <c r="O110" s="65">
        <v>124.5</v>
      </c>
      <c r="P110" s="65">
        <v>125.4</v>
      </c>
      <c r="Q110" s="65">
        <v>122.1</v>
      </c>
      <c r="R110" s="65">
        <v>128.4</v>
      </c>
      <c r="S110" s="65">
        <v>123.7</v>
      </c>
      <c r="T110" s="65">
        <v>125.9</v>
      </c>
      <c r="U110" s="65">
        <v>125.6</v>
      </c>
      <c r="V110" s="65">
        <v>129.5</v>
      </c>
      <c r="W110" s="65">
        <v>129.4</v>
      </c>
      <c r="X110" s="65">
        <v>127.8</v>
      </c>
      <c r="Y110" s="65">
        <v>126</v>
      </c>
      <c r="Z110" s="65">
        <v>126.8</v>
      </c>
      <c r="AA110" s="65">
        <v>126.9</v>
      </c>
      <c r="AB110" s="65">
        <v>127.2</v>
      </c>
      <c r="AC110" s="65">
        <v>127.2</v>
      </c>
      <c r="AD110" s="65">
        <v>124.6</v>
      </c>
      <c r="AE110" s="65">
        <v>124.6</v>
      </c>
      <c r="AF110" s="65">
        <v>124.6</v>
      </c>
      <c r="AG110" s="104"/>
      <c r="AH110" s="47">
        <f t="shared" si="39"/>
        <v>130.1</v>
      </c>
      <c r="AI110" s="48">
        <f t="shared" si="40"/>
        <v>122.1</v>
      </c>
    </row>
    <row r="111" spans="1:37" x14ac:dyDescent="0.25">
      <c r="A111" s="103" t="s">
        <v>111</v>
      </c>
      <c r="B111" s="65">
        <v>132</v>
      </c>
      <c r="C111" s="65">
        <v>132</v>
      </c>
      <c r="D111" s="65">
        <v>65.3</v>
      </c>
      <c r="E111" s="65">
        <v>134</v>
      </c>
      <c r="F111" s="65">
        <v>132.5</v>
      </c>
      <c r="G111" s="65">
        <v>130.6</v>
      </c>
      <c r="H111" s="65">
        <v>131.19999999999999</v>
      </c>
      <c r="I111" s="65">
        <v>131.19999999999999</v>
      </c>
      <c r="J111" s="65">
        <v>128</v>
      </c>
      <c r="K111" s="65">
        <v>125.9</v>
      </c>
      <c r="L111" s="65">
        <v>126.1</v>
      </c>
      <c r="M111" s="65">
        <v>125.5</v>
      </c>
      <c r="N111" s="65">
        <v>125.5</v>
      </c>
      <c r="O111" s="65">
        <v>125.5</v>
      </c>
      <c r="P111" s="65">
        <v>126.9</v>
      </c>
      <c r="Q111" s="65">
        <v>124.9</v>
      </c>
      <c r="R111" s="65">
        <v>129.69999999999999</v>
      </c>
      <c r="S111" s="65">
        <v>126.7</v>
      </c>
      <c r="T111" s="65">
        <v>128.30000000000001</v>
      </c>
      <c r="U111" s="65">
        <v>128</v>
      </c>
      <c r="V111" s="65">
        <v>130.6</v>
      </c>
      <c r="W111" s="65">
        <v>130.6</v>
      </c>
      <c r="X111" s="65">
        <v>128.80000000000001</v>
      </c>
      <c r="Y111" s="65">
        <v>126.9</v>
      </c>
      <c r="Z111" s="65">
        <v>129</v>
      </c>
      <c r="AA111" s="65">
        <v>128.1</v>
      </c>
      <c r="AB111" s="65">
        <v>128.5</v>
      </c>
      <c r="AC111" s="65">
        <v>128.5</v>
      </c>
      <c r="AD111" s="65">
        <v>127.38</v>
      </c>
      <c r="AE111" s="65">
        <v>127.38</v>
      </c>
      <c r="AF111" s="65">
        <v>127.38</v>
      </c>
      <c r="AG111" s="104"/>
      <c r="AH111" s="47">
        <f t="shared" si="39"/>
        <v>134</v>
      </c>
      <c r="AI111" s="48">
        <f t="shared" si="40"/>
        <v>65.3</v>
      </c>
    </row>
    <row r="112" spans="1:37" x14ac:dyDescent="0.25">
      <c r="A112" s="103" t="s">
        <v>112</v>
      </c>
      <c r="B112" s="65">
        <v>129</v>
      </c>
      <c r="C112" s="65">
        <v>130</v>
      </c>
      <c r="D112" s="65">
        <v>130</v>
      </c>
      <c r="E112" s="65">
        <v>131.80000000000001</v>
      </c>
      <c r="F112" s="65">
        <v>129.5</v>
      </c>
      <c r="G112" s="65">
        <v>129.4</v>
      </c>
      <c r="H112" s="65">
        <v>129</v>
      </c>
      <c r="I112" s="65">
        <v>129</v>
      </c>
      <c r="J112" s="65">
        <v>127.5</v>
      </c>
      <c r="K112" s="65">
        <v>127.4</v>
      </c>
      <c r="L112" s="65">
        <v>126.8</v>
      </c>
      <c r="M112" s="65">
        <v>126.5</v>
      </c>
      <c r="N112" s="65">
        <v>126.5</v>
      </c>
      <c r="O112" s="65">
        <v>126.5</v>
      </c>
      <c r="P112" s="65">
        <v>127.8</v>
      </c>
      <c r="Q112" s="65">
        <v>1225</v>
      </c>
      <c r="R112" s="65">
        <v>129.9</v>
      </c>
      <c r="S112" s="65">
        <v>125.4</v>
      </c>
      <c r="T112" s="65">
        <v>127.7</v>
      </c>
      <c r="U112" s="65">
        <v>126.7</v>
      </c>
      <c r="V112" s="65">
        <v>127.3</v>
      </c>
      <c r="W112" s="65">
        <v>129.4</v>
      </c>
      <c r="X112" s="65">
        <v>125.3</v>
      </c>
      <c r="Y112" s="65">
        <v>127.5</v>
      </c>
      <c r="Z112" s="65">
        <v>127.4</v>
      </c>
      <c r="AA112" s="65">
        <v>129.6</v>
      </c>
      <c r="AB112" s="65">
        <v>127</v>
      </c>
      <c r="AC112" s="65">
        <v>127</v>
      </c>
      <c r="AD112" s="65">
        <v>128.5</v>
      </c>
      <c r="AE112" s="65">
        <v>128.5</v>
      </c>
      <c r="AF112" s="65">
        <v>128.5</v>
      </c>
      <c r="AG112" s="104"/>
      <c r="AH112" s="47">
        <f t="shared" si="39"/>
        <v>1225</v>
      </c>
      <c r="AI112" s="48">
        <f t="shared" si="40"/>
        <v>125.3</v>
      </c>
    </row>
    <row r="113" spans="1:35" x14ac:dyDescent="0.25">
      <c r="A113" s="105" t="s">
        <v>113</v>
      </c>
      <c r="B113" s="65">
        <v>131.6</v>
      </c>
      <c r="C113" s="65">
        <v>132</v>
      </c>
      <c r="D113" s="65">
        <v>132</v>
      </c>
      <c r="E113" s="65">
        <v>133.9</v>
      </c>
      <c r="F113" s="65">
        <v>132.1</v>
      </c>
      <c r="G113" s="65">
        <v>131.1</v>
      </c>
      <c r="H113" s="65">
        <v>130.80000000000001</v>
      </c>
      <c r="I113" s="65">
        <v>130.80000000000001</v>
      </c>
      <c r="J113" s="65">
        <v>129.69999999999999</v>
      </c>
      <c r="K113" s="65">
        <v>129.80000000000001</v>
      </c>
      <c r="L113" s="65">
        <v>128.19999999999999</v>
      </c>
      <c r="M113" s="65">
        <v>127.1</v>
      </c>
      <c r="N113" s="65">
        <v>127.1</v>
      </c>
      <c r="O113" s="65">
        <v>127.1</v>
      </c>
      <c r="P113" s="65">
        <v>129</v>
      </c>
      <c r="Q113" s="65">
        <v>125.2</v>
      </c>
      <c r="R113" s="65">
        <v>131.80000000000001</v>
      </c>
      <c r="S113" s="65">
        <v>127.7</v>
      </c>
      <c r="T113" s="65">
        <v>130.6</v>
      </c>
      <c r="U113" s="65">
        <v>129.1</v>
      </c>
      <c r="V113" s="65">
        <v>139</v>
      </c>
      <c r="W113" s="65">
        <v>129.6</v>
      </c>
      <c r="X113" s="65">
        <v>127</v>
      </c>
      <c r="Y113" s="65">
        <v>128.80000000000001</v>
      </c>
      <c r="Z113" s="65">
        <v>129</v>
      </c>
      <c r="AA113" s="65">
        <v>132.1</v>
      </c>
      <c r="AB113" s="65">
        <v>130</v>
      </c>
      <c r="AC113" s="65">
        <v>130</v>
      </c>
      <c r="AD113" s="65">
        <v>131.1</v>
      </c>
      <c r="AE113" s="65">
        <v>131.1</v>
      </c>
      <c r="AF113" s="65">
        <v>131.1</v>
      </c>
      <c r="AG113" s="104"/>
      <c r="AH113" s="47">
        <f t="shared" si="39"/>
        <v>139</v>
      </c>
      <c r="AI113" s="48">
        <f t="shared" si="40"/>
        <v>125.2</v>
      </c>
    </row>
    <row r="114" spans="1:35" x14ac:dyDescent="0.25">
      <c r="A114" s="105" t="s">
        <v>114</v>
      </c>
      <c r="B114" s="106">
        <v>130</v>
      </c>
      <c r="C114" s="106">
        <v>129.30000000000001</v>
      </c>
      <c r="D114" s="106">
        <v>127</v>
      </c>
      <c r="E114" s="106">
        <v>137.1</v>
      </c>
      <c r="F114" s="106">
        <v>130.5</v>
      </c>
      <c r="G114" s="106">
        <v>129.19999999999999</v>
      </c>
      <c r="H114" s="106">
        <v>133.6</v>
      </c>
      <c r="I114" s="106">
        <v>133.6</v>
      </c>
      <c r="J114" s="106">
        <v>131.19999999999999</v>
      </c>
      <c r="K114" s="106">
        <v>130.19999999999999</v>
      </c>
      <c r="L114" s="106">
        <v>131.9</v>
      </c>
      <c r="M114" s="106">
        <v>131.19999999999999</v>
      </c>
      <c r="N114" s="106">
        <v>131.19999999999999</v>
      </c>
      <c r="O114" s="106">
        <v>131.19999999999999</v>
      </c>
      <c r="P114" s="106">
        <v>132.30000000000001</v>
      </c>
      <c r="Q114" s="106">
        <v>131.4</v>
      </c>
      <c r="R114" s="106">
        <v>136.1</v>
      </c>
      <c r="S114" s="106">
        <v>132.6</v>
      </c>
      <c r="T114" s="106">
        <v>131.1</v>
      </c>
      <c r="U114" s="106">
        <v>133.6</v>
      </c>
      <c r="V114" s="106">
        <v>136.4</v>
      </c>
      <c r="W114" s="106">
        <v>136.4</v>
      </c>
      <c r="X114" s="106">
        <v>133.69999999999999</v>
      </c>
      <c r="Y114" s="106">
        <v>132.4</v>
      </c>
      <c r="Z114" s="106">
        <v>130.69999999999999</v>
      </c>
      <c r="AA114" s="106">
        <v>135</v>
      </c>
      <c r="AB114" s="106">
        <v>135.69999999999999</v>
      </c>
      <c r="AC114" s="106">
        <v>135.69999999999999</v>
      </c>
      <c r="AD114" s="106">
        <v>132.1</v>
      </c>
      <c r="AE114" s="106">
        <v>132.1</v>
      </c>
      <c r="AF114" s="106">
        <v>132.1</v>
      </c>
      <c r="AG114" s="107"/>
      <c r="AH114" s="47">
        <f t="shared" si="39"/>
        <v>137.1</v>
      </c>
      <c r="AI114" s="48">
        <f t="shared" si="40"/>
        <v>127</v>
      </c>
    </row>
    <row r="115" spans="1:35" x14ac:dyDescent="0.25">
      <c r="A115" s="103" t="s">
        <v>115</v>
      </c>
      <c r="B115" s="65">
        <v>132</v>
      </c>
      <c r="C115" s="65">
        <v>129</v>
      </c>
      <c r="D115" s="65">
        <v>129</v>
      </c>
      <c r="E115" s="65">
        <v>130</v>
      </c>
      <c r="F115" s="65">
        <v>126.9</v>
      </c>
      <c r="G115" s="65">
        <v>129.6</v>
      </c>
      <c r="H115" s="65">
        <v>133.30000000000001</v>
      </c>
      <c r="I115" s="65">
        <v>133.30000000000001</v>
      </c>
      <c r="J115" s="65">
        <v>127.7</v>
      </c>
      <c r="K115" s="65">
        <v>130.9</v>
      </c>
      <c r="L115" s="65">
        <v>133.1</v>
      </c>
      <c r="M115" s="65">
        <v>133.9</v>
      </c>
      <c r="N115" s="65">
        <v>133.9</v>
      </c>
      <c r="O115" s="65">
        <v>133.9</v>
      </c>
      <c r="P115" s="65">
        <v>128</v>
      </c>
      <c r="Q115" s="65">
        <v>132.5</v>
      </c>
      <c r="R115" s="65">
        <v>132.6</v>
      </c>
      <c r="S115" s="65">
        <v>133.4</v>
      </c>
      <c r="T115" s="65">
        <v>132</v>
      </c>
      <c r="U115" s="65">
        <v>124.9</v>
      </c>
      <c r="V115" s="65">
        <v>130.4</v>
      </c>
      <c r="W115" s="65">
        <v>131.19999999999999</v>
      </c>
      <c r="X115" s="65">
        <v>128.9</v>
      </c>
      <c r="Y115" s="65">
        <v>132.80000000000001</v>
      </c>
      <c r="Z115" s="65">
        <v>132.19999999999999</v>
      </c>
      <c r="AA115" s="65">
        <v>135</v>
      </c>
      <c r="AB115" s="65">
        <v>130.30000000000001</v>
      </c>
      <c r="AC115" s="65">
        <v>130.30000000000001</v>
      </c>
      <c r="AD115" s="65">
        <v>134.19999999999999</v>
      </c>
      <c r="AE115" s="65">
        <v>134.19999999999999</v>
      </c>
      <c r="AF115" s="65">
        <v>134.19999999999999</v>
      </c>
      <c r="AG115" s="104"/>
      <c r="AH115" s="47">
        <f t="shared" si="39"/>
        <v>135</v>
      </c>
      <c r="AI115" s="48">
        <f t="shared" si="40"/>
        <v>124.9</v>
      </c>
    </row>
    <row r="116" spans="1:35" ht="15.75" thickBot="1" x14ac:dyDescent="0.3">
      <c r="A116" s="103" t="s">
        <v>116</v>
      </c>
      <c r="B116" s="92">
        <v>66.2</v>
      </c>
      <c r="C116" s="92">
        <v>66.599999999999994</v>
      </c>
      <c r="D116" s="92">
        <v>66.599999999999994</v>
      </c>
      <c r="E116" s="92">
        <v>67.5</v>
      </c>
      <c r="F116" s="92">
        <v>66.900000000000006</v>
      </c>
      <c r="G116" s="92">
        <v>65.599999999999994</v>
      </c>
      <c r="H116" s="92">
        <v>66</v>
      </c>
      <c r="I116" s="92">
        <v>66</v>
      </c>
      <c r="J116" s="92">
        <v>63.8</v>
      </c>
      <c r="K116" s="92">
        <v>63.2</v>
      </c>
      <c r="L116" s="92">
        <v>63.5</v>
      </c>
      <c r="M116" s="92">
        <v>63</v>
      </c>
      <c r="N116" s="92">
        <v>63</v>
      </c>
      <c r="O116" s="92">
        <v>63</v>
      </c>
      <c r="P116" s="92">
        <v>63.6</v>
      </c>
      <c r="Q116" s="92">
        <v>62.6</v>
      </c>
      <c r="R116" s="92">
        <v>65.3</v>
      </c>
      <c r="S116" s="92">
        <v>63.9</v>
      </c>
      <c r="T116" s="92">
        <v>64.7</v>
      </c>
      <c r="U116" s="92">
        <v>64.8</v>
      </c>
      <c r="V116" s="92">
        <v>65.7</v>
      </c>
      <c r="W116" s="92">
        <v>65.7</v>
      </c>
      <c r="X116" s="92">
        <v>64.900000000000006</v>
      </c>
      <c r="Y116" s="92">
        <v>63.7</v>
      </c>
      <c r="Z116" s="92">
        <v>64.099999999999994</v>
      </c>
      <c r="AA116" s="92">
        <v>64.8</v>
      </c>
      <c r="AB116" s="92">
        <v>65</v>
      </c>
      <c r="AC116" s="92">
        <v>65</v>
      </c>
      <c r="AD116" s="92">
        <v>64.3</v>
      </c>
      <c r="AE116" s="92">
        <v>64.3</v>
      </c>
      <c r="AF116" s="92">
        <v>64.3</v>
      </c>
      <c r="AG116" s="108"/>
      <c r="AH116" s="47">
        <f t="shared" si="39"/>
        <v>67.5</v>
      </c>
      <c r="AI116" s="48">
        <f t="shared" si="40"/>
        <v>62.6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 t="s">
        <v>117</v>
      </c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39"/>
        <v>0</v>
      </c>
      <c r="AI117" s="48">
        <f t="shared" si="40"/>
        <v>0</v>
      </c>
    </row>
    <row r="118" spans="1:35" ht="15.75" thickBot="1" x14ac:dyDescent="0.3">
      <c r="A118" s="110" t="s">
        <v>118</v>
      </c>
      <c r="B118" s="111">
        <f t="shared" ref="B118:C118" si="127">SUM(B22,B28,B31:B32,B66,B68:B69,B71,B73,B119:B123,B155,B161,B167,B176,B178,B190,B197,B200:B201,B208,B210,B212,B216:B218,B220:B222,B227,B233:B234,B236:B238,B246,B251)</f>
        <v>146.24</v>
      </c>
      <c r="C118" s="111">
        <f t="shared" si="127"/>
        <v>135.24</v>
      </c>
      <c r="D118" s="111">
        <f t="shared" ref="D118" si="128">SUM(D22,D28,D31:D32,D66,D68:D69,D71,D73,D119:D123,D155,D161,D167,D176,D178,D190,D197,D200:D201,D208,D210,D212,D216:D218,D220:D222,D227,D233:D234,D236:D238,D246,D251)</f>
        <v>135.24</v>
      </c>
      <c r="E118" s="111">
        <f t="shared" ref="E118:L118" si="129">SUM(E22,E28,E31:E32,E66,E68:E69,E71,E73,E119:E123,E155,E161,E167,E176,E178,E190,E197,E200:E201,E208,E210,E212,E216:E218,E220:E222,E227,E233:E234,E236:E238,E246,E251)</f>
        <v>143.976</v>
      </c>
      <c r="F118" s="111">
        <f t="shared" si="129"/>
        <v>150.999</v>
      </c>
      <c r="G118" s="111">
        <f t="shared" si="129"/>
        <v>183.75900000000001</v>
      </c>
      <c r="H118" s="111">
        <f t="shared" si="129"/>
        <v>216.90100000000001</v>
      </c>
      <c r="I118" s="111">
        <f t="shared" si="129"/>
        <v>216.90100000000001</v>
      </c>
      <c r="J118" s="111">
        <f t="shared" si="129"/>
        <v>315.36399999999998</v>
      </c>
      <c r="K118" s="111">
        <f t="shared" si="129"/>
        <v>413.25700000000001</v>
      </c>
      <c r="L118" s="111">
        <f t="shared" si="129"/>
        <v>437.24</v>
      </c>
      <c r="M118" s="111">
        <f t="shared" ref="M118:N118" si="130">SUM(M22,M28,M31:M32,M66,M68:M69,M71,M73,M119:M123,M155,M161,M167,M176,M178,M190,M197,M200:M201,M208,M210,M212,M216:M218,M220:M222,M227,M233:M234,M236:M238,M246,M251)</f>
        <v>423.23999999999995</v>
      </c>
      <c r="N118" s="111">
        <f t="shared" si="130"/>
        <v>402.52000000000004</v>
      </c>
      <c r="O118" s="111">
        <f t="shared" ref="O118:P118" si="131">SUM(O22,O28,O31:O32,O66,O68:O69,O71,O73,O119:O123,O155,O161,O167,O176,O178,O190,O197,O200:O201,O208,O210,O212,O216:O218,O220:O222,O227,O233:O234,O236:O238,O246,O251)</f>
        <v>387.62000000000006</v>
      </c>
      <c r="P118" s="111">
        <f t="shared" si="131"/>
        <v>371.40000000000003</v>
      </c>
      <c r="Q118" s="111">
        <f t="shared" ref="Q118:R118" si="132">SUM(Q22,Q28,Q31:Q32,Q66,Q68:Q69,Q71,Q73,Q119:Q123,Q155,Q161,Q167,Q176,Q178,Q190,Q197,Q200:Q201,Q208,Q210,Q212,Q216:Q218,Q220:Q222,Q227,Q233:Q234,Q236:Q238,Q246,Q251)</f>
        <v>367.24</v>
      </c>
      <c r="R118" s="111">
        <f t="shared" si="132"/>
        <v>351.66</v>
      </c>
      <c r="S118" s="111">
        <f t="shared" ref="S118:AB118" si="133">SUM(S22,S28,S31:S32,S66,S68:S69,S71,S73,S119:S123,S155,S161,S167,S176,S178,S190,S197,S200:S201,S208,S210,S212,S216:S218,S220:S222,S227,S233:S234,S236:S238,S246,S251)</f>
        <v>331.92</v>
      </c>
      <c r="T118" s="111">
        <f t="shared" si="133"/>
        <v>340.18399999999997</v>
      </c>
      <c r="U118" s="111">
        <f t="shared" si="133"/>
        <v>278.52</v>
      </c>
      <c r="V118" s="111">
        <f t="shared" si="133"/>
        <v>365.55599999999998</v>
      </c>
      <c r="W118" s="111">
        <f t="shared" si="133"/>
        <v>371.71599999999995</v>
      </c>
      <c r="X118" s="111">
        <f t="shared" si="133"/>
        <v>430.7</v>
      </c>
      <c r="Y118" s="111">
        <v>482.07149999999996</v>
      </c>
      <c r="Z118" s="111">
        <f t="shared" ref="Z118" si="134">SUM(Z20,Z26,Z37:Z38,Z66,Z68:Z69,Z71,Z73,Z119:Z123,Z148,Z154,Z160,Z169,Z171,Z183,Z190,Z193:Z194,Z201,Z203,Z205,Z209:Z211,Z213:Z215,Z220,Z226:Z227,Z229:Z231,Z239,Z244)</f>
        <v>481.6</v>
      </c>
      <c r="AA118" s="111">
        <f t="shared" si="133"/>
        <v>452.61999999999995</v>
      </c>
      <c r="AB118" s="111">
        <f t="shared" si="133"/>
        <v>437.58800000000002</v>
      </c>
      <c r="AC118" s="111">
        <f t="shared" ref="AC118:AD118" si="135">SUM(AC22,AC28,AC31:AC32,AC66,AC68:AC69,AC71,AC73,AC119:AC123,AC155,AC161,AC167,AC176,AC178,AC190,AC197,AC200:AC201,AC208,AC210,AC212,AC216:AC218,AC220:AC222,AC227,AC233:AC234,AC236:AC238,AC246,AC251)</f>
        <v>437.58800000000002</v>
      </c>
      <c r="AD118" s="111">
        <f t="shared" si="135"/>
        <v>369.34</v>
      </c>
      <c r="AE118" s="111">
        <f t="shared" ref="AE118:AF118" si="136">SUM(AE22,AE28,AE31:AE32,AE66,AE68:AE69,AE71,AE73,AE119:AE123,AE155,AE161,AE167,AE176,AE178,AE190,AE197,AE200:AE201,AE208,AE210,AE212,AE216:AE218,AE220:AE222,AE227,AE233:AE234,AE236:AE238,AE246,AE251)</f>
        <v>331.84</v>
      </c>
      <c r="AF118" s="111">
        <f t="shared" si="136"/>
        <v>197.2</v>
      </c>
      <c r="AG118" s="112"/>
      <c r="AH118" s="47">
        <f t="shared" si="39"/>
        <v>482.07149999999996</v>
      </c>
      <c r="AI118" s="48">
        <f t="shared" si="40"/>
        <v>135.24</v>
      </c>
    </row>
    <row r="119" spans="1:35" x14ac:dyDescent="0.25">
      <c r="A119" s="172" t="s">
        <v>119</v>
      </c>
      <c r="B119" s="113">
        <v>1</v>
      </c>
      <c r="C119" s="113">
        <v>-1</v>
      </c>
      <c r="D119" s="113">
        <v>-1</v>
      </c>
      <c r="E119" s="113">
        <v>15.3</v>
      </c>
      <c r="F119" s="113">
        <v>13.4</v>
      </c>
      <c r="G119" s="113">
        <v>16.899999999999999</v>
      </c>
      <c r="H119" s="113">
        <v>26.6</v>
      </c>
      <c r="I119" s="113">
        <v>26.6</v>
      </c>
      <c r="J119" s="113">
        <v>44.5</v>
      </c>
      <c r="K119" s="113">
        <v>41.2</v>
      </c>
      <c r="L119" s="113">
        <v>42.7</v>
      </c>
      <c r="M119" s="113">
        <v>61.9</v>
      </c>
      <c r="N119" s="113">
        <v>62.7</v>
      </c>
      <c r="O119" s="113">
        <v>55.5</v>
      </c>
      <c r="P119" s="113">
        <v>57.1</v>
      </c>
      <c r="Q119" s="113">
        <v>59.7</v>
      </c>
      <c r="R119" s="113">
        <v>48.3</v>
      </c>
      <c r="S119" s="113">
        <v>28.2</v>
      </c>
      <c r="T119" s="113">
        <v>24.9</v>
      </c>
      <c r="U119" s="113">
        <v>14.1</v>
      </c>
      <c r="V119" s="113">
        <v>27.6</v>
      </c>
      <c r="W119" s="113">
        <v>26.6</v>
      </c>
      <c r="X119" s="113">
        <v>48.6</v>
      </c>
      <c r="Y119" s="113">
        <v>60.8</v>
      </c>
      <c r="Z119" s="113">
        <v>63.4</v>
      </c>
      <c r="AA119" s="113">
        <v>68.599999999999994</v>
      </c>
      <c r="AB119" s="113">
        <v>68.3</v>
      </c>
      <c r="AC119" s="113">
        <v>68.3</v>
      </c>
      <c r="AD119" s="113">
        <v>52.7</v>
      </c>
      <c r="AE119" s="113">
        <v>51.1</v>
      </c>
      <c r="AF119" s="113">
        <v>39.799999999999997</v>
      </c>
      <c r="AG119" s="114">
        <v>75</v>
      </c>
      <c r="AH119" s="47">
        <f t="shared" si="39"/>
        <v>68.599999999999994</v>
      </c>
      <c r="AI119" s="48">
        <f t="shared" si="40"/>
        <v>-1</v>
      </c>
    </row>
    <row r="120" spans="1:35" x14ac:dyDescent="0.25">
      <c r="A120" s="173" t="s">
        <v>120</v>
      </c>
      <c r="B120" s="115">
        <v>4</v>
      </c>
      <c r="C120" s="115">
        <v>2</v>
      </c>
      <c r="D120" s="115">
        <v>2</v>
      </c>
      <c r="E120" s="115">
        <v>15.9</v>
      </c>
      <c r="F120" s="115">
        <v>12.9</v>
      </c>
      <c r="G120" s="115">
        <v>17.3</v>
      </c>
      <c r="H120" s="115">
        <v>30</v>
      </c>
      <c r="I120" s="115">
        <v>30</v>
      </c>
      <c r="J120" s="115">
        <v>56.6</v>
      </c>
      <c r="K120" s="115">
        <v>55.3</v>
      </c>
      <c r="L120" s="115">
        <v>56.8</v>
      </c>
      <c r="M120" s="115">
        <v>82.4</v>
      </c>
      <c r="N120" s="115">
        <v>84.5</v>
      </c>
      <c r="O120" s="115">
        <v>76.400000000000006</v>
      </c>
      <c r="P120" s="115">
        <v>78.400000000000006</v>
      </c>
      <c r="Q120" s="115">
        <v>76.7</v>
      </c>
      <c r="R120" s="115">
        <v>62.1</v>
      </c>
      <c r="S120" s="115">
        <v>34.9</v>
      </c>
      <c r="T120" s="115">
        <v>30.6</v>
      </c>
      <c r="U120" s="115">
        <v>17.5</v>
      </c>
      <c r="V120" s="115">
        <v>36.9</v>
      </c>
      <c r="W120" s="115">
        <v>35.5</v>
      </c>
      <c r="X120" s="115">
        <v>63.5</v>
      </c>
      <c r="Y120" s="115">
        <v>80.5</v>
      </c>
      <c r="Z120" s="115">
        <v>84.6</v>
      </c>
      <c r="AA120" s="115">
        <v>91.7</v>
      </c>
      <c r="AB120" s="115">
        <v>91.2</v>
      </c>
      <c r="AC120" s="115">
        <v>91.2</v>
      </c>
      <c r="AD120" s="115">
        <v>65.400000000000006</v>
      </c>
      <c r="AE120" s="115">
        <v>63.2</v>
      </c>
      <c r="AF120" s="115">
        <v>49.7</v>
      </c>
      <c r="AG120" s="114">
        <v>240</v>
      </c>
      <c r="AH120" s="47">
        <f t="shared" si="39"/>
        <v>91.7</v>
      </c>
      <c r="AI120" s="48">
        <f t="shared" si="40"/>
        <v>2</v>
      </c>
    </row>
    <row r="121" spans="1:35" x14ac:dyDescent="0.25">
      <c r="A121" s="173" t="s">
        <v>121</v>
      </c>
      <c r="B121" s="115">
        <v>-29</v>
      </c>
      <c r="C121" s="115">
        <v>-34</v>
      </c>
      <c r="D121" s="115">
        <v>-34</v>
      </c>
      <c r="E121" s="115">
        <v>-66</v>
      </c>
      <c r="F121" s="115">
        <v>-67</v>
      </c>
      <c r="G121" s="115">
        <v>-58.9</v>
      </c>
      <c r="H121" s="115">
        <v>-45</v>
      </c>
      <c r="I121" s="115">
        <v>-45</v>
      </c>
      <c r="J121" s="115">
        <v>-10</v>
      </c>
      <c r="K121" s="115">
        <v>41.3</v>
      </c>
      <c r="L121" s="115">
        <v>40</v>
      </c>
      <c r="M121" s="115">
        <v>22</v>
      </c>
      <c r="N121" s="115">
        <v>12</v>
      </c>
      <c r="O121" s="115">
        <v>18</v>
      </c>
      <c r="P121" s="115">
        <v>12</v>
      </c>
      <c r="Q121" s="115">
        <v>-19</v>
      </c>
      <c r="R121" s="115">
        <v>0</v>
      </c>
      <c r="S121" s="115">
        <v>-3</v>
      </c>
      <c r="T121" s="115">
        <v>6.4</v>
      </c>
      <c r="U121" s="115">
        <f>-14-12</f>
        <v>-26</v>
      </c>
      <c r="V121" s="115">
        <f>37.9</f>
        <v>37.9</v>
      </c>
      <c r="W121" s="115">
        <f>22.1+19.9</f>
        <v>42</v>
      </c>
      <c r="X121" s="115">
        <f>23.3+21.9</f>
        <v>45.2</v>
      </c>
      <c r="Y121" s="115">
        <v>47.3</v>
      </c>
      <c r="Z121" s="115">
        <f>21.4+20.9</f>
        <v>42.3</v>
      </c>
      <c r="AA121" s="115">
        <v>32</v>
      </c>
      <c r="AB121" s="115">
        <v>25.6</v>
      </c>
      <c r="AC121" s="115">
        <v>25.6</v>
      </c>
      <c r="AD121" s="115">
        <v>-2</v>
      </c>
      <c r="AE121" s="115">
        <v>6</v>
      </c>
      <c r="AF121" s="115">
        <v>-65</v>
      </c>
      <c r="AG121" s="114">
        <v>240</v>
      </c>
      <c r="AH121" s="47">
        <f t="shared" si="39"/>
        <v>47.3</v>
      </c>
      <c r="AI121" s="48">
        <f t="shared" si="40"/>
        <v>-67</v>
      </c>
    </row>
    <row r="122" spans="1:35" ht="15.75" thickBot="1" x14ac:dyDescent="0.3">
      <c r="A122" s="173" t="s">
        <v>122</v>
      </c>
      <c r="B122" s="115">
        <v>-12</v>
      </c>
      <c r="C122" s="115">
        <v>-13</v>
      </c>
      <c r="D122" s="115">
        <v>-13</v>
      </c>
      <c r="E122" s="115">
        <v>-17.5</v>
      </c>
      <c r="F122" s="115">
        <v>-15.9</v>
      </c>
      <c r="G122" s="115">
        <v>-12.7</v>
      </c>
      <c r="H122" s="115">
        <v>-3.5</v>
      </c>
      <c r="I122" s="115">
        <v>-3.5</v>
      </c>
      <c r="J122" s="115">
        <v>0.6</v>
      </c>
      <c r="K122" s="115">
        <v>21.7</v>
      </c>
      <c r="L122" s="115">
        <v>33.200000000000003</v>
      </c>
      <c r="M122" s="115">
        <v>21.2</v>
      </c>
      <c r="N122" s="115">
        <v>19.100000000000001</v>
      </c>
      <c r="O122" s="115">
        <v>20</v>
      </c>
      <c r="P122" s="115">
        <v>17.600000000000001</v>
      </c>
      <c r="Q122" s="115">
        <v>0.6</v>
      </c>
      <c r="R122" s="115">
        <v>16.2</v>
      </c>
      <c r="S122" s="115">
        <v>31</v>
      </c>
      <c r="T122" s="115">
        <v>37.700000000000003</v>
      </c>
      <c r="U122" s="115">
        <v>26.6</v>
      </c>
      <c r="V122" s="115">
        <v>45.6</v>
      </c>
      <c r="W122" s="115">
        <v>46.3</v>
      </c>
      <c r="X122" s="115">
        <v>42.9</v>
      </c>
      <c r="Y122" s="115">
        <v>48.2</v>
      </c>
      <c r="Z122" s="115">
        <v>42.8</v>
      </c>
      <c r="AA122" s="115">
        <v>30.8</v>
      </c>
      <c r="AB122" s="115">
        <v>25.1</v>
      </c>
      <c r="AC122" s="115">
        <v>25.1</v>
      </c>
      <c r="AD122" s="115">
        <v>20.6</v>
      </c>
      <c r="AE122" s="115">
        <v>5.3</v>
      </c>
      <c r="AF122" s="115">
        <v>-13.7</v>
      </c>
      <c r="AG122" s="114">
        <v>60</v>
      </c>
      <c r="AH122" s="47">
        <f t="shared" si="39"/>
        <v>48.2</v>
      </c>
      <c r="AI122" s="48">
        <f t="shared" si="40"/>
        <v>-17.5</v>
      </c>
    </row>
    <row r="123" spans="1:35" x14ac:dyDescent="0.25">
      <c r="A123" s="172" t="s">
        <v>260</v>
      </c>
      <c r="B123" s="117">
        <v>85</v>
      </c>
      <c r="C123" s="117">
        <v>84</v>
      </c>
      <c r="D123" s="117">
        <v>84</v>
      </c>
      <c r="E123" s="117">
        <f>60.8*1.67</f>
        <v>101.53599999999999</v>
      </c>
      <c r="F123" s="117">
        <f>67.7*1.67</f>
        <v>113.059</v>
      </c>
      <c r="G123" s="117">
        <f>75.7*1.67</f>
        <v>126.419</v>
      </c>
      <c r="H123" s="117">
        <f>68.3*1.67</f>
        <v>114.06099999999999</v>
      </c>
      <c r="I123" s="117">
        <f>68.3*1.67</f>
        <v>114.06099999999999</v>
      </c>
      <c r="J123" s="117">
        <f>77.2*1.67</f>
        <v>128.92400000000001</v>
      </c>
      <c r="K123" s="117">
        <f>95.1*1.67</f>
        <v>158.81699999999998</v>
      </c>
      <c r="L123" s="117">
        <f>169</f>
        <v>169</v>
      </c>
      <c r="M123" s="117">
        <f>87*1.6</f>
        <v>139.20000000000002</v>
      </c>
      <c r="N123" s="117">
        <f>78.3*1.6</f>
        <v>125.28</v>
      </c>
      <c r="O123" s="117">
        <f>72.8*1.6</f>
        <v>116.48</v>
      </c>
      <c r="P123" s="117">
        <f>63.6*1.6</f>
        <v>101.76</v>
      </c>
      <c r="Q123" s="117">
        <f>86*1.6</f>
        <v>137.6</v>
      </c>
      <c r="R123" s="117">
        <f>71.2*1.6</f>
        <v>113.92000000000002</v>
      </c>
      <c r="S123" s="117">
        <f>82*1.64</f>
        <v>134.47999999999999</v>
      </c>
      <c r="T123" s="117">
        <f>84*1.641</f>
        <v>137.84399999999999</v>
      </c>
      <c r="U123" s="117">
        <f>89.5*1.64</f>
        <v>146.78</v>
      </c>
      <c r="V123" s="117">
        <f>76*1.641</f>
        <v>124.71600000000001</v>
      </c>
      <c r="W123" s="117">
        <f>78.4*1.64</f>
        <v>128.57599999999999</v>
      </c>
      <c r="X123" s="117">
        <f>84*1.64</f>
        <v>137.76</v>
      </c>
      <c r="Y123" s="117">
        <v>145.30399999999997</v>
      </c>
      <c r="Z123" s="117">
        <f>90*1.64</f>
        <v>147.6</v>
      </c>
      <c r="AA123" s="117">
        <f>82*1.64</f>
        <v>134.47999999999999</v>
      </c>
      <c r="AB123" s="117">
        <f>1.64*80.7</f>
        <v>132.34799999999998</v>
      </c>
      <c r="AC123" s="117">
        <f>1.64*80.7</f>
        <v>132.34799999999998</v>
      </c>
      <c r="AD123" s="117">
        <f>86*1.6</f>
        <v>137.6</v>
      </c>
      <c r="AE123" s="117">
        <f>69.5*1.6</f>
        <v>111.2</v>
      </c>
      <c r="AF123" s="117">
        <f>57.1*1.6</f>
        <v>91.360000000000014</v>
      </c>
      <c r="AG123" s="118">
        <v>120</v>
      </c>
      <c r="AH123" s="47">
        <f t="shared" si="39"/>
        <v>169</v>
      </c>
      <c r="AI123" s="48">
        <f t="shared" si="40"/>
        <v>84</v>
      </c>
    </row>
    <row r="124" spans="1:35" x14ac:dyDescent="0.25">
      <c r="A124" s="173" t="s">
        <v>259</v>
      </c>
      <c r="B124" s="117">
        <v>81</v>
      </c>
      <c r="C124" s="117">
        <v>80</v>
      </c>
      <c r="D124" s="117">
        <v>80</v>
      </c>
      <c r="E124" s="117">
        <v>76.599999999999994</v>
      </c>
      <c r="F124" s="117">
        <v>80.400000000000006</v>
      </c>
      <c r="G124" s="117">
        <v>87.2</v>
      </c>
      <c r="H124" s="117">
        <v>80.099999999999994</v>
      </c>
      <c r="I124" s="117">
        <v>80.099999999999994</v>
      </c>
      <c r="J124" s="117">
        <v>87.9</v>
      </c>
      <c r="K124" s="117">
        <v>101.7</v>
      </c>
      <c r="L124" s="117">
        <v>106.3</v>
      </c>
      <c r="M124" s="117">
        <v>94.1</v>
      </c>
      <c r="N124" s="117">
        <v>87.3</v>
      </c>
      <c r="O124" s="117">
        <v>82.9</v>
      </c>
      <c r="P124" s="117">
        <v>75.099999999999994</v>
      </c>
      <c r="Q124" s="117">
        <v>93.9</v>
      </c>
      <c r="R124" s="117">
        <v>82.9</v>
      </c>
      <c r="S124" s="117">
        <v>92.8</v>
      </c>
      <c r="T124" s="117">
        <v>92.7</v>
      </c>
      <c r="U124" s="117">
        <v>98.3</v>
      </c>
      <c r="V124" s="117">
        <v>86</v>
      </c>
      <c r="W124" s="117">
        <v>88.5</v>
      </c>
      <c r="X124" s="117">
        <v>92.8</v>
      </c>
      <c r="Y124" s="117">
        <v>96.8</v>
      </c>
      <c r="Z124" s="117">
        <v>97.6</v>
      </c>
      <c r="AA124" s="117">
        <v>91</v>
      </c>
      <c r="AB124" s="117">
        <v>90.1</v>
      </c>
      <c r="AC124" s="117">
        <v>90.1</v>
      </c>
      <c r="AD124" s="117">
        <v>94.4</v>
      </c>
      <c r="AE124" s="117">
        <v>82.4</v>
      </c>
      <c r="AF124" s="117">
        <v>71.7</v>
      </c>
      <c r="AG124" s="118"/>
      <c r="AH124" s="47"/>
      <c r="AI124" s="48"/>
    </row>
    <row r="125" spans="1:35" x14ac:dyDescent="0.25">
      <c r="A125" s="173" t="s">
        <v>256</v>
      </c>
      <c r="B125" s="117">
        <v>53</v>
      </c>
      <c r="C125" s="117">
        <v>60</v>
      </c>
      <c r="D125" s="117">
        <v>60</v>
      </c>
      <c r="E125" s="117">
        <v>59</v>
      </c>
      <c r="F125" s="117">
        <v>63.4</v>
      </c>
      <c r="G125" s="117">
        <v>57.6</v>
      </c>
      <c r="H125" s="117">
        <v>29.9</v>
      </c>
      <c r="I125" s="117">
        <v>29.9</v>
      </c>
      <c r="J125" s="117">
        <v>-10.8</v>
      </c>
      <c r="K125" s="117">
        <v>-38.200000000000003</v>
      </c>
      <c r="L125" s="117">
        <v>-46.9</v>
      </c>
      <c r="M125" s="117">
        <v>-61.3</v>
      </c>
      <c r="N125" s="117">
        <v>-56.6</v>
      </c>
      <c r="O125" s="117">
        <v>-44.3</v>
      </c>
      <c r="P125" s="117">
        <v>-45.7</v>
      </c>
      <c r="Q125" s="117">
        <v>-4</v>
      </c>
      <c r="R125" s="117">
        <v>-16.7</v>
      </c>
      <c r="S125" s="117">
        <v>16.5</v>
      </c>
      <c r="T125" s="117">
        <v>11</v>
      </c>
      <c r="U125" s="117">
        <v>11.9</v>
      </c>
      <c r="V125" s="117">
        <v>-33.5</v>
      </c>
      <c r="W125" s="117">
        <v>-30.8</v>
      </c>
      <c r="X125" s="117">
        <v>-64.3</v>
      </c>
      <c r="Y125" s="117">
        <v>-70</v>
      </c>
      <c r="Z125" s="117">
        <v>-66.7</v>
      </c>
      <c r="AA125" s="117">
        <v>-75.2</v>
      </c>
      <c r="AB125" s="117">
        <v>-73.900000000000006</v>
      </c>
      <c r="AC125" s="117">
        <v>-73.900000000000006</v>
      </c>
      <c r="AD125" s="117">
        <v>-22.8</v>
      </c>
      <c r="AE125" s="117">
        <v>-2.4</v>
      </c>
      <c r="AF125" s="117">
        <v>20</v>
      </c>
      <c r="AG125" s="118"/>
      <c r="AH125" s="47"/>
      <c r="AI125" s="48"/>
    </row>
    <row r="126" spans="1:35" ht="15.75" thickBot="1" x14ac:dyDescent="0.3">
      <c r="A126" s="173" t="s">
        <v>255</v>
      </c>
      <c r="B126" s="117">
        <v>87</v>
      </c>
      <c r="C126" s="117">
        <v>88</v>
      </c>
      <c r="D126" s="117">
        <v>88</v>
      </c>
      <c r="E126" s="117">
        <v>100.3</v>
      </c>
      <c r="F126" s="117">
        <v>108</v>
      </c>
      <c r="G126" s="117">
        <v>116</v>
      </c>
      <c r="H126" s="117">
        <v>111</v>
      </c>
      <c r="I126" s="117">
        <v>111</v>
      </c>
      <c r="J126" s="117">
        <v>97</v>
      </c>
      <c r="K126" s="117">
        <v>80</v>
      </c>
      <c r="L126" s="117">
        <v>79</v>
      </c>
      <c r="M126" s="117">
        <v>67</v>
      </c>
      <c r="N126" s="117">
        <v>68.7</v>
      </c>
      <c r="O126" s="117">
        <v>69.2</v>
      </c>
      <c r="P126" s="117">
        <v>62</v>
      </c>
      <c r="Q126" s="117">
        <v>97.8</v>
      </c>
      <c r="R126" s="117">
        <v>74.900000000000006</v>
      </c>
      <c r="S126" s="117">
        <v>100.2</v>
      </c>
      <c r="T126" s="117">
        <v>100.3</v>
      </c>
      <c r="U126" s="117">
        <v>94.2</v>
      </c>
      <c r="V126" s="117">
        <v>72</v>
      </c>
      <c r="W126" s="117">
        <v>74.3</v>
      </c>
      <c r="X126" s="117">
        <v>69.8</v>
      </c>
      <c r="Y126" s="117">
        <v>73.099999999999994</v>
      </c>
      <c r="Z126" s="117">
        <v>77.7</v>
      </c>
      <c r="AA126" s="117">
        <v>78</v>
      </c>
      <c r="AB126" s="117">
        <v>73.599999999999994</v>
      </c>
      <c r="AC126" s="117">
        <v>73.599999999999994</v>
      </c>
      <c r="AD126" s="117">
        <v>100.5</v>
      </c>
      <c r="AE126" s="117">
        <v>98.2</v>
      </c>
      <c r="AF126" s="117">
        <v>91.7</v>
      </c>
      <c r="AG126" s="114"/>
      <c r="AH126" s="47">
        <f t="shared" si="39"/>
        <v>116</v>
      </c>
      <c r="AI126" s="48">
        <f t="shared" si="40"/>
        <v>62</v>
      </c>
    </row>
    <row r="127" spans="1:35" x14ac:dyDescent="0.25">
      <c r="A127" s="172" t="s">
        <v>257</v>
      </c>
      <c r="B127" s="117">
        <v>27</v>
      </c>
      <c r="C127" s="117">
        <v>31</v>
      </c>
      <c r="D127" s="117">
        <v>31</v>
      </c>
      <c r="E127" s="117">
        <v>22.2</v>
      </c>
      <c r="F127" s="117">
        <v>26.2</v>
      </c>
      <c r="G127" s="117">
        <v>26.9</v>
      </c>
      <c r="H127" s="117">
        <v>8.1</v>
      </c>
      <c r="I127" s="117">
        <v>8.1</v>
      </c>
      <c r="J127" s="117">
        <v>-15</v>
      </c>
      <c r="K127" s="117">
        <v>-16.100000000000001</v>
      </c>
      <c r="L127" s="117">
        <v>-12</v>
      </c>
      <c r="M127" s="117">
        <v>-15.2</v>
      </c>
      <c r="N127" s="117">
        <v>-13.9</v>
      </c>
      <c r="O127" s="117">
        <v>-10.4</v>
      </c>
      <c r="P127" s="117">
        <v>-9.6999999999999993</v>
      </c>
      <c r="Q127" s="117">
        <v>-9.5</v>
      </c>
      <c r="R127" s="117">
        <v>-3.4</v>
      </c>
      <c r="S127" s="117">
        <v>8</v>
      </c>
      <c r="T127" s="117">
        <v>14.3</v>
      </c>
      <c r="U127" s="117">
        <v>15.5</v>
      </c>
      <c r="V127" s="117">
        <v>3.7</v>
      </c>
      <c r="W127" s="117">
        <v>4.5999999999999996</v>
      </c>
      <c r="X127" s="117">
        <v>-8</v>
      </c>
      <c r="Y127" s="117">
        <v>-13.3</v>
      </c>
      <c r="Z127" s="117">
        <v>-13.2</v>
      </c>
      <c r="AA127" s="117">
        <v>-14.9</v>
      </c>
      <c r="AB127" s="117">
        <v>-15.8</v>
      </c>
      <c r="AC127" s="117">
        <v>-15.8</v>
      </c>
      <c r="AD127" s="117">
        <v>-2.1</v>
      </c>
      <c r="AE127" s="117">
        <v>-4.5999999999999996</v>
      </c>
      <c r="AF127" s="117">
        <v>1.7</v>
      </c>
      <c r="AG127" s="114"/>
      <c r="AH127" s="47">
        <f t="shared" si="39"/>
        <v>31</v>
      </c>
      <c r="AI127" s="48">
        <f t="shared" si="40"/>
        <v>-16.100000000000001</v>
      </c>
    </row>
    <row r="128" spans="1:35" x14ac:dyDescent="0.25">
      <c r="A128" s="173" t="s">
        <v>124</v>
      </c>
      <c r="B128" s="106">
        <v>-2</v>
      </c>
      <c r="C128" s="106">
        <v>0</v>
      </c>
      <c r="D128" s="106">
        <v>0</v>
      </c>
      <c r="E128" s="106">
        <v>-0.4</v>
      </c>
      <c r="F128" s="106">
        <v>1</v>
      </c>
      <c r="G128" s="106">
        <v>-3.5</v>
      </c>
      <c r="H128" s="106">
        <v>-7.3</v>
      </c>
      <c r="I128" s="106">
        <v>-7.3</v>
      </c>
      <c r="J128" s="106">
        <v>-24.1</v>
      </c>
      <c r="K128" s="106">
        <v>-27.1</v>
      </c>
      <c r="L128" s="106">
        <v>-30.5</v>
      </c>
      <c r="M128" s="106">
        <v>-35.5</v>
      </c>
      <c r="N128" s="106">
        <v>-33.799999999999997</v>
      </c>
      <c r="O128" s="106">
        <v>-23.7</v>
      </c>
      <c r="P128" s="106">
        <v>-21.2</v>
      </c>
      <c r="Q128" s="106">
        <v>-15.8</v>
      </c>
      <c r="R128" s="106">
        <v>-12.9</v>
      </c>
      <c r="S128" s="106">
        <v>-16.5</v>
      </c>
      <c r="T128" s="106">
        <v>-14.8</v>
      </c>
      <c r="U128" s="106">
        <v>-19</v>
      </c>
      <c r="V128" s="106">
        <v>-24</v>
      </c>
      <c r="W128" s="106">
        <v>-24.9</v>
      </c>
      <c r="X128" s="106">
        <v>-45.9</v>
      </c>
      <c r="Y128" s="106">
        <v>-47.6</v>
      </c>
      <c r="Z128" s="106">
        <v>-40</v>
      </c>
      <c r="AA128" s="106">
        <v>-33.700000000000003</v>
      </c>
      <c r="AB128" s="106">
        <v>-30.8</v>
      </c>
      <c r="AC128" s="106">
        <v>-30.8</v>
      </c>
      <c r="AD128" s="106">
        <v>-19.8</v>
      </c>
      <c r="AE128" s="106">
        <v>-10.1</v>
      </c>
      <c r="AF128" s="106">
        <v>-4.0999999999999996</v>
      </c>
      <c r="AG128" s="114"/>
      <c r="AH128" s="47">
        <f t="shared" si="39"/>
        <v>1</v>
      </c>
      <c r="AI128" s="48">
        <f t="shared" si="40"/>
        <v>-47.6</v>
      </c>
    </row>
    <row r="129" spans="1:37" x14ac:dyDescent="0.25">
      <c r="A129" s="173" t="s">
        <v>261</v>
      </c>
      <c r="B129" s="106">
        <v>-32</v>
      </c>
      <c r="C129" s="106">
        <v>-33</v>
      </c>
      <c r="D129" s="106">
        <v>-33</v>
      </c>
      <c r="E129" s="106">
        <v>-2.7</v>
      </c>
      <c r="F129" s="106">
        <v>-6.5</v>
      </c>
      <c r="G129" s="106">
        <v>-14.1</v>
      </c>
      <c r="H129" s="106">
        <v>2.7</v>
      </c>
      <c r="I129" s="106">
        <v>2.7</v>
      </c>
      <c r="J129" s="106">
        <v>3.6</v>
      </c>
      <c r="K129" s="106">
        <v>13.3</v>
      </c>
      <c r="L129" s="106">
        <v>13.8</v>
      </c>
      <c r="M129" s="106">
        <v>14</v>
      </c>
      <c r="N129" s="106">
        <v>12.9</v>
      </c>
      <c r="O129" s="106">
        <v>11.6</v>
      </c>
      <c r="P129" s="106">
        <v>11.3</v>
      </c>
      <c r="Q129" s="106">
        <v>20.8</v>
      </c>
      <c r="R129" s="106">
        <v>20.2</v>
      </c>
      <c r="S129" s="106">
        <v>19.3</v>
      </c>
      <c r="T129" s="106">
        <v>18.899999999999999</v>
      </c>
      <c r="U129" s="106">
        <v>13.3</v>
      </c>
      <c r="V129" s="106">
        <v>9.6999999999999993</v>
      </c>
      <c r="W129" s="106">
        <v>10.1</v>
      </c>
      <c r="X129" s="106">
        <v>7.7</v>
      </c>
      <c r="Y129" s="106">
        <v>12.3</v>
      </c>
      <c r="Z129" s="106">
        <v>12.4</v>
      </c>
      <c r="AA129" s="106">
        <v>11</v>
      </c>
      <c r="AB129" s="106">
        <v>11.2</v>
      </c>
      <c r="AC129" s="106">
        <v>11.2</v>
      </c>
      <c r="AD129" s="106">
        <v>12.8</v>
      </c>
      <c r="AE129" s="106">
        <v>23.5</v>
      </c>
      <c r="AF129" s="106">
        <v>22.9</v>
      </c>
      <c r="AG129" s="114"/>
      <c r="AH129" s="47">
        <f t="shared" si="39"/>
        <v>23.5</v>
      </c>
      <c r="AI129" s="48">
        <f t="shared" si="40"/>
        <v>-33</v>
      </c>
    </row>
    <row r="130" spans="1:37" ht="15.75" thickBot="1" x14ac:dyDescent="0.3">
      <c r="A130" s="173" t="s">
        <v>258</v>
      </c>
      <c r="B130" s="106">
        <v>91</v>
      </c>
      <c r="C130" s="106">
        <v>85</v>
      </c>
      <c r="D130" s="106">
        <v>85</v>
      </c>
      <c r="E130" s="106">
        <v>77.5</v>
      </c>
      <c r="F130" s="106">
        <v>81.400000000000006</v>
      </c>
      <c r="G130" s="106">
        <v>89.2</v>
      </c>
      <c r="H130" s="106">
        <v>91.4</v>
      </c>
      <c r="I130" s="106">
        <v>91.4</v>
      </c>
      <c r="J130" s="106">
        <v>100.6</v>
      </c>
      <c r="K130" s="106">
        <v>93.1</v>
      </c>
      <c r="L130" s="106">
        <v>100.4</v>
      </c>
      <c r="M130" s="106">
        <v>106.2</v>
      </c>
      <c r="N130" s="106">
        <v>96</v>
      </c>
      <c r="O130" s="106">
        <v>119.6</v>
      </c>
      <c r="P130" s="106">
        <v>115</v>
      </c>
      <c r="Q130" s="106">
        <v>109.4</v>
      </c>
      <c r="R130" s="106">
        <v>110.9</v>
      </c>
      <c r="S130" s="106">
        <v>101.7</v>
      </c>
      <c r="T130" s="106">
        <v>107.6</v>
      </c>
      <c r="U130" s="106">
        <v>110.5</v>
      </c>
      <c r="V130" s="106">
        <v>95</v>
      </c>
      <c r="W130" s="106"/>
      <c r="X130" s="106">
        <v>111.1</v>
      </c>
      <c r="Y130" s="106">
        <v>108.1</v>
      </c>
      <c r="Z130" s="106">
        <v>100.8</v>
      </c>
      <c r="AA130" s="106">
        <v>100.9</v>
      </c>
      <c r="AB130" s="106">
        <v>101.8</v>
      </c>
      <c r="AC130" s="106">
        <v>101.8</v>
      </c>
      <c r="AD130" s="106">
        <v>105.6</v>
      </c>
      <c r="AE130" s="106">
        <v>98</v>
      </c>
      <c r="AF130" s="106">
        <v>91.3</v>
      </c>
      <c r="AG130" s="114"/>
      <c r="AH130" s="47">
        <f t="shared" si="39"/>
        <v>119.6</v>
      </c>
      <c r="AI130" s="48">
        <f t="shared" si="40"/>
        <v>77.5</v>
      </c>
    </row>
    <row r="131" spans="1:37" x14ac:dyDescent="0.25">
      <c r="A131" s="144" t="s">
        <v>238</v>
      </c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5"/>
      <c r="AG131" s="43"/>
      <c r="AH131" s="47"/>
      <c r="AI131" s="48"/>
    </row>
    <row r="132" spans="1:37" x14ac:dyDescent="0.25">
      <c r="A132" s="189" t="s">
        <v>368</v>
      </c>
      <c r="B132" s="147">
        <v>1984.65</v>
      </c>
      <c r="C132" s="147">
        <v>1984.9</v>
      </c>
      <c r="D132" s="147">
        <v>1985.12</v>
      </c>
      <c r="E132" s="147">
        <v>1985.35</v>
      </c>
      <c r="F132" s="147">
        <v>1985.6</v>
      </c>
      <c r="G132" s="147">
        <v>1985.8</v>
      </c>
      <c r="H132" s="147"/>
      <c r="I132" s="147">
        <v>1985.92</v>
      </c>
      <c r="J132" s="147">
        <v>1985.95</v>
      </c>
      <c r="K132" s="147">
        <v>1985.9</v>
      </c>
      <c r="L132" s="147"/>
      <c r="M132" s="147">
        <v>1985.1</v>
      </c>
      <c r="N132" s="147">
        <v>1984.1</v>
      </c>
      <c r="O132" s="147">
        <v>1983.57</v>
      </c>
      <c r="P132" s="147">
        <v>1983.55</v>
      </c>
      <c r="Q132" s="147">
        <v>1983.72</v>
      </c>
      <c r="R132" s="147">
        <v>1983.88</v>
      </c>
      <c r="S132" s="147">
        <v>1984.02</v>
      </c>
      <c r="T132" s="147">
        <v>1984.15</v>
      </c>
      <c r="U132" s="147">
        <v>1984.3</v>
      </c>
      <c r="V132" s="147">
        <v>1984.43</v>
      </c>
      <c r="W132" s="147"/>
      <c r="X132" s="147">
        <v>1984.12</v>
      </c>
      <c r="Y132" s="147"/>
      <c r="Z132" s="147">
        <v>1983.32</v>
      </c>
      <c r="AA132" s="147"/>
      <c r="AB132" s="147">
        <v>1982.6</v>
      </c>
      <c r="AC132" s="147"/>
      <c r="AD132" s="147">
        <v>1982.65</v>
      </c>
      <c r="AE132" s="147">
        <v>1982.88</v>
      </c>
      <c r="AF132" s="147">
        <v>1983.2</v>
      </c>
      <c r="AG132" s="149"/>
      <c r="AH132" s="47"/>
      <c r="AI132" s="48"/>
    </row>
    <row r="133" spans="1:37" x14ac:dyDescent="0.25">
      <c r="A133" s="189" t="s">
        <v>239</v>
      </c>
      <c r="B133" s="150">
        <v>520.79999999999995</v>
      </c>
      <c r="C133" s="150">
        <v>521.20000000000005</v>
      </c>
      <c r="D133" s="150">
        <v>521.54</v>
      </c>
      <c r="E133" s="150">
        <v>521.86</v>
      </c>
      <c r="F133" s="150">
        <v>522.20000000000005</v>
      </c>
      <c r="G133" s="150"/>
      <c r="H133" s="150"/>
      <c r="I133" s="150">
        <v>522.66</v>
      </c>
      <c r="J133" s="150"/>
      <c r="K133" s="150">
        <v>522.5</v>
      </c>
      <c r="L133" s="150"/>
      <c r="M133" s="150">
        <v>522.04</v>
      </c>
      <c r="N133" s="150">
        <v>521.61</v>
      </c>
      <c r="O133" s="150">
        <v>521.29</v>
      </c>
      <c r="P133" s="150">
        <v>521</v>
      </c>
      <c r="Q133" s="150">
        <v>520.70000000000005</v>
      </c>
      <c r="R133" s="150">
        <v>520.36</v>
      </c>
      <c r="S133" s="150">
        <v>520.20000000000005</v>
      </c>
      <c r="T133" s="150">
        <v>520.13</v>
      </c>
      <c r="U133" s="150">
        <v>520.38</v>
      </c>
      <c r="V133" s="150">
        <v>520.76</v>
      </c>
      <c r="W133" s="150"/>
      <c r="X133" s="150">
        <v>520.91999999999996</v>
      </c>
      <c r="Y133" s="150"/>
      <c r="Z133" s="150">
        <v>520.45000000000005</v>
      </c>
      <c r="AA133" s="150"/>
      <c r="AB133" s="150">
        <v>519.75</v>
      </c>
      <c r="AC133" s="150"/>
      <c r="AD133" s="150">
        <v>519.29</v>
      </c>
      <c r="AE133" s="150">
        <v>518.99</v>
      </c>
      <c r="AF133" s="150">
        <v>518.89</v>
      </c>
      <c r="AG133" s="149"/>
      <c r="AH133" s="47"/>
      <c r="AI133" s="48"/>
    </row>
    <row r="134" spans="1:37" x14ac:dyDescent="0.25">
      <c r="A134" s="189" t="s">
        <v>240</v>
      </c>
      <c r="B134" s="150">
        <v>622.96</v>
      </c>
      <c r="C134" s="150">
        <v>623.21</v>
      </c>
      <c r="D134" s="150">
        <v>623.66</v>
      </c>
      <c r="E134" s="150">
        <v>624.05999999999995</v>
      </c>
      <c r="F134" s="150">
        <v>624.39</v>
      </c>
      <c r="G134" s="150">
        <v>624.75</v>
      </c>
      <c r="H134" s="150"/>
      <c r="I134" s="150">
        <v>624.95000000000005</v>
      </c>
      <c r="J134" s="150"/>
      <c r="K134" s="150">
        <v>624.96</v>
      </c>
      <c r="L134" s="150"/>
      <c r="M134" s="150">
        <v>524.9</v>
      </c>
      <c r="N134" s="150">
        <v>624.51</v>
      </c>
      <c r="O134" s="150">
        <v>624.04999999999995</v>
      </c>
      <c r="P134" s="150">
        <v>623.54</v>
      </c>
      <c r="Q134" s="150">
        <v>622.99</v>
      </c>
      <c r="R134" s="150">
        <v>622.21</v>
      </c>
      <c r="S134" s="150">
        <v>622.29</v>
      </c>
      <c r="T134" s="150">
        <v>622.36</v>
      </c>
      <c r="U134" s="150">
        <v>622.64</v>
      </c>
      <c r="V134" s="150">
        <v>623.04999999999995</v>
      </c>
      <c r="W134" s="150"/>
      <c r="X134" s="150">
        <v>623.22</v>
      </c>
      <c r="Y134" s="150"/>
      <c r="Z134" s="150">
        <v>622.6</v>
      </c>
      <c r="AA134" s="150"/>
      <c r="AB134" s="150">
        <v>621.54</v>
      </c>
      <c r="AC134" s="150"/>
      <c r="AD134" s="150">
        <v>621.38</v>
      </c>
      <c r="AE134" s="150">
        <v>621.29</v>
      </c>
      <c r="AF134" s="150">
        <v>621.4</v>
      </c>
      <c r="AG134" s="149"/>
      <c r="AH134" s="47"/>
      <c r="AI134" s="48"/>
    </row>
    <row r="135" spans="1:37" x14ac:dyDescent="0.25">
      <c r="A135" s="189" t="s">
        <v>241</v>
      </c>
      <c r="B135" s="150">
        <v>335.93</v>
      </c>
      <c r="C135" s="150">
        <v>336.5</v>
      </c>
      <c r="D135" s="150">
        <v>336.87</v>
      </c>
      <c r="E135" s="150">
        <v>336.96</v>
      </c>
      <c r="F135" s="150">
        <v>337.04</v>
      </c>
      <c r="G135" s="150"/>
      <c r="H135" s="150"/>
      <c r="I135" s="150">
        <v>336.83</v>
      </c>
      <c r="J135" s="150"/>
      <c r="K135" s="150">
        <v>336.37</v>
      </c>
      <c r="L135" s="150"/>
      <c r="M135" s="150">
        <v>336.46</v>
      </c>
      <c r="N135" s="150">
        <v>335.96</v>
      </c>
      <c r="O135" s="150">
        <v>335.96</v>
      </c>
      <c r="P135" s="150">
        <v>335.05</v>
      </c>
      <c r="Q135" s="150">
        <v>334.56</v>
      </c>
      <c r="R135" s="150">
        <v>334.01</v>
      </c>
      <c r="S135" s="150">
        <v>334.25</v>
      </c>
      <c r="T135" s="150">
        <v>334.87</v>
      </c>
      <c r="U135" s="150">
        <v>335.26</v>
      </c>
      <c r="V135" s="150">
        <v>335.6</v>
      </c>
      <c r="W135" s="150"/>
      <c r="X135" s="150">
        <v>335.81</v>
      </c>
      <c r="Y135" s="150"/>
      <c r="Z135" s="150">
        <v>335.57</v>
      </c>
      <c r="AA135" s="150"/>
      <c r="AB135" s="150">
        <v>335.14</v>
      </c>
      <c r="AC135" s="150"/>
      <c r="AD135" s="150">
        <v>334.72</v>
      </c>
      <c r="AE135" s="150">
        <v>334.32</v>
      </c>
      <c r="AF135" s="150">
        <v>334.14</v>
      </c>
      <c r="AG135" s="149"/>
      <c r="AH135" s="47"/>
      <c r="AI135" s="48"/>
    </row>
    <row r="136" spans="1:37" x14ac:dyDescent="0.25">
      <c r="A136" s="189" t="s">
        <v>407</v>
      </c>
      <c r="B136" s="150">
        <v>885</v>
      </c>
      <c r="C136" s="150">
        <v>885</v>
      </c>
      <c r="D136" s="150">
        <v>885.7</v>
      </c>
      <c r="E136" s="150">
        <v>886.3</v>
      </c>
      <c r="F136" s="150">
        <v>886.9</v>
      </c>
      <c r="G136" s="150">
        <v>887.2</v>
      </c>
      <c r="H136" s="150"/>
      <c r="I136" s="150">
        <v>887.1</v>
      </c>
      <c r="J136" s="150"/>
      <c r="K136" s="150">
        <v>886.9</v>
      </c>
      <c r="L136" s="150"/>
      <c r="M136" s="150">
        <v>885.9</v>
      </c>
      <c r="N136" s="150">
        <v>884.6</v>
      </c>
      <c r="O136" s="150">
        <v>884.6</v>
      </c>
      <c r="P136" s="150">
        <v>883.3</v>
      </c>
      <c r="Q136" s="150">
        <v>883.6</v>
      </c>
      <c r="R136" s="150">
        <v>884.4</v>
      </c>
      <c r="S136" s="150">
        <v>885.1</v>
      </c>
      <c r="T136" s="150">
        <v>885.6</v>
      </c>
      <c r="U136" s="150">
        <v>886.1</v>
      </c>
      <c r="V136" s="150">
        <v>886.6</v>
      </c>
      <c r="W136" s="150"/>
      <c r="X136" s="150">
        <v>886.7</v>
      </c>
      <c r="Y136" s="150"/>
      <c r="Z136" s="150">
        <v>885.5</v>
      </c>
      <c r="AA136" s="150"/>
      <c r="AB136" s="150">
        <v>884</v>
      </c>
      <c r="AC136" s="150"/>
      <c r="AD136" s="150">
        <v>883.5</v>
      </c>
      <c r="AE136" s="150">
        <v>883.4</v>
      </c>
      <c r="AF136" s="150">
        <v>883.4</v>
      </c>
      <c r="AG136" s="149"/>
      <c r="AH136" s="47"/>
      <c r="AI136" s="48"/>
    </row>
    <row r="137" spans="1:37" ht="15.75" thickBot="1" x14ac:dyDescent="0.3">
      <c r="A137" s="189" t="s">
        <v>242</v>
      </c>
      <c r="B137" s="152">
        <v>1518.93</v>
      </c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>
        <v>1518.94</v>
      </c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  <c r="AC137" s="152"/>
      <c r="AD137" s="152"/>
      <c r="AE137" s="152"/>
      <c r="AF137" s="153"/>
      <c r="AG137" s="149"/>
      <c r="AH137" s="47"/>
      <c r="AI137" s="48"/>
    </row>
    <row r="138" spans="1:37" ht="15.75" thickBot="1" x14ac:dyDescent="0.3">
      <c r="A138" s="120" t="s">
        <v>125</v>
      </c>
      <c r="B138" s="121"/>
      <c r="C138" s="121"/>
      <c r="D138" s="121"/>
      <c r="E138" s="121"/>
      <c r="F138" s="170" t="s">
        <v>254</v>
      </c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74"/>
      <c r="AH138" s="47"/>
      <c r="AI138" s="48"/>
      <c r="AK138" s="50"/>
    </row>
    <row r="139" spans="1:37" x14ac:dyDescent="0.25">
      <c r="A139" s="122" t="s">
        <v>126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5">
        <v>9.94</v>
      </c>
      <c r="AH139" s="47"/>
      <c r="AI139" s="48"/>
      <c r="AK139" s="50"/>
    </row>
    <row r="140" spans="1:37" x14ac:dyDescent="0.25">
      <c r="A140" s="103" t="s">
        <v>127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5"/>
      <c r="AH140" s="47"/>
      <c r="AI140" s="48"/>
      <c r="AK140" s="50"/>
    </row>
    <row r="141" spans="1:37" x14ac:dyDescent="0.25">
      <c r="A141" s="103" t="s">
        <v>128</v>
      </c>
      <c r="B141" s="123"/>
      <c r="C141" s="124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5"/>
      <c r="AH141" s="47"/>
      <c r="AI141" s="48"/>
      <c r="AK141" s="50"/>
    </row>
    <row r="142" spans="1:37" x14ac:dyDescent="0.25">
      <c r="A142" s="103" t="s">
        <v>129</v>
      </c>
      <c r="B142" s="123"/>
      <c r="C142" s="124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5"/>
      <c r="AH142" s="47"/>
      <c r="AI142" s="48"/>
      <c r="AK142" s="50"/>
    </row>
    <row r="143" spans="1:37" x14ac:dyDescent="0.25">
      <c r="A143" s="103" t="s">
        <v>130</v>
      </c>
      <c r="B143" s="123"/>
      <c r="C143" s="124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5"/>
      <c r="AH143" s="47"/>
      <c r="AI143" s="48"/>
      <c r="AK143" s="50"/>
    </row>
    <row r="144" spans="1:37" x14ac:dyDescent="0.25">
      <c r="A144" s="103" t="s">
        <v>131</v>
      </c>
      <c r="B144" s="123"/>
      <c r="C144" s="124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5"/>
      <c r="AH144" s="47"/>
      <c r="AI144" s="48"/>
      <c r="AK144" s="50"/>
    </row>
    <row r="145" spans="1:37" x14ac:dyDescent="0.25">
      <c r="A145" s="103" t="s">
        <v>132</v>
      </c>
      <c r="B145" s="123"/>
      <c r="C145" s="124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5"/>
      <c r="AH145" s="47"/>
      <c r="AI145" s="48"/>
      <c r="AK145" s="50"/>
    </row>
    <row r="146" spans="1:37" x14ac:dyDescent="0.25">
      <c r="A146" s="103" t="s">
        <v>133</v>
      </c>
      <c r="B146" s="123"/>
      <c r="C146" s="124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5"/>
      <c r="AH146" s="47"/>
      <c r="AI146" s="48"/>
      <c r="AK146" s="50"/>
    </row>
    <row r="147" spans="1:37" x14ac:dyDescent="0.25">
      <c r="A147" s="103" t="s">
        <v>134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5"/>
      <c r="AH147" s="47"/>
      <c r="AI147" s="48"/>
      <c r="AK147" s="50"/>
    </row>
    <row r="148" spans="1:37" x14ac:dyDescent="0.25">
      <c r="A148" s="103" t="s">
        <v>135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5"/>
      <c r="AH148" s="47"/>
      <c r="AI148" s="48"/>
      <c r="AK148" s="50"/>
    </row>
    <row r="149" spans="1:37" x14ac:dyDescent="0.25">
      <c r="A149" s="103" t="s">
        <v>136</v>
      </c>
      <c r="B149" s="123"/>
      <c r="C149" s="124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5"/>
      <c r="AH149" s="47"/>
      <c r="AI149" s="48"/>
      <c r="AK149" s="50"/>
    </row>
    <row r="150" spans="1:37" x14ac:dyDescent="0.25">
      <c r="A150" s="103" t="s">
        <v>137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5"/>
      <c r="AH150" s="47"/>
      <c r="AI150" s="48"/>
      <c r="AK150" s="50"/>
    </row>
    <row r="151" spans="1:37" x14ac:dyDescent="0.25">
      <c r="A151" s="103" t="s">
        <v>138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5"/>
      <c r="AH151" s="47"/>
      <c r="AI151" s="48"/>
      <c r="AK151" s="50"/>
    </row>
    <row r="152" spans="1:37" x14ac:dyDescent="0.25">
      <c r="A152" s="103" t="s">
        <v>139</v>
      </c>
      <c r="B152" s="123"/>
      <c r="C152" s="124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5"/>
      <c r="AH152" s="47"/>
      <c r="AI152" s="48"/>
      <c r="AK152" s="50"/>
    </row>
    <row r="153" spans="1:37" x14ac:dyDescent="0.25">
      <c r="A153" s="103" t="s">
        <v>140</v>
      </c>
      <c r="B153" s="123"/>
      <c r="C153" s="124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5"/>
      <c r="AH153" s="47"/>
      <c r="AI153" s="48"/>
      <c r="AK153" s="50"/>
    </row>
    <row r="154" spans="1:37" x14ac:dyDescent="0.25">
      <c r="A154" s="103" t="s">
        <v>141</v>
      </c>
      <c r="B154" s="123"/>
      <c r="C154" s="124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5"/>
      <c r="AH154" s="47"/>
      <c r="AI154" s="48"/>
      <c r="AK154" s="50"/>
    </row>
    <row r="155" spans="1:37" x14ac:dyDescent="0.25">
      <c r="A155" s="103" t="s">
        <v>142</v>
      </c>
      <c r="B155" s="126"/>
      <c r="C155" s="127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8">
        <v>9.9</v>
      </c>
      <c r="AH155" s="47"/>
      <c r="AI155" s="48"/>
      <c r="AK155" s="50"/>
    </row>
    <row r="156" spans="1:37" x14ac:dyDescent="0.25">
      <c r="A156" s="116" t="s">
        <v>143</v>
      </c>
      <c r="B156" s="126"/>
      <c r="C156" s="127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9">
        <v>9.6579999999999995</v>
      </c>
      <c r="AH156" s="47"/>
      <c r="AI156" s="48"/>
      <c r="AK156" s="50"/>
    </row>
    <row r="157" spans="1:37" x14ac:dyDescent="0.25">
      <c r="A157" s="116" t="s">
        <v>144</v>
      </c>
      <c r="B157" s="126"/>
      <c r="C157" s="127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9">
        <v>9.6</v>
      </c>
      <c r="AH157" s="47"/>
      <c r="AI157" s="48"/>
      <c r="AK157" s="50"/>
    </row>
    <row r="158" spans="1:37" x14ac:dyDescent="0.25">
      <c r="A158" s="116" t="s">
        <v>145</v>
      </c>
      <c r="B158" s="126"/>
      <c r="C158" s="127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9">
        <v>9.51</v>
      </c>
      <c r="AH158" s="47"/>
      <c r="AI158" s="48"/>
      <c r="AK158" s="50"/>
    </row>
    <row r="159" spans="1:37" x14ac:dyDescent="0.25">
      <c r="A159" s="116" t="s">
        <v>146</v>
      </c>
      <c r="B159" s="126"/>
      <c r="C159" s="127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9">
        <v>9.4</v>
      </c>
      <c r="AH159" s="47"/>
      <c r="AI159" s="48"/>
      <c r="AK159" s="50"/>
    </row>
    <row r="160" spans="1:37" x14ac:dyDescent="0.25">
      <c r="A160" s="116" t="s">
        <v>147</v>
      </c>
      <c r="B160" s="126"/>
      <c r="C160" s="127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9">
        <v>8.8000000000000007</v>
      </c>
      <c r="AH160" s="47"/>
      <c r="AI160" s="48"/>
      <c r="AK160" s="50"/>
    </row>
    <row r="161" spans="1:37" x14ac:dyDescent="0.25">
      <c r="A161" s="116" t="s">
        <v>148</v>
      </c>
      <c r="B161" s="126"/>
      <c r="C161" s="127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9">
        <v>8.5</v>
      </c>
      <c r="AH161" s="47"/>
      <c r="AI161" s="48"/>
      <c r="AK161" s="50"/>
    </row>
    <row r="162" spans="1:37" x14ac:dyDescent="0.25">
      <c r="A162" s="116" t="s">
        <v>149</v>
      </c>
      <c r="B162" s="126"/>
      <c r="C162" s="127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9">
        <v>8.5</v>
      </c>
      <c r="AH162" s="47"/>
      <c r="AI162" s="48"/>
      <c r="AK162" s="50"/>
    </row>
    <row r="163" spans="1:37" x14ac:dyDescent="0.25">
      <c r="A163" s="116" t="s">
        <v>150</v>
      </c>
      <c r="B163" s="126"/>
      <c r="C163" s="127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9">
        <v>8.4</v>
      </c>
      <c r="AH163" s="47"/>
      <c r="AI163" s="48"/>
      <c r="AK163" s="50"/>
    </row>
    <row r="164" spans="1:37" ht="13.5" customHeight="1" x14ac:dyDescent="0.25">
      <c r="A164" s="116" t="s">
        <v>151</v>
      </c>
      <c r="B164" s="126"/>
      <c r="C164" s="127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9">
        <v>8</v>
      </c>
      <c r="AH164" s="47"/>
      <c r="AI164" s="48"/>
      <c r="AK164" s="50"/>
    </row>
    <row r="165" spans="1:37" x14ac:dyDescent="0.25">
      <c r="A165" s="116" t="s">
        <v>152</v>
      </c>
      <c r="B165" s="126"/>
      <c r="C165" s="127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9">
        <v>8</v>
      </c>
      <c r="AH165" s="47"/>
      <c r="AI165" s="48"/>
      <c r="AK165" s="50"/>
    </row>
    <row r="166" spans="1:37" x14ac:dyDescent="0.25">
      <c r="A166" s="116" t="s">
        <v>153</v>
      </c>
      <c r="B166" s="126"/>
      <c r="C166" s="127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9">
        <v>8</v>
      </c>
      <c r="AH166" s="47"/>
      <c r="AI166" s="48"/>
      <c r="AK166" s="50"/>
    </row>
    <row r="167" spans="1:37" x14ac:dyDescent="0.25">
      <c r="A167" s="116" t="s">
        <v>154</v>
      </c>
      <c r="B167" s="126"/>
      <c r="C167" s="127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9">
        <v>7.8</v>
      </c>
      <c r="AH167" s="47"/>
      <c r="AI167" s="48"/>
      <c r="AK167" s="50"/>
    </row>
    <row r="168" spans="1:37" x14ac:dyDescent="0.25">
      <c r="A168" s="116" t="s">
        <v>155</v>
      </c>
      <c r="B168" s="126"/>
      <c r="C168" s="127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9">
        <v>7.6</v>
      </c>
      <c r="AH168" s="47"/>
      <c r="AI168" s="48"/>
      <c r="AK168" s="50"/>
    </row>
    <row r="169" spans="1:37" x14ac:dyDescent="0.25">
      <c r="A169" s="116" t="s">
        <v>156</v>
      </c>
      <c r="B169" s="126"/>
      <c r="C169" s="127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9">
        <v>7.5</v>
      </c>
      <c r="AH169" s="47"/>
      <c r="AI169" s="48"/>
      <c r="AK169" s="50"/>
    </row>
    <row r="170" spans="1:37" x14ac:dyDescent="0.25">
      <c r="A170" s="116" t="s">
        <v>157</v>
      </c>
      <c r="B170" s="126"/>
      <c r="C170" s="127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9">
        <v>7.5</v>
      </c>
      <c r="AH170" s="47"/>
      <c r="AI170" s="48"/>
      <c r="AK170" s="50"/>
    </row>
    <row r="171" spans="1:37" x14ac:dyDescent="0.25">
      <c r="A171" s="116" t="s">
        <v>158</v>
      </c>
      <c r="B171" s="126"/>
      <c r="C171" s="127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9">
        <v>7</v>
      </c>
      <c r="AH171" s="47"/>
      <c r="AI171" s="48"/>
      <c r="AK171" s="50"/>
    </row>
    <row r="172" spans="1:37" x14ac:dyDescent="0.25">
      <c r="A172" s="116" t="s">
        <v>159</v>
      </c>
      <c r="B172" s="126"/>
      <c r="C172" s="127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9">
        <v>7</v>
      </c>
      <c r="AH172" s="47"/>
      <c r="AI172" s="48"/>
      <c r="AK172" s="50"/>
    </row>
    <row r="173" spans="1:37" x14ac:dyDescent="0.25">
      <c r="A173" s="116" t="s">
        <v>160</v>
      </c>
      <c r="B173" s="126"/>
      <c r="C173" s="127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9">
        <v>7</v>
      </c>
      <c r="AH173" s="47"/>
      <c r="AI173" s="48"/>
      <c r="AK173" s="50"/>
    </row>
    <row r="174" spans="1:37" x14ac:dyDescent="0.25">
      <c r="A174" s="116" t="s">
        <v>161</v>
      </c>
      <c r="B174" s="126"/>
      <c r="C174" s="127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9">
        <v>7</v>
      </c>
      <c r="AH174" s="47"/>
      <c r="AI174" s="48"/>
      <c r="AK174" s="50"/>
    </row>
    <row r="175" spans="1:37" x14ac:dyDescent="0.25">
      <c r="A175" s="116" t="s">
        <v>162</v>
      </c>
      <c r="B175" s="126"/>
      <c r="C175" s="127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9">
        <v>6.6</v>
      </c>
      <c r="AH175" s="47"/>
      <c r="AI175" s="48"/>
      <c r="AK175" s="50"/>
    </row>
    <row r="176" spans="1:37" x14ac:dyDescent="0.25">
      <c r="A176" s="116" t="s">
        <v>163</v>
      </c>
      <c r="B176" s="126"/>
      <c r="C176" s="127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9">
        <v>6.6</v>
      </c>
      <c r="AH176" s="47"/>
      <c r="AI176" s="48"/>
      <c r="AK176" s="50"/>
    </row>
    <row r="177" spans="1:37" x14ac:dyDescent="0.25">
      <c r="A177" s="116" t="s">
        <v>164</v>
      </c>
      <c r="B177" s="126"/>
      <c r="C177" s="127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9">
        <v>6.4</v>
      </c>
      <c r="AH177" s="47"/>
      <c r="AI177" s="48"/>
      <c r="AK177" s="50"/>
    </row>
    <row r="178" spans="1:37" x14ac:dyDescent="0.25">
      <c r="A178" s="116" t="s">
        <v>165</v>
      </c>
      <c r="B178" s="126"/>
      <c r="C178" s="127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9">
        <v>6</v>
      </c>
      <c r="AH178" s="47"/>
      <c r="AI178" s="48"/>
      <c r="AK178" s="50"/>
    </row>
    <row r="179" spans="1:37" x14ac:dyDescent="0.25">
      <c r="A179" s="116" t="s">
        <v>166</v>
      </c>
      <c r="B179" s="126"/>
      <c r="C179" s="127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9">
        <v>5.0999999999999996</v>
      </c>
      <c r="AH179" s="47"/>
      <c r="AI179" s="48"/>
      <c r="AK179" s="50"/>
    </row>
    <row r="180" spans="1:37" x14ac:dyDescent="0.25">
      <c r="A180" s="116" t="s">
        <v>167</v>
      </c>
      <c r="B180" s="126"/>
      <c r="C180" s="127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9">
        <v>5</v>
      </c>
      <c r="AH180" s="47"/>
      <c r="AI180" s="48"/>
      <c r="AK180" s="50"/>
    </row>
    <row r="181" spans="1:37" x14ac:dyDescent="0.25">
      <c r="A181" s="103" t="s">
        <v>168</v>
      </c>
      <c r="B181" s="126"/>
      <c r="C181" s="127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8">
        <v>5</v>
      </c>
      <c r="AH181" s="47"/>
      <c r="AI181" s="48"/>
      <c r="AK181" s="50"/>
    </row>
    <row r="182" spans="1:37" x14ac:dyDescent="0.25">
      <c r="A182" s="116" t="s">
        <v>169</v>
      </c>
      <c r="B182" s="126"/>
      <c r="C182" s="127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9">
        <v>5</v>
      </c>
      <c r="AH182" s="47"/>
      <c r="AI182" s="48"/>
      <c r="AK182" s="50"/>
    </row>
    <row r="183" spans="1:37" x14ac:dyDescent="0.25">
      <c r="A183" s="116" t="s">
        <v>170</v>
      </c>
      <c r="B183" s="126"/>
      <c r="C183" s="127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9">
        <v>5</v>
      </c>
      <c r="AH183" s="47"/>
      <c r="AI183" s="48"/>
      <c r="AK183" s="50"/>
    </row>
    <row r="184" spans="1:37" x14ac:dyDescent="0.25">
      <c r="A184" s="116" t="s">
        <v>171</v>
      </c>
      <c r="B184" s="126"/>
      <c r="C184" s="127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9">
        <v>5</v>
      </c>
      <c r="AH184" s="47"/>
      <c r="AI184" s="48"/>
      <c r="AK184" s="50"/>
    </row>
    <row r="185" spans="1:37" x14ac:dyDescent="0.25">
      <c r="A185" s="116" t="s">
        <v>172</v>
      </c>
      <c r="B185" s="126"/>
      <c r="C185" s="127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9">
        <v>5</v>
      </c>
      <c r="AH185" s="47"/>
      <c r="AI185" s="48"/>
      <c r="AK185" s="50"/>
    </row>
    <row r="186" spans="1:37" x14ac:dyDescent="0.25">
      <c r="A186" s="116" t="s">
        <v>173</v>
      </c>
      <c r="B186" s="126"/>
      <c r="C186" s="127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9">
        <v>5</v>
      </c>
      <c r="AH186" s="47"/>
      <c r="AI186" s="48"/>
      <c r="AK186" s="50"/>
    </row>
    <row r="187" spans="1:37" x14ac:dyDescent="0.25">
      <c r="A187" s="116" t="s">
        <v>174</v>
      </c>
      <c r="B187" s="126"/>
      <c r="C187" s="127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9">
        <v>4.9930000000000003</v>
      </c>
      <c r="AH187" s="47"/>
      <c r="AI187" s="48"/>
      <c r="AK187" s="50"/>
    </row>
    <row r="188" spans="1:37" x14ac:dyDescent="0.25">
      <c r="A188" s="116" t="s">
        <v>175</v>
      </c>
      <c r="B188" s="126"/>
      <c r="C188" s="127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9">
        <v>4.9800000000000004</v>
      </c>
      <c r="AH188" s="47"/>
      <c r="AI188" s="48"/>
      <c r="AK188" s="50"/>
    </row>
    <row r="189" spans="1:37" x14ac:dyDescent="0.25">
      <c r="A189" s="116" t="s">
        <v>176</v>
      </c>
      <c r="B189" s="126"/>
      <c r="C189" s="127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9">
        <v>4.95</v>
      </c>
      <c r="AH189" s="47"/>
      <c r="AI189" s="48"/>
      <c r="AK189" s="50"/>
    </row>
    <row r="190" spans="1:37" x14ac:dyDescent="0.25">
      <c r="A190" s="116" t="s">
        <v>177</v>
      </c>
      <c r="B190" s="126"/>
      <c r="C190" s="127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9">
        <v>4.95</v>
      </c>
      <c r="AH190" s="47"/>
      <c r="AI190" s="48"/>
      <c r="AK190" s="50"/>
    </row>
    <row r="191" spans="1:37" x14ac:dyDescent="0.25">
      <c r="A191" s="116" t="s">
        <v>178</v>
      </c>
      <c r="B191" s="126"/>
      <c r="C191" s="127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9">
        <v>4.8</v>
      </c>
      <c r="AH191" s="47"/>
      <c r="AI191" s="48"/>
      <c r="AK191" s="50"/>
    </row>
    <row r="192" spans="1:37" x14ac:dyDescent="0.25">
      <c r="A192" s="116" t="s">
        <v>179</v>
      </c>
      <c r="B192" s="126"/>
      <c r="C192" s="127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9">
        <v>4.8</v>
      </c>
      <c r="AH192" s="47"/>
      <c r="AI192" s="48"/>
      <c r="AK192" s="50"/>
    </row>
    <row r="193" spans="1:37" x14ac:dyDescent="0.25">
      <c r="A193" s="116" t="s">
        <v>180</v>
      </c>
      <c r="B193" s="126"/>
      <c r="C193" s="127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9">
        <v>4.8</v>
      </c>
      <c r="AH193" s="47"/>
      <c r="AI193" s="48"/>
      <c r="AK193" s="50"/>
    </row>
    <row r="194" spans="1:37" x14ac:dyDescent="0.25">
      <c r="A194" s="116" t="s">
        <v>181</v>
      </c>
      <c r="B194" s="126"/>
      <c r="C194" s="127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9">
        <v>4.5</v>
      </c>
      <c r="AH194" s="47"/>
      <c r="AI194" s="48"/>
      <c r="AK194" s="50"/>
    </row>
    <row r="195" spans="1:37" x14ac:dyDescent="0.25">
      <c r="A195" s="116" t="s">
        <v>182</v>
      </c>
      <c r="B195" s="126"/>
      <c r="C195" s="127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9">
        <v>4.5</v>
      </c>
      <c r="AH195" s="47"/>
      <c r="AI195" s="48"/>
      <c r="AK195" s="50"/>
    </row>
    <row r="196" spans="1:37" x14ac:dyDescent="0.25">
      <c r="A196" s="116" t="s">
        <v>183</v>
      </c>
      <c r="B196" s="126"/>
      <c r="C196" s="127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9">
        <v>4.4550000000000001</v>
      </c>
      <c r="AH196" s="47"/>
      <c r="AI196" s="48"/>
      <c r="AK196" s="50"/>
    </row>
    <row r="197" spans="1:37" x14ac:dyDescent="0.25">
      <c r="A197" s="116" t="s">
        <v>184</v>
      </c>
      <c r="B197" s="126"/>
      <c r="C197" s="127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9">
        <v>4.41</v>
      </c>
      <c r="AH197" s="47"/>
      <c r="AI197" s="48"/>
      <c r="AK197" s="50"/>
    </row>
    <row r="198" spans="1:37" x14ac:dyDescent="0.25">
      <c r="A198" s="116" t="s">
        <v>185</v>
      </c>
      <c r="B198" s="126"/>
      <c r="C198" s="127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9">
        <v>4.4000000000000004</v>
      </c>
      <c r="AH198" s="47"/>
      <c r="AI198" s="48"/>
      <c r="AK198" s="50"/>
    </row>
    <row r="199" spans="1:37" x14ac:dyDescent="0.25">
      <c r="A199" s="116" t="s">
        <v>186</v>
      </c>
      <c r="B199" s="126"/>
      <c r="C199" s="127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9">
        <v>4.3600000000000003</v>
      </c>
      <c r="AH199" s="47"/>
      <c r="AI199" s="48"/>
      <c r="AK199" s="50"/>
    </row>
    <row r="200" spans="1:37" x14ac:dyDescent="0.25">
      <c r="A200" s="116" t="s">
        <v>187</v>
      </c>
      <c r="B200" s="126"/>
      <c r="C200" s="127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9">
        <v>4.2</v>
      </c>
      <c r="AH200" s="47"/>
      <c r="AI200" s="48"/>
      <c r="AK200" s="50"/>
    </row>
    <row r="201" spans="1:37" x14ac:dyDescent="0.25">
      <c r="A201" s="116" t="s">
        <v>188</v>
      </c>
      <c r="B201" s="126"/>
      <c r="C201" s="127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9">
        <v>4</v>
      </c>
      <c r="AH201" s="47"/>
      <c r="AI201" s="48"/>
      <c r="AK201" s="50"/>
    </row>
    <row r="202" spans="1:37" x14ac:dyDescent="0.25">
      <c r="A202" s="116" t="s">
        <v>189</v>
      </c>
      <c r="B202" s="126"/>
      <c r="C202" s="127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9">
        <v>4</v>
      </c>
      <c r="AH202" s="47"/>
      <c r="AI202" s="48"/>
      <c r="AK202" s="50"/>
    </row>
    <row r="203" spans="1:37" x14ac:dyDescent="0.25">
      <c r="A203" s="116" t="s">
        <v>190</v>
      </c>
      <c r="B203" s="126"/>
      <c r="C203" s="127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9">
        <v>4</v>
      </c>
      <c r="AH203" s="47"/>
      <c r="AI203" s="48"/>
      <c r="AK203" s="50"/>
    </row>
    <row r="204" spans="1:37" x14ac:dyDescent="0.25">
      <c r="A204" s="116" t="s">
        <v>191</v>
      </c>
      <c r="B204" s="126"/>
      <c r="C204" s="127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9">
        <v>4</v>
      </c>
      <c r="AH204" s="47"/>
      <c r="AI204" s="48"/>
      <c r="AK204" s="50"/>
    </row>
    <row r="205" spans="1:37" x14ac:dyDescent="0.25">
      <c r="A205" s="116" t="s">
        <v>192</v>
      </c>
      <c r="B205" s="126"/>
      <c r="C205" s="127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9">
        <v>4</v>
      </c>
      <c r="AH205" s="47"/>
      <c r="AI205" s="48"/>
      <c r="AK205" s="50"/>
    </row>
    <row r="206" spans="1:37" x14ac:dyDescent="0.25">
      <c r="A206" s="116" t="s">
        <v>193</v>
      </c>
      <c r="B206" s="126"/>
      <c r="C206" s="127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9">
        <v>4</v>
      </c>
      <c r="AH206" s="47"/>
      <c r="AI206" s="48"/>
      <c r="AK206" s="50"/>
    </row>
    <row r="207" spans="1:37" x14ac:dyDescent="0.25">
      <c r="A207" s="116" t="s">
        <v>194</v>
      </c>
      <c r="B207" s="126"/>
      <c r="C207" s="127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9">
        <v>4</v>
      </c>
      <c r="AH207" s="47"/>
      <c r="AI207" s="48"/>
      <c r="AK207" s="50"/>
    </row>
    <row r="208" spans="1:37" x14ac:dyDescent="0.25">
      <c r="A208" s="116" t="s">
        <v>195</v>
      </c>
      <c r="B208" s="126"/>
      <c r="C208" s="127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9">
        <v>4</v>
      </c>
      <c r="AH208" s="47"/>
      <c r="AI208" s="48"/>
      <c r="AK208" s="50"/>
    </row>
    <row r="209" spans="1:37" x14ac:dyDescent="0.25">
      <c r="A209" s="116" t="s">
        <v>196</v>
      </c>
      <c r="B209" s="126"/>
      <c r="C209" s="127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9">
        <v>3.75</v>
      </c>
      <c r="AH209" s="47"/>
      <c r="AI209" s="48"/>
      <c r="AK209" s="50"/>
    </row>
    <row r="210" spans="1:37" x14ac:dyDescent="0.25">
      <c r="A210" s="116" t="s">
        <v>197</v>
      </c>
      <c r="B210" s="126"/>
      <c r="C210" s="127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9">
        <v>3.52</v>
      </c>
      <c r="AH210" s="47"/>
      <c r="AI210" s="48"/>
      <c r="AK210" s="50"/>
    </row>
    <row r="211" spans="1:37" x14ac:dyDescent="0.25">
      <c r="A211" s="116" t="s">
        <v>198</v>
      </c>
      <c r="B211" s="126"/>
      <c r="C211" s="127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9">
        <v>3.33</v>
      </c>
      <c r="AH211" s="47"/>
      <c r="AI211" s="48"/>
      <c r="AK211" s="50"/>
    </row>
    <row r="212" spans="1:37" x14ac:dyDescent="0.25">
      <c r="A212" s="116" t="s">
        <v>199</v>
      </c>
      <c r="B212" s="126"/>
      <c r="C212" s="127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9">
        <v>3.2</v>
      </c>
      <c r="AH212" s="47"/>
      <c r="AI212" s="48"/>
      <c r="AK212" s="50"/>
    </row>
    <row r="213" spans="1:37" x14ac:dyDescent="0.25">
      <c r="A213" s="116" t="s">
        <v>200</v>
      </c>
      <c r="B213" s="126"/>
      <c r="C213" s="127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9">
        <v>3</v>
      </c>
      <c r="AH213" s="47"/>
      <c r="AI213" s="48"/>
      <c r="AK213" s="50"/>
    </row>
    <row r="214" spans="1:37" x14ac:dyDescent="0.25">
      <c r="A214" s="116" t="s">
        <v>201</v>
      </c>
      <c r="B214" s="126"/>
      <c r="C214" s="127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9">
        <v>3</v>
      </c>
      <c r="AH214" s="47"/>
      <c r="AI214" s="48"/>
      <c r="AK214" s="50"/>
    </row>
    <row r="215" spans="1:37" x14ac:dyDescent="0.25">
      <c r="A215" s="116" t="s">
        <v>202</v>
      </c>
      <c r="B215" s="126"/>
      <c r="C215" s="127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9">
        <v>3</v>
      </c>
      <c r="AH215" s="47"/>
      <c r="AI215" s="48"/>
      <c r="AK215" s="50"/>
    </row>
    <row r="216" spans="1:37" x14ac:dyDescent="0.25">
      <c r="A216" s="116" t="s">
        <v>203</v>
      </c>
      <c r="B216" s="126"/>
      <c r="C216" s="127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9">
        <v>3</v>
      </c>
      <c r="AH216" s="47"/>
      <c r="AI216" s="48"/>
      <c r="AK216" s="50"/>
    </row>
    <row r="217" spans="1:37" x14ac:dyDescent="0.25">
      <c r="A217" s="116" t="s">
        <v>204</v>
      </c>
      <c r="B217" s="126"/>
      <c r="C217" s="127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9">
        <v>3</v>
      </c>
      <c r="AH217" s="47"/>
      <c r="AI217" s="48"/>
      <c r="AK217" s="50"/>
    </row>
    <row r="218" spans="1:37" x14ac:dyDescent="0.25">
      <c r="A218" s="116" t="s">
        <v>205</v>
      </c>
      <c r="B218" s="126"/>
      <c r="C218" s="127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9">
        <v>3</v>
      </c>
      <c r="AH218" s="47"/>
      <c r="AI218" s="48"/>
      <c r="AK218" s="50"/>
    </row>
    <row r="219" spans="1:37" x14ac:dyDescent="0.25">
      <c r="A219" s="116" t="s">
        <v>206</v>
      </c>
      <c r="B219" s="126"/>
      <c r="C219" s="127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9">
        <v>3</v>
      </c>
      <c r="AH219" s="47"/>
      <c r="AI219" s="48"/>
      <c r="AK219" s="50"/>
    </row>
    <row r="220" spans="1:37" x14ac:dyDescent="0.25">
      <c r="A220" s="116" t="s">
        <v>207</v>
      </c>
      <c r="B220" s="126"/>
      <c r="C220" s="127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9">
        <v>3</v>
      </c>
      <c r="AH220" s="47"/>
      <c r="AI220" s="48"/>
      <c r="AK220" s="50"/>
    </row>
    <row r="221" spans="1:37" x14ac:dyDescent="0.25">
      <c r="A221" s="116" t="s">
        <v>208</v>
      </c>
      <c r="B221" s="126"/>
      <c r="C221" s="127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9">
        <v>2.83</v>
      </c>
      <c r="AH221" s="47"/>
      <c r="AI221" s="48"/>
      <c r="AK221" s="50"/>
    </row>
    <row r="222" spans="1:37" x14ac:dyDescent="0.25">
      <c r="A222" s="116" t="s">
        <v>209</v>
      </c>
      <c r="B222" s="126"/>
      <c r="C222" s="127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9">
        <v>2.5</v>
      </c>
      <c r="AH222" s="47"/>
      <c r="AI222" s="48"/>
      <c r="AK222" s="50"/>
    </row>
    <row r="223" spans="1:37" x14ac:dyDescent="0.25">
      <c r="A223" s="116" t="s">
        <v>210</v>
      </c>
      <c r="B223" s="126"/>
      <c r="C223" s="127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9">
        <v>2.5</v>
      </c>
      <c r="AH223" s="47"/>
      <c r="AI223" s="48"/>
      <c r="AK223" s="50"/>
    </row>
    <row r="224" spans="1:37" x14ac:dyDescent="0.25">
      <c r="A224" s="116" t="s">
        <v>211</v>
      </c>
      <c r="B224" s="126"/>
      <c r="C224" s="127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9">
        <v>2.4</v>
      </c>
      <c r="AH224" s="47"/>
      <c r="AI224" s="48"/>
      <c r="AK224" s="50"/>
    </row>
    <row r="225" spans="1:37" x14ac:dyDescent="0.25">
      <c r="A225" s="116" t="s">
        <v>212</v>
      </c>
      <c r="B225" s="126"/>
      <c r="C225" s="127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9">
        <v>2.4</v>
      </c>
      <c r="AH225" s="47"/>
      <c r="AI225" s="48"/>
      <c r="AK225" s="50"/>
    </row>
    <row r="226" spans="1:37" x14ac:dyDescent="0.25">
      <c r="A226" s="116" t="s">
        <v>213</v>
      </c>
      <c r="B226" s="126"/>
      <c r="C226" s="127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9">
        <v>2.2000000000000002</v>
      </c>
      <c r="AH226" s="47"/>
      <c r="AI226" s="48"/>
      <c r="AK226" s="50"/>
    </row>
    <row r="227" spans="1:37" x14ac:dyDescent="0.25">
      <c r="A227" s="116" t="s">
        <v>214</v>
      </c>
      <c r="B227" s="126"/>
      <c r="C227" s="127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9">
        <v>2</v>
      </c>
      <c r="AH227" s="47"/>
      <c r="AI227" s="48"/>
      <c r="AK227" s="50"/>
    </row>
    <row r="228" spans="1:37" x14ac:dyDescent="0.25">
      <c r="A228" s="116" t="s">
        <v>215</v>
      </c>
      <c r="B228" s="126"/>
      <c r="C228" s="127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9">
        <v>2</v>
      </c>
      <c r="AH228" s="47"/>
      <c r="AI228" s="48"/>
      <c r="AK228" s="50"/>
    </row>
    <row r="229" spans="1:37" x14ac:dyDescent="0.25">
      <c r="A229" s="116" t="s">
        <v>216</v>
      </c>
      <c r="B229" s="126"/>
      <c r="C229" s="127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9">
        <v>2</v>
      </c>
      <c r="AH229" s="47"/>
      <c r="AI229" s="48"/>
      <c r="AK229" s="50"/>
    </row>
    <row r="230" spans="1:37" x14ac:dyDescent="0.25">
      <c r="A230" s="116" t="s">
        <v>217</v>
      </c>
      <c r="B230" s="126"/>
      <c r="C230" s="127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9">
        <v>1.8</v>
      </c>
      <c r="AH230" s="47"/>
      <c r="AI230" s="48"/>
      <c r="AK230" s="50"/>
    </row>
    <row r="231" spans="1:37" x14ac:dyDescent="0.25">
      <c r="A231" s="116" t="s">
        <v>218</v>
      </c>
      <c r="B231" s="126"/>
      <c r="C231" s="127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9">
        <v>1.8</v>
      </c>
      <c r="AH231" s="47"/>
      <c r="AI231" s="48"/>
      <c r="AK231" s="50"/>
    </row>
    <row r="232" spans="1:37" x14ac:dyDescent="0.25">
      <c r="A232" s="116" t="s">
        <v>219</v>
      </c>
      <c r="B232" s="126"/>
      <c r="C232" s="127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9">
        <v>1.65</v>
      </c>
      <c r="AH232" s="47"/>
      <c r="AI232" s="48"/>
      <c r="AK232" s="50"/>
    </row>
    <row r="233" spans="1:37" x14ac:dyDescent="0.25">
      <c r="A233" s="116" t="s">
        <v>220</v>
      </c>
      <c r="B233" s="126"/>
      <c r="C233" s="127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9">
        <v>1.5</v>
      </c>
      <c r="AH233" s="47"/>
      <c r="AI233" s="48"/>
      <c r="AK233" s="50"/>
    </row>
    <row r="234" spans="1:37" x14ac:dyDescent="0.25">
      <c r="A234" s="116" t="s">
        <v>221</v>
      </c>
      <c r="B234" s="126"/>
      <c r="C234" s="127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9">
        <v>0.998</v>
      </c>
      <c r="AH234" s="47"/>
      <c r="AI234" s="48"/>
      <c r="AK234" s="50"/>
    </row>
    <row r="235" spans="1:37" x14ac:dyDescent="0.25">
      <c r="A235" s="116" t="s">
        <v>222</v>
      </c>
      <c r="B235" s="126"/>
      <c r="C235" s="127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9">
        <v>0.997</v>
      </c>
      <c r="AH235" s="47"/>
      <c r="AI235" s="48"/>
      <c r="AK235" s="50"/>
    </row>
    <row r="236" spans="1:37" x14ac:dyDescent="0.25">
      <c r="A236" s="116" t="s">
        <v>223</v>
      </c>
      <c r="B236" s="126"/>
      <c r="C236" s="127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9">
        <v>0.997</v>
      </c>
      <c r="AH236" s="47"/>
      <c r="AI236" s="48"/>
      <c r="AK236" s="50"/>
    </row>
    <row r="237" spans="1:37" x14ac:dyDescent="0.25">
      <c r="A237" s="116" t="s">
        <v>224</v>
      </c>
      <c r="B237" s="126"/>
      <c r="C237" s="127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9">
        <v>0.996</v>
      </c>
      <c r="AH237" s="47"/>
      <c r="AI237" s="48"/>
      <c r="AK237" s="50"/>
    </row>
    <row r="238" spans="1:37" x14ac:dyDescent="0.25">
      <c r="A238" s="116" t="s">
        <v>225</v>
      </c>
      <c r="B238" s="126"/>
      <c r="C238" s="127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9">
        <v>0.996</v>
      </c>
      <c r="AH238" s="47"/>
      <c r="AI238" s="48"/>
      <c r="AK238" s="50"/>
    </row>
    <row r="239" spans="1:37" x14ac:dyDescent="0.25">
      <c r="A239" s="116" t="s">
        <v>226</v>
      </c>
      <c r="B239" s="126"/>
      <c r="C239" s="127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9">
        <v>0.996</v>
      </c>
      <c r="AH239" s="47"/>
      <c r="AI239" s="48"/>
      <c r="AK239" s="50"/>
    </row>
    <row r="240" spans="1:37" x14ac:dyDescent="0.25">
      <c r="A240" s="116" t="s">
        <v>227</v>
      </c>
      <c r="B240" s="126"/>
      <c r="C240" s="127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9">
        <v>0.995</v>
      </c>
      <c r="AH240" s="47"/>
      <c r="AI240" s="48"/>
      <c r="AK240" s="50"/>
    </row>
    <row r="241" spans="1:37" x14ac:dyDescent="0.25">
      <c r="A241" s="116" t="s">
        <v>228</v>
      </c>
      <c r="B241" s="126"/>
      <c r="C241" s="127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9">
        <v>0.99299999999999999</v>
      </c>
      <c r="AH241" s="47"/>
      <c r="AI241" s="48"/>
      <c r="AK241" s="50"/>
    </row>
    <row r="242" spans="1:37" x14ac:dyDescent="0.25">
      <c r="A242" s="116" t="s">
        <v>229</v>
      </c>
      <c r="B242" s="126"/>
      <c r="C242" s="124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9">
        <v>0.99</v>
      </c>
      <c r="AH242" s="47"/>
      <c r="AI242" s="48"/>
      <c r="AK242" s="50"/>
    </row>
    <row r="243" spans="1:37" ht="15.75" thickBot="1" x14ac:dyDescent="0.3">
      <c r="A243" s="116" t="s">
        <v>230</v>
      </c>
      <c r="B243" s="130"/>
      <c r="C243" s="131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29">
        <v>0.97899999999999998</v>
      </c>
      <c r="AH243" s="47"/>
      <c r="AI243" s="48"/>
      <c r="AK243" s="50"/>
    </row>
    <row r="244" spans="1:37" ht="15.75" thickBot="1" x14ac:dyDescent="0.3">
      <c r="A244" s="132" t="s">
        <v>231</v>
      </c>
      <c r="B244" s="133">
        <f t="shared" ref="B244:AG244" si="137">SUM(B139:B243)</f>
        <v>0</v>
      </c>
      <c r="C244" s="134">
        <f t="shared" si="137"/>
        <v>0</v>
      </c>
      <c r="D244" s="134">
        <f t="shared" si="137"/>
        <v>0</v>
      </c>
      <c r="E244" s="134">
        <f t="shared" si="137"/>
        <v>0</v>
      </c>
      <c r="F244" s="134">
        <f t="shared" si="137"/>
        <v>0</v>
      </c>
      <c r="G244" s="134">
        <f t="shared" si="137"/>
        <v>0</v>
      </c>
      <c r="H244" s="134">
        <f t="shared" si="137"/>
        <v>0</v>
      </c>
      <c r="I244" s="134">
        <f t="shared" si="137"/>
        <v>0</v>
      </c>
      <c r="J244" s="134">
        <f t="shared" si="137"/>
        <v>0</v>
      </c>
      <c r="K244" s="134">
        <f t="shared" si="137"/>
        <v>0</v>
      </c>
      <c r="L244" s="134">
        <f t="shared" si="137"/>
        <v>0</v>
      </c>
      <c r="M244" s="134">
        <f t="shared" si="137"/>
        <v>0</v>
      </c>
      <c r="N244" s="134">
        <f t="shared" si="137"/>
        <v>0</v>
      </c>
      <c r="O244" s="134">
        <f t="shared" si="137"/>
        <v>0</v>
      </c>
      <c r="P244" s="134">
        <f t="shared" si="137"/>
        <v>0</v>
      </c>
      <c r="Q244" s="134">
        <f t="shared" si="137"/>
        <v>0</v>
      </c>
      <c r="R244" s="134">
        <f t="shared" si="137"/>
        <v>0</v>
      </c>
      <c r="S244" s="134">
        <f t="shared" si="137"/>
        <v>0</v>
      </c>
      <c r="T244" s="134">
        <f t="shared" si="137"/>
        <v>0</v>
      </c>
      <c r="U244" s="134">
        <f t="shared" si="137"/>
        <v>0</v>
      </c>
      <c r="V244" s="134">
        <f t="shared" si="137"/>
        <v>0</v>
      </c>
      <c r="W244" s="134">
        <f t="shared" si="137"/>
        <v>0</v>
      </c>
      <c r="X244" s="134">
        <f t="shared" si="137"/>
        <v>0</v>
      </c>
      <c r="Y244" s="134">
        <f t="shared" si="137"/>
        <v>0</v>
      </c>
      <c r="Z244" s="134">
        <f t="shared" si="137"/>
        <v>0</v>
      </c>
      <c r="AA244" s="134">
        <f t="shared" si="137"/>
        <v>0</v>
      </c>
      <c r="AB244" s="134">
        <f t="shared" si="137"/>
        <v>0</v>
      </c>
      <c r="AC244" s="134">
        <f t="shared" si="137"/>
        <v>0</v>
      </c>
      <c r="AD244" s="134">
        <f t="shared" si="137"/>
        <v>0</v>
      </c>
      <c r="AE244" s="134">
        <f t="shared" si="137"/>
        <v>0</v>
      </c>
      <c r="AF244" s="135">
        <f t="shared" si="137"/>
        <v>0</v>
      </c>
      <c r="AG244" s="136">
        <f t="shared" si="137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19"/>
      <c r="AH245" s="47"/>
      <c r="AI245" s="48"/>
      <c r="AK245" s="50"/>
    </row>
    <row r="246" spans="1:37" x14ac:dyDescent="0.25">
      <c r="A246" s="100" t="s">
        <v>232</v>
      </c>
      <c r="B246" s="138">
        <f t="shared" ref="B246:B251" si="138">AF246</f>
        <v>0.3</v>
      </c>
      <c r="C246" s="138">
        <v>0.3</v>
      </c>
      <c r="D246" s="138">
        <f t="shared" ref="D246:S251" si="139">C246</f>
        <v>0.3</v>
      </c>
      <c r="E246" s="138">
        <f t="shared" si="139"/>
        <v>0.3</v>
      </c>
      <c r="F246" s="138">
        <f t="shared" si="139"/>
        <v>0.3</v>
      </c>
      <c r="G246" s="138">
        <f t="shared" si="139"/>
        <v>0.3</v>
      </c>
      <c r="H246" s="138">
        <f t="shared" si="139"/>
        <v>0.3</v>
      </c>
      <c r="I246" s="138">
        <f t="shared" si="139"/>
        <v>0.3</v>
      </c>
      <c r="J246" s="138">
        <f t="shared" si="139"/>
        <v>0.3</v>
      </c>
      <c r="K246" s="138">
        <f t="shared" si="139"/>
        <v>0.3</v>
      </c>
      <c r="L246" s="138">
        <f t="shared" si="139"/>
        <v>0.3</v>
      </c>
      <c r="M246" s="138">
        <f t="shared" si="139"/>
        <v>0.3</v>
      </c>
      <c r="N246" s="138">
        <f t="shared" si="139"/>
        <v>0.3</v>
      </c>
      <c r="O246" s="138">
        <f t="shared" si="139"/>
        <v>0.3</v>
      </c>
      <c r="P246" s="138">
        <f t="shared" si="139"/>
        <v>0.3</v>
      </c>
      <c r="Q246" s="138">
        <f t="shared" si="139"/>
        <v>0.3</v>
      </c>
      <c r="R246" s="138">
        <f t="shared" si="139"/>
        <v>0.3</v>
      </c>
      <c r="S246" s="138">
        <f t="shared" si="139"/>
        <v>0.3</v>
      </c>
      <c r="T246" s="138">
        <f t="shared" ref="T246:AF251" si="140">S246</f>
        <v>0.3</v>
      </c>
      <c r="U246" s="138">
        <f t="shared" si="140"/>
        <v>0.3</v>
      </c>
      <c r="V246" s="138">
        <f t="shared" si="140"/>
        <v>0.3</v>
      </c>
      <c r="W246" s="138">
        <f t="shared" si="140"/>
        <v>0.3</v>
      </c>
      <c r="X246" s="138">
        <f t="shared" si="140"/>
        <v>0.3</v>
      </c>
      <c r="Y246" s="138">
        <f t="shared" si="140"/>
        <v>0.3</v>
      </c>
      <c r="Z246" s="138">
        <f t="shared" si="140"/>
        <v>0.3</v>
      </c>
      <c r="AA246" s="138">
        <f t="shared" si="140"/>
        <v>0.3</v>
      </c>
      <c r="AB246" s="138">
        <f t="shared" si="140"/>
        <v>0.3</v>
      </c>
      <c r="AC246" s="138">
        <f t="shared" si="140"/>
        <v>0.3</v>
      </c>
      <c r="AD246" s="138">
        <f t="shared" si="140"/>
        <v>0.3</v>
      </c>
      <c r="AE246" s="138">
        <f t="shared" si="140"/>
        <v>0.3</v>
      </c>
      <c r="AF246" s="138">
        <f t="shared" si="140"/>
        <v>0.3</v>
      </c>
      <c r="AG246" s="139">
        <v>2.4</v>
      </c>
      <c r="AH246" s="47"/>
      <c r="AI246" s="48"/>
      <c r="AK246" s="50"/>
    </row>
    <row r="247" spans="1:37" x14ac:dyDescent="0.25">
      <c r="A247" s="103" t="s">
        <v>233</v>
      </c>
      <c r="B247" s="126">
        <f t="shared" si="138"/>
        <v>0.4</v>
      </c>
      <c r="C247" s="126">
        <v>0.4</v>
      </c>
      <c r="D247" s="126">
        <f t="shared" si="139"/>
        <v>0.4</v>
      </c>
      <c r="E247" s="126">
        <f t="shared" si="139"/>
        <v>0.4</v>
      </c>
      <c r="F247" s="126">
        <f t="shared" si="139"/>
        <v>0.4</v>
      </c>
      <c r="G247" s="126">
        <f t="shared" si="139"/>
        <v>0.4</v>
      </c>
      <c r="H247" s="126">
        <f t="shared" si="139"/>
        <v>0.4</v>
      </c>
      <c r="I247" s="126">
        <f t="shared" si="139"/>
        <v>0.4</v>
      </c>
      <c r="J247" s="126">
        <f t="shared" si="139"/>
        <v>0.4</v>
      </c>
      <c r="K247" s="126">
        <f t="shared" si="139"/>
        <v>0.4</v>
      </c>
      <c r="L247" s="126">
        <f t="shared" si="139"/>
        <v>0.4</v>
      </c>
      <c r="M247" s="126">
        <f t="shared" si="139"/>
        <v>0.4</v>
      </c>
      <c r="N247" s="126">
        <f t="shared" si="139"/>
        <v>0.4</v>
      </c>
      <c r="O247" s="126">
        <f t="shared" si="139"/>
        <v>0.4</v>
      </c>
      <c r="P247" s="126">
        <f t="shared" si="139"/>
        <v>0.4</v>
      </c>
      <c r="Q247" s="126">
        <f t="shared" si="139"/>
        <v>0.4</v>
      </c>
      <c r="R247" s="126">
        <f t="shared" si="139"/>
        <v>0.4</v>
      </c>
      <c r="S247" s="126">
        <f t="shared" si="139"/>
        <v>0.4</v>
      </c>
      <c r="T247" s="126">
        <f t="shared" si="140"/>
        <v>0.4</v>
      </c>
      <c r="U247" s="126">
        <f t="shared" si="140"/>
        <v>0.4</v>
      </c>
      <c r="V247" s="126">
        <f t="shared" si="140"/>
        <v>0.4</v>
      </c>
      <c r="W247" s="126">
        <f t="shared" si="140"/>
        <v>0.4</v>
      </c>
      <c r="X247" s="126">
        <f t="shared" si="140"/>
        <v>0.4</v>
      </c>
      <c r="Y247" s="126">
        <f t="shared" si="140"/>
        <v>0.4</v>
      </c>
      <c r="Z247" s="126">
        <f t="shared" si="140"/>
        <v>0.4</v>
      </c>
      <c r="AA247" s="126">
        <f t="shared" si="140"/>
        <v>0.4</v>
      </c>
      <c r="AB247" s="126">
        <f t="shared" si="140"/>
        <v>0.4</v>
      </c>
      <c r="AC247" s="126">
        <f t="shared" si="140"/>
        <v>0.4</v>
      </c>
      <c r="AD247" s="126">
        <f t="shared" si="140"/>
        <v>0.4</v>
      </c>
      <c r="AE247" s="126">
        <f t="shared" si="140"/>
        <v>0.4</v>
      </c>
      <c r="AF247" s="126">
        <f t="shared" si="140"/>
        <v>0.4</v>
      </c>
      <c r="AG247" s="140">
        <v>2</v>
      </c>
      <c r="AH247" s="47"/>
      <c r="AI247" s="48"/>
      <c r="AK247" s="50"/>
    </row>
    <row r="248" spans="1:37" x14ac:dyDescent="0.25">
      <c r="A248" s="103" t="s">
        <v>234</v>
      </c>
      <c r="B248" s="126">
        <f t="shared" si="138"/>
        <v>1.5</v>
      </c>
      <c r="C248" s="126">
        <v>1.5</v>
      </c>
      <c r="D248" s="126">
        <f t="shared" si="139"/>
        <v>1.5</v>
      </c>
      <c r="E248" s="126">
        <f t="shared" si="139"/>
        <v>1.5</v>
      </c>
      <c r="F248" s="126">
        <f t="shared" si="139"/>
        <v>1.5</v>
      </c>
      <c r="G248" s="126">
        <f t="shared" si="139"/>
        <v>1.5</v>
      </c>
      <c r="H248" s="126">
        <f t="shared" si="139"/>
        <v>1.5</v>
      </c>
      <c r="I248" s="126">
        <f t="shared" si="139"/>
        <v>1.5</v>
      </c>
      <c r="J248" s="126">
        <f t="shared" si="139"/>
        <v>1.5</v>
      </c>
      <c r="K248" s="126">
        <f t="shared" si="139"/>
        <v>1.5</v>
      </c>
      <c r="L248" s="126">
        <f t="shared" si="139"/>
        <v>1.5</v>
      </c>
      <c r="M248" s="126">
        <f t="shared" si="139"/>
        <v>1.5</v>
      </c>
      <c r="N248" s="126">
        <f t="shared" si="139"/>
        <v>1.5</v>
      </c>
      <c r="O248" s="126">
        <f t="shared" si="139"/>
        <v>1.5</v>
      </c>
      <c r="P248" s="126">
        <f t="shared" si="139"/>
        <v>1.5</v>
      </c>
      <c r="Q248" s="126">
        <f t="shared" si="139"/>
        <v>1.5</v>
      </c>
      <c r="R248" s="126">
        <f t="shared" si="139"/>
        <v>1.5</v>
      </c>
      <c r="S248" s="126">
        <f t="shared" si="139"/>
        <v>1.5</v>
      </c>
      <c r="T248" s="126">
        <f t="shared" si="140"/>
        <v>1.5</v>
      </c>
      <c r="U248" s="126">
        <f t="shared" si="140"/>
        <v>1.5</v>
      </c>
      <c r="V248" s="126">
        <f t="shared" si="140"/>
        <v>1.5</v>
      </c>
      <c r="W248" s="126">
        <f t="shared" si="140"/>
        <v>1.5</v>
      </c>
      <c r="X248" s="126">
        <f t="shared" si="140"/>
        <v>1.5</v>
      </c>
      <c r="Y248" s="126">
        <f t="shared" si="140"/>
        <v>1.5</v>
      </c>
      <c r="Z248" s="126">
        <f t="shared" si="140"/>
        <v>1.5</v>
      </c>
      <c r="AA248" s="126">
        <f t="shared" si="140"/>
        <v>1.5</v>
      </c>
      <c r="AB248" s="126">
        <f t="shared" si="140"/>
        <v>1.5</v>
      </c>
      <c r="AC248" s="126">
        <f t="shared" si="140"/>
        <v>1.5</v>
      </c>
      <c r="AD248" s="126">
        <f t="shared" si="140"/>
        <v>1.5</v>
      </c>
      <c r="AE248" s="126">
        <f t="shared" si="140"/>
        <v>1.5</v>
      </c>
      <c r="AF248" s="126">
        <f t="shared" si="140"/>
        <v>1.5</v>
      </c>
      <c r="AG248" s="140">
        <v>1.5</v>
      </c>
      <c r="AH248" s="47"/>
      <c r="AI248" s="48"/>
      <c r="AK248" s="50"/>
    </row>
    <row r="249" spans="1:37" x14ac:dyDescent="0.25">
      <c r="A249" s="103" t="s">
        <v>235</v>
      </c>
      <c r="B249" s="126">
        <f t="shared" si="138"/>
        <v>0.3</v>
      </c>
      <c r="C249" s="126">
        <v>0.3</v>
      </c>
      <c r="D249" s="126">
        <f t="shared" si="139"/>
        <v>0.3</v>
      </c>
      <c r="E249" s="126">
        <f t="shared" si="139"/>
        <v>0.3</v>
      </c>
      <c r="F249" s="126">
        <f t="shared" si="139"/>
        <v>0.3</v>
      </c>
      <c r="G249" s="126">
        <f t="shared" si="139"/>
        <v>0.3</v>
      </c>
      <c r="H249" s="126">
        <f t="shared" si="139"/>
        <v>0.3</v>
      </c>
      <c r="I249" s="126">
        <f t="shared" si="139"/>
        <v>0.3</v>
      </c>
      <c r="J249" s="126">
        <f t="shared" si="139"/>
        <v>0.3</v>
      </c>
      <c r="K249" s="126">
        <f t="shared" si="139"/>
        <v>0.3</v>
      </c>
      <c r="L249" s="126">
        <f t="shared" si="139"/>
        <v>0.3</v>
      </c>
      <c r="M249" s="126">
        <f t="shared" si="139"/>
        <v>0.3</v>
      </c>
      <c r="N249" s="126">
        <f t="shared" si="139"/>
        <v>0.3</v>
      </c>
      <c r="O249" s="126">
        <f t="shared" si="139"/>
        <v>0.3</v>
      </c>
      <c r="P249" s="126">
        <f t="shared" si="139"/>
        <v>0.3</v>
      </c>
      <c r="Q249" s="126">
        <f t="shared" si="139"/>
        <v>0.3</v>
      </c>
      <c r="R249" s="126">
        <f t="shared" si="139"/>
        <v>0.3</v>
      </c>
      <c r="S249" s="126">
        <f t="shared" si="139"/>
        <v>0.3</v>
      </c>
      <c r="T249" s="126">
        <f t="shared" si="140"/>
        <v>0.3</v>
      </c>
      <c r="U249" s="126">
        <f t="shared" si="140"/>
        <v>0.3</v>
      </c>
      <c r="V249" s="126">
        <f t="shared" si="140"/>
        <v>0.3</v>
      </c>
      <c r="W249" s="126">
        <f t="shared" si="140"/>
        <v>0.3</v>
      </c>
      <c r="X249" s="126">
        <f t="shared" si="140"/>
        <v>0.3</v>
      </c>
      <c r="Y249" s="126">
        <f t="shared" si="140"/>
        <v>0.3</v>
      </c>
      <c r="Z249" s="126">
        <f t="shared" si="140"/>
        <v>0.3</v>
      </c>
      <c r="AA249" s="126">
        <f t="shared" si="140"/>
        <v>0.3</v>
      </c>
      <c r="AB249" s="126">
        <f t="shared" si="140"/>
        <v>0.3</v>
      </c>
      <c r="AC249" s="126">
        <f t="shared" si="140"/>
        <v>0.3</v>
      </c>
      <c r="AD249" s="126">
        <f t="shared" si="140"/>
        <v>0.3</v>
      </c>
      <c r="AE249" s="126">
        <f t="shared" si="140"/>
        <v>0.3</v>
      </c>
      <c r="AF249" s="126">
        <f t="shared" si="140"/>
        <v>0.3</v>
      </c>
      <c r="AG249" s="140">
        <v>1</v>
      </c>
      <c r="AH249" s="47"/>
      <c r="AI249" s="48"/>
      <c r="AK249" s="50"/>
    </row>
    <row r="250" spans="1:37" x14ac:dyDescent="0.25">
      <c r="A250" s="103" t="s">
        <v>236</v>
      </c>
      <c r="B250" s="126">
        <f t="shared" si="138"/>
        <v>0.4</v>
      </c>
      <c r="C250" s="126">
        <v>0.4</v>
      </c>
      <c r="D250" s="126">
        <f t="shared" si="139"/>
        <v>0.4</v>
      </c>
      <c r="E250" s="126">
        <f t="shared" si="139"/>
        <v>0.4</v>
      </c>
      <c r="F250" s="126">
        <f t="shared" si="139"/>
        <v>0.4</v>
      </c>
      <c r="G250" s="126">
        <f t="shared" si="139"/>
        <v>0.4</v>
      </c>
      <c r="H250" s="126">
        <f t="shared" si="139"/>
        <v>0.4</v>
      </c>
      <c r="I250" s="126">
        <f t="shared" si="139"/>
        <v>0.4</v>
      </c>
      <c r="J250" s="126">
        <f t="shared" si="139"/>
        <v>0.4</v>
      </c>
      <c r="K250" s="126">
        <f t="shared" si="139"/>
        <v>0.4</v>
      </c>
      <c r="L250" s="126">
        <f t="shared" si="139"/>
        <v>0.4</v>
      </c>
      <c r="M250" s="126">
        <f t="shared" si="139"/>
        <v>0.4</v>
      </c>
      <c r="N250" s="126">
        <f t="shared" si="139"/>
        <v>0.4</v>
      </c>
      <c r="O250" s="126">
        <f t="shared" si="139"/>
        <v>0.4</v>
      </c>
      <c r="P250" s="126">
        <f t="shared" si="139"/>
        <v>0.4</v>
      </c>
      <c r="Q250" s="126">
        <f t="shared" si="139"/>
        <v>0.4</v>
      </c>
      <c r="R250" s="126">
        <f t="shared" si="139"/>
        <v>0.4</v>
      </c>
      <c r="S250" s="126">
        <f t="shared" si="139"/>
        <v>0.4</v>
      </c>
      <c r="T250" s="126">
        <f t="shared" si="140"/>
        <v>0.4</v>
      </c>
      <c r="U250" s="126">
        <f t="shared" si="140"/>
        <v>0.4</v>
      </c>
      <c r="V250" s="126">
        <f t="shared" si="140"/>
        <v>0.4</v>
      </c>
      <c r="W250" s="126">
        <f t="shared" si="140"/>
        <v>0.4</v>
      </c>
      <c r="X250" s="126">
        <f t="shared" si="140"/>
        <v>0.4</v>
      </c>
      <c r="Y250" s="126">
        <f t="shared" si="140"/>
        <v>0.4</v>
      </c>
      <c r="Z250" s="126">
        <f t="shared" si="140"/>
        <v>0.4</v>
      </c>
      <c r="AA250" s="126">
        <f t="shared" si="140"/>
        <v>0.4</v>
      </c>
      <c r="AB250" s="126">
        <f t="shared" si="140"/>
        <v>0.4</v>
      </c>
      <c r="AC250" s="126">
        <f t="shared" si="140"/>
        <v>0.4</v>
      </c>
      <c r="AD250" s="126">
        <f t="shared" si="140"/>
        <v>0.4</v>
      </c>
      <c r="AE250" s="126">
        <f t="shared" si="140"/>
        <v>0.4</v>
      </c>
      <c r="AF250" s="126">
        <f t="shared" si="140"/>
        <v>0.4</v>
      </c>
      <c r="AG250" s="140">
        <v>1</v>
      </c>
      <c r="AH250" s="47"/>
      <c r="AI250" s="48"/>
      <c r="AK250" s="50"/>
    </row>
    <row r="251" spans="1:37" ht="15.75" thickBot="1" x14ac:dyDescent="0.3">
      <c r="A251" s="116" t="s">
        <v>237</v>
      </c>
      <c r="B251" s="130">
        <f t="shared" si="138"/>
        <v>0.64</v>
      </c>
      <c r="C251" s="130">
        <v>0.64</v>
      </c>
      <c r="D251" s="130">
        <f t="shared" si="139"/>
        <v>0.64</v>
      </c>
      <c r="E251" s="130">
        <f t="shared" si="139"/>
        <v>0.64</v>
      </c>
      <c r="F251" s="130">
        <f t="shared" si="139"/>
        <v>0.64</v>
      </c>
      <c r="G251" s="130">
        <f t="shared" si="139"/>
        <v>0.64</v>
      </c>
      <c r="H251" s="130">
        <f t="shared" si="139"/>
        <v>0.64</v>
      </c>
      <c r="I251" s="130">
        <f t="shared" si="139"/>
        <v>0.64</v>
      </c>
      <c r="J251" s="130">
        <f t="shared" si="139"/>
        <v>0.64</v>
      </c>
      <c r="K251" s="130">
        <f t="shared" si="139"/>
        <v>0.64</v>
      </c>
      <c r="L251" s="130">
        <f t="shared" si="139"/>
        <v>0.64</v>
      </c>
      <c r="M251" s="130">
        <f t="shared" si="139"/>
        <v>0.64</v>
      </c>
      <c r="N251" s="130">
        <f t="shared" si="139"/>
        <v>0.64</v>
      </c>
      <c r="O251" s="130">
        <f t="shared" si="139"/>
        <v>0.64</v>
      </c>
      <c r="P251" s="130">
        <f t="shared" si="139"/>
        <v>0.64</v>
      </c>
      <c r="Q251" s="130">
        <f t="shared" si="139"/>
        <v>0.64</v>
      </c>
      <c r="R251" s="130">
        <f t="shared" si="139"/>
        <v>0.64</v>
      </c>
      <c r="S251" s="130">
        <f t="shared" si="139"/>
        <v>0.64</v>
      </c>
      <c r="T251" s="130">
        <f t="shared" si="140"/>
        <v>0.64</v>
      </c>
      <c r="U251" s="130">
        <f t="shared" si="140"/>
        <v>0.64</v>
      </c>
      <c r="V251" s="130">
        <f t="shared" si="140"/>
        <v>0.64</v>
      </c>
      <c r="W251" s="130">
        <f t="shared" si="140"/>
        <v>0.64</v>
      </c>
      <c r="X251" s="130">
        <f t="shared" si="140"/>
        <v>0.64</v>
      </c>
      <c r="Y251" s="130">
        <f t="shared" si="140"/>
        <v>0.64</v>
      </c>
      <c r="Z251" s="130">
        <f t="shared" si="140"/>
        <v>0.64</v>
      </c>
      <c r="AA251" s="130">
        <f t="shared" si="140"/>
        <v>0.64</v>
      </c>
      <c r="AB251" s="130">
        <f t="shared" si="140"/>
        <v>0.64</v>
      </c>
      <c r="AC251" s="130">
        <f t="shared" si="140"/>
        <v>0.64</v>
      </c>
      <c r="AD251" s="130">
        <f t="shared" si="140"/>
        <v>0.64</v>
      </c>
      <c r="AE251" s="130">
        <f t="shared" si="140"/>
        <v>0.64</v>
      </c>
      <c r="AF251" s="130">
        <f t="shared" si="140"/>
        <v>0.64</v>
      </c>
      <c r="AG251" s="141">
        <v>0.66</v>
      </c>
      <c r="AH251" s="47"/>
      <c r="AI251" s="48"/>
    </row>
    <row r="252" spans="1:37" ht="15.75" thickBot="1" x14ac:dyDescent="0.3">
      <c r="A252" s="142" t="s">
        <v>75</v>
      </c>
      <c r="B252" s="134">
        <f t="shared" ref="B252:AG252" si="141">SUM(B246:B251)</f>
        <v>3.54</v>
      </c>
      <c r="C252" s="134">
        <f t="shared" si="141"/>
        <v>3.54</v>
      </c>
      <c r="D252" s="134">
        <f t="shared" si="141"/>
        <v>3.54</v>
      </c>
      <c r="E252" s="134">
        <f t="shared" si="141"/>
        <v>3.54</v>
      </c>
      <c r="F252" s="134">
        <f t="shared" si="141"/>
        <v>3.54</v>
      </c>
      <c r="G252" s="134">
        <f t="shared" si="141"/>
        <v>3.54</v>
      </c>
      <c r="H252" s="134">
        <f t="shared" si="141"/>
        <v>3.54</v>
      </c>
      <c r="I252" s="134">
        <f t="shared" si="141"/>
        <v>3.54</v>
      </c>
      <c r="J252" s="134">
        <f t="shared" si="141"/>
        <v>3.54</v>
      </c>
      <c r="K252" s="134">
        <f t="shared" si="141"/>
        <v>3.54</v>
      </c>
      <c r="L252" s="134">
        <f t="shared" si="141"/>
        <v>3.54</v>
      </c>
      <c r="M252" s="134">
        <f t="shared" si="141"/>
        <v>3.54</v>
      </c>
      <c r="N252" s="134">
        <f t="shared" si="141"/>
        <v>3.54</v>
      </c>
      <c r="O252" s="134">
        <f t="shared" si="141"/>
        <v>3.54</v>
      </c>
      <c r="P252" s="134">
        <f t="shared" si="141"/>
        <v>3.54</v>
      </c>
      <c r="Q252" s="134">
        <f t="shared" si="141"/>
        <v>3.54</v>
      </c>
      <c r="R252" s="134">
        <f t="shared" si="141"/>
        <v>3.54</v>
      </c>
      <c r="S252" s="134">
        <f t="shared" si="141"/>
        <v>3.54</v>
      </c>
      <c r="T252" s="134">
        <f t="shared" si="141"/>
        <v>3.54</v>
      </c>
      <c r="U252" s="134">
        <f t="shared" si="141"/>
        <v>3.54</v>
      </c>
      <c r="V252" s="134">
        <f t="shared" si="141"/>
        <v>3.54</v>
      </c>
      <c r="W252" s="134">
        <f t="shared" si="141"/>
        <v>3.54</v>
      </c>
      <c r="X252" s="134">
        <f t="shared" si="141"/>
        <v>3.54</v>
      </c>
      <c r="Y252" s="134">
        <f t="shared" si="141"/>
        <v>3.54</v>
      </c>
      <c r="Z252" s="134">
        <f t="shared" si="141"/>
        <v>3.54</v>
      </c>
      <c r="AA252" s="134">
        <f t="shared" si="141"/>
        <v>3.54</v>
      </c>
      <c r="AB252" s="134">
        <f t="shared" si="141"/>
        <v>3.54</v>
      </c>
      <c r="AC252" s="134">
        <f t="shared" si="141"/>
        <v>3.54</v>
      </c>
      <c r="AD252" s="134">
        <f t="shared" si="141"/>
        <v>3.54</v>
      </c>
      <c r="AE252" s="134">
        <f t="shared" si="141"/>
        <v>3.54</v>
      </c>
      <c r="AF252" s="134">
        <f t="shared" si="141"/>
        <v>3.54</v>
      </c>
      <c r="AG252" s="143">
        <f t="shared" si="141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37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54" t="s">
        <v>243</v>
      </c>
      <c r="B256" s="155">
        <f>MAX(G99:N99)</f>
        <v>1867.6000000000001</v>
      </c>
      <c r="C256" s="156">
        <f>INDEX(G9:N9,1,MATCH(MAX(G99:N99),G99:N99,0))</f>
        <v>0.375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50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157" t="str">
        <f ca="1">MID(CELL("filename",C7),FIND("]",CELL("filename",C7))+1,600)</f>
        <v>24</v>
      </c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50" x14ac:dyDescent="0.25">
      <c r="A258" s="257" t="s">
        <v>244</v>
      </c>
      <c r="B258" s="257"/>
      <c r="C258" s="43"/>
      <c r="D258" s="157" t="str">
        <f ca="1">"Pie Chart of Daily Peak Demand(Inclusive of Export) of Nepal ("&amp;A4&amp;" "&amp;B4&amp;")"</f>
        <v>Pie Chart of Daily Peak Demand(Inclusive of Export) of Nepal (Nepali Date: 2080/10/24)</v>
      </c>
      <c r="E258" s="43"/>
      <c r="F258" s="43"/>
      <c r="G258" s="157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157" t="str">
        <f ca="1">"Daily Load Curve(Excluding of Export) of Nepal ("&amp;A4&amp;" "&amp;B4&amp;")"</f>
        <v>Daily Load Curve(Excluding of Export) of Nepal (Nepali Date: 2080/10/24)</v>
      </c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50" ht="12.75" customHeight="1" thickBot="1" x14ac:dyDescent="0.3">
      <c r="A259" s="158" t="s">
        <v>7</v>
      </c>
      <c r="B259" s="159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50" ht="15.75" thickTop="1" x14ac:dyDescent="0.25">
      <c r="A260" s="158" t="s">
        <v>245</v>
      </c>
      <c r="B260" s="15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160" t="s">
        <v>246</v>
      </c>
      <c r="T260" s="161">
        <v>0</v>
      </c>
      <c r="U260" s="162">
        <v>4.1666666666666664E-2</v>
      </c>
      <c r="V260" s="163">
        <v>8.3333333333333301E-2</v>
      </c>
      <c r="W260" s="163">
        <v>0.125</v>
      </c>
      <c r="X260" s="163">
        <v>0.16666666666666699</v>
      </c>
      <c r="Y260" s="163">
        <v>0.20833333333333301</v>
      </c>
      <c r="Z260" s="163">
        <v>0.22916666666666666</v>
      </c>
      <c r="AA260" s="163">
        <v>0.25</v>
      </c>
      <c r="AB260" s="163">
        <v>0.27083333333333331</v>
      </c>
      <c r="AC260" s="163">
        <v>0.29166666666666669</v>
      </c>
      <c r="AD260" s="163">
        <v>0.3125</v>
      </c>
      <c r="AE260" s="164">
        <v>0.33333333333333331</v>
      </c>
      <c r="AF260" s="164">
        <v>0.375</v>
      </c>
      <c r="AG260" s="164">
        <v>0.41666666666666702</v>
      </c>
      <c r="AH260" s="164">
        <v>0.45833333333333298</v>
      </c>
      <c r="AI260" s="164">
        <v>0.5</v>
      </c>
      <c r="AJ260" s="164">
        <v>0.54166666666666696</v>
      </c>
      <c r="AK260" s="164">
        <v>0.58333333333333304</v>
      </c>
      <c r="AL260" s="164">
        <v>0.625</v>
      </c>
      <c r="AM260" s="164">
        <v>0.66666666666666696</v>
      </c>
      <c r="AN260" s="164">
        <v>0.70833333333333304</v>
      </c>
      <c r="AO260" s="164">
        <v>0.72916666666666663</v>
      </c>
      <c r="AP260" s="164">
        <v>0.75</v>
      </c>
      <c r="AQ260" s="164">
        <v>0.77083333333333337</v>
      </c>
      <c r="AR260" s="164">
        <v>0.79166666666666663</v>
      </c>
      <c r="AS260" s="164">
        <v>0.8125</v>
      </c>
      <c r="AT260" s="163">
        <v>0.83333333333333337</v>
      </c>
      <c r="AU260" s="163">
        <v>0.85416666666666663</v>
      </c>
      <c r="AV260" s="163">
        <v>0.875</v>
      </c>
      <c r="AW260" s="163">
        <v>0.91666666666666696</v>
      </c>
      <c r="AX260" s="163">
        <v>0.95833333333333304</v>
      </c>
    </row>
    <row r="261" spans="1:50" x14ac:dyDescent="0.25">
      <c r="A261" s="158" t="s">
        <v>247</v>
      </c>
      <c r="B261" s="15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 t="s">
        <v>248</v>
      </c>
      <c r="T261" s="165">
        <f t="shared" ref="T261:AX261" si="142">B99</f>
        <v>1192.54</v>
      </c>
      <c r="U261" s="165">
        <f t="shared" si="142"/>
        <v>1191.54</v>
      </c>
      <c r="V261" s="165">
        <f t="shared" si="142"/>
        <v>1145.04</v>
      </c>
      <c r="W261" s="165">
        <f t="shared" si="142"/>
        <v>1127.54</v>
      </c>
      <c r="X261" s="165">
        <f t="shared" si="142"/>
        <v>1174.74</v>
      </c>
      <c r="Y261" s="165">
        <f t="shared" si="142"/>
        <v>1237.54</v>
      </c>
      <c r="Z261" s="165">
        <f t="shared" si="142"/>
        <v>1272.44</v>
      </c>
      <c r="AA261" s="165">
        <f t="shared" si="142"/>
        <v>1402.04</v>
      </c>
      <c r="AB261" s="165">
        <f t="shared" si="142"/>
        <v>1509.3400000000001</v>
      </c>
      <c r="AC261" s="165">
        <f t="shared" si="142"/>
        <v>1688.24</v>
      </c>
      <c r="AD261" s="165">
        <f t="shared" si="142"/>
        <v>1828.74</v>
      </c>
      <c r="AE261" s="165">
        <f t="shared" si="142"/>
        <v>1792.24</v>
      </c>
      <c r="AF261" s="165">
        <f t="shared" si="142"/>
        <v>1867.6000000000001</v>
      </c>
      <c r="AG261" s="165">
        <f t="shared" si="142"/>
        <v>1633.73</v>
      </c>
      <c r="AH261" s="165">
        <f t="shared" si="142"/>
        <v>1568.3400000000001</v>
      </c>
      <c r="AI261" s="165">
        <f t="shared" si="142"/>
        <v>1663.94</v>
      </c>
      <c r="AJ261" s="165">
        <f t="shared" si="142"/>
        <v>1483.2400000000002</v>
      </c>
      <c r="AK261" s="165">
        <f t="shared" si="142"/>
        <v>1503.64</v>
      </c>
      <c r="AL261" s="165">
        <f t="shared" si="142"/>
        <v>1528.3400000000001</v>
      </c>
      <c r="AM261" s="165">
        <f t="shared" si="142"/>
        <v>1587.6399999999999</v>
      </c>
      <c r="AN261" s="165">
        <f t="shared" si="142"/>
        <v>1490.7400000000002</v>
      </c>
      <c r="AO261" s="165">
        <f t="shared" si="142"/>
        <v>1509.54</v>
      </c>
      <c r="AP261" s="165">
        <f t="shared" si="142"/>
        <v>1735.6399999999999</v>
      </c>
      <c r="AQ261" s="165">
        <f t="shared" si="142"/>
        <v>1881</v>
      </c>
      <c r="AR261" s="165">
        <f t="shared" si="142"/>
        <v>1857.3000000000002</v>
      </c>
      <c r="AS261" s="165">
        <f t="shared" si="142"/>
        <v>1789.8400000000001</v>
      </c>
      <c r="AT261" s="165">
        <f t="shared" si="142"/>
        <v>1615.14</v>
      </c>
      <c r="AU261" s="165">
        <f t="shared" si="142"/>
        <v>1545.44</v>
      </c>
      <c r="AV261" s="165">
        <f t="shared" si="142"/>
        <v>1472.44</v>
      </c>
      <c r="AW261" s="165">
        <f t="shared" si="142"/>
        <v>1433.3400000000001</v>
      </c>
      <c r="AX261" s="165">
        <f t="shared" si="142"/>
        <v>1287.8400000000001</v>
      </c>
    </row>
    <row r="262" spans="1:50" x14ac:dyDescent="0.25">
      <c r="A262" s="158" t="s">
        <v>249</v>
      </c>
      <c r="B262" s="15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50" x14ac:dyDescent="0.25">
      <c r="A263" s="158" t="s">
        <v>250</v>
      </c>
      <c r="B263" s="15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50" x14ac:dyDescent="0.25">
      <c r="A264" s="158" t="s">
        <v>251</v>
      </c>
      <c r="B264" s="15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50" x14ac:dyDescent="0.25">
      <c r="A265" s="158" t="s">
        <v>252</v>
      </c>
      <c r="B265" s="166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50" x14ac:dyDescent="0.25">
      <c r="A266" s="158" t="s">
        <v>253</v>
      </c>
      <c r="B266" s="15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50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50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50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50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50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50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1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1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1:34" x14ac:dyDescent="0.25">
      <c r="A282" s="167" t="s">
        <v>238</v>
      </c>
      <c r="B282" s="168">
        <f t="shared" ref="B282:AE282" si="143">C251</f>
        <v>0.64</v>
      </c>
      <c r="C282" s="168">
        <f t="shared" si="143"/>
        <v>0.64</v>
      </c>
      <c r="D282" s="168">
        <f t="shared" si="143"/>
        <v>0.64</v>
      </c>
      <c r="E282" s="168">
        <f t="shared" si="143"/>
        <v>0.64</v>
      </c>
      <c r="F282" s="168">
        <f t="shared" si="143"/>
        <v>0.64</v>
      </c>
      <c r="G282" s="168">
        <f t="shared" si="143"/>
        <v>0.64</v>
      </c>
      <c r="H282" s="168">
        <f t="shared" si="143"/>
        <v>0.64</v>
      </c>
      <c r="I282" s="168">
        <f t="shared" si="143"/>
        <v>0.64</v>
      </c>
      <c r="J282" s="168">
        <f t="shared" si="143"/>
        <v>0.64</v>
      </c>
      <c r="K282" s="168">
        <f t="shared" si="143"/>
        <v>0.64</v>
      </c>
      <c r="L282" s="168">
        <f t="shared" si="143"/>
        <v>0.64</v>
      </c>
      <c r="M282" s="168">
        <f t="shared" si="143"/>
        <v>0.64</v>
      </c>
      <c r="N282" s="168">
        <f t="shared" si="143"/>
        <v>0.64</v>
      </c>
      <c r="O282" s="168">
        <f t="shared" si="143"/>
        <v>0.64</v>
      </c>
      <c r="P282" s="168">
        <f t="shared" si="143"/>
        <v>0.64</v>
      </c>
      <c r="Q282" s="168">
        <f t="shared" si="143"/>
        <v>0.64</v>
      </c>
      <c r="R282" s="168">
        <f t="shared" si="143"/>
        <v>0.64</v>
      </c>
      <c r="S282" s="168">
        <f t="shared" si="143"/>
        <v>0.64</v>
      </c>
      <c r="T282" s="168">
        <f t="shared" si="143"/>
        <v>0.64</v>
      </c>
      <c r="U282" s="168">
        <f t="shared" si="143"/>
        <v>0.64</v>
      </c>
      <c r="V282" s="168">
        <f t="shared" si="143"/>
        <v>0.64</v>
      </c>
      <c r="W282" s="168">
        <f t="shared" si="143"/>
        <v>0.64</v>
      </c>
      <c r="X282" s="168">
        <f t="shared" si="143"/>
        <v>0.64</v>
      </c>
      <c r="Y282" s="168">
        <f t="shared" si="143"/>
        <v>0.64</v>
      </c>
      <c r="Z282" s="168">
        <f t="shared" si="143"/>
        <v>0.64</v>
      </c>
      <c r="AA282" s="168">
        <f t="shared" si="143"/>
        <v>0.64</v>
      </c>
      <c r="AB282" s="168">
        <f t="shared" si="143"/>
        <v>0.64</v>
      </c>
      <c r="AC282" s="168">
        <f t="shared" si="143"/>
        <v>0.64</v>
      </c>
      <c r="AD282" s="168">
        <f t="shared" si="143"/>
        <v>0.64</v>
      </c>
      <c r="AE282" s="168">
        <f t="shared" si="143"/>
        <v>0.64</v>
      </c>
      <c r="AF282" s="168">
        <f>B251</f>
        <v>0.64</v>
      </c>
      <c r="AG282" s="43"/>
      <c r="AH282" s="43"/>
    </row>
    <row r="283" spans="1:34" x14ac:dyDescent="0.25">
      <c r="A283" s="169" t="e">
        <f>#REF!</f>
        <v>#REF!</v>
      </c>
      <c r="B283" s="169" t="e">
        <f>IF(#REF!&lt;100,"",#REF!-520)</f>
        <v>#REF!</v>
      </c>
      <c r="C283" s="169" t="e">
        <f>IF(#REF!&lt;100,"",#REF!-520)</f>
        <v>#REF!</v>
      </c>
      <c r="D283" s="169" t="e">
        <f>IF(#REF!&lt;100,"",#REF!-520)</f>
        <v>#REF!</v>
      </c>
      <c r="E283" s="169" t="e">
        <f>IF(#REF!&lt;100,"",#REF!-520)</f>
        <v>#REF!</v>
      </c>
      <c r="F283" s="169" t="e">
        <f>IF(#REF!&lt;100,"",#REF!-520)</f>
        <v>#REF!</v>
      </c>
      <c r="G283" s="169" t="e">
        <f>IF(#REF!&lt;100,"",#REF!-520)</f>
        <v>#REF!</v>
      </c>
      <c r="H283" s="169" t="e">
        <f>IF(#REF!&lt;100,"",#REF!-520)</f>
        <v>#REF!</v>
      </c>
      <c r="I283" s="169" t="e">
        <f>IF(#REF!&lt;100,"",#REF!-520)</f>
        <v>#REF!</v>
      </c>
      <c r="J283" s="169" t="e">
        <f>IF(#REF!&lt;100,"",#REF!-520)</f>
        <v>#REF!</v>
      </c>
      <c r="K283" s="169" t="e">
        <f>IF(#REF!&lt;100,"",#REF!-520)</f>
        <v>#REF!</v>
      </c>
      <c r="L283" s="169" t="e">
        <f>IF(#REF!&lt;100,"",#REF!-520)</f>
        <v>#REF!</v>
      </c>
      <c r="M283" s="169" t="e">
        <f>IF(#REF!&lt;100,"",#REF!-520)</f>
        <v>#REF!</v>
      </c>
      <c r="N283" s="169" t="e">
        <f>IF(#REF!&lt;100,"",#REF!-520)</f>
        <v>#REF!</v>
      </c>
      <c r="O283" s="169" t="e">
        <f>IF(#REF!&lt;100,"",#REF!-520)</f>
        <v>#REF!</v>
      </c>
      <c r="P283" s="169" t="e">
        <f>IF(#REF!&lt;100,"",#REF!-520)</f>
        <v>#REF!</v>
      </c>
      <c r="Q283" s="169" t="e">
        <f>IF(#REF!&lt;100,"",#REF!-520)</f>
        <v>#REF!</v>
      </c>
      <c r="R283" s="169" t="e">
        <f>IF(#REF!&lt;100,"",#REF!-520)</f>
        <v>#REF!</v>
      </c>
      <c r="S283" s="169" t="e">
        <f>IF(#REF!&lt;100,"",#REF!-520)</f>
        <v>#REF!</v>
      </c>
      <c r="T283" s="169" t="e">
        <f>IF(#REF!&lt;100,"",#REF!-520)</f>
        <v>#REF!</v>
      </c>
      <c r="U283" s="169" t="e">
        <f>IF(#REF!&lt;100,"",#REF!-520)</f>
        <v>#REF!</v>
      </c>
      <c r="V283" s="169" t="e">
        <f>IF(#REF!&lt;100,"",#REF!-520)</f>
        <v>#REF!</v>
      </c>
      <c r="W283" s="169" t="e">
        <f>IF(#REF!&lt;100,"",#REF!-520)</f>
        <v>#REF!</v>
      </c>
      <c r="X283" s="169" t="e">
        <f>IF(#REF!&lt;100,"",#REF!-520)</f>
        <v>#REF!</v>
      </c>
      <c r="Y283" s="169" t="e">
        <f>IF(#REF!&lt;100,"",#REF!-520)</f>
        <v>#REF!</v>
      </c>
      <c r="Z283" s="169" t="e">
        <f>IF(#REF!&lt;100,"",#REF!-520)</f>
        <v>#REF!</v>
      </c>
      <c r="AA283" s="169" t="e">
        <f>IF(#REF!&lt;100,"",#REF!-520)</f>
        <v>#REF!</v>
      </c>
      <c r="AB283" s="169" t="e">
        <f>IF(#REF!&lt;100,"",#REF!-520)</f>
        <v>#REF!</v>
      </c>
      <c r="AC283" s="169" t="e">
        <f>IF(#REF!&lt;100,"",#REF!-520)</f>
        <v>#REF!</v>
      </c>
      <c r="AD283" s="169" t="e">
        <f>IF(#REF!&lt;100,"",#REF!-520)</f>
        <v>#REF!</v>
      </c>
      <c r="AE283" s="169" t="e">
        <f>IF(#REF!&lt;100,"",#REF!-520)</f>
        <v>#REF!</v>
      </c>
      <c r="AF283" s="169" t="e">
        <f>IF(#REF!&lt;100,"",#REF!-520)</f>
        <v>#REF!</v>
      </c>
      <c r="AG283" s="43"/>
      <c r="AH283" s="43"/>
    </row>
    <row r="284" spans="1:34" x14ac:dyDescent="0.25">
      <c r="A284" s="169" t="e">
        <f>#REF!</f>
        <v>#REF!</v>
      </c>
      <c r="B284" s="169" t="e">
        <f>IF(#REF!&lt;100,"",#REF!-620)</f>
        <v>#REF!</v>
      </c>
      <c r="C284" s="169" t="e">
        <f>IF(#REF!&lt;100,"",#REF!-620)</f>
        <v>#REF!</v>
      </c>
      <c r="D284" s="169" t="e">
        <f>IF(#REF!&lt;100,"",#REF!-620)</f>
        <v>#REF!</v>
      </c>
      <c r="E284" s="169" t="e">
        <f>IF(#REF!&lt;100,"",#REF!-620)</f>
        <v>#REF!</v>
      </c>
      <c r="F284" s="169" t="e">
        <f>IF(#REF!&lt;100,"",#REF!-620)</f>
        <v>#REF!</v>
      </c>
      <c r="G284" s="169" t="e">
        <f>IF(#REF!&lt;100,"",#REF!-620)</f>
        <v>#REF!</v>
      </c>
      <c r="H284" s="169" t="e">
        <f>IF(#REF!&lt;100,"",#REF!-620)</f>
        <v>#REF!</v>
      </c>
      <c r="I284" s="169" t="e">
        <f>IF(#REF!&lt;100,"",#REF!-620)</f>
        <v>#REF!</v>
      </c>
      <c r="J284" s="169" t="e">
        <f>IF(#REF!&lt;100,"",#REF!-620)</f>
        <v>#REF!</v>
      </c>
      <c r="K284" s="169" t="e">
        <f>IF(#REF!&lt;100,"",#REF!-620)</f>
        <v>#REF!</v>
      </c>
      <c r="L284" s="169" t="e">
        <f>IF(#REF!&lt;100,"",#REF!-620)</f>
        <v>#REF!</v>
      </c>
      <c r="M284" s="169" t="e">
        <f>IF(#REF!&lt;100,"",#REF!-620)</f>
        <v>#REF!</v>
      </c>
      <c r="N284" s="169" t="e">
        <f>IF(#REF!&lt;100,"",#REF!-620)</f>
        <v>#REF!</v>
      </c>
      <c r="O284" s="169" t="e">
        <f>IF(#REF!&lt;100,"",#REF!-620)</f>
        <v>#REF!</v>
      </c>
      <c r="P284" s="169" t="e">
        <f>IF(#REF!&lt;100,"",#REF!-620)</f>
        <v>#REF!</v>
      </c>
      <c r="Q284" s="169" t="e">
        <f>IF(#REF!&lt;100,"",#REF!-620)</f>
        <v>#REF!</v>
      </c>
      <c r="R284" s="169" t="e">
        <f>IF(#REF!&lt;100,"",#REF!-620)</f>
        <v>#REF!</v>
      </c>
      <c r="S284" s="169" t="e">
        <f>IF(#REF!&lt;100,"",#REF!-620)</f>
        <v>#REF!</v>
      </c>
      <c r="T284" s="169" t="e">
        <f>IF(#REF!&lt;100,"",#REF!-620)</f>
        <v>#REF!</v>
      </c>
      <c r="U284" s="169" t="e">
        <f>IF(#REF!&lt;100,"",#REF!-620)</f>
        <v>#REF!</v>
      </c>
      <c r="V284" s="169" t="e">
        <f>IF(#REF!&lt;100,"",#REF!-620)</f>
        <v>#REF!</v>
      </c>
      <c r="W284" s="169" t="e">
        <f>IF(#REF!&lt;100,"",#REF!-620)</f>
        <v>#REF!</v>
      </c>
      <c r="X284" s="169" t="e">
        <f>IF(#REF!&lt;100,"",#REF!-620)</f>
        <v>#REF!</v>
      </c>
      <c r="Y284" s="169" t="e">
        <f>IF(#REF!&lt;100,"",#REF!-620)</f>
        <v>#REF!</v>
      </c>
      <c r="Z284" s="169" t="e">
        <f>IF(#REF!&lt;100,"",#REF!-620)</f>
        <v>#REF!</v>
      </c>
      <c r="AA284" s="169" t="e">
        <f>IF(#REF!&lt;100,"",#REF!-620)</f>
        <v>#REF!</v>
      </c>
      <c r="AB284" s="169" t="e">
        <f>IF(#REF!&lt;100,"",#REF!-620)</f>
        <v>#REF!</v>
      </c>
      <c r="AC284" s="169" t="e">
        <f>IF(#REF!&lt;100,"",#REF!-620)</f>
        <v>#REF!</v>
      </c>
      <c r="AD284" s="169" t="e">
        <f>IF(#REF!&lt;100,"",#REF!-620)</f>
        <v>#REF!</v>
      </c>
      <c r="AE284" s="169" t="e">
        <f>IF(#REF!&lt;100,"",#REF!-620)</f>
        <v>#REF!</v>
      </c>
      <c r="AF284" s="169" t="e">
        <f>IF(#REF!&lt;100,"",#REF!-620)</f>
        <v>#REF!</v>
      </c>
      <c r="AG284" s="43"/>
      <c r="AH284" s="43"/>
    </row>
    <row r="285" spans="1:34" x14ac:dyDescent="0.25">
      <c r="A285" s="169" t="e">
        <f>#REF!</f>
        <v>#REF!</v>
      </c>
      <c r="B285" s="169" t="e">
        <f>IF(#REF!&lt;100,"",#REF!-330)</f>
        <v>#REF!</v>
      </c>
      <c r="C285" s="169" t="e">
        <f>IF(#REF!&lt;100,"",#REF!-330)</f>
        <v>#REF!</v>
      </c>
      <c r="D285" s="169" t="e">
        <f>IF(#REF!&lt;100,"",#REF!-330)</f>
        <v>#REF!</v>
      </c>
      <c r="E285" s="169" t="e">
        <f>IF(#REF!&lt;100,"",#REF!-330)</f>
        <v>#REF!</v>
      </c>
      <c r="F285" s="169" t="e">
        <f>IF(#REF!&lt;100,"",#REF!-330)</f>
        <v>#REF!</v>
      </c>
      <c r="G285" s="169" t="e">
        <f>IF(#REF!&lt;100,"",#REF!-330)</f>
        <v>#REF!</v>
      </c>
      <c r="H285" s="169" t="e">
        <f>IF(#REF!&lt;100,"",#REF!-330)</f>
        <v>#REF!</v>
      </c>
      <c r="I285" s="169" t="e">
        <f>IF(#REF!&lt;100,"",#REF!-330)</f>
        <v>#REF!</v>
      </c>
      <c r="J285" s="169" t="e">
        <f>IF(#REF!&lt;100,"",#REF!-330)</f>
        <v>#REF!</v>
      </c>
      <c r="K285" s="169" t="e">
        <f>IF(#REF!&lt;100,"",#REF!-330)</f>
        <v>#REF!</v>
      </c>
      <c r="L285" s="169" t="e">
        <f>IF(#REF!&lt;100,"",#REF!-330)</f>
        <v>#REF!</v>
      </c>
      <c r="M285" s="169" t="e">
        <f>IF(#REF!&lt;100,"",#REF!-330)</f>
        <v>#REF!</v>
      </c>
      <c r="N285" s="169" t="e">
        <f>IF(#REF!&lt;100,"",#REF!-330)</f>
        <v>#REF!</v>
      </c>
      <c r="O285" s="169" t="e">
        <f>IF(#REF!&lt;100,"",#REF!-330)</f>
        <v>#REF!</v>
      </c>
      <c r="P285" s="169" t="e">
        <f>IF(#REF!&lt;100,"",#REF!-330)</f>
        <v>#REF!</v>
      </c>
      <c r="Q285" s="169" t="e">
        <f>IF(#REF!&lt;100,"",#REF!-330)</f>
        <v>#REF!</v>
      </c>
      <c r="R285" s="169" t="e">
        <f>IF(#REF!&lt;100,"",#REF!-330)</f>
        <v>#REF!</v>
      </c>
      <c r="S285" s="169" t="e">
        <f>IF(#REF!&lt;100,"",#REF!-330)</f>
        <v>#REF!</v>
      </c>
      <c r="T285" s="169" t="e">
        <f>IF(#REF!&lt;100,"",#REF!-330)</f>
        <v>#REF!</v>
      </c>
      <c r="U285" s="169" t="e">
        <f>IF(#REF!&lt;100,"",#REF!-330)</f>
        <v>#REF!</v>
      </c>
      <c r="V285" s="169" t="e">
        <f>IF(#REF!&lt;100,"",#REF!-330)</f>
        <v>#REF!</v>
      </c>
      <c r="W285" s="169" t="e">
        <f>IF(#REF!&lt;100,"",#REF!-330)</f>
        <v>#REF!</v>
      </c>
      <c r="X285" s="169" t="e">
        <f>IF(#REF!&lt;100,"",#REF!-330)</f>
        <v>#REF!</v>
      </c>
      <c r="Y285" s="169" t="e">
        <f>IF(#REF!&lt;100,"",#REF!-330)</f>
        <v>#REF!</v>
      </c>
      <c r="Z285" s="169" t="e">
        <f>IF(#REF!&lt;100,"",#REF!-330)</f>
        <v>#REF!</v>
      </c>
      <c r="AA285" s="169" t="e">
        <f>IF(#REF!&lt;100,"",#REF!-330)</f>
        <v>#REF!</v>
      </c>
      <c r="AB285" s="169" t="e">
        <f>IF(#REF!&lt;100,"",#REF!-330)</f>
        <v>#REF!</v>
      </c>
      <c r="AC285" s="169" t="e">
        <f>IF(#REF!&lt;100,"",#REF!-330)</f>
        <v>#REF!</v>
      </c>
      <c r="AD285" s="169" t="e">
        <f>IF(#REF!&lt;100,"",#REF!-330)</f>
        <v>#REF!</v>
      </c>
      <c r="AE285" s="169" t="e">
        <f>IF(#REF!&lt;100,"",#REF!-330)</f>
        <v>#REF!</v>
      </c>
      <c r="AF285" s="169" t="e">
        <f>IF(#REF!&lt;100,"",#REF!-330)</f>
        <v>#REF!</v>
      </c>
      <c r="AG285" s="43"/>
      <c r="AH285" s="43"/>
    </row>
    <row r="286" spans="1:34" x14ac:dyDescent="0.25">
      <c r="A286" s="169" t="e">
        <f>#REF!</f>
        <v>#REF!</v>
      </c>
      <c r="B286" s="169" t="e">
        <f>IF(#REF!&lt;100,"",#REF!-1500)</f>
        <v>#REF!</v>
      </c>
      <c r="C286" s="169" t="e">
        <f>IF(#REF!&lt;100,"",#REF!-1500)</f>
        <v>#REF!</v>
      </c>
      <c r="D286" s="169" t="e">
        <f>IF(#REF!&lt;100,"",#REF!-1500)</f>
        <v>#REF!</v>
      </c>
      <c r="E286" s="169" t="e">
        <f>IF(#REF!&lt;100,"",#REF!-1500)</f>
        <v>#REF!</v>
      </c>
      <c r="F286" s="169" t="e">
        <f>IF(#REF!&lt;100,"",#REF!-1500)</f>
        <v>#REF!</v>
      </c>
      <c r="G286" s="169" t="e">
        <f>IF(#REF!&lt;100,"",#REF!-1500)</f>
        <v>#REF!</v>
      </c>
      <c r="H286" s="169" t="e">
        <f>IF(#REF!&lt;100,"",#REF!-1500)</f>
        <v>#REF!</v>
      </c>
      <c r="I286" s="169" t="e">
        <f>IF(#REF!&lt;100,"",#REF!-1500)</f>
        <v>#REF!</v>
      </c>
      <c r="J286" s="169" t="e">
        <f>IF(#REF!&lt;100,"",#REF!-1500)</f>
        <v>#REF!</v>
      </c>
      <c r="K286" s="169" t="e">
        <f>IF(#REF!&lt;100,"",#REF!-1500)</f>
        <v>#REF!</v>
      </c>
      <c r="L286" s="169" t="e">
        <f>IF(#REF!&lt;100,"",#REF!-1500)</f>
        <v>#REF!</v>
      </c>
      <c r="M286" s="169" t="e">
        <f>IF(#REF!&lt;100,"",#REF!-1500)</f>
        <v>#REF!</v>
      </c>
      <c r="N286" s="169" t="e">
        <f>IF(#REF!&lt;100,"",#REF!-1500)</f>
        <v>#REF!</v>
      </c>
      <c r="O286" s="169" t="e">
        <f>IF(#REF!&lt;100,"",#REF!-1500)</f>
        <v>#REF!</v>
      </c>
      <c r="P286" s="169" t="e">
        <f>IF(#REF!&lt;100,"",#REF!-1500)</f>
        <v>#REF!</v>
      </c>
      <c r="Q286" s="169" t="e">
        <f>IF(#REF!&lt;100,"",#REF!-1500)</f>
        <v>#REF!</v>
      </c>
      <c r="R286" s="169" t="e">
        <f>IF(#REF!&lt;100,"",#REF!-1500)</f>
        <v>#REF!</v>
      </c>
      <c r="S286" s="169" t="e">
        <f>IF(#REF!&lt;100,"",#REF!-1500)</f>
        <v>#REF!</v>
      </c>
      <c r="T286" s="169" t="e">
        <f>IF(#REF!&lt;100,"",#REF!-1500)</f>
        <v>#REF!</v>
      </c>
      <c r="U286" s="169" t="e">
        <f>IF(#REF!&lt;100,"",#REF!-1500)</f>
        <v>#REF!</v>
      </c>
      <c r="V286" s="169" t="e">
        <f>IF(#REF!&lt;100,"",#REF!-1500)</f>
        <v>#REF!</v>
      </c>
      <c r="W286" s="169" t="e">
        <f>IF(#REF!&lt;100,"",#REF!-1500)</f>
        <v>#REF!</v>
      </c>
      <c r="X286" s="169" t="e">
        <f>IF(#REF!&lt;100,"",#REF!-1500)</f>
        <v>#REF!</v>
      </c>
      <c r="Y286" s="169" t="e">
        <f>IF(#REF!&lt;100,"",#REF!-1500)</f>
        <v>#REF!</v>
      </c>
      <c r="Z286" s="169" t="e">
        <f>IF(#REF!&lt;100,"",#REF!-1500)</f>
        <v>#REF!</v>
      </c>
      <c r="AA286" s="169" t="e">
        <f>IF(#REF!&lt;100,"",#REF!-1500)</f>
        <v>#REF!</v>
      </c>
      <c r="AB286" s="169" t="e">
        <f>IF(#REF!&lt;100,"",#REF!-1500)</f>
        <v>#REF!</v>
      </c>
      <c r="AC286" s="169" t="e">
        <f>IF(#REF!&lt;100,"",#REF!-1500)</f>
        <v>#REF!</v>
      </c>
      <c r="AD286" s="169" t="e">
        <f>IF(#REF!&lt;100,"",#REF!-1500)</f>
        <v>#REF!</v>
      </c>
      <c r="AE286" s="169" t="e">
        <f>IF(#REF!&lt;100,"",#REF!-1500)</f>
        <v>#REF!</v>
      </c>
      <c r="AF286" s="169" t="e">
        <f>IF(#REF!&lt;100,"",#REF!-1500)</f>
        <v>#REF!</v>
      </c>
      <c r="AG286" s="43"/>
      <c r="AH286" s="43"/>
    </row>
    <row r="287" spans="1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1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2:34" x14ac:dyDescent="0.25"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2:34" x14ac:dyDescent="0.25"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2:34" x14ac:dyDescent="0.25"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2:34" x14ac:dyDescent="0.25"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2:34" x14ac:dyDescent="0.25"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237" priority="1">
      <formula>$AH11=0</formula>
    </cfRule>
  </conditionalFormatting>
  <conditionalFormatting sqref="A132:A253">
    <cfRule type="expression" dxfId="236" priority="6">
      <formula>$AH132=0</formula>
    </cfRule>
  </conditionalFormatting>
  <conditionalFormatting sqref="B8 M8 S8 AB8">
    <cfRule type="expression" dxfId="235" priority="115">
      <formula>AND(C$9&gt;=8/24,C$9&lt;14/24)</formula>
    </cfRule>
    <cfRule type="expression" dxfId="234" priority="114">
      <formula>AND(C$9&gt;=14/24,C$9&lt;20/24)</formula>
    </cfRule>
    <cfRule type="expression" dxfId="233" priority="116">
      <formula>C$9&lt;8/24</formula>
    </cfRule>
  </conditionalFormatting>
  <conditionalFormatting sqref="B63:I74 J64:J74 K66:K74 K69:L71 L69:X74">
    <cfRule type="expression" dxfId="232" priority="21">
      <formula>B$9&gt;=20/24</formula>
    </cfRule>
    <cfRule type="expression" dxfId="231" priority="22">
      <formula>AND(B$9&gt;=14/24,B$9&lt;20/24)</formula>
    </cfRule>
    <cfRule type="expression" dxfId="230" priority="23">
      <formula>AND(B$9&gt;=8/24,B$9&lt;14/24)</formula>
    </cfRule>
    <cfRule type="expression" dxfId="229" priority="24">
      <formula>B$9&lt;8/24</formula>
    </cfRule>
  </conditionalFormatting>
  <conditionalFormatting sqref="B11:R54 S12:X54">
    <cfRule type="expression" dxfId="228" priority="15">
      <formula>B11&gt;$AG11</formula>
    </cfRule>
  </conditionalFormatting>
  <conditionalFormatting sqref="B53:X54">
    <cfRule type="expression" dxfId="227" priority="14">
      <formula>B$9&lt;8/24</formula>
    </cfRule>
  </conditionalFormatting>
  <conditionalFormatting sqref="B55:X55">
    <cfRule type="expression" dxfId="226" priority="35">
      <formula>B55&gt;$AG55</formula>
    </cfRule>
  </conditionalFormatting>
  <conditionalFormatting sqref="B9:AF52">
    <cfRule type="expression" dxfId="225" priority="29">
      <formula>B$9&lt;8/24</formula>
    </cfRule>
    <cfRule type="expression" dxfId="224" priority="26">
      <formula>B$9&gt;=20/24</formula>
    </cfRule>
    <cfRule type="expression" dxfId="223" priority="27">
      <formula>AND(B$9&gt;=14/24,B$9&lt;20/24)</formula>
    </cfRule>
    <cfRule type="expression" dxfId="222" priority="28">
      <formula>AND(B$9&gt;=8/24,B$9&lt;14/24)</formula>
    </cfRule>
  </conditionalFormatting>
  <conditionalFormatting sqref="B53:AF54">
    <cfRule type="expression" dxfId="221" priority="11">
      <formula>B$9&gt;=20/24</formula>
    </cfRule>
    <cfRule type="expression" dxfId="220" priority="12">
      <formula>AND(B$9&gt;=14/24,B$9&lt;20/24)</formula>
    </cfRule>
    <cfRule type="expression" dxfId="219" priority="13">
      <formula>AND(B$9&gt;=8/24,B$9&lt;14/24)</formula>
    </cfRule>
  </conditionalFormatting>
  <conditionalFormatting sqref="B55:AF57">
    <cfRule type="expression" dxfId="218" priority="31">
      <formula>B$9&gt;=20/24</formula>
    </cfRule>
    <cfRule type="expression" dxfId="217" priority="33">
      <formula>AND(B$9&gt;=8/24,B$9&lt;14/24)</formula>
    </cfRule>
    <cfRule type="expression" dxfId="216" priority="32">
      <formula>AND(B$9&gt;=14/24,B$9&lt;20/24)</formula>
    </cfRule>
  </conditionalFormatting>
  <conditionalFormatting sqref="B56:AF61">
    <cfRule type="expression" dxfId="215" priority="30">
      <formula>B56&gt;$AG56</formula>
    </cfRule>
  </conditionalFormatting>
  <conditionalFormatting sqref="B59:AF61">
    <cfRule type="expression" dxfId="214" priority="44">
      <formula>B$9&lt;8/24</formula>
    </cfRule>
    <cfRule type="expression" dxfId="213" priority="43">
      <formula>AND(B$9&gt;=8/24,B$9&lt;14/24)</formula>
    </cfRule>
    <cfRule type="expression" dxfId="212" priority="42">
      <formula>AND(B$9&gt;=14/24,B$9&lt;20/24)</formula>
    </cfRule>
    <cfRule type="expression" dxfId="211" priority="41">
      <formula>B$9&gt;=20/24</formula>
    </cfRule>
  </conditionalFormatting>
  <conditionalFormatting sqref="B63:AF74">
    <cfRule type="expression" dxfId="210" priority="20">
      <formula>B63&gt;$AG63</formula>
    </cfRule>
  </conditionalFormatting>
  <conditionalFormatting sqref="B77:AF79">
    <cfRule type="expression" dxfId="209" priority="46">
      <formula>B$9&gt;=20/24</formula>
    </cfRule>
    <cfRule type="expression" dxfId="208" priority="47">
      <formula>AND(B$9&gt;=14/24,B$9&lt;20/24)</formula>
    </cfRule>
    <cfRule type="expression" dxfId="207" priority="48">
      <formula>AND(B$9&gt;=8/24,B$9&lt;14/24)</formula>
    </cfRule>
    <cfRule type="expression" dxfId="206" priority="49">
      <formula>B$9&lt;8/24</formula>
    </cfRule>
    <cfRule type="expression" dxfId="205" priority="45">
      <formula>B77&gt;$AG77</formula>
    </cfRule>
  </conditionalFormatting>
  <conditionalFormatting sqref="B81:AF99">
    <cfRule type="expression" dxfId="204" priority="16">
      <formula>B$9&gt;=20/24</formula>
    </cfRule>
    <cfRule type="expression" dxfId="203" priority="17">
      <formula>AND(B$9&gt;=14/24,B$9&lt;20/24)</formula>
    </cfRule>
    <cfRule type="expression" dxfId="202" priority="19">
      <formula>B$9&lt;8/24</formula>
    </cfRule>
    <cfRule type="expression" dxfId="201" priority="18">
      <formula>AND(B$9&gt;=8/24,B$9&lt;14/24)</formula>
    </cfRule>
  </conditionalFormatting>
  <conditionalFormatting sqref="B101:AF117">
    <cfRule type="expression" dxfId="200" priority="8">
      <formula>AND(B$9&gt;=14/24,B$9&lt;20/24)</formula>
    </cfRule>
    <cfRule type="expression" dxfId="199" priority="10">
      <formula>B$9&lt;8/24</formula>
    </cfRule>
    <cfRule type="expression" dxfId="198" priority="9">
      <formula>AND(B$9&gt;=8/24,B$9&lt;14/24)</formula>
    </cfRule>
    <cfRule type="expression" dxfId="197" priority="7">
      <formula>B$9&gt;=20/24</formula>
    </cfRule>
  </conditionalFormatting>
  <conditionalFormatting sqref="B119:AF137">
    <cfRule type="expression" dxfId="196" priority="2">
      <formula>B$9&gt;=20/24</formula>
    </cfRule>
    <cfRule type="expression" dxfId="195" priority="3">
      <formula>AND(B$9&gt;=14/24,B$9&lt;20/24)</formula>
    </cfRule>
    <cfRule type="expression" dxfId="194" priority="4">
      <formula>AND(B$9&gt;=8/24,B$9&lt;14/24)</formula>
    </cfRule>
    <cfRule type="expression" dxfId="193" priority="5">
      <formula>B$9&lt;8/24</formula>
    </cfRule>
  </conditionalFormatting>
  <conditionalFormatting sqref="B244:AF244 B246:B252 D246:AF252 U260:AF260">
    <cfRule type="expression" dxfId="192" priority="110">
      <formula>B$9&lt;8/24</formula>
    </cfRule>
    <cfRule type="expression" dxfId="191" priority="109">
      <formula>AND(B$9&gt;=8/24,B$9&lt;14/24)</formula>
    </cfRule>
    <cfRule type="expression" dxfId="190" priority="108">
      <formula>AND(B$9&gt;=14/24,B$9&lt;20/24)</formula>
    </cfRule>
    <cfRule type="expression" dxfId="189" priority="107">
      <formula>B$9&gt;=20/24</formula>
    </cfRule>
  </conditionalFormatting>
  <conditionalFormatting sqref="B62:AG62">
    <cfRule type="expression" dxfId="188" priority="50">
      <formula>B62&gt;$AG62</formula>
    </cfRule>
    <cfRule type="expression" dxfId="187" priority="51">
      <formula>B$9&gt;=20/24</formula>
    </cfRule>
    <cfRule type="expression" dxfId="186" priority="52">
      <formula>AND(B$9&gt;=14/24,B$9&lt;20/24)</formula>
    </cfRule>
    <cfRule type="expression" dxfId="185" priority="53">
      <formula>AND(B$9&gt;=8/24,B$9&lt;14/24)</formula>
    </cfRule>
    <cfRule type="expression" dxfId="184" priority="54">
      <formula>B$9&lt;8/24</formula>
    </cfRule>
  </conditionalFormatting>
  <conditionalFormatting sqref="B75:AG76 B80:AG80">
    <cfRule type="expression" dxfId="183" priority="36">
      <formula>B75&gt;$AG75</formula>
    </cfRule>
  </conditionalFormatting>
  <conditionalFormatting sqref="B80:AG80">
    <cfRule type="expression" dxfId="182" priority="37">
      <formula>B$9&gt;=20/24</formula>
    </cfRule>
    <cfRule type="expression" dxfId="181" priority="38">
      <formula>AND(B$9&gt;=14/24,B$9&lt;20/24)</formula>
    </cfRule>
    <cfRule type="expression" dxfId="180" priority="40">
      <formula>B$9&lt;8/24</formula>
    </cfRule>
    <cfRule type="expression" dxfId="179" priority="39">
      <formula>AND(B$9&gt;=8/24,B$9&lt;14/24)</formula>
    </cfRule>
  </conditionalFormatting>
  <conditionalFormatting sqref="F63:R65">
    <cfRule type="expression" dxfId="178" priority="88">
      <formula>F$9&gt;=20/24</formula>
    </cfRule>
    <cfRule type="expression" dxfId="177" priority="91">
      <formula>F$9&lt;8/24</formula>
    </cfRule>
    <cfRule type="expression" dxfId="176" priority="90">
      <formula>AND(F$9&gt;=8/24,F$9&lt;14/24)</formula>
    </cfRule>
    <cfRule type="expression" dxfId="175" priority="89">
      <formula>AND(F$9&gt;=14/24,F$9&lt;20/24)</formula>
    </cfRule>
  </conditionalFormatting>
  <conditionalFormatting sqref="F68:R68">
    <cfRule type="expression" dxfId="174" priority="68">
      <formula>F$9&lt;8/24</formula>
    </cfRule>
    <cfRule type="expression" dxfId="173" priority="65">
      <formula>F$9&gt;=20/24</formula>
    </cfRule>
    <cfRule type="expression" dxfId="172" priority="66">
      <formula>AND(F$9&gt;=14/24,F$9&lt;20/24)</formula>
    </cfRule>
    <cfRule type="expression" dxfId="171" priority="67">
      <formula>AND(F$9&gt;=8/24,F$9&lt;14/24)</formula>
    </cfRule>
  </conditionalFormatting>
  <conditionalFormatting sqref="F69:AF74">
    <cfRule type="expression" dxfId="170" priority="55">
      <formula>F$9&gt;=20/24</formula>
    </cfRule>
    <cfRule type="expression" dxfId="169" priority="56">
      <formula>AND(F$9&gt;=14/24,F$9&lt;20/24)</formula>
    </cfRule>
    <cfRule type="expression" dxfId="168" priority="58">
      <formula>F$9&lt;8/24</formula>
    </cfRule>
    <cfRule type="expression" dxfId="167" priority="57">
      <formula>AND(F$9&gt;=8/24,F$9&lt;14/24)</formula>
    </cfRule>
  </conditionalFormatting>
  <conditionalFormatting sqref="O3:P3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166" priority="113">
      <formula>C$9&gt;=20/24</formula>
    </cfRule>
  </conditionalFormatting>
  <conditionalFormatting sqref="S8">
    <cfRule type="expression" dxfId="165" priority="103">
      <formula>U$9&lt;8/24</formula>
    </cfRule>
    <cfRule type="expression" dxfId="164" priority="100">
      <formula>U$9&gt;=20/24</formula>
    </cfRule>
    <cfRule type="expression" dxfId="163" priority="101">
      <formula>AND(U$9&gt;=14/24,U$9&lt;20/24)</formula>
    </cfRule>
    <cfRule type="expression" dxfId="162" priority="102">
      <formula>AND(U$9&gt;=8/24,U$9&lt;14/24)</formula>
    </cfRule>
  </conditionalFormatting>
  <conditionalFormatting sqref="S55:X56 B55:R57">
    <cfRule type="expression" dxfId="161" priority="34">
      <formula>B$9&lt;8/24</formula>
    </cfRule>
  </conditionalFormatting>
  <conditionalFormatting sqref="S11:Z11 AA11:AF52 Y12:Z52">
    <cfRule type="expression" dxfId="160" priority="25">
      <formula>S11&gt;$AG11</formula>
    </cfRule>
  </conditionalFormatting>
  <conditionalFormatting sqref="S63:AF68">
    <cfRule type="expression" dxfId="159" priority="59">
      <formula>S$9&gt;=20/24</formula>
    </cfRule>
    <cfRule type="expression" dxfId="158" priority="60">
      <formula>AND(S$9&gt;=14/24,S$9&lt;20/24)</formula>
    </cfRule>
    <cfRule type="expression" dxfId="157" priority="62">
      <formula>S$9&lt;8/24</formula>
    </cfRule>
    <cfRule type="expression" dxfId="156" priority="61">
      <formula>AND(S$9&gt;=8/24,S$9&lt;14/24)</formula>
    </cfRule>
  </conditionalFormatting>
  <conditionalFormatting sqref="T260">
    <cfRule type="expression" dxfId="155" priority="127">
      <formula>AND(AX$9&gt;=8/24,AX$9&lt;14/24)</formula>
    </cfRule>
    <cfRule type="expression" dxfId="154" priority="125">
      <formula>AX$9&gt;=20/24</formula>
    </cfRule>
    <cfRule type="expression" dxfId="153" priority="126">
      <formula>AND(AX$9&gt;=14/24,AX$9&lt;20/24)</formula>
    </cfRule>
    <cfRule type="expression" dxfId="152" priority="128">
      <formula>AX$9&lt;8/24</formula>
    </cfRule>
  </conditionalFormatting>
  <conditionalFormatting sqref="V3 AB3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Y53:Z56 AA53:AF57 S57:Z57">
    <cfRule type="expression" dxfId="151" priority="63">
      <formula>S$9&lt;8/24</formula>
    </cfRule>
  </conditionalFormatting>
  <conditionalFormatting sqref="Y53:AF55">
    <cfRule type="expression" dxfId="150" priority="64">
      <formula>Y53&gt;$AG53</formula>
    </cfRule>
  </conditionalFormatting>
  <conditionalFormatting sqref="AB8">
    <cfRule type="expression" dxfId="149" priority="96">
      <formula>AD$9&gt;=20/24</formula>
    </cfRule>
    <cfRule type="expression" dxfId="148" priority="97">
      <formula>AND(AD$9&gt;=14/24,AD$9&lt;20/24)</formula>
    </cfRule>
    <cfRule type="expression" dxfId="147" priority="98">
      <formula>AND(AD$9&gt;=8/24,AD$9&lt;14/24)</formula>
    </cfRule>
    <cfRule type="expression" dxfId="146" priority="99">
      <formula>AD$9&lt;8/24</formula>
    </cfRule>
  </conditionalFormatting>
  <conditionalFormatting sqref="AG58">
    <cfRule type="expression" dxfId="145" priority="83">
      <formula>AG58&gt;$AG58</formula>
    </cfRule>
  </conditionalFormatting>
  <conditionalFormatting sqref="AG97">
    <cfRule type="expression" dxfId="144" priority="84">
      <formula>AG$9&gt;=20/24</formula>
    </cfRule>
    <cfRule type="expression" dxfId="143" priority="85">
      <formula>AND(AG$9&gt;=14/24,AG$9&lt;20/24)</formula>
    </cfRule>
    <cfRule type="expression" dxfId="142" priority="86">
      <formula>AND(AG$9&gt;=8/24,AG$9&lt;14/24)</formula>
    </cfRule>
    <cfRule type="expression" dxfId="141" priority="87">
      <formula>AG$9&lt;8/24</formula>
    </cfRule>
  </conditionalFormatting>
  <conditionalFormatting sqref="AG260">
    <cfRule type="expression" dxfId="140" priority="117">
      <formula>B$9&gt;=20/24</formula>
    </cfRule>
    <cfRule type="expression" dxfId="139" priority="118">
      <formula>AND(B$9&gt;=14/24,B$9&lt;20/24)</formula>
    </cfRule>
    <cfRule type="expression" dxfId="138" priority="120">
      <formula>B$9&lt;8/24</formula>
    </cfRule>
    <cfRule type="expression" dxfId="137" priority="119">
      <formula>AND(B$9&gt;=8/24,B$9&lt;14/24)</formula>
    </cfRule>
  </conditionalFormatting>
  <conditionalFormatting sqref="AH260:AX260">
    <cfRule type="expression" dxfId="136" priority="121">
      <formula>AG$9&gt;=20/24</formula>
    </cfRule>
    <cfRule type="expression" dxfId="135" priority="122">
      <formula>AND(AG$9&gt;=14/24,AG$9&lt;20/24)</formula>
    </cfRule>
    <cfRule type="expression" dxfId="134" priority="123">
      <formula>AND(AG$9&gt;=8/24,AG$9&lt;14/24)</formula>
    </cfRule>
    <cfRule type="expression" dxfId="133" priority="124">
      <formula>AG$9&lt;8/24</formula>
    </cfRule>
  </conditionalFormatting>
  <conditionalFormatting sqref="AL4:AL6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19:AL20">
    <cfRule type="iconSet" priority="71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8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70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8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82">
      <iconSet iconSet="3TrafficLights2" reverse="1">
        <cfvo type="percent" val="0"/>
        <cfvo type="num" val="1"/>
        <cfvo type="num" val="1"/>
      </iconSet>
    </cfRule>
  </conditionalFormatting>
  <conditionalFormatting sqref="AL48 AL45:AL46 AL21:AL24 AL7:AL18 AL26:AL37 AL39:AL43 AL54:AL55">
    <cfRule type="iconSet" priority="129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04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69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132" priority="130">
      <formula>AJ$9&gt;=20/24</formula>
    </cfRule>
    <cfRule type="expression" dxfId="131" priority="131">
      <formula>AND(AJ$9&gt;=14/24,AJ$9&lt;20/24)</formula>
    </cfRule>
    <cfRule type="expression" dxfId="130" priority="132">
      <formula>AND(AJ$9&gt;=8/24,AJ$9&lt;14/24)</formula>
    </cfRule>
    <cfRule type="expression" dxfId="129" priority="133">
      <formula>AJ$9&lt;8/24</formula>
    </cfRule>
  </conditionalFormatting>
  <conditionalFormatting sqref="AL88:AN88 AL94:AN94">
    <cfRule type="expression" dxfId="128" priority="79">
      <formula>AL$9&lt;8/24</formula>
    </cfRule>
    <cfRule type="expression" dxfId="127" priority="78">
      <formula>AND(AL$9&gt;=8/24,AL$9&lt;14/24)</formula>
    </cfRule>
    <cfRule type="expression" dxfId="126" priority="77">
      <formula>AND(AL$9&gt;=14/24,AL$9&lt;20/24)</formula>
    </cfRule>
    <cfRule type="expression" dxfId="125" priority="76">
      <formula>AL$9&gt;=20/24</formula>
    </cfRule>
  </conditionalFormatting>
  <conditionalFormatting sqref="AN89:AN92">
    <cfRule type="expression" dxfId="124" priority="74">
      <formula>AND(AN$9&gt;=8/24,AN$9&lt;14/24)</formula>
    </cfRule>
    <cfRule type="expression" dxfId="123" priority="73">
      <formula>AND(AN$9&gt;=14/24,AN$9&lt;20/24)</formula>
    </cfRule>
    <cfRule type="expression" dxfId="122" priority="72">
      <formula>AN$9&gt;=20/24</formula>
    </cfRule>
    <cfRule type="expression" dxfId="121" priority="75">
      <formula>AN$9&lt;8/24</formula>
    </cfRule>
  </conditionalFormatting>
  <pageMargins left="0.7" right="0.7" top="0.75" bottom="0.75" header="0.3" footer="0.3"/>
  <drawing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37DB6-E5FF-4A19-BA60-EB0104486ECC}">
  <sheetPr codeName="Sheet25"/>
  <dimension ref="A1:CJ293"/>
  <sheetViews>
    <sheetView zoomScaleNormal="100" workbookViewId="0">
      <pane xSplit="1" ySplit="10" topLeftCell="AU79" activePane="bottomRight" state="frozen"/>
      <selection activeCell="Z63" sqref="Z63"/>
      <selection pane="topRight" activeCell="Z63" sqref="Z63"/>
      <selection pane="bottomLeft" activeCell="Z63" sqref="Z63"/>
      <selection pane="bottomRight" activeCell="BF101" sqref="BF101"/>
    </sheetView>
  </sheetViews>
  <sheetFormatPr defaultColWidth="9.140625" defaultRowHeight="15" x14ac:dyDescent="0.25"/>
  <cols>
    <col min="1" max="1" width="35.28515625" style="1" bestFit="1" customWidth="1"/>
    <col min="2" max="2" width="7.42578125" style="1" bestFit="1" customWidth="1"/>
    <col min="3" max="3" width="6.140625" style="1" customWidth="1"/>
    <col min="4" max="4" width="7" style="1" customWidth="1"/>
    <col min="5" max="7" width="7.42578125" style="1" bestFit="1" customWidth="1"/>
    <col min="8" max="8" width="6.42578125" style="1" bestFit="1" customWidth="1"/>
    <col min="9" max="9" width="7.42578125" style="1" bestFit="1" customWidth="1"/>
    <col min="10" max="10" width="6.28515625" style="1" bestFit="1" customWidth="1"/>
    <col min="11" max="11" width="7.42578125" style="1" bestFit="1" customWidth="1"/>
    <col min="12" max="12" width="6" style="1" bestFit="1" customWidth="1"/>
    <col min="13" max="14" width="7.42578125" style="1" bestFit="1" customWidth="1"/>
    <col min="15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57" width="9.140625" style="1"/>
    <col min="58" max="58" width="22.28515625" style="1" bestFit="1" customWidth="1"/>
    <col min="59" max="16384" width="9.140625" style="1"/>
  </cols>
  <sheetData>
    <row r="1" spans="1:88" ht="36" hidden="1" customHeight="1" thickBot="1" x14ac:dyDescent="0.3">
      <c r="A1" s="275" t="s">
        <v>0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  <c r="AD1" s="275"/>
      <c r="AE1" s="275"/>
      <c r="AF1" s="275"/>
      <c r="AG1" s="276" t="s">
        <v>1</v>
      </c>
      <c r="AH1" s="276"/>
      <c r="AI1" s="276"/>
      <c r="AL1" s="2"/>
    </row>
    <row r="2" spans="1:88" ht="20.25" hidden="1" x14ac:dyDescent="0.25">
      <c r="A2" s="3"/>
      <c r="B2" s="277" t="s">
        <v>2</v>
      </c>
      <c r="C2" s="4"/>
      <c r="D2" s="279" t="s">
        <v>3</v>
      </c>
      <c r="E2" s="4"/>
      <c r="F2" s="279" t="s">
        <v>4</v>
      </c>
      <c r="G2" s="4"/>
      <c r="H2" s="279" t="s">
        <v>5</v>
      </c>
      <c r="I2" s="5"/>
      <c r="J2" s="281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78"/>
      <c r="C3" s="16"/>
      <c r="D3" s="280"/>
      <c r="E3" s="16"/>
      <c r="F3" s="280"/>
      <c r="G3" s="16"/>
      <c r="H3" s="280"/>
      <c r="I3" s="17"/>
      <c r="J3" s="281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70" t="str">
        <f ca="1">"2080/"&amp;"10/"&amp;INT(MID(CELL("filename",D6),FIND("]",CELL("filename",D6))+1,200))</f>
        <v>2080/10/25</v>
      </c>
      <c r="C4" s="270"/>
      <c r="D4" s="270"/>
      <c r="E4" s="271" t="str">
        <f ca="1">"2080/"&amp;"10/"&amp;INT(MID(CELL("filename",G6),FIND("]",CELL("filename",G6))+1,200))</f>
        <v>2080/10/25</v>
      </c>
      <c r="F4" s="271"/>
      <c r="G4" s="271"/>
      <c r="H4" s="271" t="str">
        <f ca="1">TEXT(E4,"dddd")</f>
        <v>Friday</v>
      </c>
      <c r="I4" s="271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C92</f>
        <v>469.2</v>
      </c>
      <c r="C5" s="30">
        <f t="shared" si="0"/>
        <v>469.2</v>
      </c>
      <c r="D5" s="30">
        <f t="shared" si="0"/>
        <v>483</v>
      </c>
      <c r="E5" s="30">
        <f t="shared" si="0"/>
        <v>544</v>
      </c>
      <c r="F5" s="30">
        <f t="shared" si="0"/>
        <v>632.9</v>
      </c>
      <c r="G5" s="30">
        <f t="shared" si="0"/>
        <v>630</v>
      </c>
      <c r="H5" s="30">
        <f t="shared" si="0"/>
        <v>698.7</v>
      </c>
      <c r="I5" s="30">
        <f t="shared" si="0"/>
        <v>718.2</v>
      </c>
      <c r="J5" s="30">
        <f t="shared" si="0"/>
        <v>464.8</v>
      </c>
      <c r="K5" s="30">
        <f t="shared" si="0"/>
        <v>269.5</v>
      </c>
      <c r="L5" s="30">
        <f t="shared" si="0"/>
        <v>146.9</v>
      </c>
      <c r="M5" s="30">
        <f t="shared" si="0"/>
        <v>212.39999999999998</v>
      </c>
      <c r="N5" s="30">
        <f t="shared" si="0"/>
        <v>416.09999999999997</v>
      </c>
      <c r="O5" s="30">
        <f t="shared" si="0"/>
        <v>569.1</v>
      </c>
      <c r="P5" s="30">
        <f t="shared" si="0"/>
        <v>560.29999999999995</v>
      </c>
      <c r="Q5" s="30">
        <f t="shared" si="0"/>
        <v>740</v>
      </c>
      <c r="R5" s="30">
        <f t="shared" si="0"/>
        <v>753</v>
      </c>
      <c r="S5" s="30">
        <f t="shared" si="0"/>
        <v>775.1</v>
      </c>
      <c r="T5" s="30">
        <f t="shared" si="0"/>
        <v>673.69999999999993</v>
      </c>
      <c r="U5" s="30">
        <f t="shared" si="0"/>
        <v>582.5</v>
      </c>
      <c r="V5" s="30">
        <f t="shared" si="0"/>
        <v>543.1</v>
      </c>
      <c r="W5" s="30">
        <f t="shared" si="0"/>
        <v>533.4</v>
      </c>
      <c r="X5" s="30">
        <f t="shared" si="0"/>
        <v>406.1</v>
      </c>
      <c r="Y5" s="30">
        <f t="shared" si="0"/>
        <v>288.10000000000002</v>
      </c>
      <c r="Z5" s="30">
        <f t="shared" si="0"/>
        <v>309.90000000000003</v>
      </c>
      <c r="AA5" s="30">
        <f t="shared" si="0"/>
        <v>382.6</v>
      </c>
      <c r="AB5" s="30">
        <f t="shared" si="0"/>
        <v>554.19999999999993</v>
      </c>
      <c r="AC5" s="30">
        <f t="shared" si="0"/>
        <v>550.69999999999993</v>
      </c>
      <c r="AD5" s="30">
        <f t="shared" si="0"/>
        <v>583.29999999999995</v>
      </c>
      <c r="AE5" s="30">
        <f t="shared" si="0"/>
        <v>600.20000000000005</v>
      </c>
      <c r="AF5" s="30">
        <f>B92</f>
        <v>478.4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1872MW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Load=1151</v>
      </c>
      <c r="B7" s="35">
        <f>B100</f>
        <v>1226.1400000000001</v>
      </c>
      <c r="C7" s="35">
        <f t="shared" ref="C7:AF7" si="1">C100</f>
        <v>1164.8400000000001</v>
      </c>
      <c r="D7" s="35">
        <f t="shared" si="1"/>
        <v>1155.04</v>
      </c>
      <c r="E7" s="35">
        <f t="shared" si="1"/>
        <v>1151.7400000000002</v>
      </c>
      <c r="F7" s="35">
        <f t="shared" si="1"/>
        <v>1150.6400000000001</v>
      </c>
      <c r="G7" s="35">
        <f t="shared" si="1"/>
        <v>1231.8400000000001</v>
      </c>
      <c r="H7" s="35">
        <f t="shared" si="1"/>
        <v>1238.94</v>
      </c>
      <c r="I7" s="35">
        <f t="shared" si="1"/>
        <v>1424.64</v>
      </c>
      <c r="J7" s="35">
        <f t="shared" si="1"/>
        <v>1482.94</v>
      </c>
      <c r="K7" s="35">
        <f t="shared" si="1"/>
        <v>1662.14</v>
      </c>
      <c r="L7" s="35">
        <f t="shared" si="1"/>
        <v>1871.7400000000002</v>
      </c>
      <c r="M7" s="35">
        <f t="shared" si="1"/>
        <v>1769.54</v>
      </c>
      <c r="N7" s="35">
        <f t="shared" si="1"/>
        <v>1672.3400000000001</v>
      </c>
      <c r="O7" s="35">
        <f t="shared" si="1"/>
        <v>1562.14</v>
      </c>
      <c r="P7" s="35">
        <f t="shared" si="1"/>
        <v>1500.1399999999999</v>
      </c>
      <c r="Q7" s="35">
        <f t="shared" si="1"/>
        <v>1421.64</v>
      </c>
      <c r="R7" s="35">
        <f t="shared" si="1"/>
        <v>1555.24</v>
      </c>
      <c r="S7" s="35">
        <f t="shared" si="1"/>
        <v>1563.94</v>
      </c>
      <c r="T7" s="35">
        <f t="shared" si="1"/>
        <v>1579.04</v>
      </c>
      <c r="U7" s="35">
        <f t="shared" si="1"/>
        <v>1472.6399999999999</v>
      </c>
      <c r="V7" s="35">
        <f t="shared" si="1"/>
        <v>1449.44</v>
      </c>
      <c r="W7" s="35">
        <f t="shared" si="1"/>
        <v>1581.44</v>
      </c>
      <c r="X7" s="35">
        <f t="shared" si="1"/>
        <v>1798.8400000000001</v>
      </c>
      <c r="Y7" s="35">
        <f t="shared" si="1"/>
        <v>1839.2999999999997</v>
      </c>
      <c r="Z7" s="35">
        <f t="shared" si="1"/>
        <v>1832.5</v>
      </c>
      <c r="AA7" s="35">
        <f t="shared" si="1"/>
        <v>1793.3400000000001</v>
      </c>
      <c r="AB7" s="35">
        <f t="shared" si="1"/>
        <v>1709.8400000000001</v>
      </c>
      <c r="AC7" s="35">
        <f t="shared" si="1"/>
        <v>1619.3400000000001</v>
      </c>
      <c r="AD7" s="35">
        <f t="shared" si="1"/>
        <v>1494.8400000000001</v>
      </c>
      <c r="AE7" s="35">
        <f t="shared" si="1"/>
        <v>1423.04</v>
      </c>
      <c r="AF7" s="35">
        <f t="shared" si="1"/>
        <v>1258.04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72" t="s">
        <v>14</v>
      </c>
      <c r="C8" s="273"/>
      <c r="D8" s="273"/>
      <c r="E8" s="273"/>
      <c r="F8" s="273"/>
      <c r="G8" s="273"/>
      <c r="H8" s="273"/>
      <c r="I8" s="273"/>
      <c r="J8" s="273"/>
      <c r="K8" s="273"/>
      <c r="L8" s="274"/>
      <c r="M8" s="265" t="s">
        <v>15</v>
      </c>
      <c r="N8" s="266"/>
      <c r="O8" s="266"/>
      <c r="P8" s="266"/>
      <c r="Q8" s="266"/>
      <c r="R8" s="267"/>
      <c r="S8" s="265" t="s">
        <v>16</v>
      </c>
      <c r="T8" s="266"/>
      <c r="U8" s="266"/>
      <c r="V8" s="266"/>
      <c r="W8" s="266"/>
      <c r="X8" s="266"/>
      <c r="Y8" s="266"/>
      <c r="Z8" s="266"/>
      <c r="AA8" s="267"/>
      <c r="AB8" s="265" t="s">
        <v>17</v>
      </c>
      <c r="AC8" s="266"/>
      <c r="AD8" s="266"/>
      <c r="AE8" s="266"/>
      <c r="AF8" s="267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68" t="s">
        <v>18</v>
      </c>
      <c r="B9" s="264">
        <v>0</v>
      </c>
      <c r="C9" s="264">
        <v>4.1666666666666664E-2</v>
      </c>
      <c r="D9" s="264">
        <v>8.3333333333333301E-2</v>
      </c>
      <c r="E9" s="264">
        <v>0.125</v>
      </c>
      <c r="F9" s="264">
        <v>0.16666666666666699</v>
      </c>
      <c r="G9" s="264">
        <v>0.20833333333333301</v>
      </c>
      <c r="H9" s="264">
        <v>0.22916666666666666</v>
      </c>
      <c r="I9" s="264">
        <v>0.25</v>
      </c>
      <c r="J9" s="264">
        <v>0.27083333333333331</v>
      </c>
      <c r="K9" s="264">
        <v>0.29166666666666669</v>
      </c>
      <c r="L9" s="264">
        <v>0.3125</v>
      </c>
      <c r="M9" s="262">
        <v>0.33333333333333331</v>
      </c>
      <c r="N9" s="262">
        <v>0.375</v>
      </c>
      <c r="O9" s="262">
        <v>0.41666666666666702</v>
      </c>
      <c r="P9" s="262">
        <v>0.45833333333333298</v>
      </c>
      <c r="Q9" s="262">
        <v>0.5</v>
      </c>
      <c r="R9" s="262">
        <v>0.54166666666666696</v>
      </c>
      <c r="S9" s="258">
        <v>0.58333333333333304</v>
      </c>
      <c r="T9" s="258">
        <v>0.625</v>
      </c>
      <c r="U9" s="258">
        <v>0.66666666666666696</v>
      </c>
      <c r="V9" s="258">
        <v>0.70833333333333304</v>
      </c>
      <c r="W9" s="258">
        <v>0.72916666666666663</v>
      </c>
      <c r="X9" s="258">
        <v>0.75</v>
      </c>
      <c r="Y9" s="258">
        <v>0.77083333333333337</v>
      </c>
      <c r="Z9" s="258">
        <v>0.79166666666666663</v>
      </c>
      <c r="AA9" s="258">
        <v>0.8125</v>
      </c>
      <c r="AB9" s="258">
        <v>0.83333333333333337</v>
      </c>
      <c r="AC9" s="258">
        <v>0.85416666666666663</v>
      </c>
      <c r="AD9" s="258">
        <v>0.875</v>
      </c>
      <c r="AE9" s="258">
        <v>0.91666666666666696</v>
      </c>
      <c r="AF9" s="258">
        <v>0.95833333333333304</v>
      </c>
      <c r="AG9" s="260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69"/>
      <c r="B10" s="259"/>
      <c r="C10" s="259"/>
      <c r="D10" s="259"/>
      <c r="E10" s="259"/>
      <c r="F10" s="259"/>
      <c r="G10" s="259"/>
      <c r="H10" s="259"/>
      <c r="I10" s="259"/>
      <c r="J10" s="259"/>
      <c r="K10" s="259"/>
      <c r="L10" s="259"/>
      <c r="M10" s="263"/>
      <c r="N10" s="263"/>
      <c r="O10" s="263"/>
      <c r="P10" s="263"/>
      <c r="Q10" s="263"/>
      <c r="R10" s="263"/>
      <c r="S10" s="259"/>
      <c r="T10" s="259"/>
      <c r="U10" s="259"/>
      <c r="V10" s="259"/>
      <c r="W10" s="259"/>
      <c r="X10" s="259"/>
      <c r="Y10" s="259"/>
      <c r="Z10" s="259"/>
      <c r="AA10" s="259"/>
      <c r="AB10" s="259"/>
      <c r="AC10" s="259"/>
      <c r="AD10" s="259"/>
      <c r="AE10" s="259"/>
      <c r="AF10" s="259"/>
      <c r="AG10" s="261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29.5</v>
      </c>
      <c r="C11" s="45">
        <v>29.5</v>
      </c>
      <c r="D11" s="45">
        <v>29.5</v>
      </c>
      <c r="E11" s="45">
        <v>29.5</v>
      </c>
      <c r="F11" s="45">
        <v>29.5</v>
      </c>
      <c r="G11" s="45">
        <v>21.8</v>
      </c>
      <c r="H11" s="45">
        <v>21.8</v>
      </c>
      <c r="I11" s="45">
        <v>21.8</v>
      </c>
      <c r="J11" s="45">
        <v>21.8</v>
      </c>
      <c r="K11" s="45">
        <v>30.5</v>
      </c>
      <c r="L11" s="45">
        <v>30.5</v>
      </c>
      <c r="M11" s="45">
        <v>25</v>
      </c>
      <c r="N11" s="45">
        <v>26.6</v>
      </c>
      <c r="O11" s="45">
        <v>30.6</v>
      </c>
      <c r="P11" s="45">
        <v>30.5</v>
      </c>
      <c r="Q11" s="45">
        <v>28.4</v>
      </c>
      <c r="R11" s="45">
        <v>30.5</v>
      </c>
      <c r="S11" s="45">
        <v>30.5</v>
      </c>
      <c r="T11" s="45">
        <v>30.5</v>
      </c>
      <c r="U11" s="45">
        <v>30.5</v>
      </c>
      <c r="V11" s="45">
        <v>30.5</v>
      </c>
      <c r="W11" s="45">
        <v>30.5</v>
      </c>
      <c r="X11" s="45">
        <v>30.5</v>
      </c>
      <c r="Y11" s="45">
        <v>30.5</v>
      </c>
      <c r="Z11" s="45">
        <v>30.5</v>
      </c>
      <c r="AA11" s="45">
        <v>30.5</v>
      </c>
      <c r="AB11" s="45">
        <v>30.5</v>
      </c>
      <c r="AC11" s="45">
        <v>30.5</v>
      </c>
      <c r="AD11" s="45">
        <v>30.5</v>
      </c>
      <c r="AE11" s="45">
        <v>30.5</v>
      </c>
      <c r="AF11" s="45">
        <v>30.5</v>
      </c>
      <c r="AG11" s="46">
        <v>86</v>
      </c>
      <c r="AH11" s="47">
        <f t="shared" ref="AH11:AH84" si="2">MAX(B11:AF11)</f>
        <v>30.6</v>
      </c>
      <c r="AI11" s="48">
        <f t="shared" ref="AI11:AI84" si="3">MIN(B11:AF11)</f>
        <v>21.8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262</v>
      </c>
      <c r="B12" s="45">
        <v>9.8000000000000007</v>
      </c>
      <c r="C12" s="45">
        <v>9.8000000000000007</v>
      </c>
      <c r="D12" s="45">
        <v>9.8000000000000007</v>
      </c>
      <c r="E12" s="45">
        <v>9.8000000000000007</v>
      </c>
      <c r="F12" s="45">
        <v>9.8000000000000007</v>
      </c>
      <c r="G12" s="45">
        <v>9.8000000000000007</v>
      </c>
      <c r="H12" s="45">
        <v>9.8000000000000007</v>
      </c>
      <c r="I12" s="45">
        <v>9.8000000000000007</v>
      </c>
      <c r="J12" s="45">
        <v>9.8000000000000007</v>
      </c>
      <c r="K12" s="45">
        <v>9.8000000000000007</v>
      </c>
      <c r="L12" s="45">
        <v>9.8000000000000007</v>
      </c>
      <c r="M12" s="45">
        <v>9.8000000000000007</v>
      </c>
      <c r="N12" s="45">
        <v>9.8000000000000007</v>
      </c>
      <c r="O12" s="45">
        <v>9.8000000000000007</v>
      </c>
      <c r="P12" s="45">
        <v>9.8000000000000007</v>
      </c>
      <c r="Q12" s="45">
        <v>9.8000000000000007</v>
      </c>
      <c r="R12" s="45">
        <v>9.8000000000000007</v>
      </c>
      <c r="S12" s="45">
        <v>9.8000000000000007</v>
      </c>
      <c r="T12" s="45">
        <v>9.8000000000000007</v>
      </c>
      <c r="U12" s="45">
        <v>9.8000000000000007</v>
      </c>
      <c r="V12" s="45">
        <v>9.8000000000000007</v>
      </c>
      <c r="W12" s="45">
        <v>9.8000000000000007</v>
      </c>
      <c r="X12" s="45">
        <v>9.8000000000000007</v>
      </c>
      <c r="Y12" s="45">
        <v>9.8000000000000007</v>
      </c>
      <c r="Z12" s="45">
        <v>9.8000000000000007</v>
      </c>
      <c r="AA12" s="45">
        <v>9.8000000000000007</v>
      </c>
      <c r="AB12" s="45">
        <v>9.8000000000000007</v>
      </c>
      <c r="AC12" s="45">
        <v>9.8000000000000007</v>
      </c>
      <c r="AD12" s="45">
        <v>9.8000000000000007</v>
      </c>
      <c r="AE12" s="45">
        <v>9.8000000000000007</v>
      </c>
      <c r="AF12" s="45">
        <v>9.8000000000000007</v>
      </c>
      <c r="AG12" s="49">
        <v>54</v>
      </c>
      <c r="AH12" s="47">
        <f t="shared" si="2"/>
        <v>9.8000000000000007</v>
      </c>
      <c r="AI12" s="48">
        <f t="shared" si="3"/>
        <v>9.8000000000000007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12</v>
      </c>
      <c r="C13" s="45">
        <v>12</v>
      </c>
      <c r="D13" s="45">
        <v>12</v>
      </c>
      <c r="E13" s="45">
        <v>12</v>
      </c>
      <c r="F13" s="45">
        <v>12</v>
      </c>
      <c r="G13" s="45">
        <v>12</v>
      </c>
      <c r="H13" s="45">
        <v>12</v>
      </c>
      <c r="I13" s="45">
        <v>12</v>
      </c>
      <c r="J13" s="45">
        <v>12</v>
      </c>
      <c r="K13" s="45">
        <v>12</v>
      </c>
      <c r="L13" s="45">
        <v>12</v>
      </c>
      <c r="M13" s="45">
        <v>10.1</v>
      </c>
      <c r="N13" s="45">
        <v>10.1</v>
      </c>
      <c r="O13" s="45">
        <v>10.1</v>
      </c>
      <c r="P13" s="45">
        <v>10.1</v>
      </c>
      <c r="Q13" s="45">
        <v>10.1</v>
      </c>
      <c r="R13" s="45">
        <v>10.1</v>
      </c>
      <c r="S13" s="45">
        <v>10.1</v>
      </c>
      <c r="T13" s="45">
        <v>10.1</v>
      </c>
      <c r="U13" s="45">
        <v>10.1</v>
      </c>
      <c r="V13" s="45">
        <v>10.1</v>
      </c>
      <c r="W13" s="45">
        <v>10.1</v>
      </c>
      <c r="X13" s="45">
        <v>10.1</v>
      </c>
      <c r="Y13" s="45">
        <v>10.1</v>
      </c>
      <c r="Z13" s="45">
        <v>10.1</v>
      </c>
      <c r="AA13" s="45">
        <v>10.1</v>
      </c>
      <c r="AB13" s="45">
        <v>10.1</v>
      </c>
      <c r="AC13" s="45">
        <v>10.1</v>
      </c>
      <c r="AD13" s="45">
        <v>10.1</v>
      </c>
      <c r="AE13" s="45">
        <v>10.1</v>
      </c>
      <c r="AF13" s="45">
        <v>10.1</v>
      </c>
      <c r="AG13" s="49">
        <v>54</v>
      </c>
      <c r="AH13" s="47">
        <f t="shared" si="2"/>
        <v>12</v>
      </c>
      <c r="AI13" s="48">
        <f t="shared" si="3"/>
        <v>10.1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14.2</v>
      </c>
      <c r="C14" s="45">
        <v>14.2</v>
      </c>
      <c r="D14" s="45">
        <v>14.2</v>
      </c>
      <c r="E14" s="45">
        <v>14.2</v>
      </c>
      <c r="F14" s="45">
        <v>14.2</v>
      </c>
      <c r="G14" s="45">
        <v>14.2</v>
      </c>
      <c r="H14" s="45">
        <v>14.2</v>
      </c>
      <c r="I14" s="45">
        <v>14.2</v>
      </c>
      <c r="J14" s="45">
        <v>14.2</v>
      </c>
      <c r="K14" s="45">
        <v>14.2</v>
      </c>
      <c r="L14" s="45">
        <v>14.2</v>
      </c>
      <c r="M14" s="45">
        <v>13.4</v>
      </c>
      <c r="N14" s="45">
        <v>13.4</v>
      </c>
      <c r="O14" s="45">
        <v>13.4</v>
      </c>
      <c r="P14" s="45">
        <v>13.4</v>
      </c>
      <c r="Q14" s="45">
        <v>13.4</v>
      </c>
      <c r="R14" s="45">
        <v>13.4</v>
      </c>
      <c r="S14" s="45">
        <v>13.4</v>
      </c>
      <c r="T14" s="45">
        <v>13.4</v>
      </c>
      <c r="U14" s="45">
        <v>13.4</v>
      </c>
      <c r="V14" s="45">
        <v>13.4</v>
      </c>
      <c r="W14" s="45">
        <v>13.4</v>
      </c>
      <c r="X14" s="45">
        <v>13.4</v>
      </c>
      <c r="Y14" s="45">
        <v>13.4</v>
      </c>
      <c r="Z14" s="45">
        <v>13.4</v>
      </c>
      <c r="AA14" s="45">
        <v>13.4</v>
      </c>
      <c r="AB14" s="45">
        <v>13.4</v>
      </c>
      <c r="AC14" s="45">
        <v>13.4</v>
      </c>
      <c r="AD14" s="45">
        <v>13.4</v>
      </c>
      <c r="AE14" s="45">
        <v>13.4</v>
      </c>
      <c r="AF14" s="45">
        <v>13.4</v>
      </c>
      <c r="AG14" s="46">
        <v>52.4</v>
      </c>
      <c r="AH14" s="47">
        <f t="shared" si="2"/>
        <v>14.2</v>
      </c>
      <c r="AI14" s="48">
        <f t="shared" si="3"/>
        <v>13.4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25</v>
      </c>
      <c r="C15" s="45">
        <v>25</v>
      </c>
      <c r="D15" s="45">
        <v>25</v>
      </c>
      <c r="E15" s="45">
        <v>25</v>
      </c>
      <c r="F15" s="45">
        <v>25</v>
      </c>
      <c r="G15" s="45">
        <v>25</v>
      </c>
      <c r="H15" s="45">
        <v>25</v>
      </c>
      <c r="I15" s="45">
        <v>25</v>
      </c>
      <c r="J15" s="45">
        <v>25</v>
      </c>
      <c r="K15" s="45">
        <v>25</v>
      </c>
      <c r="L15" s="45">
        <v>25</v>
      </c>
      <c r="M15" s="45">
        <v>29.7</v>
      </c>
      <c r="N15" s="45">
        <v>29.7</v>
      </c>
      <c r="O15" s="45">
        <v>29.7</v>
      </c>
      <c r="P15" s="45">
        <v>29.7</v>
      </c>
      <c r="Q15" s="45">
        <v>29.7</v>
      </c>
      <c r="R15" s="45">
        <v>29.7</v>
      </c>
      <c r="S15" s="45">
        <v>29.7</v>
      </c>
      <c r="T15" s="45">
        <v>29.7</v>
      </c>
      <c r="U15" s="45">
        <v>29.7</v>
      </c>
      <c r="V15" s="45">
        <v>29.7</v>
      </c>
      <c r="W15" s="45">
        <v>29.7</v>
      </c>
      <c r="X15" s="45">
        <v>29.7</v>
      </c>
      <c r="Y15" s="45">
        <v>29.7</v>
      </c>
      <c r="Z15" s="51">
        <v>29.7</v>
      </c>
      <c r="AA15" s="51">
        <v>29.7</v>
      </c>
      <c r="AB15" s="51">
        <v>29.7</v>
      </c>
      <c r="AC15" s="51">
        <v>29.7</v>
      </c>
      <c r="AD15" s="51">
        <v>29.7</v>
      </c>
      <c r="AE15" s="51">
        <v>29.7</v>
      </c>
      <c r="AF15" s="51">
        <v>29.7</v>
      </c>
      <c r="AG15" s="49">
        <v>50</v>
      </c>
      <c r="AH15" s="47">
        <f t="shared" si="2"/>
        <v>29.7</v>
      </c>
      <c r="AI15" s="48">
        <f t="shared" si="3"/>
        <v>25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15.8</v>
      </c>
      <c r="C16" s="45">
        <v>15.8</v>
      </c>
      <c r="D16" s="45">
        <v>15.8</v>
      </c>
      <c r="E16" s="45">
        <v>15.8</v>
      </c>
      <c r="F16" s="45">
        <v>15.8</v>
      </c>
      <c r="G16" s="45">
        <v>15.8</v>
      </c>
      <c r="H16" s="45">
        <v>15.8</v>
      </c>
      <c r="I16" s="45">
        <v>15.8</v>
      </c>
      <c r="J16" s="45">
        <v>15.8</v>
      </c>
      <c r="K16" s="45">
        <v>15.8</v>
      </c>
      <c r="L16" s="45">
        <v>15.8</v>
      </c>
      <c r="M16" s="45">
        <v>15</v>
      </c>
      <c r="N16" s="45">
        <v>15</v>
      </c>
      <c r="O16" s="45">
        <v>15</v>
      </c>
      <c r="P16" s="45">
        <v>15</v>
      </c>
      <c r="Q16" s="45">
        <v>15</v>
      </c>
      <c r="R16" s="45">
        <v>15</v>
      </c>
      <c r="S16" s="45">
        <v>15</v>
      </c>
      <c r="T16" s="45">
        <v>15</v>
      </c>
      <c r="U16" s="45">
        <v>15</v>
      </c>
      <c r="V16" s="45">
        <v>15</v>
      </c>
      <c r="W16" s="45">
        <v>15</v>
      </c>
      <c r="X16" s="45">
        <v>15</v>
      </c>
      <c r="Y16" s="45">
        <v>15</v>
      </c>
      <c r="Z16" s="45">
        <v>15</v>
      </c>
      <c r="AA16" s="45">
        <v>15</v>
      </c>
      <c r="AB16" s="45">
        <v>15</v>
      </c>
      <c r="AC16" s="45">
        <v>15</v>
      </c>
      <c r="AD16" s="45">
        <v>15</v>
      </c>
      <c r="AE16" s="45">
        <v>15</v>
      </c>
      <c r="AF16" s="45">
        <v>15</v>
      </c>
      <c r="AG16" s="49">
        <v>45</v>
      </c>
      <c r="AH16" s="47">
        <f t="shared" si="2"/>
        <v>15.8</v>
      </c>
      <c r="AI16" s="48">
        <f t="shared" si="3"/>
        <v>15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14</v>
      </c>
      <c r="C17" s="45">
        <v>14</v>
      </c>
      <c r="D17" s="45">
        <v>14</v>
      </c>
      <c r="E17" s="45">
        <v>14</v>
      </c>
      <c r="F17" s="45">
        <v>14</v>
      </c>
      <c r="G17" s="45">
        <v>14</v>
      </c>
      <c r="H17" s="45">
        <v>14</v>
      </c>
      <c r="I17" s="45">
        <v>14</v>
      </c>
      <c r="J17" s="45">
        <v>14</v>
      </c>
      <c r="K17" s="45">
        <v>14</v>
      </c>
      <c r="L17" s="45">
        <v>14</v>
      </c>
      <c r="M17" s="45">
        <v>14</v>
      </c>
      <c r="N17" s="45">
        <v>14</v>
      </c>
      <c r="O17" s="45">
        <v>14</v>
      </c>
      <c r="P17" s="45">
        <v>14</v>
      </c>
      <c r="Q17" s="45">
        <v>14</v>
      </c>
      <c r="R17" s="45">
        <v>14</v>
      </c>
      <c r="S17" s="45">
        <v>14</v>
      </c>
      <c r="T17" s="45">
        <v>14</v>
      </c>
      <c r="U17" s="45">
        <v>14</v>
      </c>
      <c r="V17" s="45">
        <v>14</v>
      </c>
      <c r="W17" s="45">
        <v>14</v>
      </c>
      <c r="X17" s="45">
        <v>14</v>
      </c>
      <c r="Y17" s="45">
        <v>14</v>
      </c>
      <c r="Z17" s="45">
        <v>14</v>
      </c>
      <c r="AA17" s="45">
        <v>14</v>
      </c>
      <c r="AB17" s="45">
        <v>14</v>
      </c>
      <c r="AC17" s="45">
        <v>14</v>
      </c>
      <c r="AD17" s="45">
        <v>14</v>
      </c>
      <c r="AE17" s="45">
        <v>14</v>
      </c>
      <c r="AF17" s="45">
        <v>14</v>
      </c>
      <c r="AG17" s="49">
        <v>44</v>
      </c>
      <c r="AH17" s="47">
        <f>MAX(B17:AG17)</f>
        <v>44</v>
      </c>
      <c r="AI17" s="48">
        <f>MIN(B17:AG17)</f>
        <v>14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7.9</v>
      </c>
      <c r="C18" s="45">
        <v>7.9</v>
      </c>
      <c r="D18" s="45">
        <v>7.9</v>
      </c>
      <c r="E18" s="45">
        <v>7.9</v>
      </c>
      <c r="F18" s="45">
        <v>7.9</v>
      </c>
      <c r="G18" s="45">
        <v>7.9</v>
      </c>
      <c r="H18" s="45">
        <v>7.9</v>
      </c>
      <c r="I18" s="45">
        <v>7.9</v>
      </c>
      <c r="J18" s="45">
        <v>7.9</v>
      </c>
      <c r="K18" s="45">
        <v>7.9</v>
      </c>
      <c r="L18" s="45">
        <v>7.9</v>
      </c>
      <c r="M18" s="45">
        <v>8</v>
      </c>
      <c r="N18" s="45">
        <v>8</v>
      </c>
      <c r="O18" s="45">
        <v>8</v>
      </c>
      <c r="P18" s="45">
        <v>8</v>
      </c>
      <c r="Q18" s="45">
        <v>8</v>
      </c>
      <c r="R18" s="45">
        <v>8</v>
      </c>
      <c r="S18" s="45">
        <v>8</v>
      </c>
      <c r="T18" s="45">
        <v>8</v>
      </c>
      <c r="U18" s="45">
        <v>8</v>
      </c>
      <c r="V18" s="45">
        <v>8</v>
      </c>
      <c r="W18" s="45">
        <v>8</v>
      </c>
      <c r="X18" s="45">
        <v>8</v>
      </c>
      <c r="Y18" s="45">
        <v>8</v>
      </c>
      <c r="Z18" s="45">
        <v>8</v>
      </c>
      <c r="AA18" s="45">
        <v>8</v>
      </c>
      <c r="AB18" s="45">
        <v>8</v>
      </c>
      <c r="AC18" s="45">
        <v>8</v>
      </c>
      <c r="AD18" s="45">
        <v>8</v>
      </c>
      <c r="AE18" s="45">
        <v>8</v>
      </c>
      <c r="AF18" s="45">
        <v>8</v>
      </c>
      <c r="AG18" s="49">
        <v>42</v>
      </c>
      <c r="AH18" s="47">
        <f t="shared" si="2"/>
        <v>8</v>
      </c>
      <c r="AI18" s="48">
        <f t="shared" si="3"/>
        <v>7.9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263</v>
      </c>
      <c r="B19" s="45">
        <v>15</v>
      </c>
      <c r="C19" s="45">
        <v>15</v>
      </c>
      <c r="D19" s="45">
        <v>15</v>
      </c>
      <c r="E19" s="45">
        <v>15</v>
      </c>
      <c r="F19" s="45">
        <v>15</v>
      </c>
      <c r="G19" s="45">
        <v>15</v>
      </c>
      <c r="H19" s="45">
        <v>15</v>
      </c>
      <c r="I19" s="45">
        <v>15</v>
      </c>
      <c r="J19" s="45">
        <v>15</v>
      </c>
      <c r="K19" s="45">
        <v>15</v>
      </c>
      <c r="L19" s="45">
        <v>15</v>
      </c>
      <c r="M19" s="45">
        <v>15</v>
      </c>
      <c r="N19" s="45">
        <v>15</v>
      </c>
      <c r="O19" s="45">
        <v>15</v>
      </c>
      <c r="P19" s="45">
        <v>15</v>
      </c>
      <c r="Q19" s="45">
        <v>15</v>
      </c>
      <c r="R19" s="45">
        <v>15</v>
      </c>
      <c r="S19" s="45">
        <v>15</v>
      </c>
      <c r="T19" s="45">
        <v>15</v>
      </c>
      <c r="U19" s="45">
        <v>15</v>
      </c>
      <c r="V19" s="45">
        <v>15</v>
      </c>
      <c r="W19" s="45">
        <v>15</v>
      </c>
      <c r="X19" s="45">
        <v>15</v>
      </c>
      <c r="Y19" s="45">
        <v>15</v>
      </c>
      <c r="Z19" s="45">
        <v>15</v>
      </c>
      <c r="AA19" s="45">
        <v>15</v>
      </c>
      <c r="AB19" s="45">
        <v>15</v>
      </c>
      <c r="AC19" s="45">
        <v>15</v>
      </c>
      <c r="AD19" s="45">
        <v>15</v>
      </c>
      <c r="AE19" s="45">
        <v>15</v>
      </c>
      <c r="AF19" s="45">
        <v>15</v>
      </c>
      <c r="AG19" s="49">
        <v>38.46</v>
      </c>
      <c r="AH19" s="47">
        <f t="shared" si="2"/>
        <v>15</v>
      </c>
      <c r="AI19" s="48">
        <f t="shared" si="3"/>
        <v>15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10</v>
      </c>
      <c r="C20" s="45">
        <v>10</v>
      </c>
      <c r="D20" s="45">
        <v>10</v>
      </c>
      <c r="E20" s="45">
        <v>10</v>
      </c>
      <c r="F20" s="45">
        <v>10</v>
      </c>
      <c r="G20" s="45">
        <v>10</v>
      </c>
      <c r="H20" s="45">
        <v>10</v>
      </c>
      <c r="I20" s="45">
        <v>10</v>
      </c>
      <c r="J20" s="45">
        <v>10</v>
      </c>
      <c r="K20" s="45">
        <v>10</v>
      </c>
      <c r="L20" s="45">
        <v>10</v>
      </c>
      <c r="M20" s="45">
        <v>10</v>
      </c>
      <c r="N20" s="45">
        <v>10</v>
      </c>
      <c r="O20" s="45">
        <v>10</v>
      </c>
      <c r="P20" s="45">
        <v>10</v>
      </c>
      <c r="Q20" s="45">
        <v>10</v>
      </c>
      <c r="R20" s="45">
        <v>10</v>
      </c>
      <c r="S20" s="45">
        <v>10</v>
      </c>
      <c r="T20" s="45">
        <v>10</v>
      </c>
      <c r="U20" s="45">
        <v>10</v>
      </c>
      <c r="V20" s="45">
        <v>10</v>
      </c>
      <c r="W20" s="45">
        <v>10</v>
      </c>
      <c r="X20" s="45">
        <v>10</v>
      </c>
      <c r="Y20" s="45">
        <v>10</v>
      </c>
      <c r="Z20" s="45">
        <v>10</v>
      </c>
      <c r="AA20" s="45">
        <v>10</v>
      </c>
      <c r="AB20" s="45">
        <v>10</v>
      </c>
      <c r="AC20" s="45">
        <v>10</v>
      </c>
      <c r="AD20" s="45">
        <v>10</v>
      </c>
      <c r="AE20" s="45">
        <v>10</v>
      </c>
      <c r="AF20" s="45">
        <v>10</v>
      </c>
      <c r="AG20" s="49">
        <v>38.46</v>
      </c>
      <c r="AH20" s="47">
        <f t="shared" si="2"/>
        <v>10</v>
      </c>
      <c r="AI20" s="48">
        <f t="shared" si="3"/>
        <v>10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</v>
      </c>
      <c r="C21" s="45">
        <v>13</v>
      </c>
      <c r="D21" s="45">
        <v>13</v>
      </c>
      <c r="E21" s="45">
        <v>13</v>
      </c>
      <c r="F21" s="45">
        <v>13</v>
      </c>
      <c r="G21" s="45">
        <v>13</v>
      </c>
      <c r="H21" s="45">
        <v>13</v>
      </c>
      <c r="I21" s="45">
        <v>13</v>
      </c>
      <c r="J21" s="45">
        <v>13</v>
      </c>
      <c r="K21" s="45">
        <v>13</v>
      </c>
      <c r="L21" s="45">
        <v>13</v>
      </c>
      <c r="M21" s="45">
        <v>13</v>
      </c>
      <c r="N21" s="45">
        <v>13</v>
      </c>
      <c r="O21" s="45">
        <v>13</v>
      </c>
      <c r="P21" s="45">
        <v>13</v>
      </c>
      <c r="Q21" s="45">
        <v>13</v>
      </c>
      <c r="R21" s="45">
        <v>13</v>
      </c>
      <c r="S21" s="45">
        <v>13</v>
      </c>
      <c r="T21" s="45">
        <v>13</v>
      </c>
      <c r="U21" s="45">
        <v>13</v>
      </c>
      <c r="V21" s="45">
        <v>13</v>
      </c>
      <c r="W21" s="45">
        <v>13</v>
      </c>
      <c r="X21" s="45">
        <v>13</v>
      </c>
      <c r="Y21" s="45">
        <v>13</v>
      </c>
      <c r="Z21" s="45">
        <v>13</v>
      </c>
      <c r="AA21" s="45">
        <v>13</v>
      </c>
      <c r="AB21" s="45">
        <v>13</v>
      </c>
      <c r="AC21" s="45">
        <v>13</v>
      </c>
      <c r="AD21" s="45">
        <v>13</v>
      </c>
      <c r="AE21" s="45">
        <v>13</v>
      </c>
      <c r="AF21" s="45">
        <v>13</v>
      </c>
      <c r="AG21" s="49">
        <v>36</v>
      </c>
      <c r="AH21" s="47">
        <f t="shared" si="2"/>
        <v>13</v>
      </c>
      <c r="AI21" s="48">
        <f t="shared" si="3"/>
        <v>13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8.4</v>
      </c>
      <c r="C22" s="45">
        <v>8.4</v>
      </c>
      <c r="D22" s="45">
        <v>8.4</v>
      </c>
      <c r="E22" s="45">
        <v>8.4</v>
      </c>
      <c r="F22" s="45">
        <v>8.4</v>
      </c>
      <c r="G22" s="45">
        <v>8.4</v>
      </c>
      <c r="H22" s="45">
        <v>8.4</v>
      </c>
      <c r="I22" s="45">
        <v>8.4</v>
      </c>
      <c r="J22" s="45">
        <v>8.4</v>
      </c>
      <c r="K22" s="45">
        <v>8.4</v>
      </c>
      <c r="L22" s="45">
        <v>8.4</v>
      </c>
      <c r="M22" s="45">
        <v>8.4</v>
      </c>
      <c r="N22" s="45">
        <v>8.4</v>
      </c>
      <c r="O22" s="45">
        <v>8.4</v>
      </c>
      <c r="P22" s="45">
        <v>8.4</v>
      </c>
      <c r="Q22" s="45">
        <v>8.4</v>
      </c>
      <c r="R22" s="45">
        <v>8.4</v>
      </c>
      <c r="S22" s="45">
        <v>8.4</v>
      </c>
      <c r="T22" s="45">
        <v>8.4</v>
      </c>
      <c r="U22" s="45">
        <v>8.4</v>
      </c>
      <c r="V22" s="45">
        <v>8.4</v>
      </c>
      <c r="W22" s="45">
        <v>8.4</v>
      </c>
      <c r="X22" s="45">
        <v>8.4</v>
      </c>
      <c r="Y22" s="45">
        <v>8.4</v>
      </c>
      <c r="Z22" s="45">
        <v>8.4</v>
      </c>
      <c r="AA22" s="45">
        <v>8.4</v>
      </c>
      <c r="AB22" s="45">
        <v>8.4</v>
      </c>
      <c r="AC22" s="45">
        <v>8.4</v>
      </c>
      <c r="AD22" s="45">
        <v>8.4</v>
      </c>
      <c r="AE22" s="45">
        <v>8.4</v>
      </c>
      <c r="AF22" s="45">
        <v>8.4</v>
      </c>
      <c r="AG22" s="52">
        <v>30</v>
      </c>
      <c r="AH22" s="47">
        <f t="shared" si="2"/>
        <v>8.4</v>
      </c>
      <c r="AI22" s="48">
        <f t="shared" si="3"/>
        <v>8.4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9</v>
      </c>
      <c r="C23" s="45">
        <v>9</v>
      </c>
      <c r="D23" s="45">
        <v>9</v>
      </c>
      <c r="E23" s="45">
        <v>9</v>
      </c>
      <c r="F23" s="45">
        <v>9</v>
      </c>
      <c r="G23" s="45">
        <v>9</v>
      </c>
      <c r="H23" s="45">
        <v>9</v>
      </c>
      <c r="I23" s="45">
        <v>9</v>
      </c>
      <c r="J23" s="45">
        <v>9</v>
      </c>
      <c r="K23" s="45">
        <v>9</v>
      </c>
      <c r="L23" s="45">
        <v>9</v>
      </c>
      <c r="M23" s="45">
        <v>9</v>
      </c>
      <c r="N23" s="45">
        <v>9</v>
      </c>
      <c r="O23" s="45">
        <v>9</v>
      </c>
      <c r="P23" s="45">
        <v>9</v>
      </c>
      <c r="Q23" s="45">
        <v>9</v>
      </c>
      <c r="R23" s="45">
        <v>9</v>
      </c>
      <c r="S23" s="45">
        <v>9</v>
      </c>
      <c r="T23" s="45">
        <v>9</v>
      </c>
      <c r="U23" s="45">
        <v>9</v>
      </c>
      <c r="V23" s="45">
        <v>9</v>
      </c>
      <c r="W23" s="45">
        <v>9</v>
      </c>
      <c r="X23" s="45">
        <v>9</v>
      </c>
      <c r="Y23" s="45">
        <v>9</v>
      </c>
      <c r="Z23" s="45">
        <v>9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9</v>
      </c>
      <c r="AG23" s="49">
        <v>24.2</v>
      </c>
      <c r="AH23" s="47">
        <f t="shared" si="2"/>
        <v>9</v>
      </c>
      <c r="AI23" s="48">
        <f t="shared" si="3"/>
        <v>9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9.4</v>
      </c>
      <c r="C24" s="45">
        <v>9.4</v>
      </c>
      <c r="D24" s="45">
        <v>9.4</v>
      </c>
      <c r="E24" s="45">
        <v>9.4</v>
      </c>
      <c r="F24" s="45">
        <v>9.4</v>
      </c>
      <c r="G24" s="45">
        <v>9.4</v>
      </c>
      <c r="H24" s="45">
        <v>9.4</v>
      </c>
      <c r="I24" s="45">
        <v>9.4</v>
      </c>
      <c r="J24" s="45">
        <v>9.4</v>
      </c>
      <c r="K24" s="45">
        <v>9.4</v>
      </c>
      <c r="L24" s="45">
        <v>9.4</v>
      </c>
      <c r="M24" s="45">
        <v>9.1</v>
      </c>
      <c r="N24" s="45">
        <v>9.1</v>
      </c>
      <c r="O24" s="45">
        <v>9.1</v>
      </c>
      <c r="P24" s="45">
        <v>9.1</v>
      </c>
      <c r="Q24" s="45">
        <v>9.1</v>
      </c>
      <c r="R24" s="45">
        <v>9.1</v>
      </c>
      <c r="S24" s="45">
        <v>9.1</v>
      </c>
      <c r="T24" s="45">
        <v>9.1</v>
      </c>
      <c r="U24" s="45">
        <v>9.1</v>
      </c>
      <c r="V24" s="45">
        <v>9.1</v>
      </c>
      <c r="W24" s="45">
        <v>9.1</v>
      </c>
      <c r="X24" s="45">
        <v>9.1</v>
      </c>
      <c r="Y24" s="45">
        <v>9.1</v>
      </c>
      <c r="Z24" s="45">
        <v>9.1</v>
      </c>
      <c r="AA24" s="45">
        <v>9.1</v>
      </c>
      <c r="AB24" s="45">
        <v>9.1</v>
      </c>
      <c r="AC24" s="45">
        <v>9.1</v>
      </c>
      <c r="AD24" s="45">
        <v>9.1</v>
      </c>
      <c r="AE24" s="45">
        <v>9.1</v>
      </c>
      <c r="AF24" s="45">
        <v>9.1</v>
      </c>
      <c r="AG24" s="49">
        <v>28</v>
      </c>
      <c r="AH24" s="47">
        <f t="shared" si="2"/>
        <v>9.4</v>
      </c>
      <c r="AI24" s="48">
        <f t="shared" si="3"/>
        <v>9.1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7.3</v>
      </c>
      <c r="C25" s="45">
        <v>7.3</v>
      </c>
      <c r="D25" s="45">
        <v>7.3</v>
      </c>
      <c r="E25" s="45">
        <v>7.3</v>
      </c>
      <c r="F25" s="45">
        <v>7.3</v>
      </c>
      <c r="G25" s="45">
        <v>7.3</v>
      </c>
      <c r="H25" s="45">
        <v>7.3</v>
      </c>
      <c r="I25" s="45">
        <v>7.3</v>
      </c>
      <c r="J25" s="45">
        <v>7.3</v>
      </c>
      <c r="K25" s="45">
        <v>7.3</v>
      </c>
      <c r="L25" s="45">
        <v>7.3</v>
      </c>
      <c r="M25" s="45">
        <v>7.3</v>
      </c>
      <c r="N25" s="45">
        <v>7.3</v>
      </c>
      <c r="O25" s="45">
        <v>7.3</v>
      </c>
      <c r="P25" s="45">
        <v>7.3</v>
      </c>
      <c r="Q25" s="45">
        <v>7.3</v>
      </c>
      <c r="R25" s="45">
        <v>7.3</v>
      </c>
      <c r="S25" s="45">
        <v>7.3</v>
      </c>
      <c r="T25" s="45">
        <v>7.3</v>
      </c>
      <c r="U25" s="45">
        <v>7.3</v>
      </c>
      <c r="V25" s="45">
        <v>7.3</v>
      </c>
      <c r="W25" s="45">
        <v>7.3</v>
      </c>
      <c r="X25" s="45">
        <v>7.3</v>
      </c>
      <c r="Y25" s="45">
        <v>7.3</v>
      </c>
      <c r="Z25" s="45">
        <v>7.3</v>
      </c>
      <c r="AA25" s="45">
        <v>7.3</v>
      </c>
      <c r="AB25" s="45">
        <v>7.3</v>
      </c>
      <c r="AC25" s="45">
        <v>7.3</v>
      </c>
      <c r="AD25" s="45">
        <v>7.3</v>
      </c>
      <c r="AE25" s="45">
        <v>7.3</v>
      </c>
      <c r="AF25" s="45">
        <v>7.3</v>
      </c>
      <c r="AG25" s="52">
        <v>30</v>
      </c>
      <c r="AH25" s="47">
        <f t="shared" si="2"/>
        <v>7.3</v>
      </c>
      <c r="AI25" s="48">
        <f t="shared" si="3"/>
        <v>7.3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8.5</v>
      </c>
      <c r="C26" s="45">
        <v>8.5</v>
      </c>
      <c r="D26" s="45">
        <v>8.5</v>
      </c>
      <c r="E26" s="45">
        <v>8.5</v>
      </c>
      <c r="F26" s="45">
        <v>8.5</v>
      </c>
      <c r="G26" s="45">
        <v>8.5</v>
      </c>
      <c r="H26" s="45">
        <v>8.5</v>
      </c>
      <c r="I26" s="45">
        <v>8.5</v>
      </c>
      <c r="J26" s="45">
        <v>8.5</v>
      </c>
      <c r="K26" s="45">
        <v>8.5</v>
      </c>
      <c r="L26" s="45">
        <v>8.5</v>
      </c>
      <c r="M26" s="45">
        <v>8.4</v>
      </c>
      <c r="N26" s="45">
        <v>8.4</v>
      </c>
      <c r="O26" s="45">
        <v>8.4</v>
      </c>
      <c r="P26" s="45">
        <v>8.4</v>
      </c>
      <c r="Q26" s="45">
        <v>8.4</v>
      </c>
      <c r="R26" s="45">
        <v>8.4</v>
      </c>
      <c r="S26" s="45">
        <v>8.4</v>
      </c>
      <c r="T26" s="45">
        <v>8.4</v>
      </c>
      <c r="U26" s="45">
        <v>8.4</v>
      </c>
      <c r="V26" s="45">
        <v>8.4</v>
      </c>
      <c r="W26" s="45">
        <v>8.4</v>
      </c>
      <c r="X26" s="45">
        <v>8.4</v>
      </c>
      <c r="Y26" s="45">
        <v>8.4</v>
      </c>
      <c r="Z26" s="45">
        <v>8.4</v>
      </c>
      <c r="AA26" s="45">
        <v>8.4</v>
      </c>
      <c r="AB26" s="45">
        <v>8.4</v>
      </c>
      <c r="AC26" s="45">
        <v>8.4</v>
      </c>
      <c r="AD26" s="45">
        <v>8.4</v>
      </c>
      <c r="AE26" s="45">
        <v>8.4</v>
      </c>
      <c r="AF26" s="45">
        <v>8.4</v>
      </c>
      <c r="AG26" s="49">
        <v>25</v>
      </c>
      <c r="AH26" s="47">
        <f t="shared" si="2"/>
        <v>8.5</v>
      </c>
      <c r="AI26" s="48">
        <f t="shared" si="3"/>
        <v>8.4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5</v>
      </c>
      <c r="C27" s="45">
        <v>5</v>
      </c>
      <c r="D27" s="45">
        <v>5</v>
      </c>
      <c r="E27" s="45">
        <v>5</v>
      </c>
      <c r="F27" s="45">
        <v>5</v>
      </c>
      <c r="G27" s="45">
        <v>5</v>
      </c>
      <c r="H27" s="45">
        <v>5</v>
      </c>
      <c r="I27" s="45">
        <v>5</v>
      </c>
      <c r="J27" s="45">
        <v>5</v>
      </c>
      <c r="K27" s="45">
        <v>5</v>
      </c>
      <c r="L27" s="45">
        <v>5</v>
      </c>
      <c r="M27" s="45">
        <v>5</v>
      </c>
      <c r="N27" s="45">
        <v>5</v>
      </c>
      <c r="O27" s="45">
        <v>5</v>
      </c>
      <c r="P27" s="45">
        <v>5</v>
      </c>
      <c r="Q27" s="45">
        <v>5</v>
      </c>
      <c r="R27" s="45">
        <v>5</v>
      </c>
      <c r="S27" s="45">
        <v>5</v>
      </c>
      <c r="T27" s="45">
        <v>5</v>
      </c>
      <c r="U27" s="45">
        <v>5</v>
      </c>
      <c r="V27" s="45">
        <v>5</v>
      </c>
      <c r="W27" s="45">
        <v>5</v>
      </c>
      <c r="X27" s="45">
        <v>5</v>
      </c>
      <c r="Y27" s="45">
        <v>5</v>
      </c>
      <c r="Z27" s="45">
        <v>5</v>
      </c>
      <c r="AA27" s="45">
        <v>5</v>
      </c>
      <c r="AB27" s="45">
        <v>5</v>
      </c>
      <c r="AC27" s="45">
        <v>5</v>
      </c>
      <c r="AD27" s="45">
        <v>5</v>
      </c>
      <c r="AE27" s="45">
        <v>5</v>
      </c>
      <c r="AF27" s="45">
        <v>5</v>
      </c>
      <c r="AG27" s="49">
        <v>25</v>
      </c>
      <c r="AH27" s="47">
        <f t="shared" si="2"/>
        <v>5</v>
      </c>
      <c r="AI27" s="48">
        <f t="shared" si="3"/>
        <v>5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6</v>
      </c>
      <c r="C28" s="45">
        <v>6</v>
      </c>
      <c r="D28" s="45">
        <v>6</v>
      </c>
      <c r="E28" s="45">
        <v>6</v>
      </c>
      <c r="F28" s="45">
        <v>6</v>
      </c>
      <c r="G28" s="45">
        <v>6</v>
      </c>
      <c r="H28" s="45">
        <v>6</v>
      </c>
      <c r="I28" s="45">
        <v>6</v>
      </c>
      <c r="J28" s="45">
        <v>6</v>
      </c>
      <c r="K28" s="45">
        <v>6</v>
      </c>
      <c r="L28" s="45">
        <v>6</v>
      </c>
      <c r="M28" s="45">
        <v>6</v>
      </c>
      <c r="N28" s="45">
        <v>6</v>
      </c>
      <c r="O28" s="45">
        <v>6</v>
      </c>
      <c r="P28" s="45">
        <v>6</v>
      </c>
      <c r="Q28" s="45">
        <v>6</v>
      </c>
      <c r="R28" s="45">
        <v>6</v>
      </c>
      <c r="S28" s="45">
        <v>6</v>
      </c>
      <c r="T28" s="45">
        <v>6</v>
      </c>
      <c r="U28" s="45">
        <v>6</v>
      </c>
      <c r="V28" s="45">
        <v>6</v>
      </c>
      <c r="W28" s="45">
        <v>6</v>
      </c>
      <c r="X28" s="45">
        <v>6</v>
      </c>
      <c r="Y28" s="45">
        <v>6</v>
      </c>
      <c r="Z28" s="45">
        <v>6</v>
      </c>
      <c r="AA28" s="45">
        <v>6</v>
      </c>
      <c r="AB28" s="45">
        <v>6</v>
      </c>
      <c r="AC28" s="45">
        <v>6</v>
      </c>
      <c r="AD28" s="45">
        <v>6</v>
      </c>
      <c r="AE28" s="45">
        <v>6</v>
      </c>
      <c r="AF28" s="45">
        <v>6</v>
      </c>
      <c r="AG28" s="49">
        <v>25</v>
      </c>
      <c r="AH28" s="47">
        <f t="shared" si="2"/>
        <v>6</v>
      </c>
      <c r="AI28" s="48">
        <f t="shared" si="3"/>
        <v>6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8.1999999999999993</v>
      </c>
      <c r="C29" s="45">
        <v>8.1999999999999993</v>
      </c>
      <c r="D29" s="45">
        <v>8.1999999999999993</v>
      </c>
      <c r="E29" s="45">
        <v>8.1999999999999993</v>
      </c>
      <c r="F29" s="45">
        <v>8.1999999999999993</v>
      </c>
      <c r="G29" s="45">
        <v>8.1999999999999993</v>
      </c>
      <c r="H29" s="45">
        <v>8.1999999999999993</v>
      </c>
      <c r="I29" s="45">
        <v>8.1999999999999993</v>
      </c>
      <c r="J29" s="45">
        <v>8.1999999999999993</v>
      </c>
      <c r="K29" s="45">
        <v>8.1999999999999993</v>
      </c>
      <c r="L29" s="45">
        <v>8.1999999999999993</v>
      </c>
      <c r="M29" s="45">
        <v>7.5</v>
      </c>
      <c r="N29" s="45">
        <v>7.5</v>
      </c>
      <c r="O29" s="45">
        <v>7.5</v>
      </c>
      <c r="P29" s="45">
        <v>7.5</v>
      </c>
      <c r="Q29" s="45">
        <v>7.5</v>
      </c>
      <c r="R29" s="45">
        <v>7.5</v>
      </c>
      <c r="S29" s="45">
        <v>7.5</v>
      </c>
      <c r="T29" s="45">
        <v>7.5</v>
      </c>
      <c r="U29" s="45">
        <v>7.5</v>
      </c>
      <c r="V29" s="45">
        <v>7.5</v>
      </c>
      <c r="W29" s="45">
        <v>7.5</v>
      </c>
      <c r="X29" s="45">
        <v>7.5</v>
      </c>
      <c r="Y29" s="45">
        <v>7.5</v>
      </c>
      <c r="Z29" s="45">
        <v>7.5</v>
      </c>
      <c r="AA29" s="45">
        <v>7.5</v>
      </c>
      <c r="AB29" s="45">
        <v>7.5</v>
      </c>
      <c r="AC29" s="45">
        <v>7.5</v>
      </c>
      <c r="AD29" s="45">
        <v>7.5</v>
      </c>
      <c r="AE29" s="45">
        <v>7.5</v>
      </c>
      <c r="AF29" s="45">
        <v>7.5</v>
      </c>
      <c r="AG29" s="49">
        <v>25</v>
      </c>
      <c r="AH29" s="47">
        <f t="shared" si="2"/>
        <v>8.1999999999999993</v>
      </c>
      <c r="AI29" s="48">
        <f t="shared" si="3"/>
        <v>7.5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6.5</v>
      </c>
      <c r="C30" s="45">
        <v>6.5</v>
      </c>
      <c r="D30" s="45">
        <v>6.5</v>
      </c>
      <c r="E30" s="45">
        <v>6.5</v>
      </c>
      <c r="F30" s="45">
        <v>6.5</v>
      </c>
      <c r="G30" s="45">
        <v>6.5</v>
      </c>
      <c r="H30" s="45">
        <v>6.5</v>
      </c>
      <c r="I30" s="45">
        <v>6.5</v>
      </c>
      <c r="J30" s="45">
        <v>6.5</v>
      </c>
      <c r="K30" s="45">
        <v>6.5</v>
      </c>
      <c r="L30" s="45">
        <v>6.5</v>
      </c>
      <c r="M30" s="45">
        <v>10.1</v>
      </c>
      <c r="N30" s="45">
        <v>10.1</v>
      </c>
      <c r="O30" s="45">
        <v>10.1</v>
      </c>
      <c r="P30" s="45">
        <v>10.1</v>
      </c>
      <c r="Q30" s="45">
        <v>10.1</v>
      </c>
      <c r="R30" s="45">
        <v>10.1</v>
      </c>
      <c r="S30" s="45">
        <v>10.1</v>
      </c>
      <c r="T30" s="45">
        <v>10.1</v>
      </c>
      <c r="U30" s="45">
        <v>10.1</v>
      </c>
      <c r="V30" s="45">
        <v>10.1</v>
      </c>
      <c r="W30" s="45">
        <v>10.1</v>
      </c>
      <c r="X30" s="45">
        <v>10.1</v>
      </c>
      <c r="Y30" s="45">
        <v>10.1</v>
      </c>
      <c r="Z30" s="45">
        <v>10.1</v>
      </c>
      <c r="AA30" s="45">
        <v>10.1</v>
      </c>
      <c r="AB30" s="45">
        <v>10.1</v>
      </c>
      <c r="AC30" s="45">
        <v>10.1</v>
      </c>
      <c r="AD30" s="45">
        <v>10.1</v>
      </c>
      <c r="AE30" s="45">
        <v>10.1</v>
      </c>
      <c r="AF30" s="45">
        <v>10.1</v>
      </c>
      <c r="AG30" s="49">
        <v>23.5</v>
      </c>
      <c r="AH30" s="47">
        <f t="shared" si="2"/>
        <v>10.1</v>
      </c>
      <c r="AI30" s="48">
        <f t="shared" si="3"/>
        <v>6.5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4.5</v>
      </c>
      <c r="C31" s="45">
        <v>4.5</v>
      </c>
      <c r="D31" s="45">
        <v>4.5</v>
      </c>
      <c r="E31" s="45">
        <v>4.5</v>
      </c>
      <c r="F31" s="45">
        <v>4.5</v>
      </c>
      <c r="G31" s="45">
        <v>4.5</v>
      </c>
      <c r="H31" s="45">
        <v>4.5</v>
      </c>
      <c r="I31" s="45">
        <v>4.5</v>
      </c>
      <c r="J31" s="45">
        <v>4.5</v>
      </c>
      <c r="K31" s="45">
        <v>4.5</v>
      </c>
      <c r="L31" s="45">
        <v>4.5</v>
      </c>
      <c r="M31" s="45">
        <v>4.5</v>
      </c>
      <c r="N31" s="45">
        <v>4.5</v>
      </c>
      <c r="O31" s="45">
        <v>4.5</v>
      </c>
      <c r="P31" s="45">
        <v>4.5</v>
      </c>
      <c r="Q31" s="45">
        <v>4.5</v>
      </c>
      <c r="R31" s="45">
        <v>4.5</v>
      </c>
      <c r="S31" s="45">
        <v>4.5</v>
      </c>
      <c r="T31" s="45">
        <v>4.5</v>
      </c>
      <c r="U31" s="45">
        <v>4.5</v>
      </c>
      <c r="V31" s="45">
        <v>4.5</v>
      </c>
      <c r="W31" s="45">
        <v>4.5</v>
      </c>
      <c r="X31" s="45">
        <v>4.5</v>
      </c>
      <c r="Y31" s="45">
        <v>4.5</v>
      </c>
      <c r="Z31" s="45">
        <v>4.5</v>
      </c>
      <c r="AA31" s="45">
        <v>4.5</v>
      </c>
      <c r="AB31" s="45">
        <v>4.5</v>
      </c>
      <c r="AC31" s="45">
        <v>4.5</v>
      </c>
      <c r="AD31" s="45">
        <v>4.5</v>
      </c>
      <c r="AE31" s="45">
        <v>4.5</v>
      </c>
      <c r="AF31" s="45">
        <v>4.5</v>
      </c>
      <c r="AG31" s="49">
        <v>22.2</v>
      </c>
      <c r="AH31" s="47">
        <f t="shared" si="2"/>
        <v>4.5</v>
      </c>
      <c r="AI31" s="48">
        <f t="shared" si="3"/>
        <v>4.5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>
        <v>5.5</v>
      </c>
      <c r="N32" s="45">
        <v>5.5</v>
      </c>
      <c r="O32" s="45">
        <v>5.5</v>
      </c>
      <c r="P32" s="45">
        <v>5.5</v>
      </c>
      <c r="Q32" s="45">
        <v>5.5</v>
      </c>
      <c r="R32" s="45">
        <v>5.5</v>
      </c>
      <c r="S32" s="45">
        <v>5.5</v>
      </c>
      <c r="T32" s="45">
        <v>5.5</v>
      </c>
      <c r="U32" s="45">
        <v>5.5</v>
      </c>
      <c r="V32" s="45">
        <v>5.5</v>
      </c>
      <c r="W32" s="45">
        <v>5.5</v>
      </c>
      <c r="X32" s="45">
        <v>5.5</v>
      </c>
      <c r="Y32" s="45">
        <v>5.5</v>
      </c>
      <c r="Z32" s="45">
        <v>5.5</v>
      </c>
      <c r="AA32" s="45">
        <v>5.5</v>
      </c>
      <c r="AB32" s="45">
        <v>5.5</v>
      </c>
      <c r="AC32" s="45">
        <v>5.5</v>
      </c>
      <c r="AD32" s="45">
        <v>5.5</v>
      </c>
      <c r="AE32" s="45">
        <v>5.5</v>
      </c>
      <c r="AF32" s="45">
        <v>5.5</v>
      </c>
      <c r="AG32" s="49">
        <v>22.1</v>
      </c>
      <c r="AH32" s="47">
        <f t="shared" si="2"/>
        <v>5.5</v>
      </c>
      <c r="AI32" s="48">
        <f t="shared" si="3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22</v>
      </c>
      <c r="AH33" s="47">
        <f t="shared" si="2"/>
        <v>6</v>
      </c>
      <c r="AI33" s="48">
        <f t="shared" si="3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8.1</v>
      </c>
      <c r="C34" s="45">
        <v>8.1</v>
      </c>
      <c r="D34" s="45">
        <v>8.1</v>
      </c>
      <c r="E34" s="45">
        <v>8.1</v>
      </c>
      <c r="F34" s="45">
        <v>8.1</v>
      </c>
      <c r="G34" s="45">
        <v>8.1</v>
      </c>
      <c r="H34" s="45">
        <v>8.1</v>
      </c>
      <c r="I34" s="45">
        <v>8.1</v>
      </c>
      <c r="J34" s="45">
        <v>8.1</v>
      </c>
      <c r="K34" s="45">
        <v>8.1</v>
      </c>
      <c r="L34" s="45">
        <v>8.1</v>
      </c>
      <c r="M34" s="45">
        <v>9.5</v>
      </c>
      <c r="N34" s="45">
        <v>9.5</v>
      </c>
      <c r="O34" s="45">
        <v>9.5</v>
      </c>
      <c r="P34" s="45">
        <v>9.5</v>
      </c>
      <c r="Q34" s="45">
        <v>9.5</v>
      </c>
      <c r="R34" s="45">
        <v>9.5</v>
      </c>
      <c r="S34" s="45">
        <v>9.5</v>
      </c>
      <c r="T34" s="45">
        <v>9.5</v>
      </c>
      <c r="U34" s="45">
        <v>9.5</v>
      </c>
      <c r="V34" s="45">
        <v>9.5</v>
      </c>
      <c r="W34" s="45">
        <v>9.5</v>
      </c>
      <c r="X34" s="45">
        <v>9.5</v>
      </c>
      <c r="Y34" s="45">
        <v>9.5</v>
      </c>
      <c r="Z34" s="45">
        <v>9.5</v>
      </c>
      <c r="AA34" s="45">
        <v>9.5</v>
      </c>
      <c r="AB34" s="45">
        <v>9.5</v>
      </c>
      <c r="AC34" s="45">
        <v>9.5</v>
      </c>
      <c r="AD34" s="45">
        <v>9.5</v>
      </c>
      <c r="AE34" s="45">
        <v>9.5</v>
      </c>
      <c r="AF34" s="45">
        <v>9.5</v>
      </c>
      <c r="AG34" s="49">
        <v>22</v>
      </c>
      <c r="AH34" s="47">
        <f t="shared" si="2"/>
        <v>9.5</v>
      </c>
      <c r="AI34" s="48">
        <f t="shared" si="3"/>
        <v>8.1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6.5</v>
      </c>
      <c r="C35" s="45">
        <v>6.5</v>
      </c>
      <c r="D35" s="45">
        <v>6.5</v>
      </c>
      <c r="E35" s="45">
        <v>6.5</v>
      </c>
      <c r="F35" s="45">
        <v>6.5</v>
      </c>
      <c r="G35" s="45">
        <v>6.5</v>
      </c>
      <c r="H35" s="45">
        <v>6.5</v>
      </c>
      <c r="I35" s="45">
        <v>6.5</v>
      </c>
      <c r="J35" s="45">
        <v>6.5</v>
      </c>
      <c r="K35" s="45">
        <v>6.5</v>
      </c>
      <c r="L35" s="45">
        <v>6.5</v>
      </c>
      <c r="M35" s="45">
        <v>6.5</v>
      </c>
      <c r="N35" s="45">
        <v>6.5</v>
      </c>
      <c r="O35" s="45">
        <v>6.5</v>
      </c>
      <c r="P35" s="45">
        <v>6.5</v>
      </c>
      <c r="Q35" s="45">
        <v>6.5</v>
      </c>
      <c r="R35" s="45">
        <v>6.5</v>
      </c>
      <c r="S35" s="45">
        <v>6.5</v>
      </c>
      <c r="T35" s="45">
        <v>6.5</v>
      </c>
      <c r="U35" s="45">
        <v>6.5</v>
      </c>
      <c r="V35" s="45">
        <v>6.5</v>
      </c>
      <c r="W35" s="45">
        <v>6.5</v>
      </c>
      <c r="X35" s="45">
        <v>6.5</v>
      </c>
      <c r="Y35" s="45">
        <v>6.5</v>
      </c>
      <c r="Z35" s="45">
        <v>6.5</v>
      </c>
      <c r="AA35" s="45">
        <v>6.5</v>
      </c>
      <c r="AB35" s="45">
        <v>6.5</v>
      </c>
      <c r="AC35" s="45">
        <v>6.5</v>
      </c>
      <c r="AD35" s="45">
        <v>6.5</v>
      </c>
      <c r="AE35" s="45">
        <v>6.5</v>
      </c>
      <c r="AF35" s="45">
        <v>6.5</v>
      </c>
      <c r="AG35" s="49">
        <v>20</v>
      </c>
      <c r="AH35" s="47">
        <f t="shared" si="2"/>
        <v>6.5</v>
      </c>
      <c r="AI35" s="48">
        <f t="shared" si="3"/>
        <v>6.5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264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2"/>
        <v>4</v>
      </c>
      <c r="AI36" s="48">
        <f t="shared" si="3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5.5</v>
      </c>
      <c r="C37" s="45">
        <v>5.5</v>
      </c>
      <c r="D37" s="45">
        <v>5.5</v>
      </c>
      <c r="E37" s="45">
        <v>5.5</v>
      </c>
      <c r="F37" s="45">
        <v>5.5</v>
      </c>
      <c r="G37" s="45">
        <v>5.5</v>
      </c>
      <c r="H37" s="45">
        <v>5.5</v>
      </c>
      <c r="I37" s="45">
        <v>5.5</v>
      </c>
      <c r="J37" s="45">
        <v>5.5</v>
      </c>
      <c r="K37" s="45">
        <v>5.5</v>
      </c>
      <c r="L37" s="45">
        <v>5.5</v>
      </c>
      <c r="M37" s="45">
        <v>5.5</v>
      </c>
      <c r="N37" s="45">
        <v>5.5</v>
      </c>
      <c r="O37" s="45">
        <v>5.5</v>
      </c>
      <c r="P37" s="45">
        <v>5.5</v>
      </c>
      <c r="Q37" s="45">
        <v>5.5</v>
      </c>
      <c r="R37" s="45">
        <v>5.5</v>
      </c>
      <c r="S37" s="45">
        <v>5.5</v>
      </c>
      <c r="T37" s="45">
        <v>5.5</v>
      </c>
      <c r="U37" s="45">
        <v>5.5</v>
      </c>
      <c r="V37" s="45">
        <v>5.5</v>
      </c>
      <c r="W37" s="45">
        <v>5.5</v>
      </c>
      <c r="X37" s="45">
        <v>5.5</v>
      </c>
      <c r="Y37" s="45">
        <v>5.5</v>
      </c>
      <c r="Z37" s="45">
        <v>5.5</v>
      </c>
      <c r="AA37" s="45">
        <v>5.5</v>
      </c>
      <c r="AB37" s="45">
        <v>5.5</v>
      </c>
      <c r="AC37" s="45">
        <v>5.5</v>
      </c>
      <c r="AD37" s="45">
        <v>5.5</v>
      </c>
      <c r="AE37" s="45">
        <v>5.5</v>
      </c>
      <c r="AF37" s="45">
        <v>5.5</v>
      </c>
      <c r="AG37" s="49">
        <v>18</v>
      </c>
      <c r="AH37" s="47">
        <f t="shared" si="2"/>
        <v>5.5</v>
      </c>
      <c r="AI37" s="48">
        <f t="shared" si="3"/>
        <v>5.5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>
        <v>7.2</v>
      </c>
      <c r="N38" s="45">
        <v>7.2</v>
      </c>
      <c r="O38" s="45">
        <v>7.2</v>
      </c>
      <c r="P38" s="45">
        <v>7.2</v>
      </c>
      <c r="Q38" s="45">
        <v>7.2</v>
      </c>
      <c r="R38" s="45">
        <v>7.2</v>
      </c>
      <c r="S38" s="45">
        <v>7.2</v>
      </c>
      <c r="T38" s="45">
        <v>7.2</v>
      </c>
      <c r="U38" s="45">
        <v>7.2</v>
      </c>
      <c r="V38" s="45">
        <v>7.2</v>
      </c>
      <c r="W38" s="45">
        <v>7.2</v>
      </c>
      <c r="X38" s="45">
        <v>7.2</v>
      </c>
      <c r="Y38" s="45">
        <v>7.2</v>
      </c>
      <c r="Z38" s="45">
        <v>7.2</v>
      </c>
      <c r="AA38" s="45">
        <v>7.2</v>
      </c>
      <c r="AB38" s="45">
        <v>7.2</v>
      </c>
      <c r="AC38" s="45">
        <v>7.2</v>
      </c>
      <c r="AD38" s="45">
        <v>7.2</v>
      </c>
      <c r="AE38" s="45">
        <v>7.2</v>
      </c>
      <c r="AF38" s="45">
        <v>7.2</v>
      </c>
      <c r="AG38" s="49">
        <v>14.9</v>
      </c>
      <c r="AH38" s="47">
        <f t="shared" si="2"/>
        <v>7.2</v>
      </c>
      <c r="AI38" s="48">
        <f t="shared" si="3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265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2"/>
        <v>5</v>
      </c>
      <c r="AI40" s="48">
        <f t="shared" si="3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266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>
        <v>4</v>
      </c>
      <c r="N41" s="45">
        <v>4</v>
      </c>
      <c r="O41" s="45">
        <v>4</v>
      </c>
      <c r="P41" s="45">
        <v>4</v>
      </c>
      <c r="Q41" s="45">
        <v>4</v>
      </c>
      <c r="R41" s="45">
        <v>4</v>
      </c>
      <c r="S41" s="45">
        <v>4</v>
      </c>
      <c r="T41" s="45">
        <v>4</v>
      </c>
      <c r="U41" s="45">
        <v>4</v>
      </c>
      <c r="V41" s="45">
        <v>4</v>
      </c>
      <c r="W41" s="45">
        <v>4</v>
      </c>
      <c r="X41" s="45">
        <v>4</v>
      </c>
      <c r="Y41" s="45">
        <v>4</v>
      </c>
      <c r="Z41" s="45">
        <v>4</v>
      </c>
      <c r="AA41" s="45">
        <v>4</v>
      </c>
      <c r="AB41" s="45">
        <v>4</v>
      </c>
      <c r="AC41" s="45">
        <v>4</v>
      </c>
      <c r="AD41" s="45">
        <v>4</v>
      </c>
      <c r="AE41" s="45">
        <v>4</v>
      </c>
      <c r="AF41" s="45">
        <v>4</v>
      </c>
      <c r="AG41" s="49">
        <v>14.9</v>
      </c>
      <c r="AH41" s="47">
        <f t="shared" si="2"/>
        <v>4</v>
      </c>
      <c r="AI41" s="48">
        <f t="shared" si="3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2"/>
        <v>1.8</v>
      </c>
      <c r="AI42" s="48">
        <f t="shared" si="3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2"/>
        <v>3.8</v>
      </c>
      <c r="AI43" s="48">
        <f t="shared" si="3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4</v>
      </c>
      <c r="C44" s="45">
        <v>4</v>
      </c>
      <c r="D44" s="45">
        <v>4</v>
      </c>
      <c r="E44" s="45">
        <v>4</v>
      </c>
      <c r="F44" s="45">
        <v>4</v>
      </c>
      <c r="G44" s="45">
        <v>4</v>
      </c>
      <c r="H44" s="45">
        <v>4</v>
      </c>
      <c r="I44" s="45">
        <v>4</v>
      </c>
      <c r="J44" s="45">
        <v>4</v>
      </c>
      <c r="K44" s="45">
        <v>4</v>
      </c>
      <c r="L44" s="45">
        <v>4</v>
      </c>
      <c r="M44" s="45">
        <v>4</v>
      </c>
      <c r="N44" s="45">
        <v>4</v>
      </c>
      <c r="O44" s="45">
        <v>4</v>
      </c>
      <c r="P44" s="45">
        <v>4</v>
      </c>
      <c r="Q44" s="45">
        <v>4</v>
      </c>
      <c r="R44" s="45">
        <v>4</v>
      </c>
      <c r="S44" s="45">
        <v>4</v>
      </c>
      <c r="T44" s="45">
        <v>4</v>
      </c>
      <c r="U44" s="45">
        <v>4</v>
      </c>
      <c r="V44" s="45">
        <v>4</v>
      </c>
      <c r="W44" s="45">
        <v>4</v>
      </c>
      <c r="X44" s="45">
        <v>4</v>
      </c>
      <c r="Y44" s="45">
        <v>4</v>
      </c>
      <c r="Z44" s="45">
        <v>4</v>
      </c>
      <c r="AA44" s="45">
        <v>4</v>
      </c>
      <c r="AB44" s="45">
        <v>4</v>
      </c>
      <c r="AC44" s="45">
        <v>4</v>
      </c>
      <c r="AD44" s="45">
        <v>4</v>
      </c>
      <c r="AE44" s="45">
        <v>4</v>
      </c>
      <c r="AF44" s="45">
        <v>4</v>
      </c>
      <c r="AG44" s="49">
        <v>12</v>
      </c>
      <c r="AH44" s="47">
        <f t="shared" si="2"/>
        <v>4</v>
      </c>
      <c r="AI44" s="48">
        <f t="shared" si="3"/>
        <v>4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49">
        <v>12</v>
      </c>
      <c r="AH45" s="47">
        <f t="shared" si="2"/>
        <v>9</v>
      </c>
      <c r="AI45" s="48">
        <f t="shared" si="3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2"/>
        <v>3</v>
      </c>
      <c r="AI46" s="48">
        <f t="shared" si="3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2"/>
        <v>3.5</v>
      </c>
      <c r="AI47" s="48">
        <f t="shared" si="3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>
        <v>5</v>
      </c>
      <c r="N48" s="45">
        <v>5</v>
      </c>
      <c r="O48" s="45">
        <v>5</v>
      </c>
      <c r="P48" s="45">
        <v>5</v>
      </c>
      <c r="Q48" s="45">
        <v>5</v>
      </c>
      <c r="R48" s="45">
        <v>5</v>
      </c>
      <c r="S48" s="45">
        <v>5</v>
      </c>
      <c r="T48" s="45">
        <v>5</v>
      </c>
      <c r="U48" s="45">
        <v>5</v>
      </c>
      <c r="V48" s="45">
        <v>5</v>
      </c>
      <c r="W48" s="45">
        <v>5</v>
      </c>
      <c r="X48" s="45">
        <v>5</v>
      </c>
      <c r="Y48" s="45">
        <v>5</v>
      </c>
      <c r="Z48" s="45">
        <v>5</v>
      </c>
      <c r="AA48" s="45">
        <v>5</v>
      </c>
      <c r="AB48" s="45">
        <v>5</v>
      </c>
      <c r="AC48" s="45">
        <v>5</v>
      </c>
      <c r="AD48" s="45">
        <v>5</v>
      </c>
      <c r="AE48" s="45">
        <v>5</v>
      </c>
      <c r="AF48" s="45">
        <v>5</v>
      </c>
      <c r="AG48" s="52">
        <v>11.88</v>
      </c>
      <c r="AH48" s="47">
        <f t="shared" si="2"/>
        <v>5</v>
      </c>
      <c r="AI48" s="48">
        <f t="shared" si="3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>
        <v>3</v>
      </c>
      <c r="N49" s="45">
        <v>3</v>
      </c>
      <c r="O49" s="45">
        <v>3</v>
      </c>
      <c r="P49" s="45">
        <v>3</v>
      </c>
      <c r="Q49" s="45">
        <v>3</v>
      </c>
      <c r="R49" s="45">
        <v>3</v>
      </c>
      <c r="S49" s="45">
        <v>3</v>
      </c>
      <c r="T49" s="45">
        <v>3</v>
      </c>
      <c r="U49" s="45">
        <v>3</v>
      </c>
      <c r="V49" s="45">
        <v>3</v>
      </c>
      <c r="W49" s="45">
        <v>3</v>
      </c>
      <c r="X49" s="45">
        <v>3</v>
      </c>
      <c r="Y49" s="45">
        <v>3</v>
      </c>
      <c r="Z49" s="45">
        <v>3</v>
      </c>
      <c r="AA49" s="45">
        <v>3</v>
      </c>
      <c r="AB49" s="45">
        <v>3</v>
      </c>
      <c r="AC49" s="45">
        <v>3</v>
      </c>
      <c r="AD49" s="45">
        <v>3</v>
      </c>
      <c r="AE49" s="45">
        <v>3</v>
      </c>
      <c r="AF49" s="45">
        <v>3</v>
      </c>
      <c r="AG49" s="55">
        <v>11</v>
      </c>
      <c r="AH49" s="47">
        <f t="shared" si="2"/>
        <v>3</v>
      </c>
      <c r="AI49" s="48">
        <f t="shared" si="3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267</v>
      </c>
      <c r="B50" s="45">
        <v>3.3</v>
      </c>
      <c r="C50" s="45">
        <v>3.3</v>
      </c>
      <c r="D50" s="45">
        <v>3.3</v>
      </c>
      <c r="E50" s="45">
        <v>3.3</v>
      </c>
      <c r="F50" s="45">
        <v>3.3</v>
      </c>
      <c r="G50" s="45">
        <v>3.3</v>
      </c>
      <c r="H50" s="45">
        <v>3.3</v>
      </c>
      <c r="I50" s="45">
        <v>3.3</v>
      </c>
      <c r="J50" s="45">
        <v>3.3</v>
      </c>
      <c r="K50" s="45">
        <v>3.3</v>
      </c>
      <c r="L50" s="45">
        <v>3.3</v>
      </c>
      <c r="M50" s="45">
        <v>3.3</v>
      </c>
      <c r="N50" s="45">
        <v>3.3</v>
      </c>
      <c r="O50" s="45">
        <v>3.3</v>
      </c>
      <c r="P50" s="45">
        <v>3.3</v>
      </c>
      <c r="Q50" s="45">
        <v>3.3</v>
      </c>
      <c r="R50" s="45">
        <v>3.3</v>
      </c>
      <c r="S50" s="45">
        <v>3.3</v>
      </c>
      <c r="T50" s="45">
        <v>3.3</v>
      </c>
      <c r="U50" s="45">
        <v>3.3</v>
      </c>
      <c r="V50" s="45">
        <v>3.3</v>
      </c>
      <c r="W50" s="45">
        <v>3.3</v>
      </c>
      <c r="X50" s="45">
        <v>3.3</v>
      </c>
      <c r="Y50" s="45">
        <v>3.3</v>
      </c>
      <c r="Z50" s="45">
        <v>3.3</v>
      </c>
      <c r="AA50" s="45">
        <v>3.3</v>
      </c>
      <c r="AB50" s="45">
        <v>3.3</v>
      </c>
      <c r="AC50" s="45">
        <v>3.3</v>
      </c>
      <c r="AD50" s="45">
        <v>3.3</v>
      </c>
      <c r="AE50" s="45">
        <v>3.3</v>
      </c>
      <c r="AF50" s="45">
        <v>3.3</v>
      </c>
      <c r="AG50" s="55">
        <v>11</v>
      </c>
      <c r="AH50" s="47">
        <f t="shared" si="2"/>
        <v>3.3</v>
      </c>
      <c r="AI50" s="48">
        <f t="shared" si="3"/>
        <v>3.3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268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"/>
        <v>3</v>
      </c>
      <c r="AI51" s="48">
        <f t="shared" si="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2"/>
        <v>4</v>
      </c>
      <c r="AI52" s="48">
        <f t="shared" si="3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"/>
        <v>4.5</v>
      </c>
      <c r="AI53" s="48">
        <f t="shared" si="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269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"/>
        <v>0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150</v>
      </c>
      <c r="C56" s="57">
        <v>150</v>
      </c>
      <c r="D56" s="57">
        <v>150</v>
      </c>
      <c r="E56" s="57">
        <v>150</v>
      </c>
      <c r="F56" s="57">
        <v>150</v>
      </c>
      <c r="G56" s="57">
        <v>150</v>
      </c>
      <c r="H56" s="57">
        <v>150</v>
      </c>
      <c r="I56" s="57">
        <v>150</v>
      </c>
      <c r="J56" s="57">
        <v>150</v>
      </c>
      <c r="K56" s="57">
        <v>150</v>
      </c>
      <c r="L56" s="57">
        <v>150</v>
      </c>
      <c r="M56" s="57">
        <v>150</v>
      </c>
      <c r="N56" s="57">
        <v>150</v>
      </c>
      <c r="O56" s="57">
        <v>150</v>
      </c>
      <c r="P56" s="57">
        <v>150</v>
      </c>
      <c r="Q56" s="57">
        <v>150</v>
      </c>
      <c r="R56" s="57">
        <v>150</v>
      </c>
      <c r="S56" s="57">
        <v>150</v>
      </c>
      <c r="T56" s="57">
        <v>150</v>
      </c>
      <c r="U56" s="57">
        <v>150</v>
      </c>
      <c r="V56" s="57">
        <v>150</v>
      </c>
      <c r="W56" s="57">
        <v>150</v>
      </c>
      <c r="X56" s="57">
        <v>150</v>
      </c>
      <c r="Y56" s="57">
        <v>150</v>
      </c>
      <c r="Z56" s="57">
        <v>150</v>
      </c>
      <c r="AA56" s="57">
        <v>150</v>
      </c>
      <c r="AB56" s="57">
        <v>150</v>
      </c>
      <c r="AC56" s="57">
        <v>150</v>
      </c>
      <c r="AD56" s="57">
        <v>150</v>
      </c>
      <c r="AE56" s="57">
        <v>150</v>
      </c>
      <c r="AF56" s="57">
        <v>150</v>
      </c>
      <c r="AG56" s="55">
        <v>85</v>
      </c>
      <c r="AH56" s="47">
        <f t="shared" si="2"/>
        <v>150</v>
      </c>
      <c r="AI56" s="48">
        <f t="shared" si="3"/>
        <v>150</v>
      </c>
      <c r="AK56" s="50"/>
    </row>
    <row r="57" spans="1:88" ht="15.75" thickBot="1" x14ac:dyDescent="0.3">
      <c r="A57" s="58" t="s">
        <v>57</v>
      </c>
      <c r="B57" s="57">
        <f>14.9+6.5</f>
        <v>21.4</v>
      </c>
      <c r="C57" s="57">
        <f>14.9+6.5</f>
        <v>21.4</v>
      </c>
      <c r="D57" s="57">
        <f>14.9+6.5</f>
        <v>21.4</v>
      </c>
      <c r="E57" s="57">
        <f>14.9+6.5</f>
        <v>21.4</v>
      </c>
      <c r="F57" s="57">
        <v>29.7</v>
      </c>
      <c r="G57" s="57">
        <v>29.1</v>
      </c>
      <c r="H57" s="57">
        <v>29.1</v>
      </c>
      <c r="I57" s="57">
        <v>29.1</v>
      </c>
      <c r="J57" s="57">
        <v>29.1</v>
      </c>
      <c r="K57" s="57">
        <v>26.1</v>
      </c>
      <c r="L57" s="57">
        <v>26.1</v>
      </c>
      <c r="M57" s="57">
        <f>7.3+19</f>
        <v>26.3</v>
      </c>
      <c r="N57" s="51">
        <f>19.6+7.8</f>
        <v>27.400000000000002</v>
      </c>
      <c r="O57" s="51">
        <f>19.2+7.8</f>
        <v>27</v>
      </c>
      <c r="P57" s="51">
        <f>19.9+8.4</f>
        <v>28.299999999999997</v>
      </c>
      <c r="Q57" s="51">
        <f>28.7</f>
        <v>28.7</v>
      </c>
      <c r="R57" s="51">
        <f>28.5</f>
        <v>28.5</v>
      </c>
      <c r="S57" s="51">
        <f>28.5</f>
        <v>28.5</v>
      </c>
      <c r="T57" s="51">
        <v>29</v>
      </c>
      <c r="U57" s="51">
        <v>28</v>
      </c>
      <c r="V57" s="51">
        <v>28</v>
      </c>
      <c r="W57" s="51">
        <v>23.6</v>
      </c>
      <c r="X57" s="51">
        <v>23.6</v>
      </c>
      <c r="Y57" s="51">
        <v>13</v>
      </c>
      <c r="Z57" s="57">
        <v>13</v>
      </c>
      <c r="AA57" s="57">
        <v>13.6</v>
      </c>
      <c r="AB57" s="57">
        <v>13.6</v>
      </c>
      <c r="AC57" s="57">
        <v>13.6</v>
      </c>
      <c r="AD57" s="57">
        <v>13.6</v>
      </c>
      <c r="AE57" s="57">
        <v>13.6</v>
      </c>
      <c r="AF57" s="57">
        <v>13.6</v>
      </c>
      <c r="AG57" s="55">
        <v>240</v>
      </c>
      <c r="AH57" s="47">
        <f t="shared" si="2"/>
        <v>29.7</v>
      </c>
      <c r="AI57" s="48">
        <f t="shared" si="3"/>
        <v>13</v>
      </c>
      <c r="AK57" s="50"/>
    </row>
    <row r="58" spans="1:88" ht="15.75" thickBot="1" x14ac:dyDescent="0.3">
      <c r="A58" s="59" t="s">
        <v>58</v>
      </c>
      <c r="B58" s="60">
        <f t="shared" ref="B58:C58" si="4">SUM(B11:B56)</f>
        <v>488.70000000000005</v>
      </c>
      <c r="C58" s="60">
        <f t="shared" si="4"/>
        <v>488.70000000000005</v>
      </c>
      <c r="D58" s="60">
        <f t="shared" ref="D58:E58" si="5">SUM(D11:D56)</f>
        <v>488.70000000000005</v>
      </c>
      <c r="E58" s="60">
        <f t="shared" si="5"/>
        <v>488.70000000000005</v>
      </c>
      <c r="F58" s="60">
        <f t="shared" ref="F58:AA58" si="6">SUM(F11:F56)</f>
        <v>488.70000000000005</v>
      </c>
      <c r="G58" s="60">
        <f t="shared" si="6"/>
        <v>481</v>
      </c>
      <c r="H58" s="60">
        <f t="shared" ref="H58:J58" si="7">SUM(H11:H56)</f>
        <v>481</v>
      </c>
      <c r="I58" s="60">
        <f t="shared" si="7"/>
        <v>481</v>
      </c>
      <c r="J58" s="60">
        <f t="shared" si="7"/>
        <v>481</v>
      </c>
      <c r="K58" s="60">
        <f t="shared" si="6"/>
        <v>489.70000000000005</v>
      </c>
      <c r="L58" s="60">
        <f t="shared" si="6"/>
        <v>489.70000000000005</v>
      </c>
      <c r="M58" s="60">
        <f t="shared" ref="M58" si="8">SUM(M11:M56)</f>
        <v>489.40000000000003</v>
      </c>
      <c r="N58" s="60">
        <f t="shared" si="6"/>
        <v>491.00000000000006</v>
      </c>
      <c r="O58" s="60">
        <f t="shared" si="6"/>
        <v>495.00000000000006</v>
      </c>
      <c r="P58" s="60">
        <f t="shared" si="6"/>
        <v>494.90000000000003</v>
      </c>
      <c r="Q58" s="60">
        <f t="shared" si="6"/>
        <v>492.80000000000007</v>
      </c>
      <c r="R58" s="60">
        <f t="shared" si="6"/>
        <v>494.90000000000003</v>
      </c>
      <c r="S58" s="60">
        <f t="shared" si="6"/>
        <v>494.90000000000003</v>
      </c>
      <c r="T58" s="60">
        <f t="shared" si="6"/>
        <v>494.90000000000003</v>
      </c>
      <c r="U58" s="60">
        <f t="shared" si="6"/>
        <v>494.90000000000003</v>
      </c>
      <c r="V58" s="60">
        <f t="shared" si="6"/>
        <v>494.90000000000003</v>
      </c>
      <c r="W58" s="60">
        <f t="shared" si="6"/>
        <v>494.90000000000003</v>
      </c>
      <c r="X58" s="60">
        <f t="shared" si="6"/>
        <v>494.90000000000003</v>
      </c>
      <c r="Y58" s="60">
        <f>SUM(Y11:Y56)</f>
        <v>494.90000000000003</v>
      </c>
      <c r="Z58" s="60">
        <f>SUM(Z11:Z56)</f>
        <v>494.90000000000003</v>
      </c>
      <c r="AA58" s="60">
        <f t="shared" si="6"/>
        <v>494.90000000000003</v>
      </c>
      <c r="AB58" s="60">
        <f t="shared" ref="AB58:AC58" si="9">SUM(AB11:AB56)</f>
        <v>494.90000000000003</v>
      </c>
      <c r="AC58" s="60">
        <f t="shared" si="9"/>
        <v>494.90000000000003</v>
      </c>
      <c r="AD58" s="60">
        <f t="shared" ref="AD58:AE58" si="10">SUM(AD11:AD56)</f>
        <v>494.90000000000003</v>
      </c>
      <c r="AE58" s="60">
        <f t="shared" si="10"/>
        <v>494.90000000000003</v>
      </c>
      <c r="AF58" s="60">
        <f t="shared" ref="AF58" si="11">SUM(AF11:AF56)</f>
        <v>494.90000000000003</v>
      </c>
      <c r="AG58" s="61">
        <f>SUM(AG14:AG56)</f>
        <v>1042.4000000000001</v>
      </c>
      <c r="AH58" s="47">
        <f t="shared" si="2"/>
        <v>495.00000000000006</v>
      </c>
      <c r="AI58" s="48">
        <f t="shared" si="3"/>
        <v>481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15</v>
      </c>
      <c r="J59" s="45">
        <v>0</v>
      </c>
      <c r="K59" s="45">
        <v>120</v>
      </c>
      <c r="L59" s="45">
        <v>380</v>
      </c>
      <c r="M59" s="45">
        <v>400</v>
      </c>
      <c r="N59" s="63">
        <v>350</v>
      </c>
      <c r="O59" s="63">
        <v>110</v>
      </c>
      <c r="P59" s="63">
        <v>15</v>
      </c>
      <c r="Q59" s="63">
        <v>0</v>
      </c>
      <c r="R59" s="63">
        <v>0</v>
      </c>
      <c r="S59" s="63">
        <v>0</v>
      </c>
      <c r="T59" s="63">
        <v>0</v>
      </c>
      <c r="U59" s="63">
        <v>0</v>
      </c>
      <c r="V59" s="63">
        <v>15</v>
      </c>
      <c r="W59" s="63">
        <v>76</v>
      </c>
      <c r="X59" s="63">
        <v>160</v>
      </c>
      <c r="Y59" s="63">
        <v>220</v>
      </c>
      <c r="Z59" s="45">
        <v>320</v>
      </c>
      <c r="AA59" s="45">
        <v>300</v>
      </c>
      <c r="AB59" s="45">
        <v>200</v>
      </c>
      <c r="AC59" s="45">
        <v>40</v>
      </c>
      <c r="AD59" s="45">
        <v>20</v>
      </c>
      <c r="AE59" s="45">
        <v>35</v>
      </c>
      <c r="AF59" s="45">
        <v>0</v>
      </c>
      <c r="AG59" s="52">
        <v>456</v>
      </c>
      <c r="AH59" s="47">
        <f t="shared" si="2"/>
        <v>400</v>
      </c>
      <c r="AI59" s="48">
        <f t="shared" si="3"/>
        <v>0</v>
      </c>
      <c r="AK59" s="50"/>
    </row>
    <row r="60" spans="1:88" x14ac:dyDescent="0.25">
      <c r="A60" s="64" t="s">
        <v>60</v>
      </c>
      <c r="B60" s="65">
        <v>30</v>
      </c>
      <c r="C60" s="65">
        <v>30</v>
      </c>
      <c r="D60" s="65">
        <v>30</v>
      </c>
      <c r="E60" s="65">
        <v>30</v>
      </c>
      <c r="F60" s="65">
        <v>30</v>
      </c>
      <c r="G60" s="65">
        <v>30</v>
      </c>
      <c r="H60" s="65">
        <v>30</v>
      </c>
      <c r="I60" s="65">
        <v>30</v>
      </c>
      <c r="J60" s="65">
        <v>30</v>
      </c>
      <c r="K60" s="65">
        <v>30</v>
      </c>
      <c r="L60" s="65">
        <v>30</v>
      </c>
      <c r="M60" s="65">
        <v>30</v>
      </c>
      <c r="N60" s="65">
        <v>30</v>
      </c>
      <c r="O60" s="65">
        <v>30</v>
      </c>
      <c r="P60" s="65">
        <v>30</v>
      </c>
      <c r="Q60" s="65">
        <v>30</v>
      </c>
      <c r="R60" s="65">
        <v>30</v>
      </c>
      <c r="S60" s="65">
        <v>30</v>
      </c>
      <c r="T60" s="65">
        <v>30</v>
      </c>
      <c r="U60" s="65">
        <v>30</v>
      </c>
      <c r="V60" s="65">
        <v>30</v>
      </c>
      <c r="W60" s="65">
        <v>30</v>
      </c>
      <c r="X60" s="65">
        <v>30</v>
      </c>
      <c r="Y60" s="65">
        <v>30</v>
      </c>
      <c r="Z60" s="65">
        <v>30</v>
      </c>
      <c r="AA60" s="65">
        <v>30</v>
      </c>
      <c r="AB60" s="65">
        <v>30</v>
      </c>
      <c r="AC60" s="65">
        <v>30</v>
      </c>
      <c r="AD60" s="65">
        <v>30</v>
      </c>
      <c r="AE60" s="65">
        <v>30</v>
      </c>
      <c r="AF60" s="65">
        <v>30</v>
      </c>
      <c r="AG60" s="55">
        <v>60</v>
      </c>
      <c r="AH60" s="47">
        <f t="shared" si="2"/>
        <v>30</v>
      </c>
      <c r="AI60" s="48">
        <f t="shared" si="3"/>
        <v>30</v>
      </c>
      <c r="AK60" s="50"/>
    </row>
    <row r="61" spans="1:88" ht="15.75" thickBot="1" x14ac:dyDescent="0.3">
      <c r="A61" s="66" t="s">
        <v>61</v>
      </c>
      <c r="B61" s="67">
        <v>15.2</v>
      </c>
      <c r="C61" s="67">
        <v>15.2</v>
      </c>
      <c r="D61" s="67">
        <v>10.199999999999999</v>
      </c>
      <c r="E61" s="67">
        <v>10.199999999999999</v>
      </c>
      <c r="F61" s="67">
        <v>10.199999999999999</v>
      </c>
      <c r="G61" s="67">
        <v>10.199999999999999</v>
      </c>
      <c r="H61" s="67">
        <v>10.199999999999999</v>
      </c>
      <c r="I61" s="67">
        <v>10.199999999999999</v>
      </c>
      <c r="J61" s="67">
        <v>10.199999999999999</v>
      </c>
      <c r="K61" s="67">
        <v>10.199999999999999</v>
      </c>
      <c r="L61" s="67">
        <v>10.199999999999999</v>
      </c>
      <c r="M61" s="67">
        <v>10.199999999999999</v>
      </c>
      <c r="N61" s="67">
        <v>10.199999999999999</v>
      </c>
      <c r="O61" s="67">
        <v>10.199999999999999</v>
      </c>
      <c r="P61" s="67">
        <v>10.199999999999999</v>
      </c>
      <c r="Q61" s="67">
        <v>10.199999999999999</v>
      </c>
      <c r="R61" s="67">
        <v>10.199999999999999</v>
      </c>
      <c r="S61" s="67">
        <v>10.199999999999999</v>
      </c>
      <c r="T61" s="67">
        <v>10.199999999999999</v>
      </c>
      <c r="U61" s="67">
        <v>10.199999999999999</v>
      </c>
      <c r="V61" s="67">
        <v>10.199999999999999</v>
      </c>
      <c r="W61" s="67">
        <v>10.199999999999999</v>
      </c>
      <c r="X61" s="67">
        <v>10.199999999999999</v>
      </c>
      <c r="Y61" s="67">
        <v>10.199999999999999</v>
      </c>
      <c r="Z61" s="67">
        <v>10.199999999999999</v>
      </c>
      <c r="AA61" s="67">
        <v>10.199999999999999</v>
      </c>
      <c r="AB61" s="67">
        <v>10.199999999999999</v>
      </c>
      <c r="AC61" s="67">
        <v>10.199999999999999</v>
      </c>
      <c r="AD61" s="67">
        <v>10.199999999999999</v>
      </c>
      <c r="AE61" s="67">
        <v>10.199999999999999</v>
      </c>
      <c r="AF61" s="67">
        <v>10.199999999999999</v>
      </c>
      <c r="AG61" s="68">
        <v>22.1</v>
      </c>
      <c r="AH61" s="47">
        <f t="shared" si="2"/>
        <v>15.2</v>
      </c>
      <c r="AI61" s="48">
        <f t="shared" si="3"/>
        <v>10.199999999999999</v>
      </c>
      <c r="AK61" s="50"/>
    </row>
    <row r="62" spans="1:88" ht="15.75" thickBot="1" x14ac:dyDescent="0.3">
      <c r="A62" s="69" t="s">
        <v>62</v>
      </c>
      <c r="B62" s="60">
        <f t="shared" ref="B62:C62" si="12">SUM(B59:B61)</f>
        <v>45.2</v>
      </c>
      <c r="C62" s="60">
        <f t="shared" si="12"/>
        <v>45.2</v>
      </c>
      <c r="D62" s="60">
        <f t="shared" ref="D62:E62" si="13">SUM(D59:D61)</f>
        <v>40.200000000000003</v>
      </c>
      <c r="E62" s="60">
        <f t="shared" si="13"/>
        <v>40.200000000000003</v>
      </c>
      <c r="F62" s="60">
        <f t="shared" ref="F62:AG62" si="14">SUM(F59:F61)</f>
        <v>40.200000000000003</v>
      </c>
      <c r="G62" s="60">
        <f t="shared" si="14"/>
        <v>40.200000000000003</v>
      </c>
      <c r="H62" s="60">
        <f t="shared" ref="H62:J62" si="15">SUM(H59:H61)</f>
        <v>40.200000000000003</v>
      </c>
      <c r="I62" s="60">
        <f t="shared" si="15"/>
        <v>55.2</v>
      </c>
      <c r="J62" s="60">
        <f t="shared" si="15"/>
        <v>40.200000000000003</v>
      </c>
      <c r="K62" s="60">
        <f t="shared" si="14"/>
        <v>160.19999999999999</v>
      </c>
      <c r="L62" s="60">
        <f t="shared" si="14"/>
        <v>420.2</v>
      </c>
      <c r="M62" s="60">
        <f t="shared" ref="M62" si="16">SUM(M59:M61)</f>
        <v>440.2</v>
      </c>
      <c r="N62" s="60">
        <f t="shared" si="14"/>
        <v>390.2</v>
      </c>
      <c r="O62" s="60">
        <f t="shared" si="14"/>
        <v>150.19999999999999</v>
      </c>
      <c r="P62" s="60">
        <f t="shared" si="14"/>
        <v>55.2</v>
      </c>
      <c r="Q62" s="60">
        <f t="shared" si="14"/>
        <v>40.200000000000003</v>
      </c>
      <c r="R62" s="60">
        <f t="shared" si="14"/>
        <v>40.200000000000003</v>
      </c>
      <c r="S62" s="60">
        <f t="shared" si="14"/>
        <v>40.200000000000003</v>
      </c>
      <c r="T62" s="60">
        <f t="shared" si="14"/>
        <v>40.200000000000003</v>
      </c>
      <c r="U62" s="60">
        <f t="shared" si="14"/>
        <v>40.200000000000003</v>
      </c>
      <c r="V62" s="60">
        <f t="shared" si="14"/>
        <v>55.2</v>
      </c>
      <c r="W62" s="60">
        <f t="shared" si="14"/>
        <v>116.2</v>
      </c>
      <c r="X62" s="60">
        <f t="shared" si="14"/>
        <v>200.2</v>
      </c>
      <c r="Y62" s="60">
        <f>SUM(Y59:Y61)</f>
        <v>260.2</v>
      </c>
      <c r="Z62" s="60">
        <f>SUM(Z59:Z61)</f>
        <v>360.2</v>
      </c>
      <c r="AA62" s="60">
        <f t="shared" si="14"/>
        <v>340.2</v>
      </c>
      <c r="AB62" s="60">
        <f t="shared" ref="AB62:AC62" si="17">SUM(AB59:AB61)</f>
        <v>240.2</v>
      </c>
      <c r="AC62" s="60">
        <f t="shared" si="17"/>
        <v>80.2</v>
      </c>
      <c r="AD62" s="60">
        <f t="shared" ref="AD62:AE62" si="18">SUM(AD59:AD61)</f>
        <v>60.2</v>
      </c>
      <c r="AE62" s="60">
        <f t="shared" si="18"/>
        <v>75.2</v>
      </c>
      <c r="AF62" s="60">
        <f t="shared" ref="AF62" si="19">SUM(AF59:AF61)</f>
        <v>40.200000000000003</v>
      </c>
      <c r="AG62" s="61">
        <f t="shared" si="14"/>
        <v>538.1</v>
      </c>
      <c r="AH62" s="47">
        <f t="shared" si="2"/>
        <v>440.2</v>
      </c>
      <c r="AI62" s="48">
        <f t="shared" si="3"/>
        <v>40.200000000000003</v>
      </c>
      <c r="AK62" s="50"/>
    </row>
    <row r="63" spans="1:88" x14ac:dyDescent="0.25">
      <c r="A63" s="44" t="s">
        <v>63</v>
      </c>
      <c r="B63" s="45">
        <v>60.9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30</v>
      </c>
      <c r="J63" s="45">
        <v>47</v>
      </c>
      <c r="K63" s="45">
        <v>110</v>
      </c>
      <c r="L63" s="45">
        <v>143.1</v>
      </c>
      <c r="M63" s="45">
        <v>141.5</v>
      </c>
      <c r="N63" s="45">
        <v>67.5</v>
      </c>
      <c r="O63" s="45">
        <v>31.7</v>
      </c>
      <c r="P63" s="45">
        <v>61.5</v>
      </c>
      <c r="Q63" s="45">
        <v>61.5</v>
      </c>
      <c r="R63" s="45">
        <v>30</v>
      </c>
      <c r="S63" s="45">
        <v>30</v>
      </c>
      <c r="T63" s="45">
        <v>30</v>
      </c>
      <c r="U63" s="45">
        <v>30</v>
      </c>
      <c r="V63" s="45">
        <v>35</v>
      </c>
      <c r="W63" s="45">
        <v>45</v>
      </c>
      <c r="X63" s="45">
        <v>98.3</v>
      </c>
      <c r="Y63" s="45">
        <v>141</v>
      </c>
      <c r="Z63" s="45">
        <v>141</v>
      </c>
      <c r="AA63" s="45">
        <v>110</v>
      </c>
      <c r="AB63" s="45">
        <v>97.9</v>
      </c>
      <c r="AC63" s="45">
        <v>56.9</v>
      </c>
      <c r="AD63" s="45">
        <v>56.9</v>
      </c>
      <c r="AE63" s="45">
        <v>70.099999999999994</v>
      </c>
      <c r="AF63" s="45">
        <v>30</v>
      </c>
      <c r="AG63" s="52">
        <v>144</v>
      </c>
      <c r="AH63" s="47">
        <f t="shared" si="2"/>
        <v>143.1</v>
      </c>
      <c r="AI63" s="48">
        <f t="shared" si="3"/>
        <v>0</v>
      </c>
      <c r="AK63" s="50"/>
    </row>
    <row r="64" spans="1:88" x14ac:dyDescent="0.25">
      <c r="A64" s="54" t="s">
        <v>64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35</v>
      </c>
      <c r="J64" s="65">
        <v>45</v>
      </c>
      <c r="K64" s="65">
        <v>55</v>
      </c>
      <c r="L64" s="65">
        <v>70</v>
      </c>
      <c r="M64" s="65">
        <v>70</v>
      </c>
      <c r="N64" s="65">
        <v>50</v>
      </c>
      <c r="O64" s="65">
        <v>40</v>
      </c>
      <c r="P64" s="65">
        <v>45</v>
      </c>
      <c r="Q64" s="65">
        <v>45</v>
      </c>
      <c r="R64" s="65">
        <v>25</v>
      </c>
      <c r="S64" s="65">
        <v>25</v>
      </c>
      <c r="T64" s="65">
        <v>25</v>
      </c>
      <c r="U64" s="65">
        <v>35</v>
      </c>
      <c r="V64" s="65">
        <v>35</v>
      </c>
      <c r="W64" s="65">
        <v>60</v>
      </c>
      <c r="X64" s="65">
        <v>69</v>
      </c>
      <c r="Y64" s="65">
        <v>69</v>
      </c>
      <c r="Z64" s="65">
        <v>35</v>
      </c>
      <c r="AA64" s="65">
        <v>35</v>
      </c>
      <c r="AB64" s="65">
        <v>30</v>
      </c>
      <c r="AC64" s="65">
        <v>24</v>
      </c>
      <c r="AD64" s="65">
        <v>24</v>
      </c>
      <c r="AE64" s="65">
        <v>35</v>
      </c>
      <c r="AF64" s="65">
        <v>0</v>
      </c>
      <c r="AG64" s="55">
        <v>70</v>
      </c>
      <c r="AH64" s="47">
        <f t="shared" si="2"/>
        <v>70</v>
      </c>
      <c r="AI64" s="48">
        <f t="shared" si="3"/>
        <v>0</v>
      </c>
      <c r="AK64" s="50"/>
    </row>
    <row r="65" spans="1:75" x14ac:dyDescent="0.25">
      <c r="A65" s="54" t="s">
        <v>65</v>
      </c>
      <c r="B65" s="65">
        <v>32.200000000000003</v>
      </c>
      <c r="C65" s="65">
        <v>15.4</v>
      </c>
      <c r="D65" s="65">
        <v>15.4</v>
      </c>
      <c r="E65" s="65">
        <v>0</v>
      </c>
      <c r="F65" s="65">
        <v>0</v>
      </c>
      <c r="G65" s="65">
        <v>0</v>
      </c>
      <c r="H65" s="65">
        <v>0</v>
      </c>
      <c r="I65" s="65">
        <v>32</v>
      </c>
      <c r="J65" s="65">
        <v>46</v>
      </c>
      <c r="K65" s="65">
        <v>52.6</v>
      </c>
      <c r="L65" s="65">
        <v>68</v>
      </c>
      <c r="M65" s="65">
        <v>68.2</v>
      </c>
      <c r="N65" s="65">
        <v>56.4</v>
      </c>
      <c r="O65" s="65">
        <v>34.1</v>
      </c>
      <c r="P65" s="65">
        <v>34.1</v>
      </c>
      <c r="Q65" s="65">
        <v>17.2</v>
      </c>
      <c r="R65" s="65">
        <v>17</v>
      </c>
      <c r="S65" s="65">
        <v>17</v>
      </c>
      <c r="T65" s="65">
        <v>17</v>
      </c>
      <c r="U65" s="65">
        <v>17</v>
      </c>
      <c r="V65" s="65">
        <v>17</v>
      </c>
      <c r="W65" s="65">
        <v>45.1</v>
      </c>
      <c r="X65" s="65">
        <v>61.2</v>
      </c>
      <c r="Y65" s="65">
        <v>69</v>
      </c>
      <c r="Z65" s="65">
        <v>69</v>
      </c>
      <c r="AA65" s="65">
        <v>68</v>
      </c>
      <c r="AB65" s="65">
        <v>68</v>
      </c>
      <c r="AC65" s="65">
        <v>51.1</v>
      </c>
      <c r="AD65" s="65">
        <v>51.1</v>
      </c>
      <c r="AE65" s="65">
        <v>61.3</v>
      </c>
      <c r="AF65" s="65">
        <v>18.399999999999999</v>
      </c>
      <c r="AG65" s="55">
        <v>69</v>
      </c>
      <c r="AH65" s="47">
        <f t="shared" si="2"/>
        <v>69</v>
      </c>
      <c r="AI65" s="48">
        <f t="shared" si="3"/>
        <v>0</v>
      </c>
      <c r="AK65" s="50"/>
    </row>
    <row r="66" spans="1:75" x14ac:dyDescent="0.25">
      <c r="A66" s="54" t="s">
        <v>66</v>
      </c>
      <c r="B66" s="65">
        <v>40.299999999999997</v>
      </c>
      <c r="C66" s="65">
        <v>40.299999999999997</v>
      </c>
      <c r="D66" s="65">
        <v>40.299999999999997</v>
      </c>
      <c r="E66" s="65">
        <v>40.299999999999997</v>
      </c>
      <c r="F66" s="65">
        <v>40.299999999999997</v>
      </c>
      <c r="G66" s="65">
        <v>40.299999999999997</v>
      </c>
      <c r="H66" s="65">
        <v>40.299999999999997</v>
      </c>
      <c r="I66" s="65">
        <v>40.299999999999997</v>
      </c>
      <c r="J66" s="65">
        <v>40.299999999999997</v>
      </c>
      <c r="K66" s="57">
        <v>38.299999999999997</v>
      </c>
      <c r="L66" s="57">
        <v>38.299999999999997</v>
      </c>
      <c r="M66" s="57">
        <v>38</v>
      </c>
      <c r="N66" s="65">
        <v>38</v>
      </c>
      <c r="O66" s="65">
        <v>38.299999999999997</v>
      </c>
      <c r="P66" s="65">
        <v>38.299999999999997</v>
      </c>
      <c r="Q66" s="65">
        <v>39.799999999999997</v>
      </c>
      <c r="R66" s="65">
        <v>39.799999999999997</v>
      </c>
      <c r="S66" s="65">
        <v>36</v>
      </c>
      <c r="T66" s="65">
        <v>36</v>
      </c>
      <c r="U66" s="65">
        <v>36</v>
      </c>
      <c r="V66" s="65">
        <v>36</v>
      </c>
      <c r="W66" s="65">
        <v>36</v>
      </c>
      <c r="X66" s="65">
        <v>36</v>
      </c>
      <c r="Y66" s="65">
        <v>36</v>
      </c>
      <c r="Z66" s="65">
        <v>36</v>
      </c>
      <c r="AA66" s="65">
        <v>36</v>
      </c>
      <c r="AB66" s="65">
        <v>36</v>
      </c>
      <c r="AC66" s="65">
        <v>38.5</v>
      </c>
      <c r="AD66" s="65">
        <v>38.5</v>
      </c>
      <c r="AE66" s="65">
        <v>38.5</v>
      </c>
      <c r="AF66" s="65">
        <v>38.5</v>
      </c>
      <c r="AG66" s="55">
        <v>60</v>
      </c>
      <c r="AH66" s="47">
        <f t="shared" si="2"/>
        <v>40.299999999999997</v>
      </c>
      <c r="AI66" s="48">
        <f t="shared" si="3"/>
        <v>36</v>
      </c>
      <c r="AK66" s="50"/>
    </row>
    <row r="67" spans="1:75" x14ac:dyDescent="0.25">
      <c r="A67" s="54" t="s">
        <v>67</v>
      </c>
      <c r="B67" s="65">
        <v>0</v>
      </c>
      <c r="C67" s="65">
        <v>0</v>
      </c>
      <c r="D67" s="65">
        <v>0</v>
      </c>
      <c r="E67" s="65">
        <v>0</v>
      </c>
      <c r="F67" s="65">
        <v>0</v>
      </c>
      <c r="G67" s="65">
        <v>0</v>
      </c>
      <c r="H67" s="65">
        <v>10</v>
      </c>
      <c r="I67" s="65">
        <v>15</v>
      </c>
      <c r="J67" s="65">
        <v>23</v>
      </c>
      <c r="K67" s="57">
        <v>29</v>
      </c>
      <c r="L67" s="57">
        <v>29</v>
      </c>
      <c r="M67" s="57">
        <v>29</v>
      </c>
      <c r="N67" s="65">
        <v>15</v>
      </c>
      <c r="O67" s="65">
        <v>0</v>
      </c>
      <c r="P67" s="65">
        <v>0</v>
      </c>
      <c r="Q67" s="65">
        <v>10</v>
      </c>
      <c r="R67" s="65">
        <v>13</v>
      </c>
      <c r="S67" s="65">
        <v>15</v>
      </c>
      <c r="T67" s="65">
        <v>10</v>
      </c>
      <c r="U67" s="65">
        <v>0</v>
      </c>
      <c r="V67" s="65">
        <v>0</v>
      </c>
      <c r="W67" s="65">
        <v>0</v>
      </c>
      <c r="X67" s="65">
        <v>15</v>
      </c>
      <c r="Y67" s="65">
        <v>23</v>
      </c>
      <c r="Z67" s="65">
        <v>30</v>
      </c>
      <c r="AA67" s="65">
        <v>30</v>
      </c>
      <c r="AB67" s="65">
        <v>29</v>
      </c>
      <c r="AC67" s="65">
        <v>10</v>
      </c>
      <c r="AD67" s="65">
        <v>10</v>
      </c>
      <c r="AE67" s="65">
        <v>10</v>
      </c>
      <c r="AF67" s="65">
        <v>0</v>
      </c>
      <c r="AG67" s="55">
        <v>30</v>
      </c>
      <c r="AH67" s="47">
        <f t="shared" si="2"/>
        <v>30</v>
      </c>
      <c r="AI67" s="48">
        <f t="shared" si="3"/>
        <v>0</v>
      </c>
      <c r="AK67" s="50"/>
      <c r="AZ67" s="251">
        <v>1</v>
      </c>
      <c r="BA67" s="251">
        <v>2</v>
      </c>
      <c r="BB67" s="251">
        <v>3</v>
      </c>
      <c r="BC67" s="251">
        <v>4</v>
      </c>
      <c r="BD67" s="251">
        <v>5</v>
      </c>
      <c r="BE67" s="251">
        <v>6</v>
      </c>
      <c r="BF67" s="251">
        <v>7</v>
      </c>
      <c r="BG67" s="251">
        <v>8</v>
      </c>
      <c r="BH67" s="251">
        <v>9</v>
      </c>
      <c r="BI67" s="251">
        <v>10</v>
      </c>
      <c r="BJ67" s="251">
        <v>11</v>
      </c>
      <c r="BK67" s="251">
        <v>12</v>
      </c>
      <c r="BL67" s="251">
        <v>13</v>
      </c>
      <c r="BM67" s="251">
        <v>14</v>
      </c>
      <c r="BN67" s="251">
        <v>15</v>
      </c>
      <c r="BO67" s="251">
        <v>16</v>
      </c>
      <c r="BP67" s="251">
        <v>17</v>
      </c>
      <c r="BQ67" s="251">
        <v>18</v>
      </c>
      <c r="BR67" s="251">
        <v>19</v>
      </c>
      <c r="BS67" s="251">
        <v>20</v>
      </c>
      <c r="BT67" s="251">
        <v>21</v>
      </c>
      <c r="BU67" s="251">
        <v>22</v>
      </c>
      <c r="BV67" s="251">
        <v>23</v>
      </c>
      <c r="BW67" s="251">
        <v>24</v>
      </c>
    </row>
    <row r="68" spans="1:75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65">
        <v>0.2</v>
      </c>
      <c r="L68" s="65">
        <v>1.2</v>
      </c>
      <c r="M68" s="65">
        <v>3.5</v>
      </c>
      <c r="N68" s="65">
        <v>9</v>
      </c>
      <c r="O68" s="65">
        <v>13.9</v>
      </c>
      <c r="P68" s="65">
        <v>14.2</v>
      </c>
      <c r="Q68" s="65">
        <v>17</v>
      </c>
      <c r="R68" s="65">
        <v>17.5</v>
      </c>
      <c r="S68" s="65">
        <v>12</v>
      </c>
      <c r="T68" s="65">
        <v>10</v>
      </c>
      <c r="U68" s="65">
        <v>5</v>
      </c>
      <c r="V68" s="65">
        <v>3</v>
      </c>
      <c r="W68" s="65">
        <v>0.3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5">
        <v>25</v>
      </c>
      <c r="AH68" s="47">
        <f t="shared" si="2"/>
        <v>17.5</v>
      </c>
      <c r="AI68" s="48">
        <f t="shared" si="3"/>
        <v>0</v>
      </c>
      <c r="AK68" s="50"/>
      <c r="AY68" s="1" t="s">
        <v>381</v>
      </c>
      <c r="AZ68" s="252">
        <f>ROUND(C81,0)</f>
        <v>66</v>
      </c>
      <c r="BA68" s="251">
        <f t="shared" ref="BA68:BD72" si="20">D81</f>
        <v>65.7</v>
      </c>
      <c r="BB68" s="251">
        <f t="shared" si="20"/>
        <v>76</v>
      </c>
      <c r="BC68" s="251">
        <f t="shared" si="20"/>
        <v>66</v>
      </c>
      <c r="BD68" s="251">
        <f t="shared" si="20"/>
        <v>69.599999999999994</v>
      </c>
      <c r="BE68" s="252">
        <f>I81</f>
        <v>71.2</v>
      </c>
      <c r="BF68" s="252">
        <f>K81</f>
        <v>66</v>
      </c>
      <c r="BG68" s="252">
        <f t="shared" ref="BG68:BP68" si="21">M81</f>
        <v>38</v>
      </c>
      <c r="BH68" s="252">
        <f t="shared" si="21"/>
        <v>27.4</v>
      </c>
      <c r="BI68" s="252">
        <f t="shared" si="21"/>
        <v>41.2</v>
      </c>
      <c r="BJ68" s="252">
        <f t="shared" si="21"/>
        <v>51.6</v>
      </c>
      <c r="BK68" s="252">
        <f t="shared" si="21"/>
        <v>60</v>
      </c>
      <c r="BL68" s="252">
        <f t="shared" si="21"/>
        <v>66.8</v>
      </c>
      <c r="BM68" s="252">
        <f t="shared" si="21"/>
        <v>44</v>
      </c>
      <c r="BN68" s="252">
        <f t="shared" si="21"/>
        <v>76.099999999999994</v>
      </c>
      <c r="BO68" s="252">
        <f t="shared" si="21"/>
        <v>61.1</v>
      </c>
      <c r="BP68" s="252">
        <f t="shared" si="21"/>
        <v>67.3</v>
      </c>
      <c r="BQ68" s="252">
        <f>X81</f>
        <v>67.900000000000006</v>
      </c>
      <c r="BR68" s="252">
        <f>Z81</f>
        <v>62.5</v>
      </c>
      <c r="BS68" s="251">
        <f>AB81</f>
        <v>53.2</v>
      </c>
      <c r="BT68" s="251">
        <f>AD81</f>
        <v>59.4</v>
      </c>
      <c r="BU68" s="251">
        <f>AE81</f>
        <v>67.5</v>
      </c>
      <c r="BV68" s="251">
        <f>AF81</f>
        <v>70.099999999999994</v>
      </c>
      <c r="BW68" s="251">
        <f>B81</f>
        <v>52.4</v>
      </c>
    </row>
    <row r="69" spans="1:75" x14ac:dyDescent="0.25">
      <c r="A69" s="54" t="s">
        <v>69</v>
      </c>
      <c r="B69" s="65">
        <v>15</v>
      </c>
      <c r="C69" s="65">
        <v>15</v>
      </c>
      <c r="D69" s="65">
        <v>10.199999999999999</v>
      </c>
      <c r="E69" s="65">
        <v>10.199999999999999</v>
      </c>
      <c r="F69" s="65">
        <v>10.199999999999999</v>
      </c>
      <c r="G69" s="65">
        <v>10.199999999999999</v>
      </c>
      <c r="H69" s="65">
        <v>10.199999999999999</v>
      </c>
      <c r="I69" s="65">
        <v>10.199999999999999</v>
      </c>
      <c r="J69" s="65">
        <v>15</v>
      </c>
      <c r="K69" s="65">
        <v>15</v>
      </c>
      <c r="L69" s="65">
        <v>15</v>
      </c>
      <c r="M69" s="65">
        <v>15</v>
      </c>
      <c r="N69" s="65">
        <v>15</v>
      </c>
      <c r="O69" s="65">
        <v>15</v>
      </c>
      <c r="P69" s="65">
        <v>15</v>
      </c>
      <c r="Q69" s="65">
        <v>15</v>
      </c>
      <c r="R69" s="65">
        <v>15</v>
      </c>
      <c r="S69" s="65">
        <v>15</v>
      </c>
      <c r="T69" s="65">
        <v>15</v>
      </c>
      <c r="U69" s="65">
        <v>15</v>
      </c>
      <c r="V69" s="65">
        <v>15</v>
      </c>
      <c r="W69" s="65">
        <v>15</v>
      </c>
      <c r="X69" s="65">
        <v>15</v>
      </c>
      <c r="Y69" s="65">
        <v>15</v>
      </c>
      <c r="Z69" s="65">
        <v>15</v>
      </c>
      <c r="AA69" s="65">
        <v>15</v>
      </c>
      <c r="AB69" s="65">
        <v>15</v>
      </c>
      <c r="AC69" s="65">
        <v>15</v>
      </c>
      <c r="AD69" s="65">
        <v>15</v>
      </c>
      <c r="AE69" s="65">
        <v>15</v>
      </c>
      <c r="AF69" s="65">
        <v>15</v>
      </c>
      <c r="AG69" s="55">
        <v>24</v>
      </c>
      <c r="AH69" s="47">
        <f t="shared" si="2"/>
        <v>15</v>
      </c>
      <c r="AI69" s="48">
        <f t="shared" si="3"/>
        <v>10.199999999999999</v>
      </c>
      <c r="AK69" s="50"/>
      <c r="AY69" s="1" t="s">
        <v>631</v>
      </c>
      <c r="AZ69" s="252">
        <f>ROUND(C82,0)</f>
        <v>0</v>
      </c>
      <c r="BA69" s="251">
        <f t="shared" si="20"/>
        <v>0</v>
      </c>
      <c r="BB69" s="251">
        <f t="shared" si="20"/>
        <v>0</v>
      </c>
      <c r="BC69" s="251">
        <f t="shared" si="20"/>
        <v>0</v>
      </c>
      <c r="BD69" s="251">
        <f t="shared" si="20"/>
        <v>0</v>
      </c>
      <c r="BE69" s="252">
        <f t="shared" ref="BE69:BE72" si="22">I82</f>
        <v>0</v>
      </c>
      <c r="BF69" s="252">
        <f t="shared" ref="BF69:BF72" si="23">K82</f>
        <v>0</v>
      </c>
      <c r="BG69" s="252">
        <f t="shared" ref="BG69:BG72" si="24">M82</f>
        <v>0</v>
      </c>
      <c r="BH69" s="252">
        <f t="shared" ref="BH69:BP72" si="25">N82</f>
        <v>0</v>
      </c>
      <c r="BI69" s="252">
        <f t="shared" si="25"/>
        <v>0</v>
      </c>
      <c r="BJ69" s="252">
        <f t="shared" si="25"/>
        <v>0</v>
      </c>
      <c r="BK69" s="252">
        <f t="shared" si="25"/>
        <v>0</v>
      </c>
      <c r="BL69" s="252">
        <f t="shared" si="25"/>
        <v>0</v>
      </c>
      <c r="BM69" s="252">
        <f t="shared" si="25"/>
        <v>0</v>
      </c>
      <c r="BN69" s="252">
        <f t="shared" si="25"/>
        <v>0</v>
      </c>
      <c r="BO69" s="252">
        <f t="shared" si="25"/>
        <v>0</v>
      </c>
      <c r="BP69" s="252">
        <f t="shared" si="25"/>
        <v>0</v>
      </c>
      <c r="BQ69" s="252">
        <f t="shared" ref="BQ69:BQ72" si="26">X82</f>
        <v>0</v>
      </c>
      <c r="BR69" s="252">
        <f t="shared" ref="BR69:BR72" si="27">Z82</f>
        <v>0</v>
      </c>
      <c r="BS69" s="251">
        <f t="shared" ref="BS69:BS72" si="28">AB82</f>
        <v>0</v>
      </c>
      <c r="BT69" s="251">
        <f t="shared" ref="BT69:BT72" si="29">AD82</f>
        <v>0</v>
      </c>
      <c r="BU69" s="251">
        <f t="shared" ref="BU69:BV72" si="30">AE82</f>
        <v>0</v>
      </c>
      <c r="BV69" s="251">
        <f t="shared" si="30"/>
        <v>0</v>
      </c>
      <c r="BW69" s="251">
        <f t="shared" ref="BW69:BW72" si="31">B82</f>
        <v>0</v>
      </c>
    </row>
    <row r="70" spans="1:75" x14ac:dyDescent="0.25">
      <c r="A70" s="54" t="s">
        <v>70</v>
      </c>
      <c r="B70" s="65">
        <v>4</v>
      </c>
      <c r="C70" s="65">
        <v>4</v>
      </c>
      <c r="D70" s="65">
        <v>4</v>
      </c>
      <c r="E70" s="65">
        <v>4</v>
      </c>
      <c r="F70" s="65">
        <v>4</v>
      </c>
      <c r="G70" s="65">
        <v>4</v>
      </c>
      <c r="H70" s="65">
        <v>4</v>
      </c>
      <c r="I70" s="65">
        <v>4</v>
      </c>
      <c r="J70" s="65">
        <v>4</v>
      </c>
      <c r="K70" s="65">
        <v>4</v>
      </c>
      <c r="L70" s="65">
        <v>4</v>
      </c>
      <c r="M70" s="65">
        <v>4</v>
      </c>
      <c r="N70" s="65">
        <v>4</v>
      </c>
      <c r="O70" s="65">
        <v>4</v>
      </c>
      <c r="P70" s="65">
        <v>4</v>
      </c>
      <c r="Q70" s="65">
        <v>4</v>
      </c>
      <c r="R70" s="65">
        <v>4</v>
      </c>
      <c r="S70" s="65">
        <v>4</v>
      </c>
      <c r="T70" s="65">
        <v>4</v>
      </c>
      <c r="U70" s="65">
        <v>4</v>
      </c>
      <c r="V70" s="65">
        <v>4</v>
      </c>
      <c r="W70" s="65">
        <v>4</v>
      </c>
      <c r="X70" s="65">
        <v>4</v>
      </c>
      <c r="Y70" s="65">
        <v>4</v>
      </c>
      <c r="Z70" s="65">
        <v>4</v>
      </c>
      <c r="AA70" s="65">
        <v>4</v>
      </c>
      <c r="AB70" s="65">
        <v>4</v>
      </c>
      <c r="AC70" s="65">
        <v>4</v>
      </c>
      <c r="AD70" s="65">
        <v>4</v>
      </c>
      <c r="AE70" s="65">
        <v>4</v>
      </c>
      <c r="AF70" s="65">
        <v>4</v>
      </c>
      <c r="AG70" s="55">
        <v>15</v>
      </c>
      <c r="AH70" s="47">
        <f t="shared" si="2"/>
        <v>4</v>
      </c>
      <c r="AI70" s="48">
        <f t="shared" si="3"/>
        <v>4</v>
      </c>
      <c r="AK70" s="50"/>
      <c r="AL70" s="70"/>
      <c r="AO70" s="70"/>
      <c r="AY70" s="1" t="s">
        <v>632</v>
      </c>
      <c r="AZ70" s="252">
        <f>ROUND(C83,0)</f>
        <v>399</v>
      </c>
      <c r="BA70" s="251">
        <f t="shared" si="20"/>
        <v>398.5</v>
      </c>
      <c r="BB70" s="251">
        <f t="shared" si="20"/>
        <v>402</v>
      </c>
      <c r="BC70" s="251">
        <f t="shared" si="20"/>
        <v>372</v>
      </c>
      <c r="BD70" s="251">
        <f t="shared" si="20"/>
        <v>445</v>
      </c>
      <c r="BE70" s="252">
        <f t="shared" si="22"/>
        <v>454</v>
      </c>
      <c r="BF70" s="252">
        <f t="shared" si="23"/>
        <v>260</v>
      </c>
      <c r="BG70" s="252">
        <f t="shared" si="24"/>
        <v>23</v>
      </c>
      <c r="BH70" s="252">
        <f t="shared" si="25"/>
        <v>96.8</v>
      </c>
      <c r="BI70" s="252">
        <f t="shared" si="25"/>
        <v>289.39999999999998</v>
      </c>
      <c r="BJ70" s="252">
        <f t="shared" si="25"/>
        <v>429.5</v>
      </c>
      <c r="BK70" s="252">
        <f t="shared" si="25"/>
        <v>393.9</v>
      </c>
      <c r="BL70" s="252">
        <f t="shared" si="25"/>
        <v>478.2</v>
      </c>
      <c r="BM70" s="252">
        <f t="shared" si="25"/>
        <v>496</v>
      </c>
      <c r="BN70" s="252">
        <f t="shared" si="25"/>
        <v>493</v>
      </c>
      <c r="BO70" s="252">
        <f t="shared" si="25"/>
        <v>451.2</v>
      </c>
      <c r="BP70" s="252">
        <f t="shared" si="25"/>
        <v>422</v>
      </c>
      <c r="BQ70" s="252">
        <f t="shared" si="26"/>
        <v>366.2</v>
      </c>
      <c r="BR70" s="252">
        <f t="shared" si="27"/>
        <v>122</v>
      </c>
      <c r="BS70" s="251">
        <f t="shared" si="28"/>
        <v>225.9</v>
      </c>
      <c r="BT70" s="251">
        <f t="shared" si="29"/>
        <v>394.5</v>
      </c>
      <c r="BU70" s="251">
        <f t="shared" si="30"/>
        <v>395.8</v>
      </c>
      <c r="BV70" s="251">
        <f t="shared" si="30"/>
        <v>399.5</v>
      </c>
      <c r="BW70" s="251">
        <f t="shared" si="31"/>
        <v>421</v>
      </c>
    </row>
    <row r="71" spans="1:75" s="70" customFormat="1" x14ac:dyDescent="0.25">
      <c r="A71" s="54" t="s">
        <v>71</v>
      </c>
      <c r="B71" s="65">
        <v>9.4</v>
      </c>
      <c r="C71" s="65">
        <v>9.4</v>
      </c>
      <c r="D71" s="65">
        <v>9.4</v>
      </c>
      <c r="E71" s="65">
        <v>9.4</v>
      </c>
      <c r="F71" s="65">
        <v>9.4</v>
      </c>
      <c r="G71" s="65">
        <v>9.4</v>
      </c>
      <c r="H71" s="65">
        <v>9.4</v>
      </c>
      <c r="I71" s="65">
        <v>9.4</v>
      </c>
      <c r="J71" s="65">
        <v>9.4</v>
      </c>
      <c r="K71" s="65">
        <v>9.4</v>
      </c>
      <c r="L71" s="65">
        <v>9.8000000000000007</v>
      </c>
      <c r="M71" s="65">
        <v>9.9</v>
      </c>
      <c r="N71" s="65">
        <v>9.9</v>
      </c>
      <c r="O71" s="65">
        <v>9.9</v>
      </c>
      <c r="P71" s="65">
        <v>9.9</v>
      </c>
      <c r="Q71" s="65">
        <v>9.9</v>
      </c>
      <c r="R71" s="65">
        <v>9.9</v>
      </c>
      <c r="S71" s="65">
        <v>9.9</v>
      </c>
      <c r="T71" s="65">
        <v>9.9</v>
      </c>
      <c r="U71" s="65">
        <v>9.9</v>
      </c>
      <c r="V71" s="65">
        <v>9.9</v>
      </c>
      <c r="W71" s="65">
        <v>9.9</v>
      </c>
      <c r="X71" s="65">
        <v>9.9</v>
      </c>
      <c r="Y71" s="65">
        <v>9.9</v>
      </c>
      <c r="Z71" s="65">
        <v>9.9</v>
      </c>
      <c r="AA71" s="65">
        <v>9.9</v>
      </c>
      <c r="AB71" s="65">
        <v>9.9</v>
      </c>
      <c r="AC71" s="65">
        <v>9.9</v>
      </c>
      <c r="AD71" s="65">
        <v>9.9</v>
      </c>
      <c r="AE71" s="65">
        <v>9.9</v>
      </c>
      <c r="AF71" s="65">
        <v>9.9</v>
      </c>
      <c r="AG71" s="55">
        <v>14.1</v>
      </c>
      <c r="AH71" s="47">
        <f t="shared" si="2"/>
        <v>9.9</v>
      </c>
      <c r="AI71" s="48">
        <f t="shared" si="3"/>
        <v>9.4</v>
      </c>
      <c r="AJ71" s="1"/>
      <c r="AK71" s="50"/>
      <c r="AL71" s="1"/>
      <c r="AM71" s="1"/>
      <c r="AN71" s="1"/>
      <c r="AO71" s="1"/>
      <c r="AY71" s="70" t="s">
        <v>633</v>
      </c>
      <c r="AZ71" s="252">
        <f>ROUND(C84,0)</f>
        <v>5</v>
      </c>
      <c r="BA71" s="251">
        <f t="shared" si="20"/>
        <v>5</v>
      </c>
      <c r="BB71" s="251">
        <f t="shared" si="20"/>
        <v>5</v>
      </c>
      <c r="BC71" s="251">
        <f t="shared" si="20"/>
        <v>5</v>
      </c>
      <c r="BD71" s="251">
        <f t="shared" si="20"/>
        <v>4</v>
      </c>
      <c r="BE71" s="252">
        <f t="shared" si="22"/>
        <v>56.6</v>
      </c>
      <c r="BF71" s="252">
        <f t="shared" si="23"/>
        <v>35.200000000000003</v>
      </c>
      <c r="BG71" s="252">
        <f t="shared" si="24"/>
        <v>25</v>
      </c>
      <c r="BH71" s="252">
        <f t="shared" si="25"/>
        <v>20</v>
      </c>
      <c r="BI71" s="252">
        <f t="shared" si="25"/>
        <v>20</v>
      </c>
      <c r="BJ71" s="252">
        <f t="shared" si="25"/>
        <v>10</v>
      </c>
      <c r="BK71" s="252">
        <f t="shared" si="25"/>
        <v>30</v>
      </c>
      <c r="BL71" s="252">
        <f t="shared" si="25"/>
        <v>45</v>
      </c>
      <c r="BM71" s="252">
        <f t="shared" si="25"/>
        <v>54</v>
      </c>
      <c r="BN71" s="252">
        <f t="shared" si="25"/>
        <v>48</v>
      </c>
      <c r="BO71" s="252">
        <f t="shared" si="25"/>
        <v>30</v>
      </c>
      <c r="BP71" s="252">
        <f t="shared" si="25"/>
        <v>27</v>
      </c>
      <c r="BQ71" s="252">
        <f t="shared" si="26"/>
        <v>27</v>
      </c>
      <c r="BR71" s="252">
        <f t="shared" si="27"/>
        <v>27</v>
      </c>
      <c r="BS71" s="251">
        <f t="shared" si="28"/>
        <v>29.8</v>
      </c>
      <c r="BT71" s="251">
        <f t="shared" si="29"/>
        <v>20</v>
      </c>
      <c r="BU71" s="251">
        <f t="shared" si="30"/>
        <v>42</v>
      </c>
      <c r="BV71" s="251">
        <f t="shared" si="30"/>
        <v>50</v>
      </c>
      <c r="BW71" s="251">
        <f t="shared" si="31"/>
        <v>5</v>
      </c>
    </row>
    <row r="72" spans="1:75" x14ac:dyDescent="0.25">
      <c r="A72" s="71" t="s">
        <v>72</v>
      </c>
      <c r="B72" s="65">
        <v>3.3</v>
      </c>
      <c r="C72" s="65">
        <v>3.3</v>
      </c>
      <c r="D72" s="65">
        <v>3.3</v>
      </c>
      <c r="E72" s="65">
        <v>3.3</v>
      </c>
      <c r="F72" s="65">
        <v>3.3</v>
      </c>
      <c r="G72" s="65">
        <v>3.3</v>
      </c>
      <c r="H72" s="65">
        <v>3.3</v>
      </c>
      <c r="I72" s="65">
        <v>3.3</v>
      </c>
      <c r="J72" s="65">
        <v>3.3</v>
      </c>
      <c r="K72" s="65">
        <v>3.4</v>
      </c>
      <c r="L72" s="65">
        <v>3.4</v>
      </c>
      <c r="M72" s="65">
        <v>3.4</v>
      </c>
      <c r="N72" s="65">
        <v>3.4</v>
      </c>
      <c r="O72" s="65">
        <v>3.4</v>
      </c>
      <c r="P72" s="65">
        <v>3.4</v>
      </c>
      <c r="Q72" s="65">
        <v>3.4</v>
      </c>
      <c r="R72" s="65">
        <v>3.4</v>
      </c>
      <c r="S72" s="65">
        <v>3.4</v>
      </c>
      <c r="T72" s="65">
        <v>3.4</v>
      </c>
      <c r="U72" s="65">
        <v>3.4</v>
      </c>
      <c r="V72" s="65">
        <v>3.4</v>
      </c>
      <c r="W72" s="65">
        <v>3.4</v>
      </c>
      <c r="X72" s="65">
        <v>3.4</v>
      </c>
      <c r="Y72" s="65">
        <v>3.4</v>
      </c>
      <c r="Z72" s="65">
        <v>3.4</v>
      </c>
      <c r="AA72" s="65">
        <v>3.4</v>
      </c>
      <c r="AB72" s="65">
        <v>3.4</v>
      </c>
      <c r="AC72" s="65">
        <v>3.4</v>
      </c>
      <c r="AD72" s="65">
        <v>3.4</v>
      </c>
      <c r="AE72" s="65">
        <v>3.4</v>
      </c>
      <c r="AF72" s="65">
        <v>3.4</v>
      </c>
      <c r="AG72" s="55">
        <v>14</v>
      </c>
      <c r="AH72" s="47">
        <f t="shared" si="2"/>
        <v>3.4</v>
      </c>
      <c r="AI72" s="48">
        <f t="shared" si="3"/>
        <v>3.3</v>
      </c>
      <c r="AK72" s="50"/>
      <c r="AY72" s="1" t="s">
        <v>634</v>
      </c>
      <c r="AZ72" s="252">
        <f>ROUND(C85,0)</f>
        <v>0</v>
      </c>
      <c r="BA72" s="251">
        <f t="shared" si="20"/>
        <v>0</v>
      </c>
      <c r="BB72" s="251">
        <f t="shared" si="20"/>
        <v>0</v>
      </c>
      <c r="BC72" s="251">
        <f t="shared" si="20"/>
        <v>101</v>
      </c>
      <c r="BD72" s="251">
        <f t="shared" si="20"/>
        <v>114.3</v>
      </c>
      <c r="BE72" s="252">
        <f t="shared" si="22"/>
        <v>116.9</v>
      </c>
      <c r="BF72" s="252">
        <f t="shared" si="23"/>
        <v>38.6</v>
      </c>
      <c r="BG72" s="252">
        <f t="shared" si="24"/>
        <v>0</v>
      </c>
      <c r="BH72" s="252">
        <f t="shared" si="25"/>
        <v>0</v>
      </c>
      <c r="BI72" s="252">
        <f t="shared" si="25"/>
        <v>0</v>
      </c>
      <c r="BJ72" s="252">
        <f t="shared" si="25"/>
        <v>0</v>
      </c>
      <c r="BK72" s="252">
        <f t="shared" si="25"/>
        <v>0</v>
      </c>
      <c r="BL72" s="252">
        <f t="shared" si="25"/>
        <v>72</v>
      </c>
      <c r="BM72" s="252">
        <f t="shared" si="25"/>
        <v>84</v>
      </c>
      <c r="BN72" s="252">
        <f t="shared" si="25"/>
        <v>86</v>
      </c>
      <c r="BO72" s="252">
        <f t="shared" si="25"/>
        <v>64</v>
      </c>
      <c r="BP72" s="252">
        <f t="shared" si="25"/>
        <v>0</v>
      </c>
      <c r="BQ72" s="252">
        <f t="shared" si="26"/>
        <v>0</v>
      </c>
      <c r="BR72" s="252">
        <f t="shared" si="27"/>
        <v>0</v>
      </c>
      <c r="BS72" s="251">
        <f t="shared" si="28"/>
        <v>0</v>
      </c>
      <c r="BT72" s="251">
        <f t="shared" si="29"/>
        <v>0</v>
      </c>
      <c r="BU72" s="251">
        <f t="shared" si="30"/>
        <v>0</v>
      </c>
      <c r="BV72" s="251">
        <f t="shared" si="30"/>
        <v>24</v>
      </c>
      <c r="BW72" s="251">
        <f t="shared" si="31"/>
        <v>0</v>
      </c>
    </row>
    <row r="73" spans="1:75" x14ac:dyDescent="0.25">
      <c r="A73" s="54" t="s">
        <v>73</v>
      </c>
      <c r="B73" s="65">
        <v>5</v>
      </c>
      <c r="C73" s="65">
        <v>5</v>
      </c>
      <c r="D73" s="65">
        <v>5</v>
      </c>
      <c r="E73" s="65">
        <v>5</v>
      </c>
      <c r="F73" s="65">
        <v>5</v>
      </c>
      <c r="G73" s="65">
        <v>5</v>
      </c>
      <c r="H73" s="65">
        <v>5</v>
      </c>
      <c r="I73" s="65">
        <v>5</v>
      </c>
      <c r="J73" s="65">
        <v>5</v>
      </c>
      <c r="K73" s="65">
        <v>5</v>
      </c>
      <c r="L73" s="65">
        <v>5</v>
      </c>
      <c r="M73" s="65">
        <v>5</v>
      </c>
      <c r="N73" s="65">
        <v>5</v>
      </c>
      <c r="O73" s="65">
        <v>5</v>
      </c>
      <c r="P73" s="65">
        <v>0</v>
      </c>
      <c r="Q73" s="65">
        <v>0</v>
      </c>
      <c r="R73" s="65">
        <v>0</v>
      </c>
      <c r="S73" s="65">
        <v>3</v>
      </c>
      <c r="T73" s="65">
        <v>3</v>
      </c>
      <c r="U73" s="65">
        <v>3</v>
      </c>
      <c r="V73" s="65">
        <v>3</v>
      </c>
      <c r="W73" s="65">
        <v>3</v>
      </c>
      <c r="X73" s="65">
        <v>3</v>
      </c>
      <c r="Y73" s="65">
        <v>3</v>
      </c>
      <c r="Z73" s="65">
        <v>3</v>
      </c>
      <c r="AA73" s="65">
        <v>3</v>
      </c>
      <c r="AB73" s="65">
        <v>3</v>
      </c>
      <c r="AC73" s="65">
        <v>3</v>
      </c>
      <c r="AD73" s="65">
        <v>3</v>
      </c>
      <c r="AE73" s="65">
        <v>3</v>
      </c>
      <c r="AF73" s="65">
        <v>3</v>
      </c>
      <c r="AG73" s="55">
        <v>10.050000000000001</v>
      </c>
      <c r="AH73" s="47">
        <f t="shared" si="2"/>
        <v>5</v>
      </c>
      <c r="AI73" s="48">
        <f t="shared" si="3"/>
        <v>0</v>
      </c>
      <c r="AK73" s="50"/>
      <c r="AY73" s="1" t="s">
        <v>635</v>
      </c>
      <c r="AZ73" s="252">
        <f>ROUND(C91,0)</f>
        <v>0</v>
      </c>
      <c r="BA73" s="252">
        <f>D91</f>
        <v>0</v>
      </c>
      <c r="BB73" s="252">
        <f>E91</f>
        <v>0</v>
      </c>
      <c r="BC73" s="252">
        <f>F91</f>
        <v>0</v>
      </c>
      <c r="BD73" s="252">
        <f>G91</f>
        <v>0</v>
      </c>
      <c r="BE73" s="252">
        <f>I91</f>
        <v>0</v>
      </c>
      <c r="BF73" s="252">
        <f>K91</f>
        <v>65</v>
      </c>
      <c r="BG73" s="252">
        <f t="shared" ref="BG73:BP73" si="32">M91</f>
        <v>60.9</v>
      </c>
      <c r="BH73" s="252">
        <f t="shared" si="32"/>
        <v>68.2</v>
      </c>
      <c r="BI73" s="252">
        <f t="shared" si="32"/>
        <v>65.5</v>
      </c>
      <c r="BJ73" s="252">
        <f t="shared" si="32"/>
        <v>78</v>
      </c>
      <c r="BK73" s="252">
        <f t="shared" si="32"/>
        <v>76.400000000000006</v>
      </c>
      <c r="BL73" s="252">
        <f t="shared" si="32"/>
        <v>78</v>
      </c>
      <c r="BM73" s="252">
        <f t="shared" si="32"/>
        <v>75</v>
      </c>
      <c r="BN73" s="252">
        <f t="shared" si="32"/>
        <v>72</v>
      </c>
      <c r="BO73" s="252">
        <f t="shared" si="32"/>
        <v>67.400000000000006</v>
      </c>
      <c r="BP73" s="252">
        <f t="shared" si="32"/>
        <v>66.2</v>
      </c>
      <c r="BQ73" s="252">
        <f>X91</f>
        <v>72.3</v>
      </c>
      <c r="BR73" s="252">
        <f>Z91</f>
        <v>76.599999999999994</v>
      </c>
      <c r="BS73" s="252">
        <f>AB91</f>
        <v>73.7</v>
      </c>
      <c r="BT73" s="252">
        <f>AD91</f>
        <v>76.8</v>
      </c>
      <c r="BU73" s="252">
        <f>AE91</f>
        <v>78</v>
      </c>
      <c r="BV73" s="252">
        <f>AF91</f>
        <v>56.6</v>
      </c>
      <c r="BW73" s="252">
        <f>B91</f>
        <v>0</v>
      </c>
    </row>
    <row r="74" spans="1:75" x14ac:dyDescent="0.25">
      <c r="A74" s="54" t="s">
        <v>74</v>
      </c>
      <c r="B74" s="65">
        <v>2</v>
      </c>
      <c r="C74" s="65">
        <v>2</v>
      </c>
      <c r="D74" s="65">
        <v>2</v>
      </c>
      <c r="E74" s="65">
        <v>2</v>
      </c>
      <c r="F74" s="65">
        <v>2</v>
      </c>
      <c r="G74" s="65">
        <v>2</v>
      </c>
      <c r="H74" s="65">
        <v>2</v>
      </c>
      <c r="I74" s="65">
        <v>2</v>
      </c>
      <c r="J74" s="65">
        <v>2</v>
      </c>
      <c r="K74" s="65">
        <v>2</v>
      </c>
      <c r="L74" s="65">
        <v>2</v>
      </c>
      <c r="M74" s="65">
        <v>2</v>
      </c>
      <c r="N74" s="65">
        <v>2</v>
      </c>
      <c r="O74" s="65">
        <v>2</v>
      </c>
      <c r="P74" s="65">
        <v>2</v>
      </c>
      <c r="Q74" s="65">
        <v>2</v>
      </c>
      <c r="R74" s="65">
        <v>2</v>
      </c>
      <c r="S74" s="65">
        <v>2</v>
      </c>
      <c r="T74" s="65">
        <v>2</v>
      </c>
      <c r="U74" s="65">
        <v>2</v>
      </c>
      <c r="V74" s="65">
        <v>2</v>
      </c>
      <c r="W74" s="65">
        <v>2</v>
      </c>
      <c r="X74" s="65">
        <v>2</v>
      </c>
      <c r="Y74" s="65">
        <v>2</v>
      </c>
      <c r="Z74" s="65">
        <v>2</v>
      </c>
      <c r="AA74" s="65">
        <v>2</v>
      </c>
      <c r="AB74" s="65">
        <v>2</v>
      </c>
      <c r="AC74" s="65">
        <v>2</v>
      </c>
      <c r="AD74" s="65">
        <v>2</v>
      </c>
      <c r="AE74" s="65">
        <v>2</v>
      </c>
      <c r="AF74" s="65">
        <v>2</v>
      </c>
      <c r="AG74" s="55">
        <v>6.2</v>
      </c>
      <c r="AH74" s="47">
        <f t="shared" si="2"/>
        <v>2</v>
      </c>
      <c r="AI74" s="48">
        <f t="shared" si="3"/>
        <v>2</v>
      </c>
      <c r="AK74" s="50"/>
      <c r="AZ74" s="252"/>
      <c r="BA74" s="251"/>
      <c r="BB74" s="251"/>
      <c r="BC74" s="251"/>
      <c r="BD74" s="251"/>
      <c r="BE74" s="252"/>
      <c r="BF74" s="252"/>
      <c r="BG74" s="252"/>
      <c r="BH74" s="252"/>
      <c r="BI74" s="252"/>
      <c r="BJ74" s="252"/>
      <c r="BK74" s="252"/>
      <c r="BL74" s="252"/>
      <c r="BM74" s="252"/>
      <c r="BN74" s="252"/>
      <c r="BO74" s="252"/>
      <c r="BP74" s="252"/>
      <c r="BQ74" s="252"/>
      <c r="BR74" s="252"/>
      <c r="BS74" s="251"/>
      <c r="BT74" s="251"/>
      <c r="BU74" s="251"/>
      <c r="BV74" s="251"/>
      <c r="BW74" s="251"/>
    </row>
    <row r="75" spans="1:75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4.5</v>
      </c>
      <c r="Z75" s="72">
        <v>5.5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2"/>
        <v>5.5</v>
      </c>
      <c r="AI75" s="48">
        <f t="shared" si="3"/>
        <v>3.54</v>
      </c>
      <c r="AK75" s="50"/>
      <c r="AZ75" s="252">
        <f>VALUE(AZ68)</f>
        <v>66</v>
      </c>
      <c r="BA75" s="252">
        <f t="shared" ref="BA75:BW75" si="33">VALUE(BA68)</f>
        <v>65.7</v>
      </c>
      <c r="BB75" s="252">
        <f t="shared" si="33"/>
        <v>76</v>
      </c>
      <c r="BC75" s="252">
        <f t="shared" si="33"/>
        <v>66</v>
      </c>
      <c r="BD75" s="252">
        <f t="shared" si="33"/>
        <v>69.599999999999994</v>
      </c>
      <c r="BE75" s="252">
        <f t="shared" si="33"/>
        <v>71.2</v>
      </c>
      <c r="BF75" s="252">
        <f t="shared" si="33"/>
        <v>66</v>
      </c>
      <c r="BG75" s="252">
        <f t="shared" si="33"/>
        <v>38</v>
      </c>
      <c r="BH75" s="252">
        <f t="shared" si="33"/>
        <v>27.4</v>
      </c>
      <c r="BI75" s="252">
        <f t="shared" si="33"/>
        <v>41.2</v>
      </c>
      <c r="BJ75" s="252">
        <f t="shared" si="33"/>
        <v>51.6</v>
      </c>
      <c r="BK75" s="252">
        <f t="shared" si="33"/>
        <v>60</v>
      </c>
      <c r="BL75" s="252">
        <f t="shared" si="33"/>
        <v>66.8</v>
      </c>
      <c r="BM75" s="252">
        <f t="shared" si="33"/>
        <v>44</v>
      </c>
      <c r="BN75" s="252">
        <f t="shared" si="33"/>
        <v>76.099999999999994</v>
      </c>
      <c r="BO75" s="252">
        <f t="shared" si="33"/>
        <v>61.1</v>
      </c>
      <c r="BP75" s="252">
        <f t="shared" si="33"/>
        <v>67.3</v>
      </c>
      <c r="BQ75" s="252">
        <f t="shared" si="33"/>
        <v>67.900000000000006</v>
      </c>
      <c r="BR75" s="252">
        <f t="shared" si="33"/>
        <v>62.5</v>
      </c>
      <c r="BS75" s="252">
        <f t="shared" si="33"/>
        <v>53.2</v>
      </c>
      <c r="BT75" s="252">
        <f t="shared" si="33"/>
        <v>59.4</v>
      </c>
      <c r="BU75" s="252">
        <f t="shared" si="33"/>
        <v>67.5</v>
      </c>
      <c r="BV75" s="252">
        <f t="shared" si="33"/>
        <v>70.099999999999994</v>
      </c>
      <c r="BW75" s="252">
        <f t="shared" si="33"/>
        <v>52.4</v>
      </c>
    </row>
    <row r="76" spans="1:75" ht="15.75" thickBot="1" x14ac:dyDescent="0.3">
      <c r="A76" s="74" t="s">
        <v>76</v>
      </c>
      <c r="B76" s="60">
        <f t="shared" ref="B76:C76" si="34">SUM(B63:B75)</f>
        <v>175.64</v>
      </c>
      <c r="C76" s="60">
        <f t="shared" si="34"/>
        <v>97.94</v>
      </c>
      <c r="D76" s="60">
        <f t="shared" ref="D76" si="35">SUM(D63:D75)</f>
        <v>93.14</v>
      </c>
      <c r="E76" s="60">
        <f t="shared" ref="E76:AG76" si="36">SUM(E63:E75)</f>
        <v>77.740000000000009</v>
      </c>
      <c r="F76" s="60">
        <f t="shared" si="36"/>
        <v>77.740000000000009</v>
      </c>
      <c r="G76" s="60">
        <f t="shared" si="36"/>
        <v>77.740000000000009</v>
      </c>
      <c r="H76" s="60">
        <f t="shared" si="36"/>
        <v>87.740000000000009</v>
      </c>
      <c r="I76" s="60">
        <f t="shared" si="36"/>
        <v>189.74</v>
      </c>
      <c r="J76" s="60">
        <f t="shared" si="36"/>
        <v>243.54000000000002</v>
      </c>
      <c r="K76" s="60">
        <f t="shared" si="36"/>
        <v>327.43999999999994</v>
      </c>
      <c r="L76" s="60">
        <f t="shared" si="36"/>
        <v>392.34000000000003</v>
      </c>
      <c r="M76" s="60">
        <f t="shared" ref="M76" si="37">SUM(M63:M75)</f>
        <v>393.03999999999996</v>
      </c>
      <c r="N76" s="60">
        <f t="shared" si="36"/>
        <v>278.74</v>
      </c>
      <c r="O76" s="60">
        <f t="shared" si="36"/>
        <v>200.84000000000003</v>
      </c>
      <c r="P76" s="60">
        <f t="shared" si="36"/>
        <v>230.93999999999997</v>
      </c>
      <c r="Q76" s="60">
        <f t="shared" si="36"/>
        <v>228.34</v>
      </c>
      <c r="R76" s="60">
        <f t="shared" si="36"/>
        <v>180.14000000000001</v>
      </c>
      <c r="S76" s="60">
        <f t="shared" si="36"/>
        <v>175.84</v>
      </c>
      <c r="T76" s="60">
        <f t="shared" si="36"/>
        <v>168.84</v>
      </c>
      <c r="U76" s="60">
        <f t="shared" si="36"/>
        <v>163.84</v>
      </c>
      <c r="V76" s="60">
        <f t="shared" si="36"/>
        <v>166.84</v>
      </c>
      <c r="W76" s="60">
        <f t="shared" si="36"/>
        <v>227.24</v>
      </c>
      <c r="X76" s="60">
        <f t="shared" si="36"/>
        <v>320.33999999999997</v>
      </c>
      <c r="Y76" s="60">
        <f>SUM(Y63:Y75)</f>
        <v>379.79999999999995</v>
      </c>
      <c r="Z76" s="60">
        <f>SUM(Z63:Z75)</f>
        <v>353.79999999999995</v>
      </c>
      <c r="AA76" s="60">
        <f t="shared" si="36"/>
        <v>319.83999999999997</v>
      </c>
      <c r="AB76" s="60">
        <f t="shared" ref="AB76:AC76" si="38">SUM(AB63:AB75)</f>
        <v>301.73999999999995</v>
      </c>
      <c r="AC76" s="60">
        <f t="shared" si="38"/>
        <v>221.34</v>
      </c>
      <c r="AD76" s="60">
        <f t="shared" ref="AD76:AE76" si="39">SUM(AD63:AD75)</f>
        <v>221.34</v>
      </c>
      <c r="AE76" s="60">
        <f t="shared" si="39"/>
        <v>255.73999999999998</v>
      </c>
      <c r="AF76" s="60">
        <f t="shared" ref="AF76" si="40">SUM(AF63:AF75)</f>
        <v>127.74000000000002</v>
      </c>
      <c r="AG76" s="61">
        <f t="shared" si="36"/>
        <v>489.91</v>
      </c>
      <c r="AH76" s="47">
        <f t="shared" si="2"/>
        <v>393.03999999999996</v>
      </c>
      <c r="AI76" s="48">
        <f t="shared" si="3"/>
        <v>77.740000000000009</v>
      </c>
      <c r="AK76" s="50"/>
      <c r="AZ76" s="252">
        <f t="shared" ref="AZ76:BW80" si="41">VALUE(AZ69)</f>
        <v>0</v>
      </c>
      <c r="BA76" s="252">
        <f t="shared" si="41"/>
        <v>0</v>
      </c>
      <c r="BB76" s="252">
        <f t="shared" si="41"/>
        <v>0</v>
      </c>
      <c r="BC76" s="252">
        <f t="shared" si="41"/>
        <v>0</v>
      </c>
      <c r="BD76" s="252">
        <f t="shared" si="41"/>
        <v>0</v>
      </c>
      <c r="BE76" s="252">
        <f t="shared" si="41"/>
        <v>0</v>
      </c>
      <c r="BF76" s="252">
        <f t="shared" si="41"/>
        <v>0</v>
      </c>
      <c r="BG76" s="252">
        <f t="shared" si="41"/>
        <v>0</v>
      </c>
      <c r="BH76" s="252">
        <f t="shared" si="41"/>
        <v>0</v>
      </c>
      <c r="BI76" s="252">
        <f t="shared" si="41"/>
        <v>0</v>
      </c>
      <c r="BJ76" s="252">
        <f t="shared" si="41"/>
        <v>0</v>
      </c>
      <c r="BK76" s="252">
        <f t="shared" si="41"/>
        <v>0</v>
      </c>
      <c r="BL76" s="252">
        <f t="shared" si="41"/>
        <v>0</v>
      </c>
      <c r="BM76" s="252">
        <f t="shared" si="41"/>
        <v>0</v>
      </c>
      <c r="BN76" s="252">
        <f t="shared" si="41"/>
        <v>0</v>
      </c>
      <c r="BO76" s="252">
        <f t="shared" si="41"/>
        <v>0</v>
      </c>
      <c r="BP76" s="252">
        <f t="shared" si="41"/>
        <v>0</v>
      </c>
      <c r="BQ76" s="252">
        <f t="shared" si="41"/>
        <v>0</v>
      </c>
      <c r="BR76" s="252">
        <f t="shared" si="41"/>
        <v>0</v>
      </c>
      <c r="BS76" s="252">
        <f t="shared" si="41"/>
        <v>0</v>
      </c>
      <c r="BT76" s="252">
        <f t="shared" si="41"/>
        <v>0</v>
      </c>
      <c r="BU76" s="252">
        <f t="shared" si="41"/>
        <v>0</v>
      </c>
      <c r="BV76" s="252">
        <f t="shared" si="41"/>
        <v>0</v>
      </c>
      <c r="BW76" s="252">
        <f t="shared" si="41"/>
        <v>0</v>
      </c>
    </row>
    <row r="77" spans="1:75" x14ac:dyDescent="0.25">
      <c r="A77" s="44" t="s">
        <v>77</v>
      </c>
      <c r="B77" s="45">
        <v>28.9</v>
      </c>
      <c r="C77" s="45">
        <v>44.1</v>
      </c>
      <c r="D77" s="45">
        <v>44.1</v>
      </c>
      <c r="E77" s="45">
        <v>40</v>
      </c>
      <c r="F77" s="45">
        <v>0</v>
      </c>
      <c r="G77" s="45">
        <v>0</v>
      </c>
      <c r="H77" s="45">
        <v>0</v>
      </c>
      <c r="I77" s="45">
        <v>0</v>
      </c>
      <c r="J77" s="45"/>
      <c r="K77" s="45">
        <v>0</v>
      </c>
      <c r="L77" s="45"/>
      <c r="M77" s="45">
        <v>0</v>
      </c>
      <c r="N77" s="45">
        <v>0</v>
      </c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>
        <v>30</v>
      </c>
      <c r="Z77" s="45">
        <v>50</v>
      </c>
      <c r="AA77" s="45">
        <v>50</v>
      </c>
      <c r="AB77" s="45">
        <v>24.9</v>
      </c>
      <c r="AC77" s="45">
        <v>13.7</v>
      </c>
      <c r="AD77" s="45">
        <v>13.7</v>
      </c>
      <c r="AE77" s="45">
        <v>10.4</v>
      </c>
      <c r="AF77" s="45">
        <v>0</v>
      </c>
      <c r="AG77" s="52">
        <v>60</v>
      </c>
      <c r="AH77" s="47">
        <f t="shared" si="2"/>
        <v>50</v>
      </c>
      <c r="AI77" s="48">
        <f t="shared" si="3"/>
        <v>0</v>
      </c>
      <c r="AK77" s="50"/>
      <c r="AZ77" s="252">
        <f t="shared" si="41"/>
        <v>399</v>
      </c>
      <c r="BA77" s="252">
        <f t="shared" si="41"/>
        <v>398.5</v>
      </c>
      <c r="BB77" s="252">
        <f t="shared" si="41"/>
        <v>402</v>
      </c>
      <c r="BC77" s="252">
        <f t="shared" si="41"/>
        <v>372</v>
      </c>
      <c r="BD77" s="252">
        <f t="shared" si="41"/>
        <v>445</v>
      </c>
      <c r="BE77" s="252">
        <f t="shared" si="41"/>
        <v>454</v>
      </c>
      <c r="BF77" s="252">
        <f t="shared" si="41"/>
        <v>260</v>
      </c>
      <c r="BG77" s="252">
        <f t="shared" si="41"/>
        <v>23</v>
      </c>
      <c r="BH77" s="252">
        <f t="shared" si="41"/>
        <v>96.8</v>
      </c>
      <c r="BI77" s="252">
        <f t="shared" si="41"/>
        <v>289.39999999999998</v>
      </c>
      <c r="BJ77" s="252">
        <f t="shared" si="41"/>
        <v>429.5</v>
      </c>
      <c r="BK77" s="252">
        <f t="shared" si="41"/>
        <v>393.9</v>
      </c>
      <c r="BL77" s="252">
        <f t="shared" si="41"/>
        <v>478.2</v>
      </c>
      <c r="BM77" s="252">
        <f t="shared" si="41"/>
        <v>496</v>
      </c>
      <c r="BN77" s="252">
        <f t="shared" si="41"/>
        <v>493</v>
      </c>
      <c r="BO77" s="252">
        <f t="shared" si="41"/>
        <v>451.2</v>
      </c>
      <c r="BP77" s="252">
        <f t="shared" si="41"/>
        <v>422</v>
      </c>
      <c r="BQ77" s="252">
        <f t="shared" si="41"/>
        <v>366.2</v>
      </c>
      <c r="BR77" s="252">
        <f t="shared" si="41"/>
        <v>122</v>
      </c>
      <c r="BS77" s="252">
        <f t="shared" si="41"/>
        <v>225.9</v>
      </c>
      <c r="BT77" s="252">
        <f t="shared" si="41"/>
        <v>394.5</v>
      </c>
      <c r="BU77" s="252">
        <f t="shared" si="41"/>
        <v>395.8</v>
      </c>
      <c r="BV77" s="252">
        <f t="shared" si="41"/>
        <v>399.5</v>
      </c>
      <c r="BW77" s="252">
        <f t="shared" si="41"/>
        <v>421</v>
      </c>
    </row>
    <row r="78" spans="1:75" x14ac:dyDescent="0.25">
      <c r="A78" s="54" t="s">
        <v>78</v>
      </c>
      <c r="B78" s="65">
        <v>6.8</v>
      </c>
      <c r="C78" s="65">
        <v>14.4</v>
      </c>
      <c r="D78" s="65">
        <v>14.4</v>
      </c>
      <c r="E78" s="65">
        <v>16.2</v>
      </c>
      <c r="F78" s="65">
        <v>0</v>
      </c>
      <c r="G78" s="65">
        <v>0</v>
      </c>
      <c r="H78" s="65">
        <v>0</v>
      </c>
      <c r="I78" s="65">
        <v>0</v>
      </c>
      <c r="J78" s="65"/>
      <c r="K78" s="65">
        <v>0</v>
      </c>
      <c r="L78" s="65"/>
      <c r="M78" s="65">
        <v>0</v>
      </c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>
        <v>13.4</v>
      </c>
      <c r="Z78" s="65">
        <v>26</v>
      </c>
      <c r="AA78" s="65">
        <v>21</v>
      </c>
      <c r="AB78" s="65">
        <v>12.1</v>
      </c>
      <c r="AC78" s="65">
        <v>5.0999999999999996</v>
      </c>
      <c r="AD78" s="65">
        <v>5.0999999999999996</v>
      </c>
      <c r="AE78" s="65">
        <v>5.5</v>
      </c>
      <c r="AF78" s="65">
        <v>0</v>
      </c>
      <c r="AG78" s="55">
        <v>32</v>
      </c>
      <c r="AH78" s="47">
        <f t="shared" si="2"/>
        <v>26</v>
      </c>
      <c r="AI78" s="48">
        <f t="shared" si="3"/>
        <v>0</v>
      </c>
      <c r="AK78" s="50"/>
      <c r="AZ78" s="252">
        <f t="shared" si="41"/>
        <v>5</v>
      </c>
      <c r="BA78" s="252">
        <f t="shared" si="41"/>
        <v>5</v>
      </c>
      <c r="BB78" s="252">
        <f t="shared" si="41"/>
        <v>5</v>
      </c>
      <c r="BC78" s="252">
        <f t="shared" si="41"/>
        <v>5</v>
      </c>
      <c r="BD78" s="252">
        <f t="shared" si="41"/>
        <v>4</v>
      </c>
      <c r="BE78" s="252">
        <f t="shared" si="41"/>
        <v>56.6</v>
      </c>
      <c r="BF78" s="252">
        <f t="shared" si="41"/>
        <v>35.200000000000003</v>
      </c>
      <c r="BG78" s="252">
        <f t="shared" si="41"/>
        <v>25</v>
      </c>
      <c r="BH78" s="252">
        <f t="shared" si="41"/>
        <v>20</v>
      </c>
      <c r="BI78" s="252">
        <f t="shared" si="41"/>
        <v>20</v>
      </c>
      <c r="BJ78" s="252">
        <f t="shared" si="41"/>
        <v>10</v>
      </c>
      <c r="BK78" s="252">
        <f t="shared" si="41"/>
        <v>30</v>
      </c>
      <c r="BL78" s="252">
        <f t="shared" si="41"/>
        <v>45</v>
      </c>
      <c r="BM78" s="252">
        <f t="shared" si="41"/>
        <v>54</v>
      </c>
      <c r="BN78" s="252">
        <f t="shared" si="41"/>
        <v>48</v>
      </c>
      <c r="BO78" s="252">
        <f t="shared" si="41"/>
        <v>30</v>
      </c>
      <c r="BP78" s="252">
        <f t="shared" si="41"/>
        <v>27</v>
      </c>
      <c r="BQ78" s="252">
        <f t="shared" si="41"/>
        <v>27</v>
      </c>
      <c r="BR78" s="252">
        <f t="shared" si="41"/>
        <v>27</v>
      </c>
      <c r="BS78" s="252">
        <f t="shared" si="41"/>
        <v>29.8</v>
      </c>
      <c r="BT78" s="252">
        <f t="shared" si="41"/>
        <v>20</v>
      </c>
      <c r="BU78" s="252">
        <f t="shared" si="41"/>
        <v>42</v>
      </c>
      <c r="BV78" s="252">
        <f t="shared" si="41"/>
        <v>50</v>
      </c>
      <c r="BW78" s="252">
        <f t="shared" si="41"/>
        <v>5</v>
      </c>
    </row>
    <row r="79" spans="1:75" ht="15.75" thickBot="1" x14ac:dyDescent="0.3">
      <c r="A79" s="71" t="s">
        <v>79</v>
      </c>
      <c r="B79" s="67">
        <v>2.5</v>
      </c>
      <c r="C79" s="67">
        <v>5.3</v>
      </c>
      <c r="D79" s="67">
        <v>5.3</v>
      </c>
      <c r="E79" s="67">
        <v>5.9</v>
      </c>
      <c r="F79" s="67">
        <v>0</v>
      </c>
      <c r="G79" s="67">
        <v>0</v>
      </c>
      <c r="H79" s="67">
        <v>0</v>
      </c>
      <c r="I79" s="67">
        <v>0</v>
      </c>
      <c r="J79" s="67"/>
      <c r="K79" s="67">
        <v>0</v>
      </c>
      <c r="L79" s="67"/>
      <c r="M79" s="67">
        <v>0</v>
      </c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>
        <v>4.9000000000000004</v>
      </c>
      <c r="Z79" s="67">
        <v>9.5</v>
      </c>
      <c r="AA79" s="67">
        <v>7.5</v>
      </c>
      <c r="AB79" s="67">
        <v>4.4000000000000004</v>
      </c>
      <c r="AC79" s="67">
        <v>1.9</v>
      </c>
      <c r="AD79" s="67">
        <v>1.9</v>
      </c>
      <c r="AE79" s="67">
        <v>2</v>
      </c>
      <c r="AF79" s="67">
        <v>0</v>
      </c>
      <c r="AG79" s="68">
        <v>14</v>
      </c>
      <c r="AH79" s="47">
        <f t="shared" si="2"/>
        <v>9.5</v>
      </c>
      <c r="AI79" s="48">
        <f t="shared" si="3"/>
        <v>0</v>
      </c>
      <c r="AK79" s="50"/>
      <c r="AZ79" s="252">
        <f t="shared" si="41"/>
        <v>0</v>
      </c>
      <c r="BA79" s="252">
        <f t="shared" si="41"/>
        <v>0</v>
      </c>
      <c r="BB79" s="252">
        <f t="shared" si="41"/>
        <v>0</v>
      </c>
      <c r="BC79" s="252">
        <f t="shared" si="41"/>
        <v>101</v>
      </c>
      <c r="BD79" s="252">
        <f t="shared" si="41"/>
        <v>114.3</v>
      </c>
      <c r="BE79" s="252">
        <f t="shared" si="41"/>
        <v>116.9</v>
      </c>
      <c r="BF79" s="252">
        <f t="shared" si="41"/>
        <v>38.6</v>
      </c>
      <c r="BG79" s="252">
        <f t="shared" si="41"/>
        <v>0</v>
      </c>
      <c r="BH79" s="252">
        <f t="shared" si="41"/>
        <v>0</v>
      </c>
      <c r="BI79" s="252">
        <f t="shared" si="41"/>
        <v>0</v>
      </c>
      <c r="BJ79" s="252">
        <f t="shared" si="41"/>
        <v>0</v>
      </c>
      <c r="BK79" s="252">
        <f t="shared" si="41"/>
        <v>0</v>
      </c>
      <c r="BL79" s="252">
        <f t="shared" si="41"/>
        <v>72</v>
      </c>
      <c r="BM79" s="252">
        <f t="shared" si="41"/>
        <v>84</v>
      </c>
      <c r="BN79" s="252">
        <f t="shared" si="41"/>
        <v>86</v>
      </c>
      <c r="BO79" s="252">
        <f t="shared" si="41"/>
        <v>64</v>
      </c>
      <c r="BP79" s="252">
        <f t="shared" si="41"/>
        <v>0</v>
      </c>
      <c r="BQ79" s="252">
        <f t="shared" si="41"/>
        <v>0</v>
      </c>
      <c r="BR79" s="252">
        <f t="shared" si="41"/>
        <v>0</v>
      </c>
      <c r="BS79" s="252">
        <f t="shared" si="41"/>
        <v>0</v>
      </c>
      <c r="BT79" s="252">
        <f t="shared" si="41"/>
        <v>0</v>
      </c>
      <c r="BU79" s="252">
        <f t="shared" si="41"/>
        <v>0</v>
      </c>
      <c r="BV79" s="252">
        <f t="shared" si="41"/>
        <v>24</v>
      </c>
      <c r="BW79" s="252">
        <f t="shared" si="41"/>
        <v>0</v>
      </c>
    </row>
    <row r="80" spans="1:75" ht="15.75" thickBot="1" x14ac:dyDescent="0.3">
      <c r="A80" s="74" t="s">
        <v>80</v>
      </c>
      <c r="B80" s="60">
        <f t="shared" ref="B80:C80" si="42">B77+B78+B79</f>
        <v>38.199999999999996</v>
      </c>
      <c r="C80" s="60">
        <f t="shared" si="42"/>
        <v>63.8</v>
      </c>
      <c r="D80" s="60">
        <f t="shared" ref="D80" si="43">D77+D78+D79</f>
        <v>63.8</v>
      </c>
      <c r="E80" s="60">
        <f t="shared" ref="E80:AA80" si="44">E77+E78+E79</f>
        <v>62.1</v>
      </c>
      <c r="F80" s="60">
        <f t="shared" si="44"/>
        <v>0</v>
      </c>
      <c r="G80" s="60">
        <f t="shared" si="44"/>
        <v>0</v>
      </c>
      <c r="H80" s="60">
        <f t="shared" si="44"/>
        <v>0</v>
      </c>
      <c r="I80" s="60">
        <f t="shared" si="44"/>
        <v>0</v>
      </c>
      <c r="J80" s="60">
        <f t="shared" si="44"/>
        <v>0</v>
      </c>
      <c r="K80" s="60">
        <f t="shared" si="44"/>
        <v>0</v>
      </c>
      <c r="L80" s="60">
        <f t="shared" si="44"/>
        <v>0</v>
      </c>
      <c r="M80" s="60">
        <v>0</v>
      </c>
      <c r="N80" s="60">
        <f t="shared" si="44"/>
        <v>0</v>
      </c>
      <c r="O80" s="60">
        <f t="shared" si="44"/>
        <v>0</v>
      </c>
      <c r="P80" s="60">
        <f t="shared" si="44"/>
        <v>0</v>
      </c>
      <c r="Q80" s="60">
        <f t="shared" si="44"/>
        <v>0</v>
      </c>
      <c r="R80" s="60">
        <f t="shared" si="44"/>
        <v>0</v>
      </c>
      <c r="S80" s="60">
        <f t="shared" si="44"/>
        <v>0</v>
      </c>
      <c r="T80" s="60">
        <f t="shared" si="44"/>
        <v>0</v>
      </c>
      <c r="U80" s="60">
        <f t="shared" si="44"/>
        <v>0</v>
      </c>
      <c r="V80" s="60">
        <f t="shared" si="44"/>
        <v>0</v>
      </c>
      <c r="W80" s="60">
        <f t="shared" si="44"/>
        <v>0</v>
      </c>
      <c r="X80" s="60">
        <f t="shared" si="44"/>
        <v>0</v>
      </c>
      <c r="Y80" s="60">
        <f>Y77+Y78+Y79</f>
        <v>48.3</v>
      </c>
      <c r="Z80" s="60">
        <f>Z77+Z78+Z79</f>
        <v>85.5</v>
      </c>
      <c r="AA80" s="60">
        <f t="shared" si="44"/>
        <v>78.5</v>
      </c>
      <c r="AB80" s="60">
        <f t="shared" ref="AB80:AC80" si="45">AB77+AB78+AB79</f>
        <v>41.4</v>
      </c>
      <c r="AC80" s="60">
        <f t="shared" si="45"/>
        <v>20.699999999999996</v>
      </c>
      <c r="AD80" s="60">
        <f t="shared" ref="AD80:AE80" si="46">AD77+AD78+AD79</f>
        <v>20.699999999999996</v>
      </c>
      <c r="AE80" s="60">
        <f t="shared" si="46"/>
        <v>17.899999999999999</v>
      </c>
      <c r="AF80" s="60">
        <f t="shared" ref="AF80" si="47">AF77+AF78+AF79</f>
        <v>0</v>
      </c>
      <c r="AG80" s="61">
        <f>SUM(AG77:AG79)</f>
        <v>106</v>
      </c>
      <c r="AH80" s="47">
        <f t="shared" si="2"/>
        <v>85.5</v>
      </c>
      <c r="AI80" s="48">
        <f t="shared" si="3"/>
        <v>0</v>
      </c>
      <c r="AK80" s="50"/>
      <c r="AZ80" s="252">
        <f t="shared" si="41"/>
        <v>0</v>
      </c>
      <c r="BA80" s="252">
        <f t="shared" si="41"/>
        <v>0</v>
      </c>
      <c r="BB80" s="252">
        <f t="shared" si="41"/>
        <v>0</v>
      </c>
      <c r="BC80" s="252">
        <f t="shared" si="41"/>
        <v>0</v>
      </c>
      <c r="BD80" s="252">
        <f t="shared" si="41"/>
        <v>0</v>
      </c>
      <c r="BE80" s="252">
        <f t="shared" si="41"/>
        <v>0</v>
      </c>
      <c r="BF80" s="252">
        <f t="shared" si="41"/>
        <v>65</v>
      </c>
      <c r="BG80" s="252">
        <f t="shared" si="41"/>
        <v>60.9</v>
      </c>
      <c r="BH80" s="252">
        <f t="shared" si="41"/>
        <v>68.2</v>
      </c>
      <c r="BI80" s="252">
        <f t="shared" si="41"/>
        <v>65.5</v>
      </c>
      <c r="BJ80" s="252">
        <f t="shared" si="41"/>
        <v>78</v>
      </c>
      <c r="BK80" s="252">
        <f t="shared" si="41"/>
        <v>76.400000000000006</v>
      </c>
      <c r="BL80" s="252">
        <f t="shared" si="41"/>
        <v>78</v>
      </c>
      <c r="BM80" s="252">
        <f t="shared" si="41"/>
        <v>75</v>
      </c>
      <c r="BN80" s="252">
        <f t="shared" si="41"/>
        <v>72</v>
      </c>
      <c r="BO80" s="252">
        <f t="shared" si="41"/>
        <v>67.400000000000006</v>
      </c>
      <c r="BP80" s="252">
        <f t="shared" si="41"/>
        <v>66.2</v>
      </c>
      <c r="BQ80" s="252">
        <f t="shared" si="41"/>
        <v>72.3</v>
      </c>
      <c r="BR80" s="252">
        <f t="shared" si="41"/>
        <v>76.599999999999994</v>
      </c>
      <c r="BS80" s="252">
        <f t="shared" si="41"/>
        <v>73.7</v>
      </c>
      <c r="BT80" s="252">
        <f t="shared" si="41"/>
        <v>76.8</v>
      </c>
      <c r="BU80" s="252">
        <f t="shared" si="41"/>
        <v>78</v>
      </c>
      <c r="BV80" s="252">
        <f t="shared" si="41"/>
        <v>56.6</v>
      </c>
      <c r="BW80" s="252">
        <f t="shared" si="41"/>
        <v>0</v>
      </c>
    </row>
    <row r="81" spans="1:64" x14ac:dyDescent="0.25">
      <c r="A81" s="44" t="s">
        <v>81</v>
      </c>
      <c r="B81" s="45">
        <v>52.4</v>
      </c>
      <c r="C81" s="45">
        <v>65.7</v>
      </c>
      <c r="D81" s="45">
        <v>65.7</v>
      </c>
      <c r="E81" s="45">
        <v>76</v>
      </c>
      <c r="F81" s="45">
        <v>66</v>
      </c>
      <c r="G81" s="45">
        <v>69.599999999999994</v>
      </c>
      <c r="H81" s="45">
        <v>66</v>
      </c>
      <c r="I81" s="45">
        <v>71.2</v>
      </c>
      <c r="J81" s="45">
        <v>69.5</v>
      </c>
      <c r="K81" s="45">
        <v>66</v>
      </c>
      <c r="L81" s="45">
        <v>48</v>
      </c>
      <c r="M81" s="45">
        <v>38</v>
      </c>
      <c r="N81" s="45">
        <v>27.4</v>
      </c>
      <c r="O81" s="45">
        <v>41.2</v>
      </c>
      <c r="P81" s="45">
        <v>51.6</v>
      </c>
      <c r="Q81" s="45">
        <v>60</v>
      </c>
      <c r="R81" s="45">
        <v>66.8</v>
      </c>
      <c r="S81" s="45">
        <v>44</v>
      </c>
      <c r="T81" s="45">
        <v>76.099999999999994</v>
      </c>
      <c r="U81" s="45">
        <v>61.1</v>
      </c>
      <c r="V81" s="45">
        <v>67.3</v>
      </c>
      <c r="W81" s="45">
        <v>67.5</v>
      </c>
      <c r="X81" s="45">
        <v>67.900000000000006</v>
      </c>
      <c r="Y81" s="45">
        <v>59.1</v>
      </c>
      <c r="Z81" s="45">
        <v>62.5</v>
      </c>
      <c r="AA81" s="45">
        <v>60.3</v>
      </c>
      <c r="AB81" s="45">
        <v>53.2</v>
      </c>
      <c r="AC81" s="45">
        <v>63.9</v>
      </c>
      <c r="AD81" s="45">
        <v>59.4</v>
      </c>
      <c r="AE81" s="45">
        <v>67.5</v>
      </c>
      <c r="AF81" s="45">
        <v>70.099999999999994</v>
      </c>
      <c r="AG81" s="52"/>
      <c r="AH81" s="47">
        <f t="shared" si="2"/>
        <v>76.099999999999994</v>
      </c>
      <c r="AI81" s="48">
        <f t="shared" si="3"/>
        <v>27.4</v>
      </c>
      <c r="AK81" s="50"/>
      <c r="AY81" s="252"/>
    </row>
    <row r="82" spans="1:64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55"/>
      <c r="AH82" s="47">
        <f t="shared" si="2"/>
        <v>0</v>
      </c>
      <c r="AI82" s="48">
        <f t="shared" si="3"/>
        <v>0</v>
      </c>
      <c r="AK82" s="50"/>
      <c r="AY82" s="252"/>
      <c r="BF82" s="252"/>
      <c r="BG82" s="252"/>
      <c r="BH82" s="252"/>
      <c r="BI82" s="252"/>
      <c r="BJ82" s="252"/>
      <c r="BK82" s="252"/>
    </row>
    <row r="83" spans="1:64" x14ac:dyDescent="0.25">
      <c r="A83" s="54" t="s">
        <v>83</v>
      </c>
      <c r="B83" s="65">
        <v>421</v>
      </c>
      <c r="C83" s="65">
        <v>398.5</v>
      </c>
      <c r="D83" s="65">
        <v>398.5</v>
      </c>
      <c r="E83" s="65">
        <v>402</v>
      </c>
      <c r="F83" s="65">
        <v>372</v>
      </c>
      <c r="G83" s="65">
        <v>445</v>
      </c>
      <c r="H83" s="65">
        <v>402</v>
      </c>
      <c r="I83" s="65">
        <v>454</v>
      </c>
      <c r="J83" s="65">
        <v>412</v>
      </c>
      <c r="K83" s="65">
        <v>260</v>
      </c>
      <c r="L83" s="65">
        <v>92</v>
      </c>
      <c r="M83" s="65">
        <v>23</v>
      </c>
      <c r="N83" s="65">
        <v>96.8</v>
      </c>
      <c r="O83" s="65">
        <v>289.39999999999998</v>
      </c>
      <c r="P83" s="65">
        <v>429.5</v>
      </c>
      <c r="Q83" s="65">
        <v>393.9</v>
      </c>
      <c r="R83" s="65">
        <v>478.2</v>
      </c>
      <c r="S83" s="65">
        <v>496</v>
      </c>
      <c r="T83" s="65">
        <v>493</v>
      </c>
      <c r="U83" s="65">
        <v>451.2</v>
      </c>
      <c r="V83" s="65">
        <v>422</v>
      </c>
      <c r="W83" s="65">
        <v>378</v>
      </c>
      <c r="X83" s="65">
        <v>366.2</v>
      </c>
      <c r="Y83" s="65">
        <v>242</v>
      </c>
      <c r="Z83" s="65">
        <v>122</v>
      </c>
      <c r="AA83" s="65">
        <v>146</v>
      </c>
      <c r="AB83" s="65">
        <v>225.9</v>
      </c>
      <c r="AC83" s="65">
        <v>395.5</v>
      </c>
      <c r="AD83" s="65">
        <v>394.5</v>
      </c>
      <c r="AE83" s="65">
        <v>395.8</v>
      </c>
      <c r="AF83" s="65">
        <v>399.5</v>
      </c>
      <c r="AG83" s="75"/>
      <c r="AH83" s="47">
        <f t="shared" si="2"/>
        <v>496</v>
      </c>
      <c r="AI83" s="48">
        <f t="shared" si="3"/>
        <v>23</v>
      </c>
      <c r="AK83" s="50"/>
      <c r="AY83" s="252"/>
      <c r="BF83" s="251"/>
      <c r="BG83" s="251"/>
      <c r="BH83" s="251"/>
      <c r="BI83" s="251"/>
      <c r="BJ83" s="251"/>
      <c r="BK83" s="252"/>
    </row>
    <row r="84" spans="1:64" x14ac:dyDescent="0.25">
      <c r="A84" s="54" t="s">
        <v>84</v>
      </c>
      <c r="B84" s="65">
        <v>5</v>
      </c>
      <c r="C84" s="65">
        <v>5</v>
      </c>
      <c r="D84" s="65">
        <v>5</v>
      </c>
      <c r="E84" s="76">
        <v>5</v>
      </c>
      <c r="F84" s="76">
        <v>5</v>
      </c>
      <c r="G84" s="76">
        <v>4</v>
      </c>
      <c r="H84" s="76">
        <v>50</v>
      </c>
      <c r="I84" s="76">
        <v>56.6</v>
      </c>
      <c r="J84" s="76">
        <v>56.5</v>
      </c>
      <c r="K84" s="76">
        <v>35.200000000000003</v>
      </c>
      <c r="L84" s="76">
        <v>28.6</v>
      </c>
      <c r="M84" s="76">
        <v>25</v>
      </c>
      <c r="N84" s="76">
        <v>20</v>
      </c>
      <c r="O84" s="76">
        <v>20</v>
      </c>
      <c r="P84" s="76">
        <v>10</v>
      </c>
      <c r="Q84" s="76">
        <v>30</v>
      </c>
      <c r="R84" s="76">
        <v>45</v>
      </c>
      <c r="S84" s="76">
        <v>54</v>
      </c>
      <c r="T84" s="76">
        <v>48</v>
      </c>
      <c r="U84" s="76">
        <v>30</v>
      </c>
      <c r="V84" s="76">
        <v>27</v>
      </c>
      <c r="W84" s="76">
        <v>28.6</v>
      </c>
      <c r="X84" s="76">
        <v>27</v>
      </c>
      <c r="Y84" s="76">
        <v>28</v>
      </c>
      <c r="Z84" s="76">
        <v>27</v>
      </c>
      <c r="AA84" s="76">
        <v>27.4</v>
      </c>
      <c r="AB84" s="76">
        <v>29.8</v>
      </c>
      <c r="AC84" s="76">
        <v>22</v>
      </c>
      <c r="AD84" s="76">
        <v>20</v>
      </c>
      <c r="AE84" s="76">
        <v>42</v>
      </c>
      <c r="AF84" s="76">
        <v>50</v>
      </c>
      <c r="AG84" s="75"/>
      <c r="AH84" s="47">
        <f t="shared" si="2"/>
        <v>56.6</v>
      </c>
      <c r="AI84" s="48">
        <f t="shared" si="3"/>
        <v>4</v>
      </c>
      <c r="AK84" s="50"/>
      <c r="AY84" s="252"/>
      <c r="BF84" s="251"/>
      <c r="BG84" s="252">
        <f t="array" ref="BG84:BL107">TRANSPOSE(AZ68:BW73)</f>
        <v>66</v>
      </c>
      <c r="BH84" s="252">
        <v>0</v>
      </c>
      <c r="BI84" s="252">
        <v>399</v>
      </c>
      <c r="BJ84" s="252">
        <v>5</v>
      </c>
      <c r="BK84" s="252">
        <v>0</v>
      </c>
      <c r="BL84" s="252">
        <v>0</v>
      </c>
    </row>
    <row r="85" spans="1:64" x14ac:dyDescent="0.25">
      <c r="A85" s="54" t="s">
        <v>85</v>
      </c>
      <c r="B85" s="45"/>
      <c r="C85" s="45"/>
      <c r="D85" s="45"/>
      <c r="E85" s="45"/>
      <c r="F85" s="45">
        <v>101</v>
      </c>
      <c r="G85" s="45">
        <v>114.3</v>
      </c>
      <c r="H85" s="45">
        <v>112</v>
      </c>
      <c r="I85" s="45">
        <v>116.9</v>
      </c>
      <c r="J85" s="45">
        <v>112.2</v>
      </c>
      <c r="K85" s="45">
        <v>38.6</v>
      </c>
      <c r="L85" s="45">
        <v>40</v>
      </c>
      <c r="M85" s="45">
        <v>0</v>
      </c>
      <c r="N85" s="45"/>
      <c r="O85" s="45"/>
      <c r="P85" s="45"/>
      <c r="Q85" s="45"/>
      <c r="R85" s="45">
        <f>72</f>
        <v>72</v>
      </c>
      <c r="S85" s="45">
        <v>84</v>
      </c>
      <c r="T85" s="45">
        <v>86</v>
      </c>
      <c r="U85" s="45">
        <v>64</v>
      </c>
      <c r="V85" s="45">
        <v>0</v>
      </c>
      <c r="W85" s="45">
        <v>0</v>
      </c>
      <c r="X85" s="45">
        <v>0</v>
      </c>
      <c r="Y85" s="45">
        <v>0</v>
      </c>
      <c r="Z85" s="45">
        <v>0</v>
      </c>
      <c r="AA85" s="45">
        <v>0</v>
      </c>
      <c r="AB85" s="45">
        <v>0</v>
      </c>
      <c r="AC85" s="45">
        <v>0</v>
      </c>
      <c r="AD85" s="45">
        <v>0</v>
      </c>
      <c r="AE85" s="45">
        <v>0</v>
      </c>
      <c r="AF85" s="45">
        <v>24</v>
      </c>
      <c r="AG85" s="75"/>
      <c r="AH85" s="47">
        <f t="shared" ref="AH85:AH130" si="48">MAX(B85:AF85)</f>
        <v>116.9</v>
      </c>
      <c r="AI85" s="48">
        <f t="shared" ref="AI85:AI130" si="49">MIN(B85:AF85)</f>
        <v>0</v>
      </c>
      <c r="AK85" s="50"/>
      <c r="AY85" s="252"/>
      <c r="BF85" s="251"/>
      <c r="BG85" s="252">
        <v>65.7</v>
      </c>
      <c r="BH85" s="252">
        <v>0</v>
      </c>
      <c r="BI85" s="252">
        <v>398.5</v>
      </c>
      <c r="BJ85" s="252">
        <v>5</v>
      </c>
      <c r="BK85" s="252">
        <v>0</v>
      </c>
      <c r="BL85" s="252">
        <v>0</v>
      </c>
    </row>
    <row r="86" spans="1:64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5"/>
      <c r="AH86" s="47">
        <f t="shared" si="48"/>
        <v>0</v>
      </c>
      <c r="AI86" s="48">
        <f t="shared" si="49"/>
        <v>0</v>
      </c>
      <c r="AK86" s="50"/>
      <c r="AY86" s="252"/>
      <c r="BF86" s="251"/>
      <c r="BG86" s="252">
        <v>76</v>
      </c>
      <c r="BH86" s="252">
        <v>0</v>
      </c>
      <c r="BI86" s="252">
        <v>402</v>
      </c>
      <c r="BJ86" s="252">
        <v>5</v>
      </c>
      <c r="BK86" s="252">
        <v>0</v>
      </c>
      <c r="BL86" s="252">
        <v>0</v>
      </c>
    </row>
    <row r="87" spans="1:64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5"/>
      <c r="AH87" s="47">
        <f t="shared" si="48"/>
        <v>0</v>
      </c>
      <c r="AI87" s="48">
        <f t="shared" si="49"/>
        <v>0</v>
      </c>
      <c r="AK87" s="50"/>
      <c r="AL87" s="78" t="s">
        <v>88</v>
      </c>
      <c r="AM87" s="78"/>
      <c r="AY87" s="252"/>
      <c r="BF87" s="252"/>
      <c r="BG87" s="252">
        <v>66</v>
      </c>
      <c r="BH87" s="252">
        <v>0</v>
      </c>
      <c r="BI87" s="252">
        <v>372</v>
      </c>
      <c r="BJ87" s="252">
        <v>5</v>
      </c>
      <c r="BK87" s="252">
        <v>101</v>
      </c>
      <c r="BL87" s="252">
        <v>0</v>
      </c>
    </row>
    <row r="88" spans="1:64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5"/>
      <c r="AH88" s="47">
        <f t="shared" si="48"/>
        <v>0</v>
      </c>
      <c r="AI88" s="48">
        <f t="shared" si="49"/>
        <v>0</v>
      </c>
      <c r="AK88" s="79"/>
      <c r="AL88" s="80"/>
      <c r="AM88" s="80"/>
      <c r="AN88" s="81"/>
      <c r="AY88" s="252"/>
      <c r="BF88" s="252"/>
      <c r="BG88" s="252">
        <v>69.599999999999994</v>
      </c>
      <c r="BH88" s="252">
        <v>0</v>
      </c>
      <c r="BI88" s="252">
        <v>445</v>
      </c>
      <c r="BJ88" s="252">
        <v>4</v>
      </c>
      <c r="BK88" s="252">
        <v>114.3</v>
      </c>
      <c r="BL88" s="252">
        <v>0</v>
      </c>
    </row>
    <row r="89" spans="1:64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5"/>
      <c r="AH89" s="47">
        <f t="shared" si="48"/>
        <v>0</v>
      </c>
      <c r="AI89" s="48">
        <f t="shared" si="49"/>
        <v>0</v>
      </c>
      <c r="AK89" s="82" t="s">
        <v>91</v>
      </c>
      <c r="AL89" s="65"/>
      <c r="AM89" s="76"/>
      <c r="AN89" s="83"/>
      <c r="AY89" s="252"/>
      <c r="BF89" s="252"/>
      <c r="BG89" s="252">
        <v>71.2</v>
      </c>
      <c r="BH89" s="252">
        <v>0</v>
      </c>
      <c r="BI89" s="252">
        <v>454</v>
      </c>
      <c r="BJ89" s="252">
        <v>56.6</v>
      </c>
      <c r="BK89" s="252">
        <v>116.9</v>
      </c>
      <c r="BL89" s="252">
        <v>0</v>
      </c>
    </row>
    <row r="90" spans="1:64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85"/>
      <c r="AH90" s="47">
        <f t="shared" si="48"/>
        <v>0</v>
      </c>
      <c r="AI90" s="48">
        <f t="shared" si="49"/>
        <v>0</v>
      </c>
      <c r="AK90" s="82" t="s">
        <v>93</v>
      </c>
      <c r="AL90" s="76"/>
      <c r="AM90" s="76"/>
      <c r="AN90" s="83"/>
      <c r="AY90" s="252"/>
      <c r="BF90" s="252"/>
      <c r="BG90" s="252">
        <v>66</v>
      </c>
      <c r="BH90" s="252">
        <v>0</v>
      </c>
      <c r="BI90" s="252">
        <v>260</v>
      </c>
      <c r="BJ90" s="252">
        <v>35.200000000000003</v>
      </c>
      <c r="BK90" s="252">
        <v>38.6</v>
      </c>
      <c r="BL90" s="252">
        <v>65</v>
      </c>
    </row>
    <row r="91" spans="1:64" ht="15.75" thickBot="1" x14ac:dyDescent="0.3">
      <c r="A91" s="84" t="s">
        <v>421</v>
      </c>
      <c r="B91" s="77">
        <v>0</v>
      </c>
      <c r="C91" s="77">
        <v>0</v>
      </c>
      <c r="D91" s="77">
        <v>0</v>
      </c>
      <c r="E91" s="77">
        <v>0</v>
      </c>
      <c r="F91" s="77">
        <v>0</v>
      </c>
      <c r="G91" s="77">
        <v>0</v>
      </c>
      <c r="H91" s="77">
        <v>0</v>
      </c>
      <c r="I91" s="77">
        <v>0</v>
      </c>
      <c r="J91" s="77">
        <v>68</v>
      </c>
      <c r="K91" s="77">
        <v>65</v>
      </c>
      <c r="L91" s="77">
        <v>60.9</v>
      </c>
      <c r="M91" s="77">
        <v>60.9</v>
      </c>
      <c r="N91" s="77">
        <v>68.2</v>
      </c>
      <c r="O91" s="77">
        <v>65.5</v>
      </c>
      <c r="P91" s="77">
        <v>78</v>
      </c>
      <c r="Q91" s="77">
        <v>76.400000000000006</v>
      </c>
      <c r="R91" s="77">
        <v>78</v>
      </c>
      <c r="S91" s="77">
        <v>75</v>
      </c>
      <c r="T91" s="77">
        <v>72</v>
      </c>
      <c r="U91" s="77">
        <v>67.400000000000006</v>
      </c>
      <c r="V91" s="77">
        <v>66.2</v>
      </c>
      <c r="W91" s="77">
        <v>69</v>
      </c>
      <c r="X91" s="77">
        <v>72.3</v>
      </c>
      <c r="Y91" s="77">
        <v>77</v>
      </c>
      <c r="Z91" s="77">
        <v>76.599999999999994</v>
      </c>
      <c r="AA91" s="77">
        <v>76.2</v>
      </c>
      <c r="AB91" s="77">
        <v>73.7</v>
      </c>
      <c r="AC91" s="77">
        <v>72.8</v>
      </c>
      <c r="AD91" s="77">
        <v>76.8</v>
      </c>
      <c r="AE91" s="77">
        <v>78</v>
      </c>
      <c r="AF91" s="77">
        <v>56.6</v>
      </c>
      <c r="AG91" s="85"/>
      <c r="AH91" s="47">
        <f t="shared" si="48"/>
        <v>78</v>
      </c>
      <c r="AI91" s="48">
        <f t="shared" si="49"/>
        <v>0</v>
      </c>
      <c r="AK91" s="86"/>
      <c r="AL91" s="45"/>
      <c r="AM91" s="45"/>
      <c r="AN91" s="87"/>
      <c r="AY91" s="252"/>
      <c r="BF91" s="252"/>
      <c r="BG91" s="252">
        <v>38</v>
      </c>
      <c r="BH91" s="252">
        <v>0</v>
      </c>
      <c r="BI91" s="252">
        <v>23</v>
      </c>
      <c r="BJ91" s="252">
        <v>25</v>
      </c>
      <c r="BK91" s="252">
        <v>0</v>
      </c>
      <c r="BL91" s="252">
        <v>60.9</v>
      </c>
    </row>
    <row r="92" spans="1:64" ht="15.75" thickBot="1" x14ac:dyDescent="0.3">
      <c r="A92" s="74" t="s">
        <v>95</v>
      </c>
      <c r="B92" s="60">
        <f t="shared" ref="B92:C92" si="50">SUMIF(B81:B91,"&gt;0")</f>
        <v>478.4</v>
      </c>
      <c r="C92" s="60">
        <f t="shared" si="50"/>
        <v>469.2</v>
      </c>
      <c r="D92" s="60">
        <f t="shared" ref="D92" si="51">SUMIF(D81:D91,"&gt;0")</f>
        <v>469.2</v>
      </c>
      <c r="E92" s="60">
        <f t="shared" ref="E92:AA92" si="52">SUMIF(E81:E91,"&gt;0")</f>
        <v>483</v>
      </c>
      <c r="F92" s="60">
        <f t="shared" si="52"/>
        <v>544</v>
      </c>
      <c r="G92" s="60">
        <f t="shared" si="52"/>
        <v>632.9</v>
      </c>
      <c r="H92" s="60">
        <f t="shared" si="52"/>
        <v>630</v>
      </c>
      <c r="I92" s="60">
        <f t="shared" si="52"/>
        <v>698.7</v>
      </c>
      <c r="J92" s="60">
        <f t="shared" si="52"/>
        <v>718.2</v>
      </c>
      <c r="K92" s="60">
        <f t="shared" si="52"/>
        <v>464.8</v>
      </c>
      <c r="L92" s="60">
        <f t="shared" si="52"/>
        <v>269.5</v>
      </c>
      <c r="M92" s="60">
        <f t="shared" ref="M92" si="53">SUMIF(M81:M91,"&gt;0")</f>
        <v>146.9</v>
      </c>
      <c r="N92" s="60">
        <f t="shared" si="52"/>
        <v>212.39999999999998</v>
      </c>
      <c r="O92" s="60">
        <f t="shared" si="52"/>
        <v>416.09999999999997</v>
      </c>
      <c r="P92" s="60">
        <f t="shared" si="52"/>
        <v>569.1</v>
      </c>
      <c r="Q92" s="60">
        <f t="shared" si="52"/>
        <v>560.29999999999995</v>
      </c>
      <c r="R92" s="60">
        <f t="shared" si="52"/>
        <v>740</v>
      </c>
      <c r="S92" s="60">
        <f t="shared" si="52"/>
        <v>753</v>
      </c>
      <c r="T92" s="60">
        <f t="shared" si="52"/>
        <v>775.1</v>
      </c>
      <c r="U92" s="60">
        <f t="shared" si="52"/>
        <v>673.69999999999993</v>
      </c>
      <c r="V92" s="60">
        <f t="shared" si="52"/>
        <v>582.5</v>
      </c>
      <c r="W92" s="60">
        <f t="shared" si="52"/>
        <v>543.1</v>
      </c>
      <c r="X92" s="60">
        <f t="shared" si="52"/>
        <v>533.4</v>
      </c>
      <c r="Y92" s="60">
        <f>SUMIF(Y81:Y91,"&gt;0")</f>
        <v>406.1</v>
      </c>
      <c r="Z92" s="60">
        <f>SUMIF(Z81:Z91,"&gt;0")</f>
        <v>288.10000000000002</v>
      </c>
      <c r="AA92" s="60">
        <f t="shared" si="52"/>
        <v>309.90000000000003</v>
      </c>
      <c r="AB92" s="60">
        <f t="shared" ref="AB92:AC92" si="54">SUMIF(AB81:AB91,"&gt;0")</f>
        <v>382.6</v>
      </c>
      <c r="AC92" s="60">
        <f t="shared" si="54"/>
        <v>554.19999999999993</v>
      </c>
      <c r="AD92" s="60">
        <f t="shared" ref="AD92:AE92" si="55">SUMIF(AD81:AD91,"&gt;0")</f>
        <v>550.69999999999993</v>
      </c>
      <c r="AE92" s="60">
        <f t="shared" si="55"/>
        <v>583.29999999999995</v>
      </c>
      <c r="AF92" s="60">
        <f t="shared" ref="AF92" si="56">SUMIF(AF81:AF91,"&gt;0")</f>
        <v>600.20000000000005</v>
      </c>
      <c r="AG92" s="88">
        <f>SUM(AG81:AG91)</f>
        <v>0</v>
      </c>
      <c r="AH92" s="47">
        <f t="shared" si="48"/>
        <v>775.1</v>
      </c>
      <c r="AI92" s="48">
        <f t="shared" si="49"/>
        <v>146.9</v>
      </c>
      <c r="AK92" s="86"/>
      <c r="AL92" s="77"/>
      <c r="AM92" s="89"/>
      <c r="AN92" s="255"/>
      <c r="AY92" s="252"/>
      <c r="BF92" s="252"/>
      <c r="BG92" s="252">
        <v>27.4</v>
      </c>
      <c r="BH92" s="252">
        <v>0</v>
      </c>
      <c r="BI92" s="252">
        <v>96.8</v>
      </c>
      <c r="BJ92" s="252">
        <v>20</v>
      </c>
      <c r="BK92" s="252">
        <v>0</v>
      </c>
      <c r="BL92" s="252">
        <v>68.2</v>
      </c>
    </row>
    <row r="93" spans="1:64" x14ac:dyDescent="0.25">
      <c r="A93" s="44" t="s">
        <v>96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48"/>
        <v>0</v>
      </c>
      <c r="AI93" s="48">
        <f t="shared" si="49"/>
        <v>0</v>
      </c>
      <c r="AK93" s="86"/>
      <c r="AL93" s="77"/>
      <c r="AM93" s="77"/>
      <c r="AN93" s="256"/>
      <c r="BF93" s="252"/>
      <c r="BG93" s="252">
        <v>41.2</v>
      </c>
      <c r="BH93" s="252">
        <v>0</v>
      </c>
      <c r="BI93" s="252">
        <v>289.39999999999998</v>
      </c>
      <c r="BJ93" s="252">
        <v>20</v>
      </c>
      <c r="BK93" s="252">
        <v>0</v>
      </c>
      <c r="BL93" s="252">
        <v>65.5</v>
      </c>
    </row>
    <row r="94" spans="1:64" ht="15.75" thickBot="1" x14ac:dyDescent="0.3">
      <c r="A94" s="54" t="s">
        <v>97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48"/>
        <v>0</v>
      </c>
      <c r="AI94" s="48">
        <f t="shared" si="49"/>
        <v>0</v>
      </c>
      <c r="AK94" s="91"/>
      <c r="AL94" s="92"/>
      <c r="AM94" s="92"/>
      <c r="AN94" s="93"/>
      <c r="BF94" s="252"/>
      <c r="BG94" s="252">
        <v>51.6</v>
      </c>
      <c r="BH94" s="252">
        <v>0</v>
      </c>
      <c r="BI94" s="252">
        <v>429.5</v>
      </c>
      <c r="BJ94" s="252">
        <v>10</v>
      </c>
      <c r="BK94" s="252">
        <v>0</v>
      </c>
      <c r="BL94" s="252">
        <v>78</v>
      </c>
    </row>
    <row r="95" spans="1:64" ht="15.75" thickBot="1" x14ac:dyDescent="0.3">
      <c r="A95" s="84" t="s">
        <v>98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48"/>
        <v>0</v>
      </c>
      <c r="AI95" s="48">
        <f t="shared" si="49"/>
        <v>0</v>
      </c>
      <c r="BF95" s="252"/>
      <c r="BG95" s="252">
        <v>60</v>
      </c>
      <c r="BH95" s="252">
        <v>0</v>
      </c>
      <c r="BI95" s="252">
        <v>393.9</v>
      </c>
      <c r="BJ95" s="252">
        <v>30</v>
      </c>
      <c r="BK95" s="252">
        <v>0</v>
      </c>
      <c r="BL95" s="252">
        <v>76.400000000000006</v>
      </c>
    </row>
    <row r="96" spans="1:64" ht="15.75" thickBot="1" x14ac:dyDescent="0.3">
      <c r="A96" s="74" t="s">
        <v>99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48"/>
        <v>0</v>
      </c>
      <c r="AI96" s="48">
        <f t="shared" si="49"/>
        <v>0</v>
      </c>
      <c r="BF96" s="252"/>
      <c r="BG96" s="252">
        <v>66.8</v>
      </c>
      <c r="BH96" s="252">
        <v>0</v>
      </c>
      <c r="BI96" s="252">
        <v>478.2</v>
      </c>
      <c r="BJ96" s="252">
        <v>45</v>
      </c>
      <c r="BK96" s="252">
        <v>72</v>
      </c>
      <c r="BL96" s="252">
        <v>78</v>
      </c>
    </row>
    <row r="97" spans="1:64" ht="15.75" thickBot="1" x14ac:dyDescent="0.3">
      <c r="A97" s="74" t="s">
        <v>100</v>
      </c>
      <c r="B97" s="95">
        <f t="shared" ref="B97:C97" si="57">B58+B62+B80+B76+B92+B96</f>
        <v>1226.1400000000001</v>
      </c>
      <c r="C97" s="95">
        <f t="shared" si="57"/>
        <v>1164.8400000000001</v>
      </c>
      <c r="D97" s="95">
        <f t="shared" ref="D97" si="58">D58+D62+D80+D76+D92+D96</f>
        <v>1155.04</v>
      </c>
      <c r="E97" s="95">
        <f t="shared" ref="E97:AG97" si="59">E58+E62+E80+E76+E92+E96</f>
        <v>1151.7400000000002</v>
      </c>
      <c r="F97" s="95">
        <f t="shared" si="59"/>
        <v>1150.6400000000001</v>
      </c>
      <c r="G97" s="95">
        <f t="shared" si="59"/>
        <v>1231.8400000000001</v>
      </c>
      <c r="H97" s="95">
        <f t="shared" si="59"/>
        <v>1238.94</v>
      </c>
      <c r="I97" s="95">
        <f t="shared" si="59"/>
        <v>1424.64</v>
      </c>
      <c r="J97" s="95">
        <f t="shared" si="59"/>
        <v>1482.94</v>
      </c>
      <c r="K97" s="95">
        <f t="shared" si="59"/>
        <v>1442.14</v>
      </c>
      <c r="L97" s="95">
        <f t="shared" si="59"/>
        <v>1571.7400000000002</v>
      </c>
      <c r="M97" s="95">
        <f t="shared" ref="M97" si="60">M58+M62+M80+M76+M92+M96</f>
        <v>1469.54</v>
      </c>
      <c r="N97" s="95">
        <f t="shared" si="59"/>
        <v>1372.3400000000001</v>
      </c>
      <c r="O97" s="95">
        <f t="shared" si="59"/>
        <v>1262.1400000000001</v>
      </c>
      <c r="P97" s="95">
        <f t="shared" si="59"/>
        <v>1350.1399999999999</v>
      </c>
      <c r="Q97" s="95">
        <f t="shared" si="59"/>
        <v>1321.64</v>
      </c>
      <c r="R97" s="95">
        <f t="shared" si="59"/>
        <v>1455.24</v>
      </c>
      <c r="S97" s="95">
        <f t="shared" si="59"/>
        <v>1463.94</v>
      </c>
      <c r="T97" s="95">
        <f t="shared" si="59"/>
        <v>1479.04</v>
      </c>
      <c r="U97" s="95">
        <f t="shared" si="59"/>
        <v>1372.6399999999999</v>
      </c>
      <c r="V97" s="95">
        <f t="shared" si="59"/>
        <v>1299.44</v>
      </c>
      <c r="W97" s="95">
        <f t="shared" si="59"/>
        <v>1381.44</v>
      </c>
      <c r="X97" s="95">
        <f t="shared" si="59"/>
        <v>1548.8400000000001</v>
      </c>
      <c r="Y97" s="95">
        <f>Y58+Y62+Y80+Y76+Y92+Y96</f>
        <v>1589.2999999999997</v>
      </c>
      <c r="Z97" s="95">
        <f>Z58+Z62+Z80+Z76+Z92+Z96</f>
        <v>1582.5</v>
      </c>
      <c r="AA97" s="95">
        <f t="shared" si="59"/>
        <v>1543.3400000000001</v>
      </c>
      <c r="AB97" s="95">
        <f t="shared" ref="AB97:AC97" si="61">AB58+AB62+AB80+AB76+AB92+AB96</f>
        <v>1460.8400000000001</v>
      </c>
      <c r="AC97" s="95">
        <f t="shared" si="61"/>
        <v>1371.3400000000001</v>
      </c>
      <c r="AD97" s="95">
        <f t="shared" ref="AD97:AE97" si="62">AD58+AD62+AD80+AD76+AD92+AD96</f>
        <v>1347.8400000000001</v>
      </c>
      <c r="AE97" s="95">
        <f t="shared" si="62"/>
        <v>1427.04</v>
      </c>
      <c r="AF97" s="95">
        <f t="shared" ref="AF97" si="63">AF58+AF62+AF80+AF76+AF92+AF96</f>
        <v>1263.04</v>
      </c>
      <c r="AG97" s="61">
        <f t="shared" si="59"/>
        <v>2231.81</v>
      </c>
      <c r="AH97" s="47">
        <f t="shared" si="48"/>
        <v>1589.2999999999997</v>
      </c>
      <c r="AI97" s="48">
        <f t="shared" si="49"/>
        <v>1150.6400000000001</v>
      </c>
      <c r="BF97" s="252"/>
      <c r="BG97" s="252">
        <v>44</v>
      </c>
      <c r="BH97" s="252">
        <v>0</v>
      </c>
      <c r="BI97" s="252">
        <v>496</v>
      </c>
      <c r="BJ97" s="252">
        <v>54</v>
      </c>
      <c r="BK97" s="252">
        <v>84</v>
      </c>
      <c r="BL97" s="252">
        <v>75</v>
      </c>
    </row>
    <row r="98" spans="1:64" ht="15.75" thickBot="1" x14ac:dyDescent="0.3">
      <c r="A98" s="96" t="s">
        <v>101</v>
      </c>
      <c r="B98" s="97"/>
      <c r="C98" s="97"/>
      <c r="D98" s="97"/>
      <c r="E98" s="97"/>
      <c r="F98" s="97"/>
      <c r="G98" s="97"/>
      <c r="H98" s="97"/>
      <c r="I98" s="97"/>
      <c r="J98" s="97"/>
      <c r="K98" s="97">
        <v>220</v>
      </c>
      <c r="L98" s="97">
        <v>300</v>
      </c>
      <c r="M98" s="97">
        <v>301</v>
      </c>
      <c r="N98" s="97">
        <v>300</v>
      </c>
      <c r="O98" s="97">
        <v>300</v>
      </c>
      <c r="P98" s="97">
        <v>150</v>
      </c>
      <c r="Q98" s="97">
        <v>100</v>
      </c>
      <c r="R98" s="97">
        <v>100</v>
      </c>
      <c r="S98" s="97">
        <v>100</v>
      </c>
      <c r="T98" s="97">
        <v>100</v>
      </c>
      <c r="U98" s="97">
        <v>100</v>
      </c>
      <c r="V98" s="97">
        <v>150</v>
      </c>
      <c r="W98" s="97">
        <v>200</v>
      </c>
      <c r="X98" s="97">
        <v>250</v>
      </c>
      <c r="Y98" s="97">
        <v>250</v>
      </c>
      <c r="Z98" s="97">
        <v>250</v>
      </c>
      <c r="AA98" s="97">
        <v>250</v>
      </c>
      <c r="AB98" s="97">
        <v>250</v>
      </c>
      <c r="AC98" s="97">
        <v>250</v>
      </c>
      <c r="AD98" s="97">
        <v>150</v>
      </c>
      <c r="AE98" s="97">
        <v>0</v>
      </c>
      <c r="AF98" s="97">
        <v>0</v>
      </c>
      <c r="AG98" s="88"/>
      <c r="AH98" s="47">
        <f t="shared" si="48"/>
        <v>301</v>
      </c>
      <c r="AI98" s="48">
        <f t="shared" si="49"/>
        <v>0</v>
      </c>
      <c r="BF98" s="252"/>
      <c r="BG98" s="252">
        <v>76.099999999999994</v>
      </c>
      <c r="BH98" s="252">
        <v>0</v>
      </c>
      <c r="BI98" s="252">
        <v>493</v>
      </c>
      <c r="BJ98" s="252">
        <v>48</v>
      </c>
      <c r="BK98" s="252">
        <v>86</v>
      </c>
      <c r="BL98" s="252">
        <v>72</v>
      </c>
    </row>
    <row r="99" spans="1:64" ht="15.75" thickBot="1" x14ac:dyDescent="0.3">
      <c r="A99" s="74" t="s">
        <v>102</v>
      </c>
      <c r="B99" s="95">
        <f t="shared" ref="B99:C99" si="64">B97+B98</f>
        <v>1226.1400000000001</v>
      </c>
      <c r="C99" s="95">
        <f t="shared" si="64"/>
        <v>1164.8400000000001</v>
      </c>
      <c r="D99" s="95">
        <f t="shared" ref="D99" si="65">D97+D98</f>
        <v>1155.04</v>
      </c>
      <c r="E99" s="95">
        <f t="shared" ref="E99:AA99" si="66">E97+E98</f>
        <v>1151.7400000000002</v>
      </c>
      <c r="F99" s="95">
        <f t="shared" si="66"/>
        <v>1150.6400000000001</v>
      </c>
      <c r="G99" s="95">
        <f t="shared" si="66"/>
        <v>1231.8400000000001</v>
      </c>
      <c r="H99" s="95">
        <f t="shared" si="66"/>
        <v>1238.94</v>
      </c>
      <c r="I99" s="95">
        <f t="shared" si="66"/>
        <v>1424.64</v>
      </c>
      <c r="J99" s="95">
        <f t="shared" si="66"/>
        <v>1482.94</v>
      </c>
      <c r="K99" s="95">
        <f t="shared" si="66"/>
        <v>1662.14</v>
      </c>
      <c r="L99" s="95">
        <f t="shared" si="66"/>
        <v>1871.7400000000002</v>
      </c>
      <c r="M99" s="95">
        <f t="shared" ref="M99" si="67">M97+M98</f>
        <v>1770.54</v>
      </c>
      <c r="N99" s="95">
        <f t="shared" si="66"/>
        <v>1672.3400000000001</v>
      </c>
      <c r="O99" s="95">
        <f t="shared" si="66"/>
        <v>1562.14</v>
      </c>
      <c r="P99" s="95">
        <f t="shared" si="66"/>
        <v>1500.1399999999999</v>
      </c>
      <c r="Q99" s="95">
        <f t="shared" si="66"/>
        <v>1421.64</v>
      </c>
      <c r="R99" s="95">
        <f t="shared" si="66"/>
        <v>1555.24</v>
      </c>
      <c r="S99" s="95">
        <f t="shared" si="66"/>
        <v>1563.94</v>
      </c>
      <c r="T99" s="95">
        <f t="shared" si="66"/>
        <v>1579.04</v>
      </c>
      <c r="U99" s="95">
        <f t="shared" si="66"/>
        <v>1472.6399999999999</v>
      </c>
      <c r="V99" s="95">
        <f t="shared" si="66"/>
        <v>1449.44</v>
      </c>
      <c r="W99" s="95">
        <f t="shared" si="66"/>
        <v>1581.44</v>
      </c>
      <c r="X99" s="95">
        <f t="shared" si="66"/>
        <v>1798.8400000000001</v>
      </c>
      <c r="Y99" s="95">
        <f>Y97+Y98</f>
        <v>1839.2999999999997</v>
      </c>
      <c r="Z99" s="95">
        <f>Z97+Z98</f>
        <v>1832.5</v>
      </c>
      <c r="AA99" s="95">
        <f t="shared" si="66"/>
        <v>1793.3400000000001</v>
      </c>
      <c r="AB99" s="95">
        <f t="shared" ref="AB99:AC99" si="68">AB97+AB98</f>
        <v>1710.8400000000001</v>
      </c>
      <c r="AC99" s="95">
        <f t="shared" si="68"/>
        <v>1621.3400000000001</v>
      </c>
      <c r="AD99" s="95">
        <f t="shared" ref="AD99:AE99" si="69">AD97+AD98</f>
        <v>1497.8400000000001</v>
      </c>
      <c r="AE99" s="95">
        <f t="shared" si="69"/>
        <v>1427.04</v>
      </c>
      <c r="AF99" s="95">
        <f t="shared" ref="AF99" si="70">AF97+AF98</f>
        <v>1263.04</v>
      </c>
      <c r="AG99" s="88">
        <f>AG96+AG92+AG80+AG76+AG58+AG98</f>
        <v>1693.71</v>
      </c>
      <c r="AH99" s="47">
        <f t="shared" si="48"/>
        <v>1871.7400000000002</v>
      </c>
      <c r="AI99" s="48">
        <f t="shared" si="49"/>
        <v>1150.6400000000001</v>
      </c>
      <c r="BF99" s="252"/>
      <c r="BG99" s="252">
        <v>61.1</v>
      </c>
      <c r="BH99" s="252">
        <v>0</v>
      </c>
      <c r="BI99" s="252">
        <v>451.2</v>
      </c>
      <c r="BJ99" s="252">
        <v>30</v>
      </c>
      <c r="BK99" s="252">
        <v>64</v>
      </c>
      <c r="BL99" s="252">
        <v>67.400000000000006</v>
      </c>
    </row>
    <row r="100" spans="1:64" ht="15.75" thickBot="1" x14ac:dyDescent="0.3">
      <c r="A100" s="74" t="s">
        <v>103</v>
      </c>
      <c r="B100" s="95">
        <f t="shared" ref="B100:C100" si="71">B99-(B107)</f>
        <v>1226.1400000000001</v>
      </c>
      <c r="C100" s="95">
        <f t="shared" si="71"/>
        <v>1164.8400000000001</v>
      </c>
      <c r="D100" s="95">
        <f t="shared" ref="D100" si="72">D99-(D107)</f>
        <v>1155.04</v>
      </c>
      <c r="E100" s="95">
        <f t="shared" ref="E100:L100" si="73">E99-(E107)</f>
        <v>1151.7400000000002</v>
      </c>
      <c r="F100" s="95">
        <f t="shared" si="73"/>
        <v>1150.6400000000001</v>
      </c>
      <c r="G100" s="95">
        <f t="shared" si="73"/>
        <v>1231.8400000000001</v>
      </c>
      <c r="H100" s="95">
        <f t="shared" si="73"/>
        <v>1238.94</v>
      </c>
      <c r="I100" s="95">
        <f t="shared" si="73"/>
        <v>1424.64</v>
      </c>
      <c r="J100" s="95">
        <f t="shared" si="73"/>
        <v>1482.94</v>
      </c>
      <c r="K100" s="95">
        <f t="shared" si="73"/>
        <v>1662.14</v>
      </c>
      <c r="L100" s="95">
        <f t="shared" si="73"/>
        <v>1871.7400000000002</v>
      </c>
      <c r="M100" s="95">
        <f t="shared" ref="M100" si="74">M99-(M107)</f>
        <v>1769.54</v>
      </c>
      <c r="N100" s="95">
        <f>N99-(N107)</f>
        <v>1672.3400000000001</v>
      </c>
      <c r="O100" s="95">
        <f t="shared" ref="O100:AA100" si="75">O99-(O107)</f>
        <v>1562.14</v>
      </c>
      <c r="P100" s="95">
        <f t="shared" si="75"/>
        <v>1500.1399999999999</v>
      </c>
      <c r="Q100" s="95">
        <f t="shared" si="75"/>
        <v>1421.64</v>
      </c>
      <c r="R100" s="95">
        <f t="shared" si="75"/>
        <v>1555.24</v>
      </c>
      <c r="S100" s="95">
        <f t="shared" si="75"/>
        <v>1563.94</v>
      </c>
      <c r="T100" s="95">
        <f t="shared" si="75"/>
        <v>1579.04</v>
      </c>
      <c r="U100" s="95">
        <f t="shared" si="75"/>
        <v>1472.6399999999999</v>
      </c>
      <c r="V100" s="95">
        <f t="shared" si="75"/>
        <v>1449.44</v>
      </c>
      <c r="W100" s="95">
        <f t="shared" si="75"/>
        <v>1581.44</v>
      </c>
      <c r="X100" s="95">
        <f t="shared" si="75"/>
        <v>1798.8400000000001</v>
      </c>
      <c r="Y100" s="95">
        <f t="shared" si="75"/>
        <v>1839.2999999999997</v>
      </c>
      <c r="Z100" s="95">
        <f t="shared" si="75"/>
        <v>1832.5</v>
      </c>
      <c r="AA100" s="95">
        <f t="shared" si="75"/>
        <v>1793.3400000000001</v>
      </c>
      <c r="AB100" s="95">
        <f t="shared" ref="AB100:AC100" si="76">AB99-(AB107)</f>
        <v>1709.8400000000001</v>
      </c>
      <c r="AC100" s="95">
        <f t="shared" si="76"/>
        <v>1619.3400000000001</v>
      </c>
      <c r="AD100" s="95">
        <f t="shared" ref="AD100:AE100" si="77">AD99-(AD107)</f>
        <v>1494.8400000000001</v>
      </c>
      <c r="AE100" s="95">
        <f t="shared" si="77"/>
        <v>1423.04</v>
      </c>
      <c r="AF100" s="95">
        <f t="shared" ref="AF100" si="78">AF99-(AF107)</f>
        <v>1258.04</v>
      </c>
      <c r="AG100" s="88"/>
      <c r="AH100" s="47">
        <f t="shared" si="48"/>
        <v>1871.7400000000002</v>
      </c>
      <c r="AI100" s="48">
        <f t="shared" si="49"/>
        <v>1150.6400000000001</v>
      </c>
      <c r="BF100" s="252"/>
      <c r="BG100" s="252">
        <v>67.3</v>
      </c>
      <c r="BH100" s="252">
        <v>0</v>
      </c>
      <c r="BI100" s="252">
        <v>422</v>
      </c>
      <c r="BJ100" s="252">
        <v>27</v>
      </c>
      <c r="BK100" s="252">
        <v>0</v>
      </c>
      <c r="BL100" s="252">
        <v>66.2</v>
      </c>
    </row>
    <row r="101" spans="1:64" x14ac:dyDescent="0.25">
      <c r="A101" s="44" t="s">
        <v>84</v>
      </c>
      <c r="B101" s="76">
        <f t="shared" ref="B101:C101" si="79">IF(B84&lt;0,B84*-1,0)</f>
        <v>0</v>
      </c>
      <c r="C101" s="76">
        <f t="shared" si="79"/>
        <v>0</v>
      </c>
      <c r="D101" s="76">
        <f t="shared" ref="D101" si="80">IF(D84&lt;0,D84*-1,0)</f>
        <v>0</v>
      </c>
      <c r="E101" s="76">
        <f t="shared" ref="E101:AA101" si="81">IF(E84&lt;0,E84*-1,0)</f>
        <v>0</v>
      </c>
      <c r="F101" s="76">
        <f t="shared" si="81"/>
        <v>0</v>
      </c>
      <c r="G101" s="76">
        <f t="shared" si="81"/>
        <v>0</v>
      </c>
      <c r="H101" s="76">
        <f t="shared" si="81"/>
        <v>0</v>
      </c>
      <c r="I101" s="76">
        <f t="shared" si="81"/>
        <v>0</v>
      </c>
      <c r="J101" s="76">
        <f t="shared" si="81"/>
        <v>0</v>
      </c>
      <c r="K101" s="76">
        <f t="shared" si="81"/>
        <v>0</v>
      </c>
      <c r="L101" s="76">
        <f t="shared" si="81"/>
        <v>0</v>
      </c>
      <c r="M101" s="76">
        <f t="shared" ref="M101" si="82">IF(M84&lt;0,M84*-1,0)</f>
        <v>0</v>
      </c>
      <c r="N101" s="76">
        <f t="shared" si="81"/>
        <v>0</v>
      </c>
      <c r="O101" s="76">
        <f t="shared" si="81"/>
        <v>0</v>
      </c>
      <c r="P101" s="76">
        <f t="shared" si="81"/>
        <v>0</v>
      </c>
      <c r="Q101" s="76">
        <f t="shared" si="81"/>
        <v>0</v>
      </c>
      <c r="R101" s="76">
        <f t="shared" si="81"/>
        <v>0</v>
      </c>
      <c r="S101" s="76">
        <f t="shared" si="81"/>
        <v>0</v>
      </c>
      <c r="T101" s="76">
        <f t="shared" si="81"/>
        <v>0</v>
      </c>
      <c r="U101" s="76">
        <f t="shared" si="81"/>
        <v>0</v>
      </c>
      <c r="V101" s="76">
        <f t="shared" si="81"/>
        <v>0</v>
      </c>
      <c r="W101" s="76">
        <f t="shared" si="81"/>
        <v>0</v>
      </c>
      <c r="X101" s="76">
        <f t="shared" si="81"/>
        <v>0</v>
      </c>
      <c r="Y101" s="76">
        <f t="shared" si="81"/>
        <v>0</v>
      </c>
      <c r="Z101" s="76">
        <f t="shared" si="81"/>
        <v>0</v>
      </c>
      <c r="AA101" s="76">
        <f t="shared" si="81"/>
        <v>0</v>
      </c>
      <c r="AB101" s="76">
        <f t="shared" ref="AB101:AC101" si="83">IF(AB84&lt;0,AB84*-1,0)</f>
        <v>0</v>
      </c>
      <c r="AC101" s="76">
        <f t="shared" si="83"/>
        <v>0</v>
      </c>
      <c r="AD101" s="76">
        <f t="shared" ref="AD101:AE101" si="84">IF(AD84&lt;0,AD84*-1,0)</f>
        <v>0</v>
      </c>
      <c r="AE101" s="76">
        <f t="shared" si="84"/>
        <v>0</v>
      </c>
      <c r="AF101" s="76">
        <f t="shared" ref="AF101" si="85">IF(AF84&lt;0,AF84*-1,0)</f>
        <v>0</v>
      </c>
      <c r="AG101" s="52"/>
      <c r="AH101" s="47">
        <f t="shared" si="48"/>
        <v>0</v>
      </c>
      <c r="AI101" s="48">
        <f t="shared" si="49"/>
        <v>0</v>
      </c>
      <c r="BF101" s="251"/>
      <c r="BG101" s="252">
        <v>67.900000000000006</v>
      </c>
      <c r="BH101" s="252">
        <v>0</v>
      </c>
      <c r="BI101" s="252">
        <v>366.2</v>
      </c>
      <c r="BJ101" s="252">
        <v>27</v>
      </c>
      <c r="BK101" s="252">
        <v>0</v>
      </c>
      <c r="BL101" s="252">
        <v>72.3</v>
      </c>
    </row>
    <row r="102" spans="1:64" x14ac:dyDescent="0.25">
      <c r="A102" s="54" t="s">
        <v>82</v>
      </c>
      <c r="B102" s="76">
        <f t="shared" ref="B102:C102" si="86">IF(B82&lt;0,B82*-1,0)</f>
        <v>0</v>
      </c>
      <c r="C102" s="76">
        <f t="shared" si="86"/>
        <v>0</v>
      </c>
      <c r="D102" s="76">
        <f t="shared" ref="D102" si="87">IF(D82&lt;0,D82*-1,0)</f>
        <v>0</v>
      </c>
      <c r="E102" s="76">
        <f t="shared" ref="E102:AA102" si="88">IF(E82&lt;0,E82*-1,0)</f>
        <v>0</v>
      </c>
      <c r="F102" s="76">
        <f t="shared" si="88"/>
        <v>0</v>
      </c>
      <c r="G102" s="76">
        <f t="shared" si="88"/>
        <v>0</v>
      </c>
      <c r="H102" s="76">
        <f t="shared" si="88"/>
        <v>0</v>
      </c>
      <c r="I102" s="76">
        <f t="shared" si="88"/>
        <v>0</v>
      </c>
      <c r="J102" s="76">
        <f t="shared" si="88"/>
        <v>0</v>
      </c>
      <c r="K102" s="76">
        <f t="shared" si="88"/>
        <v>0</v>
      </c>
      <c r="L102" s="76">
        <f t="shared" si="88"/>
        <v>0</v>
      </c>
      <c r="M102" s="76">
        <f t="shared" ref="M102" si="89">IF(M82&lt;0,M82*-1,0)</f>
        <v>0</v>
      </c>
      <c r="N102" s="76">
        <f t="shared" si="88"/>
        <v>0</v>
      </c>
      <c r="O102" s="76">
        <f t="shared" si="88"/>
        <v>0</v>
      </c>
      <c r="P102" s="76">
        <f t="shared" si="88"/>
        <v>0</v>
      </c>
      <c r="Q102" s="76">
        <f t="shared" si="88"/>
        <v>0</v>
      </c>
      <c r="R102" s="76">
        <f t="shared" si="88"/>
        <v>0</v>
      </c>
      <c r="S102" s="76">
        <f t="shared" si="88"/>
        <v>0</v>
      </c>
      <c r="T102" s="76">
        <f t="shared" si="88"/>
        <v>0</v>
      </c>
      <c r="U102" s="76">
        <f t="shared" si="88"/>
        <v>0</v>
      </c>
      <c r="V102" s="76">
        <f t="shared" si="88"/>
        <v>0</v>
      </c>
      <c r="W102" s="76">
        <f t="shared" si="88"/>
        <v>0</v>
      </c>
      <c r="X102" s="76">
        <f t="shared" si="88"/>
        <v>0</v>
      </c>
      <c r="Y102" s="76">
        <f t="shared" si="88"/>
        <v>0</v>
      </c>
      <c r="Z102" s="76">
        <f t="shared" si="88"/>
        <v>0</v>
      </c>
      <c r="AA102" s="76">
        <f t="shared" si="88"/>
        <v>0</v>
      </c>
      <c r="AB102" s="76">
        <f t="shared" ref="AB102:AC102" si="90">IF(AB82&lt;0,AB82*-1,0)</f>
        <v>0</v>
      </c>
      <c r="AC102" s="76">
        <f t="shared" si="90"/>
        <v>0</v>
      </c>
      <c r="AD102" s="76">
        <f t="shared" ref="AD102:AE102" si="91">IF(AD82&lt;0,AD82*-1,0)</f>
        <v>0</v>
      </c>
      <c r="AE102" s="76">
        <f t="shared" si="91"/>
        <v>0</v>
      </c>
      <c r="AF102" s="76">
        <f t="shared" ref="AF102" si="92">IF(AF82&lt;0,AF82*-1,0)</f>
        <v>0</v>
      </c>
      <c r="AG102" s="55"/>
      <c r="AH102" s="47">
        <f t="shared" si="48"/>
        <v>0</v>
      </c>
      <c r="AI102" s="48">
        <f t="shared" si="49"/>
        <v>0</v>
      </c>
      <c r="BF102" s="251"/>
      <c r="BG102" s="252">
        <v>62.5</v>
      </c>
      <c r="BH102" s="252">
        <v>0</v>
      </c>
      <c r="BI102" s="252">
        <v>122</v>
      </c>
      <c r="BJ102" s="252">
        <v>27</v>
      </c>
      <c r="BK102" s="252">
        <v>0</v>
      </c>
      <c r="BL102" s="252">
        <v>76.599999999999994</v>
      </c>
    </row>
    <row r="103" spans="1:64" x14ac:dyDescent="0.25">
      <c r="A103" s="84" t="s">
        <v>104</v>
      </c>
      <c r="B103" s="76">
        <f t="shared" ref="B103:C103" si="93">IF(B85&lt;0,B85*-1,0)</f>
        <v>0</v>
      </c>
      <c r="C103" s="76">
        <f t="shared" si="93"/>
        <v>0</v>
      </c>
      <c r="D103" s="76">
        <f t="shared" ref="D103" si="94">IF(D85&lt;0,D85*-1,0)</f>
        <v>0</v>
      </c>
      <c r="E103" s="76">
        <f t="shared" ref="E103:AA103" si="95">IF(E85&lt;0,E85*-1,0)</f>
        <v>0</v>
      </c>
      <c r="F103" s="76">
        <f t="shared" si="95"/>
        <v>0</v>
      </c>
      <c r="G103" s="76">
        <f t="shared" si="95"/>
        <v>0</v>
      </c>
      <c r="H103" s="76">
        <f t="shared" si="95"/>
        <v>0</v>
      </c>
      <c r="I103" s="76">
        <f t="shared" si="95"/>
        <v>0</v>
      </c>
      <c r="J103" s="76">
        <f t="shared" si="95"/>
        <v>0</v>
      </c>
      <c r="K103" s="76">
        <f t="shared" si="95"/>
        <v>0</v>
      </c>
      <c r="L103" s="76">
        <f t="shared" si="95"/>
        <v>0</v>
      </c>
      <c r="M103" s="76">
        <f t="shared" ref="M103" si="96">IF(M85&lt;0,M85*-1,0)</f>
        <v>0</v>
      </c>
      <c r="N103" s="76">
        <f t="shared" si="95"/>
        <v>0</v>
      </c>
      <c r="O103" s="76">
        <f t="shared" si="95"/>
        <v>0</v>
      </c>
      <c r="P103" s="76">
        <f t="shared" si="95"/>
        <v>0</v>
      </c>
      <c r="Q103" s="76">
        <f t="shared" si="95"/>
        <v>0</v>
      </c>
      <c r="R103" s="76">
        <f t="shared" si="95"/>
        <v>0</v>
      </c>
      <c r="S103" s="76">
        <f t="shared" si="95"/>
        <v>0</v>
      </c>
      <c r="T103" s="76">
        <f t="shared" si="95"/>
        <v>0</v>
      </c>
      <c r="U103" s="76">
        <f t="shared" si="95"/>
        <v>0</v>
      </c>
      <c r="V103" s="76">
        <f t="shared" si="95"/>
        <v>0</v>
      </c>
      <c r="W103" s="76">
        <f t="shared" si="95"/>
        <v>0</v>
      </c>
      <c r="X103" s="76">
        <f t="shared" si="95"/>
        <v>0</v>
      </c>
      <c r="Y103" s="76">
        <f t="shared" si="95"/>
        <v>0</v>
      </c>
      <c r="Z103" s="76">
        <f t="shared" si="95"/>
        <v>0</v>
      </c>
      <c r="AA103" s="76">
        <f t="shared" si="95"/>
        <v>0</v>
      </c>
      <c r="AB103" s="76">
        <f t="shared" ref="AB103:AC103" si="97">IF(AB85&lt;0,AB85*-1,0)</f>
        <v>0</v>
      </c>
      <c r="AC103" s="76">
        <f t="shared" si="97"/>
        <v>0</v>
      </c>
      <c r="AD103" s="76">
        <f t="shared" ref="AD103:AE103" si="98">IF(AD85&lt;0,AD85*-1,0)</f>
        <v>0</v>
      </c>
      <c r="AE103" s="76">
        <f t="shared" si="98"/>
        <v>0</v>
      </c>
      <c r="AF103" s="76">
        <f t="shared" ref="AF103" si="99">IF(AF85&lt;0,AF85*-1,0)</f>
        <v>0</v>
      </c>
      <c r="AG103" s="98"/>
      <c r="AH103" s="47">
        <f t="shared" si="48"/>
        <v>0</v>
      </c>
      <c r="AI103" s="48">
        <f t="shared" si="49"/>
        <v>0</v>
      </c>
      <c r="BF103" s="251"/>
      <c r="BG103" s="252">
        <v>53.2</v>
      </c>
      <c r="BH103" s="252">
        <v>0</v>
      </c>
      <c r="BI103" s="252">
        <v>225.9</v>
      </c>
      <c r="BJ103" s="252">
        <v>29.8</v>
      </c>
      <c r="BK103" s="252">
        <v>0</v>
      </c>
      <c r="BL103" s="252">
        <v>73.7</v>
      </c>
    </row>
    <row r="104" spans="1:64" x14ac:dyDescent="0.25">
      <c r="A104" s="84" t="s">
        <v>105</v>
      </c>
      <c r="B104" s="76">
        <f t="shared" ref="B104:C104" si="100">IF(B83&lt;0,B83*-1,0)</f>
        <v>0</v>
      </c>
      <c r="C104" s="76">
        <f t="shared" si="100"/>
        <v>0</v>
      </c>
      <c r="D104" s="76">
        <f t="shared" ref="D104" si="101">IF(D83&lt;0,D83*-1,0)</f>
        <v>0</v>
      </c>
      <c r="E104" s="76">
        <f t="shared" ref="E104:AA104" si="102">IF(E83&lt;0,E83*-1,0)</f>
        <v>0</v>
      </c>
      <c r="F104" s="76">
        <f t="shared" si="102"/>
        <v>0</v>
      </c>
      <c r="G104" s="76">
        <f t="shared" si="102"/>
        <v>0</v>
      </c>
      <c r="H104" s="76">
        <f t="shared" si="102"/>
        <v>0</v>
      </c>
      <c r="I104" s="76">
        <f t="shared" si="102"/>
        <v>0</v>
      </c>
      <c r="J104" s="76">
        <f t="shared" si="102"/>
        <v>0</v>
      </c>
      <c r="K104" s="76">
        <f t="shared" si="102"/>
        <v>0</v>
      </c>
      <c r="L104" s="76">
        <f t="shared" si="102"/>
        <v>0</v>
      </c>
      <c r="M104" s="76">
        <f t="shared" ref="M104" si="103">IF(M83&lt;0,M83*-1,0)</f>
        <v>0</v>
      </c>
      <c r="N104" s="76">
        <f t="shared" si="102"/>
        <v>0</v>
      </c>
      <c r="O104" s="76">
        <f t="shared" si="102"/>
        <v>0</v>
      </c>
      <c r="P104" s="76">
        <f t="shared" si="102"/>
        <v>0</v>
      </c>
      <c r="Q104" s="76">
        <f t="shared" si="102"/>
        <v>0</v>
      </c>
      <c r="R104" s="76">
        <f t="shared" si="102"/>
        <v>0</v>
      </c>
      <c r="S104" s="76">
        <f t="shared" si="102"/>
        <v>0</v>
      </c>
      <c r="T104" s="76">
        <f t="shared" si="102"/>
        <v>0</v>
      </c>
      <c r="U104" s="76">
        <f t="shared" si="102"/>
        <v>0</v>
      </c>
      <c r="V104" s="76">
        <f t="shared" si="102"/>
        <v>0</v>
      </c>
      <c r="W104" s="76">
        <f t="shared" si="102"/>
        <v>0</v>
      </c>
      <c r="X104" s="76">
        <f t="shared" si="102"/>
        <v>0</v>
      </c>
      <c r="Y104" s="76">
        <f t="shared" si="102"/>
        <v>0</v>
      </c>
      <c r="Z104" s="76">
        <f t="shared" si="102"/>
        <v>0</v>
      </c>
      <c r="AA104" s="76">
        <f t="shared" si="102"/>
        <v>0</v>
      </c>
      <c r="AB104" s="76">
        <f t="shared" ref="AB104:AC104" si="104">IF(AB83&lt;0,AB83*-1,0)</f>
        <v>0</v>
      </c>
      <c r="AC104" s="76">
        <f t="shared" si="104"/>
        <v>0</v>
      </c>
      <c r="AD104" s="76">
        <f t="shared" ref="AD104:AE104" si="105">IF(AD83&lt;0,AD83*-1,0)</f>
        <v>0</v>
      </c>
      <c r="AE104" s="76">
        <f t="shared" si="105"/>
        <v>0</v>
      </c>
      <c r="AF104" s="76">
        <f t="shared" ref="AF104" si="106">IF(AF83&lt;0,AF83*-1,0)</f>
        <v>0</v>
      </c>
      <c r="AG104" s="98"/>
      <c r="AH104" s="47">
        <f t="shared" si="48"/>
        <v>0</v>
      </c>
      <c r="AI104" s="48">
        <f t="shared" si="49"/>
        <v>0</v>
      </c>
      <c r="BF104" s="251"/>
      <c r="BG104" s="252">
        <v>59.4</v>
      </c>
      <c r="BH104" s="252">
        <v>0</v>
      </c>
      <c r="BI104" s="252">
        <v>394.5</v>
      </c>
      <c r="BJ104" s="252">
        <v>20</v>
      </c>
      <c r="BK104" s="252">
        <v>0</v>
      </c>
      <c r="BL104" s="252">
        <v>76.8</v>
      </c>
    </row>
    <row r="105" spans="1:64" x14ac:dyDescent="0.25">
      <c r="A105" s="84" t="s">
        <v>81</v>
      </c>
      <c r="B105" s="76">
        <f t="shared" ref="B105:C105" si="107">IF(B81&lt;0,B81*-1,0)</f>
        <v>0</v>
      </c>
      <c r="C105" s="76">
        <f t="shared" si="107"/>
        <v>0</v>
      </c>
      <c r="D105" s="76">
        <f t="shared" ref="D105" si="108">IF(D81&lt;0,D81*-1,0)</f>
        <v>0</v>
      </c>
      <c r="E105" s="76">
        <f t="shared" ref="E105:AA105" si="109">IF(E81&lt;0,E81*-1,0)</f>
        <v>0</v>
      </c>
      <c r="F105" s="76">
        <f t="shared" si="109"/>
        <v>0</v>
      </c>
      <c r="G105" s="76">
        <f t="shared" si="109"/>
        <v>0</v>
      </c>
      <c r="H105" s="76">
        <f t="shared" si="109"/>
        <v>0</v>
      </c>
      <c r="I105" s="76">
        <f t="shared" si="109"/>
        <v>0</v>
      </c>
      <c r="J105" s="76">
        <f t="shared" si="109"/>
        <v>0</v>
      </c>
      <c r="K105" s="76">
        <f t="shared" si="109"/>
        <v>0</v>
      </c>
      <c r="L105" s="76">
        <f t="shared" si="109"/>
        <v>0</v>
      </c>
      <c r="M105" s="76">
        <f t="shared" ref="M105" si="110">IF(M81&lt;0,M81*-1,0)</f>
        <v>0</v>
      </c>
      <c r="N105" s="76">
        <f t="shared" si="109"/>
        <v>0</v>
      </c>
      <c r="O105" s="76">
        <f t="shared" si="109"/>
        <v>0</v>
      </c>
      <c r="P105" s="76">
        <f t="shared" si="109"/>
        <v>0</v>
      </c>
      <c r="Q105" s="76">
        <f t="shared" si="109"/>
        <v>0</v>
      </c>
      <c r="R105" s="76">
        <f t="shared" si="109"/>
        <v>0</v>
      </c>
      <c r="S105" s="76">
        <f t="shared" si="109"/>
        <v>0</v>
      </c>
      <c r="T105" s="76">
        <f t="shared" si="109"/>
        <v>0</v>
      </c>
      <c r="U105" s="76">
        <f t="shared" si="109"/>
        <v>0</v>
      </c>
      <c r="V105" s="76">
        <f t="shared" si="109"/>
        <v>0</v>
      </c>
      <c r="W105" s="76">
        <f t="shared" si="109"/>
        <v>0</v>
      </c>
      <c r="X105" s="76">
        <f t="shared" si="109"/>
        <v>0</v>
      </c>
      <c r="Y105" s="76">
        <f t="shared" si="109"/>
        <v>0</v>
      </c>
      <c r="Z105" s="76">
        <f t="shared" si="109"/>
        <v>0</v>
      </c>
      <c r="AA105" s="76">
        <f t="shared" si="109"/>
        <v>0</v>
      </c>
      <c r="AB105" s="76">
        <f t="shared" ref="AB105:AC105" si="111">IF(AB81&lt;0,AB81*-1,0)</f>
        <v>0</v>
      </c>
      <c r="AC105" s="76">
        <f t="shared" si="111"/>
        <v>0</v>
      </c>
      <c r="AD105" s="76">
        <f t="shared" ref="AD105:AE105" si="112">IF(AD81&lt;0,AD81*-1,0)</f>
        <v>0</v>
      </c>
      <c r="AE105" s="76">
        <f t="shared" si="112"/>
        <v>0</v>
      </c>
      <c r="AF105" s="76">
        <f t="shared" ref="AF105" si="113">IF(AF81&lt;0,AF81*-1,0)</f>
        <v>0</v>
      </c>
      <c r="AG105" s="98"/>
      <c r="AH105" s="47">
        <f t="shared" si="48"/>
        <v>0</v>
      </c>
      <c r="AI105" s="48">
        <f t="shared" si="49"/>
        <v>0</v>
      </c>
      <c r="BF105" s="251"/>
      <c r="BG105" s="252">
        <v>67.5</v>
      </c>
      <c r="BH105" s="252">
        <v>0</v>
      </c>
      <c r="BI105" s="252">
        <v>395.8</v>
      </c>
      <c r="BJ105" s="252">
        <v>42</v>
      </c>
      <c r="BK105" s="252">
        <v>0</v>
      </c>
      <c r="BL105" s="252">
        <v>78</v>
      </c>
    </row>
    <row r="106" spans="1:64" ht="15.75" thickBot="1" x14ac:dyDescent="0.3">
      <c r="A106" s="84" t="s">
        <v>106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1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0</v>
      </c>
      <c r="AB106" s="94">
        <v>1</v>
      </c>
      <c r="AC106" s="94">
        <v>2</v>
      </c>
      <c r="AD106" s="94">
        <v>3</v>
      </c>
      <c r="AE106" s="94">
        <v>4</v>
      </c>
      <c r="AF106" s="94">
        <v>5</v>
      </c>
      <c r="AG106" s="85"/>
      <c r="AH106" s="47">
        <f t="shared" si="48"/>
        <v>5</v>
      </c>
      <c r="AI106" s="48">
        <f t="shared" si="49"/>
        <v>0</v>
      </c>
      <c r="BG106" s="252">
        <v>70.099999999999994</v>
      </c>
      <c r="BH106" s="252">
        <v>0</v>
      </c>
      <c r="BI106" s="252">
        <v>399.5</v>
      </c>
      <c r="BJ106" s="252">
        <v>50</v>
      </c>
      <c r="BK106" s="252">
        <v>24</v>
      </c>
      <c r="BL106" s="252">
        <v>56.6</v>
      </c>
    </row>
    <row r="107" spans="1:64" ht="15.75" thickBot="1" x14ac:dyDescent="0.3">
      <c r="A107" s="99" t="s">
        <v>107</v>
      </c>
      <c r="B107" s="60">
        <f t="shared" ref="B107:C107" si="114">SUM(B101:B106)</f>
        <v>0</v>
      </c>
      <c r="C107" s="60">
        <f t="shared" si="114"/>
        <v>0</v>
      </c>
      <c r="D107" s="60">
        <f t="shared" ref="D107" si="115">SUM(D101:D106)</f>
        <v>0</v>
      </c>
      <c r="E107" s="60">
        <f t="shared" ref="E107:AA107" si="116">SUM(E101:E106)</f>
        <v>0</v>
      </c>
      <c r="F107" s="60">
        <f t="shared" si="116"/>
        <v>0</v>
      </c>
      <c r="G107" s="60">
        <f t="shared" si="116"/>
        <v>0</v>
      </c>
      <c r="H107" s="60">
        <f t="shared" si="116"/>
        <v>0</v>
      </c>
      <c r="I107" s="60">
        <f t="shared" si="116"/>
        <v>0</v>
      </c>
      <c r="J107" s="60">
        <f t="shared" si="116"/>
        <v>0</v>
      </c>
      <c r="K107" s="60">
        <f t="shared" si="116"/>
        <v>0</v>
      </c>
      <c r="L107" s="60">
        <f t="shared" si="116"/>
        <v>0</v>
      </c>
      <c r="M107" s="60">
        <f t="shared" ref="M107" si="117">SUM(M101:M106)</f>
        <v>1</v>
      </c>
      <c r="N107" s="60">
        <f t="shared" si="116"/>
        <v>0</v>
      </c>
      <c r="O107" s="60">
        <f t="shared" si="116"/>
        <v>0</v>
      </c>
      <c r="P107" s="60">
        <f t="shared" si="116"/>
        <v>0</v>
      </c>
      <c r="Q107" s="60">
        <f t="shared" si="116"/>
        <v>0</v>
      </c>
      <c r="R107" s="60">
        <f t="shared" si="116"/>
        <v>0</v>
      </c>
      <c r="S107" s="60">
        <f t="shared" si="116"/>
        <v>0</v>
      </c>
      <c r="T107" s="60">
        <f t="shared" si="116"/>
        <v>0</v>
      </c>
      <c r="U107" s="60">
        <f t="shared" si="116"/>
        <v>0</v>
      </c>
      <c r="V107" s="60">
        <f t="shared" si="116"/>
        <v>0</v>
      </c>
      <c r="W107" s="60">
        <f t="shared" si="116"/>
        <v>0</v>
      </c>
      <c r="X107" s="60">
        <f t="shared" si="116"/>
        <v>0</v>
      </c>
      <c r="Y107" s="60">
        <f t="shared" si="116"/>
        <v>0</v>
      </c>
      <c r="Z107" s="60">
        <f t="shared" si="116"/>
        <v>0</v>
      </c>
      <c r="AA107" s="60">
        <f t="shared" si="116"/>
        <v>0</v>
      </c>
      <c r="AB107" s="60">
        <f t="shared" ref="AB107:AC107" si="118">SUM(AB101:AB106)</f>
        <v>1</v>
      </c>
      <c r="AC107" s="60">
        <f t="shared" si="118"/>
        <v>2</v>
      </c>
      <c r="AD107" s="60">
        <f t="shared" ref="AD107:AE107" si="119">SUM(AD101:AD106)</f>
        <v>3</v>
      </c>
      <c r="AE107" s="60">
        <f t="shared" si="119"/>
        <v>4</v>
      </c>
      <c r="AF107" s="60">
        <f t="shared" ref="AF107" si="120">SUM(AF101:AF106)</f>
        <v>5</v>
      </c>
      <c r="AG107" s="88"/>
      <c r="AH107" s="47">
        <f t="shared" si="48"/>
        <v>5</v>
      </c>
      <c r="AI107" s="48">
        <f t="shared" si="49"/>
        <v>0</v>
      </c>
      <c r="AK107" s="50"/>
      <c r="BG107" s="252">
        <v>52.4</v>
      </c>
      <c r="BH107" s="252">
        <v>0</v>
      </c>
      <c r="BI107" s="252">
        <v>421</v>
      </c>
      <c r="BJ107" s="252">
        <v>5</v>
      </c>
      <c r="BK107" s="252">
        <v>0</v>
      </c>
      <c r="BL107" s="252">
        <v>0</v>
      </c>
    </row>
    <row r="108" spans="1:64" ht="15.75" thickBot="1" x14ac:dyDescent="0.3">
      <c r="A108" s="74" t="s">
        <v>108</v>
      </c>
      <c r="B108" s="60">
        <f t="shared" ref="B108:C108" si="121">B92-B107</f>
        <v>478.4</v>
      </c>
      <c r="C108" s="60">
        <f t="shared" si="121"/>
        <v>469.2</v>
      </c>
      <c r="D108" s="60">
        <f t="shared" ref="D108" si="122">D92-D107</f>
        <v>469.2</v>
      </c>
      <c r="E108" s="60">
        <f t="shared" ref="E108:AA108" si="123">E92-E107</f>
        <v>483</v>
      </c>
      <c r="F108" s="60">
        <f t="shared" si="123"/>
        <v>544</v>
      </c>
      <c r="G108" s="60">
        <f t="shared" si="123"/>
        <v>632.9</v>
      </c>
      <c r="H108" s="60">
        <f t="shared" si="123"/>
        <v>630</v>
      </c>
      <c r="I108" s="60">
        <f t="shared" si="123"/>
        <v>698.7</v>
      </c>
      <c r="J108" s="60">
        <f t="shared" si="123"/>
        <v>718.2</v>
      </c>
      <c r="K108" s="60">
        <f t="shared" si="123"/>
        <v>464.8</v>
      </c>
      <c r="L108" s="60">
        <f t="shared" si="123"/>
        <v>269.5</v>
      </c>
      <c r="M108" s="60">
        <f t="shared" ref="M108" si="124">M92-M107</f>
        <v>145.9</v>
      </c>
      <c r="N108" s="60">
        <f t="shared" si="123"/>
        <v>212.39999999999998</v>
      </c>
      <c r="O108" s="60">
        <f t="shared" si="123"/>
        <v>416.09999999999997</v>
      </c>
      <c r="P108" s="60">
        <f t="shared" si="123"/>
        <v>569.1</v>
      </c>
      <c r="Q108" s="60">
        <f t="shared" si="123"/>
        <v>560.29999999999995</v>
      </c>
      <c r="R108" s="60">
        <f t="shared" si="123"/>
        <v>740</v>
      </c>
      <c r="S108" s="60">
        <f t="shared" si="123"/>
        <v>753</v>
      </c>
      <c r="T108" s="60">
        <f t="shared" si="123"/>
        <v>775.1</v>
      </c>
      <c r="U108" s="60">
        <f t="shared" si="123"/>
        <v>673.69999999999993</v>
      </c>
      <c r="V108" s="60">
        <f t="shared" si="123"/>
        <v>582.5</v>
      </c>
      <c r="W108" s="60">
        <f t="shared" si="123"/>
        <v>543.1</v>
      </c>
      <c r="X108" s="60">
        <f t="shared" si="123"/>
        <v>533.4</v>
      </c>
      <c r="Y108" s="60">
        <f>Y92-Y107</f>
        <v>406.1</v>
      </c>
      <c r="Z108" s="60">
        <f>Z92-Z107</f>
        <v>288.10000000000002</v>
      </c>
      <c r="AA108" s="60">
        <f t="shared" si="123"/>
        <v>309.90000000000003</v>
      </c>
      <c r="AB108" s="60">
        <f t="shared" ref="AB108:AC108" si="125">AB92-AB107</f>
        <v>381.6</v>
      </c>
      <c r="AC108" s="60">
        <f t="shared" si="125"/>
        <v>552.19999999999993</v>
      </c>
      <c r="AD108" s="60">
        <f t="shared" ref="AD108:AE108" si="126">AD92-AD107</f>
        <v>547.69999999999993</v>
      </c>
      <c r="AE108" s="60">
        <f t="shared" si="126"/>
        <v>579.29999999999995</v>
      </c>
      <c r="AF108" s="60">
        <f t="shared" ref="AF108" si="127">AF92-AF107</f>
        <v>595.20000000000005</v>
      </c>
      <c r="AG108" s="88"/>
      <c r="AH108" s="47">
        <f t="shared" si="48"/>
        <v>775.1</v>
      </c>
      <c r="AI108" s="48">
        <f t="shared" si="49"/>
        <v>145.9</v>
      </c>
    </row>
    <row r="109" spans="1:64" x14ac:dyDescent="0.25">
      <c r="A109" s="100" t="s">
        <v>109</v>
      </c>
      <c r="B109" s="101">
        <v>50.04</v>
      </c>
      <c r="C109" s="101">
        <v>50.01</v>
      </c>
      <c r="D109" s="101">
        <v>50.01</v>
      </c>
      <c r="E109" s="101">
        <v>50.011000000000003</v>
      </c>
      <c r="F109" s="101">
        <v>49.995600000000003</v>
      </c>
      <c r="G109" s="101">
        <v>49.959000000000003</v>
      </c>
      <c r="H109" s="101">
        <v>49.959000000000003</v>
      </c>
      <c r="I109" s="101">
        <v>50.037999999999997</v>
      </c>
      <c r="J109" s="101">
        <v>50.015000000000001</v>
      </c>
      <c r="K109" s="101">
        <v>49.95</v>
      </c>
      <c r="L109" s="101">
        <v>49.892000000000003</v>
      </c>
      <c r="M109" s="101">
        <v>49.892000000000003</v>
      </c>
      <c r="N109" s="101">
        <v>50.067999999999998</v>
      </c>
      <c r="O109" s="101">
        <v>50.072000000000003</v>
      </c>
      <c r="P109" s="101">
        <v>50.023000000000003</v>
      </c>
      <c r="Q109" s="101">
        <v>50.040999999999997</v>
      </c>
      <c r="R109" s="101">
        <v>50.033999999999999</v>
      </c>
      <c r="S109" s="101">
        <v>50.042000000000002</v>
      </c>
      <c r="T109" s="101">
        <v>49.975999999999999</v>
      </c>
      <c r="U109" s="101">
        <v>50.021000000000001</v>
      </c>
      <c r="V109" s="101">
        <v>49.872</v>
      </c>
      <c r="W109" s="101">
        <v>50.101999999999997</v>
      </c>
      <c r="X109" s="101">
        <v>49.965000000000003</v>
      </c>
      <c r="Y109" s="101">
        <v>49.86</v>
      </c>
      <c r="Z109" s="101">
        <v>49.898000000000003</v>
      </c>
      <c r="AA109" s="101">
        <v>49.98</v>
      </c>
      <c r="AB109" s="101">
        <v>50.05</v>
      </c>
      <c r="AC109" s="101">
        <v>49.92</v>
      </c>
      <c r="AD109" s="101">
        <v>49.92</v>
      </c>
      <c r="AE109" s="101">
        <v>50</v>
      </c>
      <c r="AF109" s="101">
        <v>50.01</v>
      </c>
      <c r="AG109" s="102"/>
      <c r="AH109" s="47">
        <f t="shared" si="48"/>
        <v>50.101999999999997</v>
      </c>
      <c r="AI109" s="48">
        <f t="shared" si="49"/>
        <v>49.86</v>
      </c>
    </row>
    <row r="110" spans="1:64" x14ac:dyDescent="0.25">
      <c r="A110" s="103" t="s">
        <v>110</v>
      </c>
      <c r="B110" s="65">
        <v>124.6</v>
      </c>
      <c r="C110" s="65">
        <v>124.6</v>
      </c>
      <c r="D110" s="65">
        <v>124.6</v>
      </c>
      <c r="E110" s="65">
        <v>128.80000000000001</v>
      </c>
      <c r="F110" s="65">
        <v>127.8</v>
      </c>
      <c r="G110" s="65">
        <v>123.6</v>
      </c>
      <c r="H110" s="65">
        <v>123.6</v>
      </c>
      <c r="I110" s="65">
        <v>126.5</v>
      </c>
      <c r="J110" s="65">
        <v>125.8</v>
      </c>
      <c r="K110" s="65">
        <v>127</v>
      </c>
      <c r="L110" s="65">
        <v>124.7</v>
      </c>
      <c r="M110" s="65">
        <v>124.7</v>
      </c>
      <c r="N110" s="65">
        <v>123</v>
      </c>
      <c r="O110" s="65">
        <v>124.1</v>
      </c>
      <c r="P110" s="65">
        <v>124.1</v>
      </c>
      <c r="Q110" s="65">
        <v>125.9</v>
      </c>
      <c r="R110" s="65">
        <v>122.3</v>
      </c>
      <c r="S110" s="65">
        <v>121.8</v>
      </c>
      <c r="T110" s="65">
        <v>121.7</v>
      </c>
      <c r="U110" s="65">
        <v>124.5</v>
      </c>
      <c r="V110" s="65">
        <v>125.9</v>
      </c>
      <c r="W110" s="65">
        <v>125.3</v>
      </c>
      <c r="X110" s="65">
        <v>123.5</v>
      </c>
      <c r="Y110" s="65">
        <v>127</v>
      </c>
      <c r="Z110" s="65">
        <v>129</v>
      </c>
      <c r="AA110" s="65">
        <v>129.19999999999999</v>
      </c>
      <c r="AB110" s="65">
        <v>127.7</v>
      </c>
      <c r="AC110" s="65">
        <v>127.7</v>
      </c>
      <c r="AD110" s="65">
        <v>127.7</v>
      </c>
      <c r="AE110" s="65">
        <v>125.1</v>
      </c>
      <c r="AF110" s="65">
        <v>123.3</v>
      </c>
      <c r="AG110" s="104"/>
      <c r="AH110" s="47">
        <f t="shared" si="48"/>
        <v>129.19999999999999</v>
      </c>
      <c r="AI110" s="48">
        <f t="shared" si="49"/>
        <v>121.7</v>
      </c>
    </row>
    <row r="111" spans="1:64" x14ac:dyDescent="0.25">
      <c r="A111" s="103" t="s">
        <v>111</v>
      </c>
      <c r="B111" s="65">
        <v>127.38</v>
      </c>
      <c r="C111" s="65">
        <v>127.38</v>
      </c>
      <c r="D111" s="65">
        <v>127.38</v>
      </c>
      <c r="E111" s="65">
        <v>133.5</v>
      </c>
      <c r="F111" s="65">
        <v>132.4</v>
      </c>
      <c r="G111" s="65">
        <v>129</v>
      </c>
      <c r="H111" s="65">
        <v>129</v>
      </c>
      <c r="I111" s="65">
        <v>130.19999999999999</v>
      </c>
      <c r="J111" s="65">
        <v>128.6</v>
      </c>
      <c r="K111" s="65">
        <v>128.5</v>
      </c>
      <c r="L111" s="65">
        <v>125.2</v>
      </c>
      <c r="M111" s="65">
        <v>125.2</v>
      </c>
      <c r="N111" s="65">
        <v>125.6</v>
      </c>
      <c r="O111" s="65">
        <v>126.4</v>
      </c>
      <c r="P111" s="65">
        <v>126.6</v>
      </c>
      <c r="Q111" s="65">
        <v>128</v>
      </c>
      <c r="R111" s="65">
        <v>125.4</v>
      </c>
      <c r="S111" s="65">
        <v>125.6</v>
      </c>
      <c r="T111" s="65">
        <v>125.4</v>
      </c>
      <c r="U111" s="65">
        <v>127.3</v>
      </c>
      <c r="V111" s="65">
        <v>128.19999999999999</v>
      </c>
      <c r="W111" s="65">
        <v>127.7</v>
      </c>
      <c r="X111" s="65">
        <v>125.6</v>
      </c>
      <c r="Y111" s="65">
        <v>128.5</v>
      </c>
      <c r="Z111" s="65">
        <v>130</v>
      </c>
      <c r="AA111" s="65">
        <v>130.69999999999999</v>
      </c>
      <c r="AB111" s="65">
        <v>129.69999999999999</v>
      </c>
      <c r="AC111" s="65">
        <v>129.69999999999999</v>
      </c>
      <c r="AD111" s="65">
        <v>129.69999999999999</v>
      </c>
      <c r="AE111" s="65">
        <v>129.69999999999999</v>
      </c>
      <c r="AF111" s="65">
        <v>129</v>
      </c>
      <c r="AG111" s="104"/>
      <c r="AH111" s="47">
        <f t="shared" si="48"/>
        <v>133.5</v>
      </c>
      <c r="AI111" s="48">
        <f t="shared" si="49"/>
        <v>125.2</v>
      </c>
    </row>
    <row r="112" spans="1:64" x14ac:dyDescent="0.25">
      <c r="A112" s="103" t="s">
        <v>112</v>
      </c>
      <c r="B112" s="65">
        <v>128.5</v>
      </c>
      <c r="C112" s="65">
        <v>128.5</v>
      </c>
      <c r="D112" s="65">
        <v>128.5</v>
      </c>
      <c r="E112" s="65">
        <v>129.6</v>
      </c>
      <c r="F112" s="65">
        <v>130.1</v>
      </c>
      <c r="G112" s="65">
        <v>127.7</v>
      </c>
      <c r="H112" s="65">
        <v>127.7</v>
      </c>
      <c r="I112" s="65">
        <v>129.30000000000001</v>
      </c>
      <c r="J112" s="65">
        <v>126</v>
      </c>
      <c r="K112" s="65">
        <v>128.9</v>
      </c>
      <c r="L112" s="65">
        <v>125.9</v>
      </c>
      <c r="M112" s="65">
        <v>125.9</v>
      </c>
      <c r="N112" s="65">
        <v>131.19999999999999</v>
      </c>
      <c r="O112" s="65">
        <v>131.6</v>
      </c>
      <c r="P112" s="65">
        <v>126.4</v>
      </c>
      <c r="Q112" s="65">
        <v>127.6</v>
      </c>
      <c r="R112" s="65">
        <v>127</v>
      </c>
      <c r="S112" s="65">
        <v>126.1</v>
      </c>
      <c r="T112" s="65">
        <v>127.3</v>
      </c>
      <c r="U112" s="65">
        <v>129.5</v>
      </c>
      <c r="V112" s="65">
        <v>129.1</v>
      </c>
      <c r="W112" s="65">
        <v>127.6</v>
      </c>
      <c r="X112" s="65">
        <v>126</v>
      </c>
      <c r="Y112" s="65">
        <v>131.69999999999999</v>
      </c>
      <c r="Z112" s="65">
        <v>132.4</v>
      </c>
      <c r="AA112" s="65">
        <v>133</v>
      </c>
      <c r="AB112" s="65">
        <v>134.30000000000001</v>
      </c>
      <c r="AC112" s="65">
        <v>134.30000000000001</v>
      </c>
      <c r="AD112" s="65">
        <v>134.30000000000001</v>
      </c>
      <c r="AE112" s="65">
        <v>128.6</v>
      </c>
      <c r="AF112" s="65">
        <v>127.1</v>
      </c>
      <c r="AG112" s="104"/>
      <c r="AH112" s="47">
        <f t="shared" si="48"/>
        <v>134.30000000000001</v>
      </c>
      <c r="AI112" s="48">
        <f t="shared" si="49"/>
        <v>125.9</v>
      </c>
    </row>
    <row r="113" spans="1:35" x14ac:dyDescent="0.25">
      <c r="A113" s="105" t="s">
        <v>113</v>
      </c>
      <c r="B113" s="65">
        <v>131.1</v>
      </c>
      <c r="C113" s="65">
        <v>131.1</v>
      </c>
      <c r="D113" s="65">
        <v>131.1</v>
      </c>
      <c r="E113" s="65">
        <v>133.1</v>
      </c>
      <c r="F113" s="65">
        <v>133.5</v>
      </c>
      <c r="G113" s="65">
        <v>130.69999999999999</v>
      </c>
      <c r="H113" s="65">
        <v>130.69999999999999</v>
      </c>
      <c r="I113" s="65">
        <v>132.4</v>
      </c>
      <c r="J113" s="65">
        <v>129.69999999999999</v>
      </c>
      <c r="K113" s="65">
        <v>130.30000000000001</v>
      </c>
      <c r="L113" s="65">
        <v>128.1</v>
      </c>
      <c r="M113" s="65">
        <v>128.1</v>
      </c>
      <c r="N113" s="65">
        <v>132.1</v>
      </c>
      <c r="O113" s="65">
        <v>132.5</v>
      </c>
      <c r="P113" s="65">
        <v>128.9</v>
      </c>
      <c r="Q113" s="65">
        <v>129.69999999999999</v>
      </c>
      <c r="R113" s="65">
        <v>129.69999999999999</v>
      </c>
      <c r="S113" s="65">
        <v>128.5</v>
      </c>
      <c r="T113" s="65">
        <v>129.30000000000001</v>
      </c>
      <c r="U113" s="65">
        <v>130.80000000000001</v>
      </c>
      <c r="V113" s="65">
        <v>130</v>
      </c>
      <c r="W113" s="65">
        <v>128.4</v>
      </c>
      <c r="X113" s="65">
        <v>125.8</v>
      </c>
      <c r="Y113" s="65">
        <v>131</v>
      </c>
      <c r="Z113" s="65">
        <v>132.9</v>
      </c>
      <c r="AA113" s="65">
        <v>133.1</v>
      </c>
      <c r="AB113" s="65">
        <v>135.6</v>
      </c>
      <c r="AC113" s="65">
        <v>135.6</v>
      </c>
      <c r="AD113" s="65">
        <v>135.6</v>
      </c>
      <c r="AE113" s="65">
        <v>128.9</v>
      </c>
      <c r="AF113" s="65">
        <v>127.8</v>
      </c>
      <c r="AG113" s="104"/>
      <c r="AH113" s="47">
        <f t="shared" si="48"/>
        <v>135.6</v>
      </c>
      <c r="AI113" s="48">
        <f t="shared" si="49"/>
        <v>125.8</v>
      </c>
    </row>
    <row r="114" spans="1:35" x14ac:dyDescent="0.25">
      <c r="A114" s="105" t="s">
        <v>114</v>
      </c>
      <c r="B114" s="106">
        <v>132.1</v>
      </c>
      <c r="C114" s="106">
        <v>132.1</v>
      </c>
      <c r="D114" s="106">
        <v>132.1</v>
      </c>
      <c r="E114" s="106">
        <v>129.80000000000001</v>
      </c>
      <c r="F114" s="106">
        <v>131.19999999999999</v>
      </c>
      <c r="G114" s="106">
        <v>127.9</v>
      </c>
      <c r="H114" s="106">
        <v>127.9</v>
      </c>
      <c r="I114" s="106">
        <v>134.6</v>
      </c>
      <c r="J114" s="106">
        <v>134.30000000000001</v>
      </c>
      <c r="K114" s="106">
        <v>135.69999999999999</v>
      </c>
      <c r="L114" s="106">
        <v>134.5</v>
      </c>
      <c r="M114" s="106">
        <v>134.5</v>
      </c>
      <c r="N114" s="106">
        <v>133.1</v>
      </c>
      <c r="O114" s="106">
        <v>133.6</v>
      </c>
      <c r="P114" s="106">
        <v>132.4</v>
      </c>
      <c r="Q114" s="106">
        <v>132.6</v>
      </c>
      <c r="R114" s="106">
        <v>130.1</v>
      </c>
      <c r="S114" s="106">
        <v>130.30000000000001</v>
      </c>
      <c r="T114" s="106">
        <v>130.6</v>
      </c>
      <c r="U114" s="106">
        <v>131.9</v>
      </c>
      <c r="V114" s="106">
        <v>132.80000000000001</v>
      </c>
      <c r="W114" s="106">
        <v>132.69999999999999</v>
      </c>
      <c r="X114" s="106">
        <v>132.30000000000001</v>
      </c>
      <c r="Y114" s="106">
        <v>135</v>
      </c>
      <c r="Z114" s="106">
        <v>135.69999999999999</v>
      </c>
      <c r="AA114" s="106">
        <v>137.4</v>
      </c>
      <c r="AB114" s="106">
        <v>136.30000000000001</v>
      </c>
      <c r="AC114" s="106">
        <v>136.30000000000001</v>
      </c>
      <c r="AD114" s="106">
        <v>136.30000000000001</v>
      </c>
      <c r="AE114" s="106">
        <v>136</v>
      </c>
      <c r="AF114" s="106">
        <v>132.4</v>
      </c>
      <c r="AG114" s="107"/>
      <c r="AH114" s="47">
        <f t="shared" si="48"/>
        <v>137.4</v>
      </c>
      <c r="AI114" s="48">
        <f t="shared" si="49"/>
        <v>127.9</v>
      </c>
    </row>
    <row r="115" spans="1:35" x14ac:dyDescent="0.25">
      <c r="A115" s="103" t="s">
        <v>115</v>
      </c>
      <c r="B115" s="65">
        <v>134.19999999999999</v>
      </c>
      <c r="C115" s="65">
        <v>134.19999999999999</v>
      </c>
      <c r="D115" s="65">
        <v>134.19999999999999</v>
      </c>
      <c r="E115" s="65">
        <v>128.1</v>
      </c>
      <c r="F115" s="65">
        <v>127.2</v>
      </c>
      <c r="G115" s="65">
        <v>124.9</v>
      </c>
      <c r="H115" s="65">
        <v>124.9</v>
      </c>
      <c r="I115" s="65">
        <v>131.4</v>
      </c>
      <c r="J115" s="65">
        <v>129.9</v>
      </c>
      <c r="K115" s="65">
        <v>126.9</v>
      </c>
      <c r="L115" s="65">
        <v>126.5</v>
      </c>
      <c r="M115" s="65">
        <v>126.5</v>
      </c>
      <c r="N115" s="65">
        <v>130</v>
      </c>
      <c r="O115" s="65">
        <v>132.30000000000001</v>
      </c>
      <c r="P115" s="65">
        <v>130.5</v>
      </c>
      <c r="Q115" s="65">
        <v>129.4</v>
      </c>
      <c r="R115" s="65">
        <v>126.1</v>
      </c>
      <c r="S115" s="65">
        <v>132.5</v>
      </c>
      <c r="T115" s="65">
        <v>126.1</v>
      </c>
      <c r="U115" s="65">
        <v>135.5</v>
      </c>
      <c r="V115" s="65">
        <v>132.30000000000001</v>
      </c>
      <c r="W115" s="65">
        <v>135.37</v>
      </c>
      <c r="X115" s="65">
        <v>130.1</v>
      </c>
      <c r="Y115" s="65">
        <v>128.19999999999999</v>
      </c>
      <c r="Z115" s="65">
        <v>130.4</v>
      </c>
      <c r="AA115" s="65">
        <v>134</v>
      </c>
      <c r="AB115" s="65">
        <v>135.69999999999999</v>
      </c>
      <c r="AC115" s="65">
        <v>135.69999999999999</v>
      </c>
      <c r="AD115" s="65">
        <v>135.69999999999999</v>
      </c>
      <c r="AE115" s="65">
        <v>131.1</v>
      </c>
      <c r="AF115" s="65">
        <v>127.4</v>
      </c>
      <c r="AG115" s="104"/>
      <c r="AH115" s="47">
        <f t="shared" si="48"/>
        <v>135.69999999999999</v>
      </c>
      <c r="AI115" s="48">
        <f t="shared" si="49"/>
        <v>124.9</v>
      </c>
    </row>
    <row r="116" spans="1:35" ht="15.75" thickBot="1" x14ac:dyDescent="0.3">
      <c r="A116" s="103" t="s">
        <v>116</v>
      </c>
      <c r="B116" s="92">
        <v>64.3</v>
      </c>
      <c r="C116" s="92">
        <v>64.3</v>
      </c>
      <c r="D116" s="92">
        <v>64.3</v>
      </c>
      <c r="E116" s="92">
        <v>67.3</v>
      </c>
      <c r="F116" s="92">
        <v>66.8</v>
      </c>
      <c r="G116" s="92">
        <v>66.2</v>
      </c>
      <c r="H116" s="92">
        <v>66</v>
      </c>
      <c r="I116" s="92">
        <v>65.7</v>
      </c>
      <c r="J116" s="92">
        <v>65</v>
      </c>
      <c r="K116" s="92">
        <v>64.8</v>
      </c>
      <c r="L116" s="92">
        <v>63</v>
      </c>
      <c r="M116" s="92">
        <v>63</v>
      </c>
      <c r="N116" s="92">
        <v>63.3</v>
      </c>
      <c r="O116" s="92">
        <v>63.6</v>
      </c>
      <c r="P116" s="92">
        <v>63.3</v>
      </c>
      <c r="Q116" s="92">
        <v>64.3</v>
      </c>
      <c r="R116" s="92">
        <v>63</v>
      </c>
      <c r="S116" s="92">
        <v>62.8</v>
      </c>
      <c r="T116" s="92">
        <v>63</v>
      </c>
      <c r="U116" s="92">
        <v>64.3</v>
      </c>
      <c r="V116" s="92">
        <v>64.599999999999994</v>
      </c>
      <c r="W116" s="92">
        <v>64.3</v>
      </c>
      <c r="X116" s="92">
        <v>62.8</v>
      </c>
      <c r="Y116" s="92">
        <v>64.5</v>
      </c>
      <c r="Z116" s="92">
        <v>65.2</v>
      </c>
      <c r="AA116" s="92">
        <v>65.2</v>
      </c>
      <c r="AB116" s="92">
        <v>65.2</v>
      </c>
      <c r="AC116" s="92">
        <v>65.2</v>
      </c>
      <c r="AD116" s="92">
        <v>65.2</v>
      </c>
      <c r="AE116" s="92">
        <v>65.5</v>
      </c>
      <c r="AF116" s="92">
        <v>64.7</v>
      </c>
      <c r="AG116" s="108"/>
      <c r="AH116" s="47">
        <f t="shared" si="48"/>
        <v>67.3</v>
      </c>
      <c r="AI116" s="48">
        <f t="shared" si="49"/>
        <v>62.8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 t="s">
        <v>117</v>
      </c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48"/>
        <v>0</v>
      </c>
      <c r="AI117" s="48">
        <f t="shared" si="49"/>
        <v>0</v>
      </c>
    </row>
    <row r="118" spans="1:35" ht="15.75" thickBot="1" x14ac:dyDescent="0.3">
      <c r="A118" s="110" t="s">
        <v>118</v>
      </c>
      <c r="B118" s="111">
        <f t="shared" ref="B118:C118" si="128">SUM(B22,B28,B31:B32,B66,B68:B69,B71,B73,B119:B123,B155,B161,B167,B176,B178,B190,B197,B200:B201,B208,B210,B212,B216:B218,B220:B222,B227,B233:B234,B236:B238,B246,B251)</f>
        <v>168.98</v>
      </c>
      <c r="C118" s="111">
        <f t="shared" si="128"/>
        <v>144.13999999999999</v>
      </c>
      <c r="D118" s="111">
        <f t="shared" ref="D118" si="129">SUM(D22,D28,D31:D32,D66,D68:D69,D71,D73,D119:D123,D155,D161,D167,D176,D178,D190,D197,D200:D201,D208,D210,D212,D216:D218,D220:D222,D227,D233:D234,D236:D238,D246,D251)</f>
        <v>139.34</v>
      </c>
      <c r="E118" s="111">
        <f t="shared" ref="E118:O118" si="130">SUM(E22,E28,E31:E32,E66,E68:E69,E71,E73,E119:E123,E155,E161,E167,E176,E178,E190,E197,E200:E201,E208,E210,E212,E216:E218,E220:E222,E227,E233:E234,E236:E238,E246,E251)</f>
        <v>111.05199999999999</v>
      </c>
      <c r="F118" s="111">
        <f t="shared" si="130"/>
        <v>134.06799999999998</v>
      </c>
      <c r="G118" s="111">
        <f t="shared" si="130"/>
        <v>175.684</v>
      </c>
      <c r="H118" s="111">
        <f t="shared" si="130"/>
        <v>232.33999999999997</v>
      </c>
      <c r="I118" s="111">
        <f t="shared" si="130"/>
        <v>253.892</v>
      </c>
      <c r="J118" s="111">
        <f t="shared" si="130"/>
        <v>323.73999999999995</v>
      </c>
      <c r="K118" s="111">
        <f t="shared" si="130"/>
        <v>381.608</v>
      </c>
      <c r="L118" s="111">
        <f t="shared" si="130"/>
        <v>366.44</v>
      </c>
      <c r="M118" s="111">
        <f t="shared" ref="M118" si="131">SUM(M22,M28,M31:M32,M66,M68:M69,M71,M73,M119:M123,M155,M161,M167,M176,M178,M190,M197,M200:M201,M208,M210,M212,M216:M218,M220:M222,M227,M233:M234,M236:M238,M246,M251)</f>
        <v>368.54</v>
      </c>
      <c r="N118" s="111">
        <f t="shared" si="130"/>
        <v>394.41199999999998</v>
      </c>
      <c r="O118" s="111">
        <f t="shared" si="130"/>
        <v>385.58</v>
      </c>
      <c r="P118" s="111">
        <v>42</v>
      </c>
      <c r="Q118" s="111">
        <f t="shared" ref="Q118:AA118" si="132">SUM(Q22,Q28,Q31:Q32,Q66,Q68:Q69,Q71,Q73,Q119:Q123,Q155,Q161,Q167,Q176,Q178,Q190,Q197,Q200:Q201,Q208,Q210,Q212,Q216:Q218,Q220:Q222,Q227,Q233:Q234,Q236:Q238,Q246,Q251)</f>
        <v>356.08</v>
      </c>
      <c r="R118" s="111">
        <f t="shared" si="132"/>
        <v>341.2</v>
      </c>
      <c r="S118" s="111">
        <f t="shared" si="132"/>
        <v>325.7</v>
      </c>
      <c r="T118" s="111">
        <f t="shared" si="132"/>
        <v>327.04000000000002</v>
      </c>
      <c r="U118" s="111">
        <f t="shared" si="132"/>
        <v>335.56</v>
      </c>
      <c r="V118" s="111">
        <f t="shared" si="132"/>
        <v>352.26000000000005</v>
      </c>
      <c r="W118" s="111">
        <f t="shared" si="132"/>
        <v>371.74</v>
      </c>
      <c r="X118" s="111">
        <f t="shared" si="132"/>
        <v>423.04</v>
      </c>
      <c r="Y118" s="111">
        <f t="shared" ref="Y118:Z118" si="133">SUM(Y20,Y26,Y37:Y38,Y66,Y68:Y69,Y71,Y73,Y119:Y123,Y148,Y154,Y160,Y169,Y171,Y183,Y190,Y193:Y194,Y201,Y203,Y205,Y209:Y211,Y213:Y215,Y220,Y226:Y227,Y229:Y231,Y239,Y244)</f>
        <v>470.4</v>
      </c>
      <c r="Z118" s="111">
        <f t="shared" si="133"/>
        <v>453.70000000000005</v>
      </c>
      <c r="AA118" s="111">
        <f t="shared" si="132"/>
        <v>451.04</v>
      </c>
      <c r="AB118" s="111">
        <f t="shared" ref="AB118:AC118" si="134">SUM(AB22,AB28,AB31:AB32,AB66,AB68:AB69,AB71,AB73,AB119:AB123,AB155,AB161,AB167,AB176,AB178,AB190,AB197,AB200:AB201,AB208,AB210,AB212,AB216:AB218,AB220:AB222,AB227,AB233:AB234,AB236:AB238,AB246,AB251)</f>
        <v>441.34000000000009</v>
      </c>
      <c r="AC118" s="111">
        <f t="shared" si="134"/>
        <v>406.85999999999996</v>
      </c>
      <c r="AD118" s="111">
        <f t="shared" ref="AD118:AE118" si="135">SUM(AD22,AD28,AD31:AD32,AD66,AD68:AD69,AD71,AD73,AD119:AD123,AD155,AD161,AD167,AD176,AD178,AD190,AD197,AD200:AD201,AD208,AD210,AD212,AD216:AD218,AD220:AD222,AD227,AD233:AD234,AD236:AD238,AD246,AD251)</f>
        <v>406.85999999999996</v>
      </c>
      <c r="AE118" s="111">
        <f t="shared" si="135"/>
        <v>293.66000000000003</v>
      </c>
      <c r="AF118" s="111">
        <f t="shared" ref="AF118" si="136">SUM(AF22,AF28,AF31:AF32,AF66,AF68:AF69,AF71,AF73,AF119:AF123,AF155,AF161,AF167,AF176,AF178,AF190,AF197,AF200:AF201,AF208,AF210,AF212,AF216:AF218,AF220:AF222,AF227,AF233:AF234,AF236:AF238,AF246,AF251)</f>
        <v>293.66000000000003</v>
      </c>
      <c r="AG118" s="112"/>
      <c r="AH118" s="47">
        <f t="shared" si="48"/>
        <v>470.4</v>
      </c>
      <c r="AI118" s="48">
        <f t="shared" si="49"/>
        <v>42</v>
      </c>
    </row>
    <row r="119" spans="1:35" x14ac:dyDescent="0.25">
      <c r="A119" s="172" t="s">
        <v>119</v>
      </c>
      <c r="B119" s="113">
        <v>24.8</v>
      </c>
      <c r="C119" s="113">
        <v>10.1</v>
      </c>
      <c r="D119" s="113">
        <v>10.1</v>
      </c>
      <c r="E119" s="113">
        <v>5.5</v>
      </c>
      <c r="F119" s="113">
        <v>3</v>
      </c>
      <c r="G119" s="113">
        <v>-3.6</v>
      </c>
      <c r="H119" s="113">
        <v>12.3</v>
      </c>
      <c r="I119" s="113">
        <v>22.2</v>
      </c>
      <c r="J119" s="113">
        <v>31.4</v>
      </c>
      <c r="K119" s="113">
        <v>40</v>
      </c>
      <c r="L119" s="113">
        <v>49.1</v>
      </c>
      <c r="M119" s="113">
        <v>49.1</v>
      </c>
      <c r="N119" s="113">
        <v>34.1</v>
      </c>
      <c r="O119" s="113">
        <v>32.5</v>
      </c>
      <c r="P119" s="113">
        <v>37.4</v>
      </c>
      <c r="Q119" s="113">
        <v>36.6</v>
      </c>
      <c r="R119" s="113">
        <v>21.5</v>
      </c>
      <c r="S119" s="113">
        <v>20.2</v>
      </c>
      <c r="T119" s="113">
        <v>21</v>
      </c>
      <c r="U119" s="113">
        <v>22</v>
      </c>
      <c r="V119" s="113">
        <v>26.6</v>
      </c>
      <c r="W119" s="113">
        <v>47</v>
      </c>
      <c r="X119" s="113">
        <v>63.7</v>
      </c>
      <c r="Y119" s="113">
        <v>65</v>
      </c>
      <c r="Z119" s="113">
        <v>61.6</v>
      </c>
      <c r="AA119" s="113">
        <v>54.2</v>
      </c>
      <c r="AB119" s="113">
        <v>58.5</v>
      </c>
      <c r="AC119" s="113">
        <v>39.5</v>
      </c>
      <c r="AD119" s="113">
        <v>39.5</v>
      </c>
      <c r="AE119" s="113">
        <v>70.7</v>
      </c>
      <c r="AF119" s="113">
        <v>70.7</v>
      </c>
      <c r="AG119" s="114">
        <v>75</v>
      </c>
      <c r="AH119" s="47">
        <f t="shared" si="48"/>
        <v>70.7</v>
      </c>
      <c r="AI119" s="48">
        <f t="shared" si="49"/>
        <v>-3.6</v>
      </c>
    </row>
    <row r="120" spans="1:35" x14ac:dyDescent="0.25">
      <c r="A120" s="173" t="s">
        <v>120</v>
      </c>
      <c r="B120" s="115">
        <v>29.4</v>
      </c>
      <c r="C120" s="115">
        <v>10.4</v>
      </c>
      <c r="D120" s="115">
        <v>10.4</v>
      </c>
      <c r="E120" s="115">
        <v>4.3</v>
      </c>
      <c r="F120" s="115">
        <v>0.4</v>
      </c>
      <c r="G120" s="115">
        <v>-8.5</v>
      </c>
      <c r="H120" s="115">
        <v>17</v>
      </c>
      <c r="I120" s="115">
        <v>25.8</v>
      </c>
      <c r="J120" s="115">
        <v>38.6</v>
      </c>
      <c r="K120" s="115">
        <v>55.5</v>
      </c>
      <c r="L120" s="115">
        <v>66.400000000000006</v>
      </c>
      <c r="M120" s="115">
        <v>66.400000000000006</v>
      </c>
      <c r="N120" s="115">
        <v>45.6</v>
      </c>
      <c r="O120" s="115">
        <v>45.3</v>
      </c>
      <c r="P120" s="115">
        <v>47.3</v>
      </c>
      <c r="Q120" s="115">
        <v>48.4</v>
      </c>
      <c r="R120" s="115">
        <v>25.9</v>
      </c>
      <c r="S120" s="115">
        <v>25.7</v>
      </c>
      <c r="T120" s="115">
        <v>26</v>
      </c>
      <c r="U120" s="115">
        <v>32.200000000000003</v>
      </c>
      <c r="V120" s="115">
        <v>38.1</v>
      </c>
      <c r="W120" s="115">
        <v>67</v>
      </c>
      <c r="X120" s="115">
        <v>86.9</v>
      </c>
      <c r="Y120" s="115">
        <v>87</v>
      </c>
      <c r="Z120" s="115">
        <v>82.6</v>
      </c>
      <c r="AA120" s="115">
        <v>71</v>
      </c>
      <c r="AB120" s="115">
        <v>76.400000000000006</v>
      </c>
      <c r="AC120" s="115">
        <v>51.2</v>
      </c>
      <c r="AD120" s="115">
        <v>51.2</v>
      </c>
      <c r="AE120" s="115">
        <v>90.6</v>
      </c>
      <c r="AF120" s="115">
        <v>90.6</v>
      </c>
      <c r="AG120" s="114">
        <v>240</v>
      </c>
      <c r="AH120" s="47">
        <f t="shared" si="48"/>
        <v>90.6</v>
      </c>
      <c r="AI120" s="48">
        <f t="shared" si="49"/>
        <v>-8.5</v>
      </c>
    </row>
    <row r="121" spans="1:35" x14ac:dyDescent="0.25">
      <c r="A121" s="173" t="s">
        <v>121</v>
      </c>
      <c r="B121" s="115">
        <v>-73.8</v>
      </c>
      <c r="C121" s="115">
        <v>-76.900000000000006</v>
      </c>
      <c r="D121" s="115">
        <v>-76.900000000000006</v>
      </c>
      <c r="E121" s="115">
        <v>-91.6</v>
      </c>
      <c r="F121" s="115">
        <v>-56.2</v>
      </c>
      <c r="G121" s="115">
        <v>-35.6</v>
      </c>
      <c r="H121" s="115">
        <v>-26</v>
      </c>
      <c r="I121" s="115">
        <v>-19.7</v>
      </c>
      <c r="J121" s="115">
        <v>7.5</v>
      </c>
      <c r="K121" s="115">
        <v>36.1</v>
      </c>
      <c r="L121" s="115">
        <v>39</v>
      </c>
      <c r="M121" s="115">
        <v>39</v>
      </c>
      <c r="N121" s="115">
        <f>11.9+14.1</f>
        <v>26</v>
      </c>
      <c r="O121" s="115">
        <v>21.5</v>
      </c>
      <c r="P121" s="115">
        <f>8.6+10.2</f>
        <v>18.799999999999997</v>
      </c>
      <c r="Q121" s="115">
        <f>9+11.2</f>
        <v>20.2</v>
      </c>
      <c r="R121" s="115">
        <f>11+14</f>
        <v>25</v>
      </c>
      <c r="S121" s="115">
        <v>23</v>
      </c>
      <c r="T121" s="115">
        <v>26</v>
      </c>
      <c r="U121" s="115">
        <v>29</v>
      </c>
      <c r="V121" s="115">
        <v>38</v>
      </c>
      <c r="W121" s="115">
        <v>19</v>
      </c>
      <c r="X121" s="115">
        <v>14</v>
      </c>
      <c r="Y121" s="115">
        <v>37</v>
      </c>
      <c r="Z121" s="115">
        <v>37</v>
      </c>
      <c r="AA121" s="115">
        <v>46</v>
      </c>
      <c r="AB121" s="115">
        <v>40</v>
      </c>
      <c r="AC121" s="115">
        <v>44</v>
      </c>
      <c r="AD121" s="115">
        <v>44</v>
      </c>
      <c r="AE121" s="115">
        <v>-60</v>
      </c>
      <c r="AF121" s="115">
        <v>-60</v>
      </c>
      <c r="AG121" s="114">
        <v>240</v>
      </c>
      <c r="AH121" s="47">
        <f t="shared" si="48"/>
        <v>46</v>
      </c>
      <c r="AI121" s="48">
        <f t="shared" si="49"/>
        <v>-91.6</v>
      </c>
    </row>
    <row r="122" spans="1:35" ht="15.75" thickBot="1" x14ac:dyDescent="0.3">
      <c r="A122" s="173" t="s">
        <v>122</v>
      </c>
      <c r="B122" s="115">
        <v>-3.1</v>
      </c>
      <c r="C122" s="115">
        <v>7.1</v>
      </c>
      <c r="D122" s="115">
        <v>7.1</v>
      </c>
      <c r="E122" s="115">
        <v>2.9</v>
      </c>
      <c r="F122" s="115">
        <v>-14.4</v>
      </c>
      <c r="G122" s="115">
        <v>-13.8</v>
      </c>
      <c r="H122" s="115">
        <v>-10.199999999999999</v>
      </c>
      <c r="I122" s="115">
        <v>-7</v>
      </c>
      <c r="J122" s="115">
        <v>3.6</v>
      </c>
      <c r="K122" s="115">
        <v>19.5</v>
      </c>
      <c r="L122" s="115">
        <v>23.6</v>
      </c>
      <c r="M122" s="115">
        <v>23.6</v>
      </c>
      <c r="N122" s="115">
        <v>18.7</v>
      </c>
      <c r="O122" s="115">
        <v>21.4</v>
      </c>
      <c r="P122" s="115">
        <v>18.600000000000001</v>
      </c>
      <c r="Q122" s="115">
        <v>19.2</v>
      </c>
      <c r="R122" s="115">
        <v>7.1</v>
      </c>
      <c r="S122" s="115">
        <v>5</v>
      </c>
      <c r="T122" s="115">
        <v>6</v>
      </c>
      <c r="U122" s="115">
        <v>17</v>
      </c>
      <c r="V122" s="115">
        <v>21</v>
      </c>
      <c r="W122" s="115">
        <v>18</v>
      </c>
      <c r="X122" s="115">
        <v>22</v>
      </c>
      <c r="Y122" s="115">
        <v>44</v>
      </c>
      <c r="Z122" s="115">
        <v>51.1</v>
      </c>
      <c r="AA122" s="115">
        <v>53</v>
      </c>
      <c r="AB122" s="115">
        <v>39.6</v>
      </c>
      <c r="AC122" s="115">
        <v>32.9</v>
      </c>
      <c r="AD122" s="115">
        <v>32.9</v>
      </c>
      <c r="AE122" s="115">
        <v>4.3</v>
      </c>
      <c r="AF122" s="115">
        <v>4.3</v>
      </c>
      <c r="AG122" s="114">
        <v>60</v>
      </c>
      <c r="AH122" s="47">
        <f t="shared" si="48"/>
        <v>53</v>
      </c>
      <c r="AI122" s="48">
        <f t="shared" si="49"/>
        <v>-14.4</v>
      </c>
    </row>
    <row r="123" spans="1:35" x14ac:dyDescent="0.25">
      <c r="A123" s="172" t="s">
        <v>260</v>
      </c>
      <c r="B123" s="117">
        <f>60.4*1.6</f>
        <v>96.64</v>
      </c>
      <c r="C123" s="117">
        <f>61.5*1.6</f>
        <v>98.4</v>
      </c>
      <c r="D123" s="117">
        <f>61.5*1.6</f>
        <v>98.4</v>
      </c>
      <c r="E123" s="117">
        <f>1.64*60.8</f>
        <v>99.711999999999989</v>
      </c>
      <c r="F123" s="117">
        <f>1.64*67.7</f>
        <v>111.02799999999999</v>
      </c>
      <c r="G123" s="117">
        <f>1.64*89.6</f>
        <v>146.94399999999999</v>
      </c>
      <c r="H123" s="117">
        <v>149</v>
      </c>
      <c r="I123" s="117">
        <f>1.64*86.8</f>
        <v>142.35199999999998</v>
      </c>
      <c r="J123" s="117">
        <f>1.64*90</f>
        <v>147.6</v>
      </c>
      <c r="K123" s="117">
        <f>1.64*83.7</f>
        <v>137.268</v>
      </c>
      <c r="L123" s="117">
        <v>93.7</v>
      </c>
      <c r="M123" s="117">
        <v>93.7</v>
      </c>
      <c r="N123" s="117">
        <f>102.3*1.64</f>
        <v>167.77199999999999</v>
      </c>
      <c r="O123" s="117">
        <f>96*1.64</f>
        <v>157.44</v>
      </c>
      <c r="P123" s="117">
        <f>84.8*1.64</f>
        <v>139.07199999999997</v>
      </c>
      <c r="Q123" s="117">
        <f>76*1.64</f>
        <v>124.63999999999999</v>
      </c>
      <c r="R123" s="117">
        <f>94*1.64</f>
        <v>154.16</v>
      </c>
      <c r="S123" s="117">
        <f>94.1*1.6</f>
        <v>150.56</v>
      </c>
      <c r="T123" s="117">
        <f>93*1.6</f>
        <v>148.80000000000001</v>
      </c>
      <c r="U123" s="117">
        <f>88.2*1.6</f>
        <v>141.12</v>
      </c>
      <c r="V123" s="117">
        <f>85.2*1.6</f>
        <v>136.32000000000002</v>
      </c>
      <c r="W123" s="117">
        <f>82*1.6</f>
        <v>131.20000000000002</v>
      </c>
      <c r="X123" s="117">
        <f>92*1.6</f>
        <v>147.20000000000002</v>
      </c>
      <c r="Y123" s="117">
        <f>89*1.6</f>
        <v>142.4</v>
      </c>
      <c r="Z123" s="117">
        <f>79*1.6</f>
        <v>126.4</v>
      </c>
      <c r="AA123" s="117">
        <f>86*1.6</f>
        <v>137.6</v>
      </c>
      <c r="AB123" s="117">
        <f>86*1.6</f>
        <v>137.6</v>
      </c>
      <c r="AC123" s="117">
        <f>92.2*1.6</f>
        <v>147.52000000000001</v>
      </c>
      <c r="AD123" s="117">
        <f>92.2*1.6</f>
        <v>147.52000000000001</v>
      </c>
      <c r="AE123" s="117">
        <f>60.2*1.6</f>
        <v>96.320000000000007</v>
      </c>
      <c r="AF123" s="117">
        <f>60.2*1.6</f>
        <v>96.320000000000007</v>
      </c>
      <c r="AG123" s="118">
        <v>120</v>
      </c>
      <c r="AH123" s="47">
        <f t="shared" si="48"/>
        <v>167.77199999999999</v>
      </c>
      <c r="AI123" s="48">
        <f t="shared" si="49"/>
        <v>93.7</v>
      </c>
    </row>
    <row r="124" spans="1:35" x14ac:dyDescent="0.25">
      <c r="A124" s="173" t="s">
        <v>259</v>
      </c>
      <c r="B124" s="117">
        <v>74.099999999999994</v>
      </c>
      <c r="C124" s="117">
        <v>74.599999999999994</v>
      </c>
      <c r="D124" s="117">
        <v>74.599999999999994</v>
      </c>
      <c r="E124" s="117">
        <v>75.599999999999994</v>
      </c>
      <c r="F124" s="117">
        <v>81.2</v>
      </c>
      <c r="G124" s="117">
        <v>98.2</v>
      </c>
      <c r="H124" s="117">
        <v>96</v>
      </c>
      <c r="I124" s="117">
        <v>95.5</v>
      </c>
      <c r="J124" s="117">
        <v>96.3</v>
      </c>
      <c r="K124" s="117">
        <v>93.4</v>
      </c>
      <c r="L124" s="117">
        <v>100.3</v>
      </c>
      <c r="M124" s="117">
        <v>100.3</v>
      </c>
      <c r="N124" s="117">
        <v>106.5</v>
      </c>
      <c r="O124" s="117">
        <v>101.5</v>
      </c>
      <c r="P124" s="117">
        <v>92.8</v>
      </c>
      <c r="Q124" s="117">
        <v>86</v>
      </c>
      <c r="R124" s="117">
        <v>99.5</v>
      </c>
      <c r="S124" s="117">
        <v>100</v>
      </c>
      <c r="T124" s="117">
        <v>100</v>
      </c>
      <c r="U124" s="117">
        <v>97</v>
      </c>
      <c r="V124" s="117">
        <v>94.2</v>
      </c>
      <c r="W124" s="117">
        <v>93</v>
      </c>
      <c r="X124" s="117">
        <v>100</v>
      </c>
      <c r="Y124" s="117">
        <v>96</v>
      </c>
      <c r="Z124" s="117">
        <v>89</v>
      </c>
      <c r="AA124" s="117">
        <v>95</v>
      </c>
      <c r="AB124" s="117">
        <v>93.5</v>
      </c>
      <c r="AC124" s="117">
        <v>99.7</v>
      </c>
      <c r="AD124" s="117">
        <v>99.7</v>
      </c>
      <c r="AE124" s="117">
        <v>73.7</v>
      </c>
      <c r="AF124" s="117">
        <v>73.7</v>
      </c>
      <c r="AG124" s="118"/>
      <c r="AH124" s="47"/>
      <c r="AI124" s="48"/>
    </row>
    <row r="125" spans="1:35" x14ac:dyDescent="0.25">
      <c r="A125" s="173" t="s">
        <v>256</v>
      </c>
      <c r="B125" s="117">
        <v>46.3</v>
      </c>
      <c r="C125" s="117">
        <v>58.7</v>
      </c>
      <c r="D125" s="117">
        <v>58.7</v>
      </c>
      <c r="E125" s="117">
        <v>51.6</v>
      </c>
      <c r="F125" s="117">
        <v>58.6</v>
      </c>
      <c r="G125" s="117">
        <v>66.3</v>
      </c>
      <c r="H125" s="117">
        <v>46</v>
      </c>
      <c r="I125" s="117">
        <v>33</v>
      </c>
      <c r="J125" s="117">
        <v>46</v>
      </c>
      <c r="K125" s="117">
        <v>-34.5</v>
      </c>
      <c r="L125" s="117">
        <v>-47.5</v>
      </c>
      <c r="M125" s="117">
        <v>-47.5</v>
      </c>
      <c r="N125" s="117">
        <v>-10.3</v>
      </c>
      <c r="O125" s="117">
        <v>-12.9</v>
      </c>
      <c r="P125" s="117">
        <v>-6.4</v>
      </c>
      <c r="Q125" s="117">
        <v>-13.8</v>
      </c>
      <c r="R125" s="117">
        <v>21.4</v>
      </c>
      <c r="S125" s="117">
        <v>26.2</v>
      </c>
      <c r="T125" s="117">
        <v>20</v>
      </c>
      <c r="U125" s="117">
        <v>3</v>
      </c>
      <c r="V125" s="117">
        <v>-16.100000000000001</v>
      </c>
      <c r="W125" s="117">
        <v>-36</v>
      </c>
      <c r="X125" s="117">
        <v>-40</v>
      </c>
      <c r="Y125" s="117">
        <v>-59</v>
      </c>
      <c r="Z125" s="117">
        <v>-57</v>
      </c>
      <c r="AA125" s="117">
        <v>-55</v>
      </c>
      <c r="AB125" s="117">
        <v>-55.3</v>
      </c>
      <c r="AC125" s="117">
        <v>-28.7</v>
      </c>
      <c r="AD125" s="117">
        <v>-28.7</v>
      </c>
      <c r="AE125" s="117">
        <v>-11</v>
      </c>
      <c r="AF125" s="117">
        <v>-11</v>
      </c>
      <c r="AG125" s="118"/>
      <c r="AH125" s="47"/>
      <c r="AI125" s="48"/>
    </row>
    <row r="126" spans="1:35" ht="15.75" thickBot="1" x14ac:dyDescent="0.3">
      <c r="A126" s="173" t="s">
        <v>255</v>
      </c>
      <c r="B126" s="117">
        <v>91.7</v>
      </c>
      <c r="C126" s="117">
        <v>93.5</v>
      </c>
      <c r="D126" s="117">
        <v>93.5</v>
      </c>
      <c r="E126" s="117">
        <v>93.7</v>
      </c>
      <c r="F126" s="117">
        <v>89</v>
      </c>
      <c r="G126" s="117">
        <v>101.3</v>
      </c>
      <c r="H126" s="117">
        <v>99</v>
      </c>
      <c r="I126" s="117">
        <v>96.9</v>
      </c>
      <c r="J126" s="117">
        <v>93.3</v>
      </c>
      <c r="K126" s="117">
        <v>77.599999999999994</v>
      </c>
      <c r="L126" s="117">
        <v>68.099999999999994</v>
      </c>
      <c r="M126" s="117">
        <v>68.099999999999994</v>
      </c>
      <c r="N126" s="117">
        <v>93.2</v>
      </c>
      <c r="O126" s="117">
        <v>91.4</v>
      </c>
      <c r="P126" s="117">
        <v>92</v>
      </c>
      <c r="Q126" s="117">
        <v>77.900000000000006</v>
      </c>
      <c r="R126" s="117">
        <v>91.8</v>
      </c>
      <c r="S126" s="117">
        <v>97</v>
      </c>
      <c r="T126" s="117">
        <v>98</v>
      </c>
      <c r="U126" s="117">
        <v>87</v>
      </c>
      <c r="V126" s="117">
        <v>83.4</v>
      </c>
      <c r="W126" s="117">
        <v>82</v>
      </c>
      <c r="X126" s="117">
        <v>89</v>
      </c>
      <c r="Y126" s="117">
        <v>86</v>
      </c>
      <c r="Z126" s="117">
        <v>74</v>
      </c>
      <c r="AA126" s="117">
        <v>80</v>
      </c>
      <c r="AB126" s="117">
        <v>84.8</v>
      </c>
      <c r="AC126" s="117">
        <v>91.4</v>
      </c>
      <c r="AD126" s="117">
        <v>91.4</v>
      </c>
      <c r="AE126" s="117">
        <v>94.5</v>
      </c>
      <c r="AF126" s="117">
        <v>94.5</v>
      </c>
      <c r="AG126" s="114"/>
      <c r="AH126" s="47">
        <f t="shared" si="48"/>
        <v>101.3</v>
      </c>
      <c r="AI126" s="48">
        <f t="shared" si="49"/>
        <v>68.099999999999994</v>
      </c>
    </row>
    <row r="127" spans="1:35" x14ac:dyDescent="0.25">
      <c r="A127" s="172" t="s">
        <v>257</v>
      </c>
      <c r="B127" s="117">
        <v>18</v>
      </c>
      <c r="C127" s="117">
        <v>26.1</v>
      </c>
      <c r="D127" s="117">
        <v>26.1</v>
      </c>
      <c r="E127" s="117">
        <v>24.6</v>
      </c>
      <c r="F127" s="117">
        <v>31.1</v>
      </c>
      <c r="G127" s="117">
        <v>34.9</v>
      </c>
      <c r="H127" s="117">
        <v>26</v>
      </c>
      <c r="I127" s="117">
        <v>17.3</v>
      </c>
      <c r="J127" s="117">
        <v>1.3</v>
      </c>
      <c r="K127" s="117">
        <v>-8</v>
      </c>
      <c r="L127" s="117">
        <v>-10.8</v>
      </c>
      <c r="M127" s="117">
        <v>-10.8</v>
      </c>
      <c r="N127" s="117">
        <v>0</v>
      </c>
      <c r="O127" s="117">
        <v>0</v>
      </c>
      <c r="P127" s="117">
        <v>0</v>
      </c>
      <c r="Q127" s="117">
        <v>0</v>
      </c>
      <c r="R127" s="117">
        <v>0</v>
      </c>
      <c r="S127" s="117">
        <v>0</v>
      </c>
      <c r="T127" s="117">
        <v>0</v>
      </c>
      <c r="U127" s="117">
        <v>0</v>
      </c>
      <c r="V127" s="117">
        <v>0</v>
      </c>
      <c r="W127" s="117">
        <v>0</v>
      </c>
      <c r="X127" s="117">
        <v>0</v>
      </c>
      <c r="Y127" s="117">
        <v>0</v>
      </c>
      <c r="Z127" s="117">
        <v>0</v>
      </c>
      <c r="AA127" s="117">
        <v>0</v>
      </c>
      <c r="AB127" s="117">
        <v>0</v>
      </c>
      <c r="AC127" s="117">
        <v>0</v>
      </c>
      <c r="AD127" s="117">
        <v>0</v>
      </c>
      <c r="AE127" s="117">
        <v>0</v>
      </c>
      <c r="AF127" s="117">
        <v>0</v>
      </c>
      <c r="AG127" s="114"/>
      <c r="AH127" s="47">
        <f t="shared" si="48"/>
        <v>34.9</v>
      </c>
      <c r="AI127" s="48">
        <f t="shared" si="49"/>
        <v>-10.8</v>
      </c>
    </row>
    <row r="128" spans="1:35" x14ac:dyDescent="0.25">
      <c r="A128" s="173" t="s">
        <v>124</v>
      </c>
      <c r="B128" s="106">
        <v>-1.6</v>
      </c>
      <c r="C128" s="106">
        <v>-1</v>
      </c>
      <c r="D128" s="106">
        <v>-1</v>
      </c>
      <c r="E128" s="106">
        <v>0</v>
      </c>
      <c r="F128" s="106">
        <v>0.2</v>
      </c>
      <c r="G128" s="106">
        <v>-4.3</v>
      </c>
      <c r="H128" s="106">
        <v>-12</v>
      </c>
      <c r="I128" s="106">
        <v>-16.3</v>
      </c>
      <c r="J128" s="106">
        <v>-21.8</v>
      </c>
      <c r="K128" s="106">
        <v>-34</v>
      </c>
      <c r="L128" s="106">
        <v>-37.6</v>
      </c>
      <c r="M128" s="106">
        <v>-37.6</v>
      </c>
      <c r="N128" s="106">
        <v>-24.7</v>
      </c>
      <c r="O128" s="106">
        <v>-22.5</v>
      </c>
      <c r="P128" s="106">
        <v>-12.2</v>
      </c>
      <c r="Q128" s="106">
        <v>-8.1999999999999993</v>
      </c>
      <c r="R128" s="106">
        <v>-9</v>
      </c>
      <c r="S128" s="106">
        <v>-12.6</v>
      </c>
      <c r="T128" s="106">
        <v>-13</v>
      </c>
      <c r="U128" s="106">
        <v>-18</v>
      </c>
      <c r="V128" s="106">
        <v>-31</v>
      </c>
      <c r="W128" s="106">
        <v>-37</v>
      </c>
      <c r="X128" s="106">
        <v>-57</v>
      </c>
      <c r="Y128" s="106">
        <v>-56</v>
      </c>
      <c r="Z128" s="106">
        <v>-49</v>
      </c>
      <c r="AA128" s="106">
        <v>-45</v>
      </c>
      <c r="AB128" s="106">
        <v>-33.700000000000003</v>
      </c>
      <c r="AC128" s="106">
        <v>-24.3</v>
      </c>
      <c r="AD128" s="106">
        <v>-24.3</v>
      </c>
      <c r="AE128" s="106">
        <v>-7.7</v>
      </c>
      <c r="AF128" s="106">
        <v>-7.7</v>
      </c>
      <c r="AG128" s="114"/>
      <c r="AH128" s="47">
        <f t="shared" si="48"/>
        <v>0.2</v>
      </c>
      <c r="AI128" s="48">
        <f t="shared" si="49"/>
        <v>-57</v>
      </c>
    </row>
    <row r="129" spans="1:37" x14ac:dyDescent="0.25">
      <c r="A129" s="173" t="s">
        <v>261</v>
      </c>
      <c r="B129" s="106">
        <v>23.3</v>
      </c>
      <c r="C129" s="106">
        <v>21.5</v>
      </c>
      <c r="D129" s="106">
        <v>21.5</v>
      </c>
      <c r="E129" s="106">
        <v>26.8</v>
      </c>
      <c r="F129" s="106">
        <v>26.8</v>
      </c>
      <c r="G129" s="106">
        <v>27.5</v>
      </c>
      <c r="H129" s="106">
        <v>26</v>
      </c>
      <c r="I129" s="106">
        <v>25.4</v>
      </c>
      <c r="J129" s="106">
        <v>27.8</v>
      </c>
      <c r="K129" s="106">
        <v>13.7</v>
      </c>
      <c r="L129" s="106">
        <v>13.5</v>
      </c>
      <c r="M129" s="106">
        <v>13.5</v>
      </c>
      <c r="N129" s="106">
        <v>13</v>
      </c>
      <c r="O129" s="106">
        <v>12.1</v>
      </c>
      <c r="P129" s="106">
        <v>16.399999999999999</v>
      </c>
      <c r="Q129" s="106">
        <v>20.2</v>
      </c>
      <c r="R129" s="106">
        <v>20.9</v>
      </c>
      <c r="S129" s="106">
        <v>23</v>
      </c>
      <c r="T129" s="106">
        <v>23</v>
      </c>
      <c r="U129" s="106">
        <v>24</v>
      </c>
      <c r="V129" s="106">
        <v>10</v>
      </c>
      <c r="W129" s="106">
        <v>10</v>
      </c>
      <c r="X129" s="106">
        <v>11</v>
      </c>
      <c r="Y129" s="106">
        <v>12</v>
      </c>
      <c r="Z129" s="106">
        <v>11</v>
      </c>
      <c r="AA129" s="106">
        <v>11</v>
      </c>
      <c r="AB129" s="106">
        <v>9.8000000000000007</v>
      </c>
      <c r="AC129" s="106">
        <v>8.4</v>
      </c>
      <c r="AD129" s="106">
        <v>8.4</v>
      </c>
      <c r="AE129" s="106">
        <v>27.4</v>
      </c>
      <c r="AF129" s="106">
        <v>27.4</v>
      </c>
      <c r="AG129" s="114"/>
      <c r="AH129" s="47">
        <f t="shared" si="48"/>
        <v>27.8</v>
      </c>
      <c r="AI129" s="48">
        <f t="shared" si="49"/>
        <v>8.4</v>
      </c>
    </row>
    <row r="130" spans="1:37" ht="15.75" thickBot="1" x14ac:dyDescent="0.3">
      <c r="A130" s="173" t="s">
        <v>258</v>
      </c>
      <c r="B130" s="106">
        <v>92.6</v>
      </c>
      <c r="C130" s="106">
        <v>88.4</v>
      </c>
      <c r="D130" s="106">
        <v>88.4</v>
      </c>
      <c r="E130" s="106">
        <v>80.599999999999994</v>
      </c>
      <c r="F130" s="106">
        <v>80.2</v>
      </c>
      <c r="G130" s="106">
        <v>86.1</v>
      </c>
      <c r="H130" s="106">
        <v>92</v>
      </c>
      <c r="I130" s="106">
        <v>97.9</v>
      </c>
      <c r="J130" s="106">
        <v>98.5</v>
      </c>
      <c r="K130" s="106">
        <v>97.6</v>
      </c>
      <c r="L130" s="106">
        <v>104.7</v>
      </c>
      <c r="M130" s="106">
        <v>104.7</v>
      </c>
      <c r="N130" s="106">
        <v>65</v>
      </c>
      <c r="O130" s="106">
        <v>64.8</v>
      </c>
      <c r="P130" s="106">
        <v>104</v>
      </c>
      <c r="Q130" s="106">
        <v>90.5</v>
      </c>
      <c r="R130" s="106">
        <v>95.7</v>
      </c>
      <c r="S130" s="106">
        <v>108.4</v>
      </c>
      <c r="T130" s="106">
        <v>104</v>
      </c>
      <c r="U130" s="106">
        <v>97</v>
      </c>
      <c r="V130" s="106">
        <v>95</v>
      </c>
      <c r="W130" s="106">
        <v>101</v>
      </c>
      <c r="X130" s="106">
        <v>120</v>
      </c>
      <c r="Y130" s="106">
        <v>109</v>
      </c>
      <c r="Z130" s="106">
        <v>101</v>
      </c>
      <c r="AA130" s="106">
        <v>95.2</v>
      </c>
      <c r="AB130" s="106">
        <v>84.9</v>
      </c>
      <c r="AC130" s="106">
        <v>74</v>
      </c>
      <c r="AD130" s="106">
        <v>74</v>
      </c>
      <c r="AE130" s="106">
        <v>98</v>
      </c>
      <c r="AF130" s="106">
        <v>98</v>
      </c>
      <c r="AG130" s="114"/>
      <c r="AH130" s="47">
        <f t="shared" si="48"/>
        <v>120</v>
      </c>
      <c r="AI130" s="48">
        <f t="shared" si="49"/>
        <v>64.8</v>
      </c>
    </row>
    <row r="131" spans="1:37" x14ac:dyDescent="0.25">
      <c r="A131" s="144" t="s">
        <v>238</v>
      </c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6"/>
      <c r="AG131" s="43"/>
      <c r="AH131" s="47"/>
      <c r="AI131" s="48"/>
    </row>
    <row r="132" spans="1:37" x14ac:dyDescent="0.25">
      <c r="A132" s="189" t="s">
        <v>368</v>
      </c>
      <c r="B132" s="106">
        <v>1983.5</v>
      </c>
      <c r="C132" s="106">
        <v>1983.78</v>
      </c>
      <c r="D132" s="106">
        <v>1984.05</v>
      </c>
      <c r="E132" s="106">
        <v>1984.3</v>
      </c>
      <c r="F132" s="106">
        <v>1984.52</v>
      </c>
      <c r="G132" s="106">
        <v>1984.77</v>
      </c>
      <c r="H132" s="106"/>
      <c r="I132" s="106">
        <v>1985</v>
      </c>
      <c r="J132" s="106"/>
      <c r="K132" s="106">
        <v>1985.09</v>
      </c>
      <c r="L132" s="106"/>
      <c r="M132" s="106">
        <v>1984.41</v>
      </c>
      <c r="N132" s="106">
        <v>1983.42</v>
      </c>
      <c r="O132" s="106">
        <v>1982.65</v>
      </c>
      <c r="P132" s="106">
        <v>1982.82</v>
      </c>
      <c r="Q132" s="106">
        <v>1983.05</v>
      </c>
      <c r="R132" s="106">
        <v>1983.3</v>
      </c>
      <c r="S132" s="106">
        <v>1983.58</v>
      </c>
      <c r="T132" s="106">
        <v>1983.9</v>
      </c>
      <c r="U132" s="106">
        <v>1984.03</v>
      </c>
      <c r="V132" s="106">
        <v>1984.25</v>
      </c>
      <c r="W132" s="106">
        <v>1984.35</v>
      </c>
      <c r="X132" s="106">
        <v>1984.3</v>
      </c>
      <c r="Y132" s="106"/>
      <c r="Z132" s="106">
        <v>1983.7</v>
      </c>
      <c r="AA132" s="106">
        <v>1983.3</v>
      </c>
      <c r="AB132" s="147">
        <v>1982.7</v>
      </c>
      <c r="AC132" s="147"/>
      <c r="AD132" s="147">
        <v>1982.95</v>
      </c>
      <c r="AE132" s="147">
        <v>1983.16</v>
      </c>
      <c r="AF132" s="148">
        <v>1983.48</v>
      </c>
      <c r="AG132" s="149"/>
      <c r="AH132" s="47"/>
      <c r="AI132" s="48"/>
    </row>
    <row r="133" spans="1:37" x14ac:dyDescent="0.25">
      <c r="A133" s="189" t="s">
        <v>239</v>
      </c>
      <c r="B133" s="106">
        <v>518.84</v>
      </c>
      <c r="C133" s="106">
        <v>518.73</v>
      </c>
      <c r="D133" s="106">
        <v>519.36</v>
      </c>
      <c r="E133" s="106">
        <v>519.79999999999995</v>
      </c>
      <c r="F133" s="106">
        <v>520.24</v>
      </c>
      <c r="G133" s="106">
        <v>520.62</v>
      </c>
      <c r="H133" s="106"/>
      <c r="I133" s="106">
        <v>520.94000000000005</v>
      </c>
      <c r="J133" s="106"/>
      <c r="K133" s="106">
        <v>520.99</v>
      </c>
      <c r="L133" s="106"/>
      <c r="M133" s="106">
        <v>520.4</v>
      </c>
      <c r="N133" s="106">
        <v>519.91</v>
      </c>
      <c r="O133" s="106">
        <v>519.87</v>
      </c>
      <c r="P133" s="106">
        <v>519.82000000000005</v>
      </c>
      <c r="Q133" s="106">
        <v>519.77</v>
      </c>
      <c r="R133" s="106">
        <v>519.73</v>
      </c>
      <c r="S133" s="106">
        <v>519.88</v>
      </c>
      <c r="T133" s="106">
        <v>520.07000000000005</v>
      </c>
      <c r="U133" s="106">
        <v>520.25</v>
      </c>
      <c r="V133" s="106">
        <v>520.41</v>
      </c>
      <c r="W133" s="106"/>
      <c r="X133" s="106">
        <v>520.42999999999995</v>
      </c>
      <c r="Y133" s="106"/>
      <c r="Z133" s="106">
        <v>519.88</v>
      </c>
      <c r="AA133" s="106">
        <v>519.54</v>
      </c>
      <c r="AB133" s="150">
        <v>519.34</v>
      </c>
      <c r="AC133" s="150"/>
      <c r="AD133" s="150">
        <v>519.17999999999995</v>
      </c>
      <c r="AE133" s="150">
        <v>518.98</v>
      </c>
      <c r="AF133" s="151">
        <v>519.98</v>
      </c>
      <c r="AG133" s="149"/>
      <c r="AH133" s="47"/>
      <c r="AI133" s="48"/>
    </row>
    <row r="134" spans="1:37" x14ac:dyDescent="0.25">
      <c r="A134" s="189" t="s">
        <v>240</v>
      </c>
      <c r="B134" s="106">
        <v>622.04</v>
      </c>
      <c r="C134" s="106">
        <v>622.64</v>
      </c>
      <c r="D134" s="106">
        <v>623.13</v>
      </c>
      <c r="E134" s="106">
        <v>623.52</v>
      </c>
      <c r="F134" s="106">
        <v>623.87</v>
      </c>
      <c r="G134" s="106">
        <v>624.21</v>
      </c>
      <c r="H134" s="106"/>
      <c r="I134" s="106">
        <v>624.49</v>
      </c>
      <c r="J134" s="106"/>
      <c r="K134" s="106">
        <v>624.25</v>
      </c>
      <c r="L134" s="106"/>
      <c r="M134" s="106">
        <v>623.88</v>
      </c>
      <c r="N134" s="106">
        <v>623.23</v>
      </c>
      <c r="O134" s="106">
        <v>623</v>
      </c>
      <c r="P134" s="106">
        <v>622.63</v>
      </c>
      <c r="Q134" s="106">
        <v>622.36</v>
      </c>
      <c r="R134" s="106">
        <v>622.22</v>
      </c>
      <c r="S134" s="106">
        <v>622.36</v>
      </c>
      <c r="T134" s="106">
        <v>622.39</v>
      </c>
      <c r="U134" s="106">
        <v>622.42999999999995</v>
      </c>
      <c r="V134" s="106">
        <v>622.45000000000005</v>
      </c>
      <c r="W134" s="106">
        <v>622.29</v>
      </c>
      <c r="X134" s="106">
        <v>622.1</v>
      </c>
      <c r="Y134" s="106"/>
      <c r="Z134" s="106">
        <v>621.54</v>
      </c>
      <c r="AA134" s="106"/>
      <c r="AB134" s="150">
        <v>621.46</v>
      </c>
      <c r="AC134" s="150"/>
      <c r="AD134" s="150">
        <v>621.41999999999996</v>
      </c>
      <c r="AE134" s="150">
        <v>621.35</v>
      </c>
      <c r="AF134" s="151">
        <v>621.79</v>
      </c>
      <c r="AG134" s="149"/>
      <c r="AH134" s="47"/>
      <c r="AI134" s="48"/>
    </row>
    <row r="135" spans="1:37" x14ac:dyDescent="0.25">
      <c r="A135" s="189" t="s">
        <v>241</v>
      </c>
      <c r="B135" s="106">
        <v>334.02</v>
      </c>
      <c r="C135" s="106">
        <v>334.37</v>
      </c>
      <c r="D135" s="106">
        <v>334.91</v>
      </c>
      <c r="E135" s="106">
        <v>335.39</v>
      </c>
      <c r="F135" s="106">
        <v>335.72</v>
      </c>
      <c r="G135" s="106">
        <v>336</v>
      </c>
      <c r="H135" s="106"/>
      <c r="I135" s="106">
        <v>336.21</v>
      </c>
      <c r="J135" s="106"/>
      <c r="K135" s="106">
        <v>336.13</v>
      </c>
      <c r="L135" s="106"/>
      <c r="M135" s="106">
        <v>335.52</v>
      </c>
      <c r="N135" s="106">
        <v>335.11</v>
      </c>
      <c r="O135" s="106">
        <v>334.76</v>
      </c>
      <c r="P135" s="106">
        <v>334.5</v>
      </c>
      <c r="Q135" s="106">
        <v>334.27</v>
      </c>
      <c r="R135" s="106">
        <v>334.39</v>
      </c>
      <c r="S135" s="106">
        <v>334.9</v>
      </c>
      <c r="T135" s="106">
        <v>335.3</v>
      </c>
      <c r="U135" s="106">
        <v>335.6</v>
      </c>
      <c r="V135" s="106">
        <v>335.92</v>
      </c>
      <c r="W135" s="106"/>
      <c r="X135" s="106">
        <v>336.08</v>
      </c>
      <c r="Y135" s="106"/>
      <c r="Z135" s="106">
        <v>335.8</v>
      </c>
      <c r="AA135" s="106"/>
      <c r="AB135" s="150">
        <v>335.32</v>
      </c>
      <c r="AC135" s="150"/>
      <c r="AD135" s="150">
        <v>334.97</v>
      </c>
      <c r="AE135" s="150">
        <v>334.64</v>
      </c>
      <c r="AF135" s="151">
        <v>334.49</v>
      </c>
      <c r="AG135" s="149"/>
      <c r="AH135" s="47"/>
      <c r="AI135" s="48"/>
    </row>
    <row r="136" spans="1:37" x14ac:dyDescent="0.25">
      <c r="A136" s="189" t="s">
        <v>407</v>
      </c>
      <c r="B136" s="106">
        <v>884.5</v>
      </c>
      <c r="C136" s="106">
        <v>885.1</v>
      </c>
      <c r="D136" s="106">
        <v>885.8</v>
      </c>
      <c r="E136" s="106">
        <v>886.4</v>
      </c>
      <c r="F136" s="106">
        <v>886.8</v>
      </c>
      <c r="G136" s="106">
        <v>887.3</v>
      </c>
      <c r="H136" s="106"/>
      <c r="I136" s="106">
        <v>887.4</v>
      </c>
      <c r="J136" s="106"/>
      <c r="K136" s="106">
        <v>887</v>
      </c>
      <c r="L136" s="106"/>
      <c r="M136" s="106">
        <v>885.3</v>
      </c>
      <c r="N136" s="106">
        <v>884.1</v>
      </c>
      <c r="O136" s="106">
        <v>884</v>
      </c>
      <c r="P136" s="106">
        <v>885</v>
      </c>
      <c r="Q136" s="106">
        <v>885.2</v>
      </c>
      <c r="R136" s="106">
        <v>885</v>
      </c>
      <c r="S136" s="106">
        <v>884.7</v>
      </c>
      <c r="T136" s="106">
        <v>884.6</v>
      </c>
      <c r="U136" s="106">
        <v>885</v>
      </c>
      <c r="V136" s="106">
        <v>885.5</v>
      </c>
      <c r="W136" s="106">
        <v>885.8</v>
      </c>
      <c r="X136" s="106">
        <v>885.9</v>
      </c>
      <c r="Y136" s="106"/>
      <c r="Z136" s="106">
        <v>884.8</v>
      </c>
      <c r="AA136" s="106"/>
      <c r="AB136" s="150">
        <v>882.9</v>
      </c>
      <c r="AC136" s="150"/>
      <c r="AD136" s="150"/>
      <c r="AE136" s="150"/>
      <c r="AF136" s="151"/>
      <c r="AG136" s="149"/>
      <c r="AH136" s="47"/>
      <c r="AI136" s="48"/>
    </row>
    <row r="137" spans="1:37" ht="17.25" thickBot="1" x14ac:dyDescent="0.3">
      <c r="A137" s="189" t="s">
        <v>242</v>
      </c>
      <c r="B137" s="207"/>
      <c r="C137" s="207"/>
      <c r="D137" s="207"/>
      <c r="E137" s="207"/>
      <c r="F137" s="207"/>
      <c r="G137" s="207"/>
      <c r="H137" s="207"/>
      <c r="I137" s="207"/>
      <c r="J137" s="207"/>
      <c r="K137" s="207"/>
      <c r="L137" s="207"/>
      <c r="M137" s="207"/>
      <c r="N137" s="207"/>
      <c r="O137" s="152"/>
      <c r="P137" s="152"/>
      <c r="Q137" s="152"/>
      <c r="R137" s="152"/>
      <c r="S137" s="152"/>
      <c r="T137" s="106"/>
      <c r="U137" s="106"/>
      <c r="V137" s="106"/>
      <c r="W137" s="106"/>
      <c r="X137" s="106"/>
      <c r="Y137" s="106"/>
      <c r="Z137" s="106"/>
      <c r="AA137" s="106"/>
      <c r="AB137" s="152"/>
      <c r="AC137" s="152"/>
      <c r="AD137" s="152"/>
      <c r="AE137" s="152"/>
      <c r="AF137" s="153"/>
      <c r="AG137" s="149"/>
      <c r="AH137" s="47"/>
      <c r="AI137" s="48"/>
    </row>
    <row r="138" spans="1:37" ht="15.75" thickBot="1" x14ac:dyDescent="0.3">
      <c r="A138" s="120" t="s">
        <v>125</v>
      </c>
      <c r="B138" s="121"/>
      <c r="C138" s="121"/>
      <c r="D138" s="121"/>
      <c r="E138" s="121"/>
      <c r="F138" s="170" t="s">
        <v>254</v>
      </c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74"/>
      <c r="AH138" s="47"/>
      <c r="AI138" s="48"/>
      <c r="AK138" s="50"/>
    </row>
    <row r="139" spans="1:37" x14ac:dyDescent="0.25">
      <c r="A139" s="122" t="s">
        <v>126</v>
      </c>
      <c r="B139" s="123"/>
      <c r="C139" s="123"/>
      <c r="D139" s="123">
        <f>D133-C133</f>
        <v>0.62999999999999545</v>
      </c>
      <c r="E139" s="123">
        <f t="shared" ref="E139:F139" si="137">E133-D133</f>
        <v>0.43999999999994088</v>
      </c>
      <c r="F139" s="123">
        <f t="shared" si="137"/>
        <v>0.44000000000005457</v>
      </c>
      <c r="G139" s="123">
        <f>G133-F133</f>
        <v>0.37999999999999545</v>
      </c>
      <c r="H139" s="123"/>
      <c r="I139" s="123">
        <f>I133-G133</f>
        <v>0.32000000000005002</v>
      </c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5">
        <v>9.94</v>
      </c>
      <c r="AH139" s="47"/>
      <c r="AI139" s="48"/>
      <c r="AK139" s="50"/>
    </row>
    <row r="140" spans="1:37" x14ac:dyDescent="0.25">
      <c r="A140" s="103" t="s">
        <v>127</v>
      </c>
      <c r="B140" s="123"/>
      <c r="C140" s="124"/>
      <c r="D140" s="123">
        <f>D134-C134</f>
        <v>0.49000000000000909</v>
      </c>
      <c r="E140" s="123">
        <f t="shared" ref="E140:G140" si="138">E134-D134</f>
        <v>0.38999999999998636</v>
      </c>
      <c r="F140" s="123">
        <f t="shared" si="138"/>
        <v>0.35000000000002274</v>
      </c>
      <c r="G140" s="123">
        <f t="shared" si="138"/>
        <v>0.34000000000003183</v>
      </c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5"/>
      <c r="AH140" s="47"/>
      <c r="AI140" s="48"/>
      <c r="AK140" s="50"/>
    </row>
    <row r="141" spans="1:37" x14ac:dyDescent="0.25">
      <c r="A141" s="103" t="s">
        <v>128</v>
      </c>
      <c r="B141" s="123"/>
      <c r="C141" s="124">
        <f>C132-B132</f>
        <v>0.27999999999997272</v>
      </c>
      <c r="D141" s="124">
        <f t="shared" ref="D141:G141" si="139">D132-C132</f>
        <v>0.26999999999998181</v>
      </c>
      <c r="E141" s="124">
        <f t="shared" si="139"/>
        <v>0.25</v>
      </c>
      <c r="F141" s="124">
        <f t="shared" si="139"/>
        <v>0.22000000000002728</v>
      </c>
      <c r="G141" s="124">
        <f t="shared" si="139"/>
        <v>0.25</v>
      </c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5"/>
      <c r="AH141" s="47"/>
      <c r="AI141" s="48"/>
      <c r="AK141" s="50"/>
    </row>
    <row r="142" spans="1:37" x14ac:dyDescent="0.25">
      <c r="A142" s="103" t="s">
        <v>129</v>
      </c>
      <c r="B142" s="123"/>
      <c r="C142" s="124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5"/>
      <c r="AH142" s="47"/>
      <c r="AI142" s="48"/>
      <c r="AK142" s="50"/>
    </row>
    <row r="143" spans="1:37" x14ac:dyDescent="0.25">
      <c r="A143" s="103" t="s">
        <v>130</v>
      </c>
      <c r="B143" s="123"/>
      <c r="C143" s="124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5"/>
      <c r="AH143" s="47"/>
      <c r="AI143" s="48"/>
      <c r="AK143" s="50"/>
    </row>
    <row r="144" spans="1:37" x14ac:dyDescent="0.25">
      <c r="A144" s="103" t="s">
        <v>131</v>
      </c>
      <c r="B144" s="123"/>
      <c r="C144" s="124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5"/>
      <c r="AH144" s="47"/>
      <c r="AI144" s="48"/>
      <c r="AK144" s="50"/>
    </row>
    <row r="145" spans="1:37" x14ac:dyDescent="0.25">
      <c r="A145" s="103" t="s">
        <v>132</v>
      </c>
      <c r="B145" s="123"/>
      <c r="C145" s="124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5"/>
      <c r="AH145" s="47"/>
      <c r="AI145" s="48"/>
      <c r="AK145" s="50"/>
    </row>
    <row r="146" spans="1:37" x14ac:dyDescent="0.25">
      <c r="A146" s="103" t="s">
        <v>133</v>
      </c>
      <c r="B146" s="123"/>
      <c r="C146" s="124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5"/>
      <c r="AH146" s="47"/>
      <c r="AI146" s="48"/>
      <c r="AK146" s="50"/>
    </row>
    <row r="147" spans="1:37" x14ac:dyDescent="0.25">
      <c r="A147" s="103" t="s">
        <v>134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5"/>
      <c r="AH147" s="47"/>
      <c r="AI147" s="48"/>
      <c r="AK147" s="50"/>
    </row>
    <row r="148" spans="1:37" x14ac:dyDescent="0.25">
      <c r="A148" s="103" t="s">
        <v>135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5"/>
      <c r="AH148" s="47"/>
      <c r="AI148" s="48"/>
      <c r="AK148" s="50"/>
    </row>
    <row r="149" spans="1:37" x14ac:dyDescent="0.25">
      <c r="A149" s="103" t="s">
        <v>136</v>
      </c>
      <c r="B149" s="123"/>
      <c r="C149" s="124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5"/>
      <c r="AH149" s="47"/>
      <c r="AI149" s="48"/>
      <c r="AK149" s="50"/>
    </row>
    <row r="150" spans="1:37" x14ac:dyDescent="0.25">
      <c r="A150" s="103" t="s">
        <v>137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5"/>
      <c r="AH150" s="47"/>
      <c r="AI150" s="48"/>
      <c r="AK150" s="50"/>
    </row>
    <row r="151" spans="1:37" x14ac:dyDescent="0.25">
      <c r="A151" s="103" t="s">
        <v>138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5"/>
      <c r="AH151" s="47"/>
      <c r="AI151" s="48"/>
      <c r="AK151" s="50"/>
    </row>
    <row r="152" spans="1:37" x14ac:dyDescent="0.25">
      <c r="A152" s="103" t="s">
        <v>139</v>
      </c>
      <c r="B152" s="123"/>
      <c r="C152" s="124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5"/>
      <c r="AH152" s="47"/>
      <c r="AI152" s="48"/>
      <c r="AK152" s="50"/>
    </row>
    <row r="153" spans="1:37" x14ac:dyDescent="0.25">
      <c r="A153" s="103" t="s">
        <v>140</v>
      </c>
      <c r="B153" s="123"/>
      <c r="C153" s="124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5"/>
      <c r="AH153" s="47"/>
      <c r="AI153" s="48"/>
      <c r="AK153" s="50"/>
    </row>
    <row r="154" spans="1:37" x14ac:dyDescent="0.25">
      <c r="A154" s="103" t="s">
        <v>141</v>
      </c>
      <c r="B154" s="123"/>
      <c r="C154" s="124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5"/>
      <c r="AH154" s="47"/>
      <c r="AI154" s="48"/>
      <c r="AK154" s="50"/>
    </row>
    <row r="155" spans="1:37" x14ac:dyDescent="0.25">
      <c r="A155" s="103" t="s">
        <v>142</v>
      </c>
      <c r="B155" s="126"/>
      <c r="C155" s="127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8">
        <v>9.9</v>
      </c>
      <c r="AH155" s="47"/>
      <c r="AI155" s="48"/>
      <c r="AK155" s="50"/>
    </row>
    <row r="156" spans="1:37" x14ac:dyDescent="0.25">
      <c r="A156" s="116" t="s">
        <v>143</v>
      </c>
      <c r="B156" s="126"/>
      <c r="C156" s="127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9">
        <v>9.6579999999999995</v>
      </c>
      <c r="AH156" s="47"/>
      <c r="AI156" s="48"/>
      <c r="AK156" s="50"/>
    </row>
    <row r="157" spans="1:37" x14ac:dyDescent="0.25">
      <c r="A157" s="116" t="s">
        <v>144</v>
      </c>
      <c r="B157" s="126"/>
      <c r="C157" s="127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9">
        <v>9.6</v>
      </c>
      <c r="AH157" s="47"/>
      <c r="AI157" s="48"/>
      <c r="AK157" s="50"/>
    </row>
    <row r="158" spans="1:37" x14ac:dyDescent="0.25">
      <c r="A158" s="116" t="s">
        <v>145</v>
      </c>
      <c r="B158" s="126"/>
      <c r="C158" s="127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9">
        <v>9.51</v>
      </c>
      <c r="AH158" s="47"/>
      <c r="AI158" s="48"/>
      <c r="AK158" s="50"/>
    </row>
    <row r="159" spans="1:37" x14ac:dyDescent="0.25">
      <c r="A159" s="116" t="s">
        <v>146</v>
      </c>
      <c r="B159" s="126"/>
      <c r="C159" s="127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9">
        <v>9.4</v>
      </c>
      <c r="AH159" s="47"/>
      <c r="AI159" s="48"/>
      <c r="AK159" s="50"/>
    </row>
    <row r="160" spans="1:37" x14ac:dyDescent="0.25">
      <c r="A160" s="116" t="s">
        <v>147</v>
      </c>
      <c r="B160" s="126"/>
      <c r="C160" s="127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9">
        <v>8.8000000000000007</v>
      </c>
      <c r="AH160" s="47"/>
      <c r="AI160" s="48"/>
      <c r="AK160" s="50"/>
    </row>
    <row r="161" spans="1:37" x14ac:dyDescent="0.25">
      <c r="A161" s="116" t="s">
        <v>148</v>
      </c>
      <c r="B161" s="126"/>
      <c r="C161" s="127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9">
        <v>8.5</v>
      </c>
      <c r="AH161" s="47"/>
      <c r="AI161" s="48"/>
      <c r="AK161" s="50"/>
    </row>
    <row r="162" spans="1:37" x14ac:dyDescent="0.25">
      <c r="A162" s="116" t="s">
        <v>149</v>
      </c>
      <c r="B162" s="126"/>
      <c r="C162" s="127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9">
        <v>8.5</v>
      </c>
      <c r="AH162" s="47"/>
      <c r="AI162" s="48"/>
      <c r="AK162" s="50"/>
    </row>
    <row r="163" spans="1:37" x14ac:dyDescent="0.25">
      <c r="A163" s="116" t="s">
        <v>150</v>
      </c>
      <c r="B163" s="126"/>
      <c r="C163" s="127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9">
        <v>8.4</v>
      </c>
      <c r="AH163" s="47"/>
      <c r="AI163" s="48"/>
      <c r="AK163" s="50"/>
    </row>
    <row r="164" spans="1:37" ht="13.5" customHeight="1" x14ac:dyDescent="0.25">
      <c r="A164" s="116" t="s">
        <v>151</v>
      </c>
      <c r="B164" s="126"/>
      <c r="C164" s="127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9">
        <v>8</v>
      </c>
      <c r="AH164" s="47"/>
      <c r="AI164" s="48"/>
      <c r="AK164" s="50"/>
    </row>
    <row r="165" spans="1:37" x14ac:dyDescent="0.25">
      <c r="A165" s="116" t="s">
        <v>152</v>
      </c>
      <c r="B165" s="126"/>
      <c r="C165" s="127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9">
        <v>8</v>
      </c>
      <c r="AH165" s="47"/>
      <c r="AI165" s="48"/>
      <c r="AK165" s="50"/>
    </row>
    <row r="166" spans="1:37" x14ac:dyDescent="0.25">
      <c r="A166" s="116" t="s">
        <v>153</v>
      </c>
      <c r="B166" s="126"/>
      <c r="C166" s="127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9">
        <v>8</v>
      </c>
      <c r="AH166" s="47"/>
      <c r="AI166" s="48"/>
      <c r="AK166" s="50"/>
    </row>
    <row r="167" spans="1:37" x14ac:dyDescent="0.25">
      <c r="A167" s="116" t="s">
        <v>154</v>
      </c>
      <c r="B167" s="126"/>
      <c r="C167" s="127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9">
        <v>7.8</v>
      </c>
      <c r="AH167" s="47"/>
      <c r="AI167" s="48"/>
      <c r="AK167" s="50"/>
    </row>
    <row r="168" spans="1:37" x14ac:dyDescent="0.25">
      <c r="A168" s="116" t="s">
        <v>155</v>
      </c>
      <c r="B168" s="126"/>
      <c r="C168" s="127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9">
        <v>7.6</v>
      </c>
      <c r="AH168" s="47"/>
      <c r="AI168" s="48"/>
      <c r="AK168" s="50"/>
    </row>
    <row r="169" spans="1:37" x14ac:dyDescent="0.25">
      <c r="A169" s="116" t="s">
        <v>156</v>
      </c>
      <c r="B169" s="126"/>
      <c r="C169" s="127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9">
        <v>7.5</v>
      </c>
      <c r="AH169" s="47"/>
      <c r="AI169" s="48"/>
      <c r="AK169" s="50"/>
    </row>
    <row r="170" spans="1:37" x14ac:dyDescent="0.25">
      <c r="A170" s="116" t="s">
        <v>157</v>
      </c>
      <c r="B170" s="126"/>
      <c r="C170" s="127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9">
        <v>7.5</v>
      </c>
      <c r="AH170" s="47"/>
      <c r="AI170" s="48"/>
      <c r="AK170" s="50"/>
    </row>
    <row r="171" spans="1:37" x14ac:dyDescent="0.25">
      <c r="A171" s="116" t="s">
        <v>158</v>
      </c>
      <c r="B171" s="126"/>
      <c r="C171" s="127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9">
        <v>7</v>
      </c>
      <c r="AH171" s="47"/>
      <c r="AI171" s="48"/>
      <c r="AK171" s="50"/>
    </row>
    <row r="172" spans="1:37" x14ac:dyDescent="0.25">
      <c r="A172" s="116" t="s">
        <v>159</v>
      </c>
      <c r="B172" s="126"/>
      <c r="C172" s="127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9">
        <v>7</v>
      </c>
      <c r="AH172" s="47"/>
      <c r="AI172" s="48"/>
      <c r="AK172" s="50"/>
    </row>
    <row r="173" spans="1:37" x14ac:dyDescent="0.25">
      <c r="A173" s="116" t="s">
        <v>160</v>
      </c>
      <c r="B173" s="126"/>
      <c r="C173" s="127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9">
        <v>7</v>
      </c>
      <c r="AH173" s="47"/>
      <c r="AI173" s="48"/>
      <c r="AK173" s="50"/>
    </row>
    <row r="174" spans="1:37" x14ac:dyDescent="0.25">
      <c r="A174" s="116" t="s">
        <v>161</v>
      </c>
      <c r="B174" s="126"/>
      <c r="C174" s="127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9">
        <v>7</v>
      </c>
      <c r="AH174" s="47"/>
      <c r="AI174" s="48"/>
      <c r="AK174" s="50"/>
    </row>
    <row r="175" spans="1:37" x14ac:dyDescent="0.25">
      <c r="A175" s="116" t="s">
        <v>162</v>
      </c>
      <c r="B175" s="126"/>
      <c r="C175" s="127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9">
        <v>6.6</v>
      </c>
      <c r="AH175" s="47"/>
      <c r="AI175" s="48"/>
      <c r="AK175" s="50"/>
    </row>
    <row r="176" spans="1:37" x14ac:dyDescent="0.25">
      <c r="A176" s="116" t="s">
        <v>163</v>
      </c>
      <c r="B176" s="126"/>
      <c r="C176" s="127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9">
        <v>6.6</v>
      </c>
      <c r="AH176" s="47"/>
      <c r="AI176" s="48"/>
      <c r="AK176" s="50"/>
    </row>
    <row r="177" spans="1:37" x14ac:dyDescent="0.25">
      <c r="A177" s="116" t="s">
        <v>164</v>
      </c>
      <c r="B177" s="126"/>
      <c r="C177" s="127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9">
        <v>6.4</v>
      </c>
      <c r="AH177" s="47"/>
      <c r="AI177" s="48"/>
      <c r="AK177" s="50"/>
    </row>
    <row r="178" spans="1:37" x14ac:dyDescent="0.25">
      <c r="A178" s="116" t="s">
        <v>165</v>
      </c>
      <c r="B178" s="126"/>
      <c r="C178" s="127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9">
        <v>6</v>
      </c>
      <c r="AH178" s="47"/>
      <c r="AI178" s="48"/>
      <c r="AK178" s="50"/>
    </row>
    <row r="179" spans="1:37" x14ac:dyDescent="0.25">
      <c r="A179" s="116" t="s">
        <v>166</v>
      </c>
      <c r="B179" s="126"/>
      <c r="C179" s="127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9">
        <v>5.0999999999999996</v>
      </c>
      <c r="AH179" s="47"/>
      <c r="AI179" s="48"/>
      <c r="AK179" s="50"/>
    </row>
    <row r="180" spans="1:37" x14ac:dyDescent="0.25">
      <c r="A180" s="116" t="s">
        <v>167</v>
      </c>
      <c r="B180" s="126"/>
      <c r="C180" s="127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9">
        <v>5</v>
      </c>
      <c r="AH180" s="47"/>
      <c r="AI180" s="48"/>
      <c r="AK180" s="50"/>
    </row>
    <row r="181" spans="1:37" x14ac:dyDescent="0.25">
      <c r="A181" s="103" t="s">
        <v>168</v>
      </c>
      <c r="B181" s="126"/>
      <c r="C181" s="127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8">
        <v>5</v>
      </c>
      <c r="AH181" s="47"/>
      <c r="AI181" s="48"/>
      <c r="AK181" s="50"/>
    </row>
    <row r="182" spans="1:37" x14ac:dyDescent="0.25">
      <c r="A182" s="116" t="s">
        <v>169</v>
      </c>
      <c r="B182" s="126"/>
      <c r="C182" s="127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9">
        <v>5</v>
      </c>
      <c r="AH182" s="47"/>
      <c r="AI182" s="48"/>
      <c r="AK182" s="50"/>
    </row>
    <row r="183" spans="1:37" x14ac:dyDescent="0.25">
      <c r="A183" s="116" t="s">
        <v>170</v>
      </c>
      <c r="B183" s="126"/>
      <c r="C183" s="127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9">
        <v>5</v>
      </c>
      <c r="AH183" s="47"/>
      <c r="AI183" s="48"/>
      <c r="AK183" s="50"/>
    </row>
    <row r="184" spans="1:37" x14ac:dyDescent="0.25">
      <c r="A184" s="116" t="s">
        <v>171</v>
      </c>
      <c r="B184" s="126"/>
      <c r="C184" s="127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9">
        <v>5</v>
      </c>
      <c r="AH184" s="47"/>
      <c r="AI184" s="48"/>
      <c r="AK184" s="50"/>
    </row>
    <row r="185" spans="1:37" x14ac:dyDescent="0.25">
      <c r="A185" s="116" t="s">
        <v>172</v>
      </c>
      <c r="B185" s="126"/>
      <c r="C185" s="127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9">
        <v>5</v>
      </c>
      <c r="AH185" s="47"/>
      <c r="AI185" s="48"/>
      <c r="AK185" s="50"/>
    </row>
    <row r="186" spans="1:37" x14ac:dyDescent="0.25">
      <c r="A186" s="116" t="s">
        <v>173</v>
      </c>
      <c r="B186" s="126"/>
      <c r="C186" s="127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9">
        <v>5</v>
      </c>
      <c r="AH186" s="47"/>
      <c r="AI186" s="48"/>
      <c r="AK186" s="50"/>
    </row>
    <row r="187" spans="1:37" x14ac:dyDescent="0.25">
      <c r="A187" s="116" t="s">
        <v>174</v>
      </c>
      <c r="B187" s="126"/>
      <c r="C187" s="127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9">
        <v>4.9930000000000003</v>
      </c>
      <c r="AH187" s="47"/>
      <c r="AI187" s="48"/>
      <c r="AK187" s="50"/>
    </row>
    <row r="188" spans="1:37" x14ac:dyDescent="0.25">
      <c r="A188" s="116" t="s">
        <v>175</v>
      </c>
      <c r="B188" s="126"/>
      <c r="C188" s="127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9">
        <v>4.9800000000000004</v>
      </c>
      <c r="AH188" s="47"/>
      <c r="AI188" s="48"/>
      <c r="AK188" s="50"/>
    </row>
    <row r="189" spans="1:37" x14ac:dyDescent="0.25">
      <c r="A189" s="116" t="s">
        <v>176</v>
      </c>
      <c r="B189" s="126"/>
      <c r="C189" s="127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9">
        <v>4.95</v>
      </c>
      <c r="AH189" s="47"/>
      <c r="AI189" s="48"/>
      <c r="AK189" s="50"/>
    </row>
    <row r="190" spans="1:37" x14ac:dyDescent="0.25">
      <c r="A190" s="116" t="s">
        <v>177</v>
      </c>
      <c r="B190" s="126"/>
      <c r="C190" s="127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9">
        <v>4.95</v>
      </c>
      <c r="AH190" s="47"/>
      <c r="AI190" s="48"/>
      <c r="AK190" s="50"/>
    </row>
    <row r="191" spans="1:37" x14ac:dyDescent="0.25">
      <c r="A191" s="116" t="s">
        <v>178</v>
      </c>
      <c r="B191" s="126"/>
      <c r="C191" s="127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9">
        <v>4.8</v>
      </c>
      <c r="AH191" s="47"/>
      <c r="AI191" s="48"/>
      <c r="AK191" s="50"/>
    </row>
    <row r="192" spans="1:37" x14ac:dyDescent="0.25">
      <c r="A192" s="116" t="s">
        <v>179</v>
      </c>
      <c r="B192" s="126"/>
      <c r="C192" s="127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9">
        <v>4.8</v>
      </c>
      <c r="AH192" s="47"/>
      <c r="AI192" s="48"/>
      <c r="AK192" s="50"/>
    </row>
    <row r="193" spans="1:37" x14ac:dyDescent="0.25">
      <c r="A193" s="116" t="s">
        <v>180</v>
      </c>
      <c r="B193" s="126"/>
      <c r="C193" s="127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9">
        <v>4.8</v>
      </c>
      <c r="AH193" s="47"/>
      <c r="AI193" s="48"/>
      <c r="AK193" s="50"/>
    </row>
    <row r="194" spans="1:37" x14ac:dyDescent="0.25">
      <c r="A194" s="116" t="s">
        <v>181</v>
      </c>
      <c r="B194" s="126"/>
      <c r="C194" s="127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9">
        <v>4.5</v>
      </c>
      <c r="AH194" s="47"/>
      <c r="AI194" s="48"/>
      <c r="AK194" s="50"/>
    </row>
    <row r="195" spans="1:37" x14ac:dyDescent="0.25">
      <c r="A195" s="116" t="s">
        <v>182</v>
      </c>
      <c r="B195" s="126"/>
      <c r="C195" s="127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9">
        <v>4.5</v>
      </c>
      <c r="AH195" s="47"/>
      <c r="AI195" s="48"/>
      <c r="AK195" s="50"/>
    </row>
    <row r="196" spans="1:37" x14ac:dyDescent="0.25">
      <c r="A196" s="116" t="s">
        <v>183</v>
      </c>
      <c r="B196" s="126"/>
      <c r="C196" s="127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9">
        <v>4.4550000000000001</v>
      </c>
      <c r="AH196" s="47"/>
      <c r="AI196" s="48"/>
      <c r="AK196" s="50"/>
    </row>
    <row r="197" spans="1:37" x14ac:dyDescent="0.25">
      <c r="A197" s="116" t="s">
        <v>184</v>
      </c>
      <c r="B197" s="126"/>
      <c r="C197" s="127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9">
        <v>4.41</v>
      </c>
      <c r="AH197" s="47"/>
      <c r="AI197" s="48"/>
      <c r="AK197" s="50"/>
    </row>
    <row r="198" spans="1:37" x14ac:dyDescent="0.25">
      <c r="A198" s="116" t="s">
        <v>185</v>
      </c>
      <c r="B198" s="126"/>
      <c r="C198" s="127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9">
        <v>4.4000000000000004</v>
      </c>
      <c r="AH198" s="47"/>
      <c r="AI198" s="48"/>
      <c r="AK198" s="50"/>
    </row>
    <row r="199" spans="1:37" x14ac:dyDescent="0.25">
      <c r="A199" s="116" t="s">
        <v>186</v>
      </c>
      <c r="B199" s="126"/>
      <c r="C199" s="127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9">
        <v>4.3600000000000003</v>
      </c>
      <c r="AH199" s="47"/>
      <c r="AI199" s="48"/>
      <c r="AK199" s="50"/>
    </row>
    <row r="200" spans="1:37" x14ac:dyDescent="0.25">
      <c r="A200" s="116" t="s">
        <v>187</v>
      </c>
      <c r="B200" s="126"/>
      <c r="C200" s="127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9">
        <v>4.2</v>
      </c>
      <c r="AH200" s="47"/>
      <c r="AI200" s="48"/>
      <c r="AK200" s="50"/>
    </row>
    <row r="201" spans="1:37" x14ac:dyDescent="0.25">
      <c r="A201" s="116" t="s">
        <v>188</v>
      </c>
      <c r="B201" s="126"/>
      <c r="C201" s="127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9">
        <v>4</v>
      </c>
      <c r="AH201" s="47"/>
      <c r="AI201" s="48"/>
      <c r="AK201" s="50"/>
    </row>
    <row r="202" spans="1:37" x14ac:dyDescent="0.25">
      <c r="A202" s="116" t="s">
        <v>189</v>
      </c>
      <c r="B202" s="126"/>
      <c r="C202" s="127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9">
        <v>4</v>
      </c>
      <c r="AH202" s="47"/>
      <c r="AI202" s="48"/>
      <c r="AK202" s="50"/>
    </row>
    <row r="203" spans="1:37" x14ac:dyDescent="0.25">
      <c r="A203" s="116" t="s">
        <v>190</v>
      </c>
      <c r="B203" s="126"/>
      <c r="C203" s="127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9">
        <v>4</v>
      </c>
      <c r="AH203" s="47"/>
      <c r="AI203" s="48"/>
      <c r="AK203" s="50"/>
    </row>
    <row r="204" spans="1:37" x14ac:dyDescent="0.25">
      <c r="A204" s="116" t="s">
        <v>191</v>
      </c>
      <c r="B204" s="126"/>
      <c r="C204" s="127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9">
        <v>4</v>
      </c>
      <c r="AH204" s="47"/>
      <c r="AI204" s="48"/>
      <c r="AK204" s="50"/>
    </row>
    <row r="205" spans="1:37" x14ac:dyDescent="0.25">
      <c r="A205" s="116" t="s">
        <v>192</v>
      </c>
      <c r="B205" s="126"/>
      <c r="C205" s="127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9">
        <v>4</v>
      </c>
      <c r="AH205" s="47"/>
      <c r="AI205" s="48"/>
      <c r="AK205" s="50"/>
    </row>
    <row r="206" spans="1:37" x14ac:dyDescent="0.25">
      <c r="A206" s="116" t="s">
        <v>193</v>
      </c>
      <c r="B206" s="126"/>
      <c r="C206" s="127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9">
        <v>4</v>
      </c>
      <c r="AH206" s="47"/>
      <c r="AI206" s="48"/>
      <c r="AK206" s="50"/>
    </row>
    <row r="207" spans="1:37" x14ac:dyDescent="0.25">
      <c r="A207" s="116" t="s">
        <v>194</v>
      </c>
      <c r="B207" s="126"/>
      <c r="C207" s="127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9">
        <v>4</v>
      </c>
      <c r="AH207" s="47"/>
      <c r="AI207" s="48"/>
      <c r="AK207" s="50"/>
    </row>
    <row r="208" spans="1:37" x14ac:dyDescent="0.25">
      <c r="A208" s="116" t="s">
        <v>195</v>
      </c>
      <c r="B208" s="126"/>
      <c r="C208" s="127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9">
        <v>4</v>
      </c>
      <c r="AH208" s="47"/>
      <c r="AI208" s="48"/>
      <c r="AK208" s="50"/>
    </row>
    <row r="209" spans="1:37" x14ac:dyDescent="0.25">
      <c r="A209" s="116" t="s">
        <v>196</v>
      </c>
      <c r="B209" s="126"/>
      <c r="C209" s="127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9">
        <v>3.75</v>
      </c>
      <c r="AH209" s="47"/>
      <c r="AI209" s="48"/>
      <c r="AK209" s="50"/>
    </row>
    <row r="210" spans="1:37" x14ac:dyDescent="0.25">
      <c r="A210" s="116" t="s">
        <v>197</v>
      </c>
      <c r="B210" s="126"/>
      <c r="C210" s="127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9">
        <v>3.52</v>
      </c>
      <c r="AH210" s="47"/>
      <c r="AI210" s="48"/>
      <c r="AK210" s="50"/>
    </row>
    <row r="211" spans="1:37" x14ac:dyDescent="0.25">
      <c r="A211" s="116" t="s">
        <v>198</v>
      </c>
      <c r="B211" s="126"/>
      <c r="C211" s="127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9">
        <v>3.33</v>
      </c>
      <c r="AH211" s="47"/>
      <c r="AI211" s="48"/>
      <c r="AK211" s="50"/>
    </row>
    <row r="212" spans="1:37" x14ac:dyDescent="0.25">
      <c r="A212" s="116" t="s">
        <v>199</v>
      </c>
      <c r="B212" s="126"/>
      <c r="C212" s="127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9">
        <v>3.2</v>
      </c>
      <c r="AH212" s="47"/>
      <c r="AI212" s="48"/>
      <c r="AK212" s="50"/>
    </row>
    <row r="213" spans="1:37" x14ac:dyDescent="0.25">
      <c r="A213" s="116" t="s">
        <v>200</v>
      </c>
      <c r="B213" s="126"/>
      <c r="C213" s="127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9">
        <v>3</v>
      </c>
      <c r="AH213" s="47"/>
      <c r="AI213" s="48"/>
      <c r="AK213" s="50"/>
    </row>
    <row r="214" spans="1:37" x14ac:dyDescent="0.25">
      <c r="A214" s="116" t="s">
        <v>201</v>
      </c>
      <c r="B214" s="126"/>
      <c r="C214" s="127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9">
        <v>3</v>
      </c>
      <c r="AH214" s="47"/>
      <c r="AI214" s="48"/>
      <c r="AK214" s="50"/>
    </row>
    <row r="215" spans="1:37" x14ac:dyDescent="0.25">
      <c r="A215" s="116" t="s">
        <v>202</v>
      </c>
      <c r="B215" s="126"/>
      <c r="C215" s="127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9">
        <v>3</v>
      </c>
      <c r="AH215" s="47"/>
      <c r="AI215" s="48"/>
      <c r="AK215" s="50"/>
    </row>
    <row r="216" spans="1:37" x14ac:dyDescent="0.25">
      <c r="A216" s="116" t="s">
        <v>203</v>
      </c>
      <c r="B216" s="126"/>
      <c r="C216" s="127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9">
        <v>3</v>
      </c>
      <c r="AH216" s="47"/>
      <c r="AI216" s="48"/>
      <c r="AK216" s="50"/>
    </row>
    <row r="217" spans="1:37" x14ac:dyDescent="0.25">
      <c r="A217" s="116" t="s">
        <v>204</v>
      </c>
      <c r="B217" s="126"/>
      <c r="C217" s="127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9">
        <v>3</v>
      </c>
      <c r="AH217" s="47"/>
      <c r="AI217" s="48"/>
      <c r="AK217" s="50"/>
    </row>
    <row r="218" spans="1:37" x14ac:dyDescent="0.25">
      <c r="A218" s="116" t="s">
        <v>205</v>
      </c>
      <c r="B218" s="126"/>
      <c r="C218" s="127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9">
        <v>3</v>
      </c>
      <c r="AH218" s="47"/>
      <c r="AI218" s="48"/>
      <c r="AK218" s="50"/>
    </row>
    <row r="219" spans="1:37" x14ac:dyDescent="0.25">
      <c r="A219" s="116" t="s">
        <v>206</v>
      </c>
      <c r="B219" s="126"/>
      <c r="C219" s="127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9">
        <v>3</v>
      </c>
      <c r="AH219" s="47"/>
      <c r="AI219" s="48"/>
      <c r="AK219" s="50"/>
    </row>
    <row r="220" spans="1:37" x14ac:dyDescent="0.25">
      <c r="A220" s="116" t="s">
        <v>207</v>
      </c>
      <c r="B220" s="126"/>
      <c r="C220" s="127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9">
        <v>3</v>
      </c>
      <c r="AH220" s="47"/>
      <c r="AI220" s="48"/>
      <c r="AK220" s="50"/>
    </row>
    <row r="221" spans="1:37" x14ac:dyDescent="0.25">
      <c r="A221" s="116" t="s">
        <v>208</v>
      </c>
      <c r="B221" s="126"/>
      <c r="C221" s="127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9">
        <v>2.83</v>
      </c>
      <c r="AH221" s="47"/>
      <c r="AI221" s="48"/>
      <c r="AK221" s="50"/>
    </row>
    <row r="222" spans="1:37" x14ac:dyDescent="0.25">
      <c r="A222" s="116" t="s">
        <v>209</v>
      </c>
      <c r="B222" s="126"/>
      <c r="C222" s="127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9">
        <v>2.5</v>
      </c>
      <c r="AH222" s="47"/>
      <c r="AI222" s="48"/>
      <c r="AK222" s="50"/>
    </row>
    <row r="223" spans="1:37" x14ac:dyDescent="0.25">
      <c r="A223" s="116" t="s">
        <v>210</v>
      </c>
      <c r="B223" s="126"/>
      <c r="C223" s="127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9">
        <v>2.5</v>
      </c>
      <c r="AH223" s="47"/>
      <c r="AI223" s="48"/>
      <c r="AK223" s="50"/>
    </row>
    <row r="224" spans="1:37" x14ac:dyDescent="0.25">
      <c r="A224" s="116" t="s">
        <v>211</v>
      </c>
      <c r="B224" s="126"/>
      <c r="C224" s="127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9">
        <v>2.4</v>
      </c>
      <c r="AH224" s="47"/>
      <c r="AI224" s="48"/>
      <c r="AK224" s="50"/>
    </row>
    <row r="225" spans="1:37" x14ac:dyDescent="0.25">
      <c r="A225" s="116" t="s">
        <v>212</v>
      </c>
      <c r="B225" s="126"/>
      <c r="C225" s="127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9">
        <v>2.4</v>
      </c>
      <c r="AH225" s="47"/>
      <c r="AI225" s="48"/>
      <c r="AK225" s="50"/>
    </row>
    <row r="226" spans="1:37" x14ac:dyDescent="0.25">
      <c r="A226" s="116" t="s">
        <v>213</v>
      </c>
      <c r="B226" s="126"/>
      <c r="C226" s="127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9">
        <v>2.2000000000000002</v>
      </c>
      <c r="AH226" s="47"/>
      <c r="AI226" s="48"/>
      <c r="AK226" s="50"/>
    </row>
    <row r="227" spans="1:37" x14ac:dyDescent="0.25">
      <c r="A227" s="116" t="s">
        <v>214</v>
      </c>
      <c r="B227" s="126"/>
      <c r="C227" s="127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9">
        <v>2</v>
      </c>
      <c r="AH227" s="47"/>
      <c r="AI227" s="48"/>
      <c r="AK227" s="50"/>
    </row>
    <row r="228" spans="1:37" x14ac:dyDescent="0.25">
      <c r="A228" s="116" t="s">
        <v>215</v>
      </c>
      <c r="B228" s="126"/>
      <c r="C228" s="127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9">
        <v>2</v>
      </c>
      <c r="AH228" s="47"/>
      <c r="AI228" s="48"/>
      <c r="AK228" s="50"/>
    </row>
    <row r="229" spans="1:37" x14ac:dyDescent="0.25">
      <c r="A229" s="116" t="s">
        <v>216</v>
      </c>
      <c r="B229" s="126"/>
      <c r="C229" s="127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9">
        <v>2</v>
      </c>
      <c r="AH229" s="47"/>
      <c r="AI229" s="48"/>
      <c r="AK229" s="50"/>
    </row>
    <row r="230" spans="1:37" x14ac:dyDescent="0.25">
      <c r="A230" s="116" t="s">
        <v>217</v>
      </c>
      <c r="B230" s="126"/>
      <c r="C230" s="127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9">
        <v>1.8</v>
      </c>
      <c r="AH230" s="47"/>
      <c r="AI230" s="48"/>
      <c r="AK230" s="50"/>
    </row>
    <row r="231" spans="1:37" x14ac:dyDescent="0.25">
      <c r="A231" s="116" t="s">
        <v>218</v>
      </c>
      <c r="B231" s="126"/>
      <c r="C231" s="127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9">
        <v>1.8</v>
      </c>
      <c r="AH231" s="47"/>
      <c r="AI231" s="48"/>
      <c r="AK231" s="50"/>
    </row>
    <row r="232" spans="1:37" x14ac:dyDescent="0.25">
      <c r="A232" s="116" t="s">
        <v>219</v>
      </c>
      <c r="B232" s="126"/>
      <c r="C232" s="127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9">
        <v>1.65</v>
      </c>
      <c r="AH232" s="47"/>
      <c r="AI232" s="48"/>
      <c r="AK232" s="50"/>
    </row>
    <row r="233" spans="1:37" x14ac:dyDescent="0.25">
      <c r="A233" s="116" t="s">
        <v>220</v>
      </c>
      <c r="B233" s="126"/>
      <c r="C233" s="127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9">
        <v>1.5</v>
      </c>
      <c r="AH233" s="47"/>
      <c r="AI233" s="48"/>
      <c r="AK233" s="50"/>
    </row>
    <row r="234" spans="1:37" x14ac:dyDescent="0.25">
      <c r="A234" s="116" t="s">
        <v>221</v>
      </c>
      <c r="B234" s="126"/>
      <c r="C234" s="127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9">
        <v>0.998</v>
      </c>
      <c r="AH234" s="47"/>
      <c r="AI234" s="48"/>
      <c r="AK234" s="50"/>
    </row>
    <row r="235" spans="1:37" x14ac:dyDescent="0.25">
      <c r="A235" s="116" t="s">
        <v>222</v>
      </c>
      <c r="B235" s="126"/>
      <c r="C235" s="127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9">
        <v>0.997</v>
      </c>
      <c r="AH235" s="47"/>
      <c r="AI235" s="48"/>
      <c r="AK235" s="50"/>
    </row>
    <row r="236" spans="1:37" x14ac:dyDescent="0.25">
      <c r="A236" s="116" t="s">
        <v>223</v>
      </c>
      <c r="B236" s="126"/>
      <c r="C236" s="127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9">
        <v>0.997</v>
      </c>
      <c r="AH236" s="47"/>
      <c r="AI236" s="48"/>
      <c r="AK236" s="50"/>
    </row>
    <row r="237" spans="1:37" x14ac:dyDescent="0.25">
      <c r="A237" s="116" t="s">
        <v>224</v>
      </c>
      <c r="B237" s="126"/>
      <c r="C237" s="127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9">
        <v>0.996</v>
      </c>
      <c r="AH237" s="47"/>
      <c r="AI237" s="48"/>
      <c r="AK237" s="50"/>
    </row>
    <row r="238" spans="1:37" x14ac:dyDescent="0.25">
      <c r="A238" s="116" t="s">
        <v>225</v>
      </c>
      <c r="B238" s="126"/>
      <c r="C238" s="127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9">
        <v>0.996</v>
      </c>
      <c r="AH238" s="47"/>
      <c r="AI238" s="48"/>
      <c r="AK238" s="50"/>
    </row>
    <row r="239" spans="1:37" x14ac:dyDescent="0.25">
      <c r="A239" s="116" t="s">
        <v>226</v>
      </c>
      <c r="B239" s="126"/>
      <c r="C239" s="127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9">
        <v>0.996</v>
      </c>
      <c r="AH239" s="47"/>
      <c r="AI239" s="48"/>
      <c r="AK239" s="50"/>
    </row>
    <row r="240" spans="1:37" x14ac:dyDescent="0.25">
      <c r="A240" s="116" t="s">
        <v>227</v>
      </c>
      <c r="B240" s="126"/>
      <c r="C240" s="127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9">
        <v>0.995</v>
      </c>
      <c r="AH240" s="47"/>
      <c r="AI240" s="48"/>
      <c r="AK240" s="50"/>
    </row>
    <row r="241" spans="1:37" x14ac:dyDescent="0.25">
      <c r="A241" s="116" t="s">
        <v>228</v>
      </c>
      <c r="B241" s="126"/>
      <c r="C241" s="127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9">
        <v>0.99299999999999999</v>
      </c>
      <c r="AH241" s="47"/>
      <c r="AI241" s="48"/>
      <c r="AK241" s="50"/>
    </row>
    <row r="242" spans="1:37" x14ac:dyDescent="0.25">
      <c r="A242" s="116" t="s">
        <v>229</v>
      </c>
      <c r="B242" s="126"/>
      <c r="C242" s="124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9">
        <v>0.99</v>
      </c>
      <c r="AH242" s="47"/>
      <c r="AI242" s="48"/>
      <c r="AK242" s="50"/>
    </row>
    <row r="243" spans="1:37" ht="15.75" thickBot="1" x14ac:dyDescent="0.3">
      <c r="A243" s="116" t="s">
        <v>230</v>
      </c>
      <c r="B243" s="130"/>
      <c r="C243" s="131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29">
        <v>0.97899999999999998</v>
      </c>
      <c r="AH243" s="47"/>
      <c r="AI243" s="48"/>
      <c r="AK243" s="50"/>
    </row>
    <row r="244" spans="1:37" ht="15.75" thickBot="1" x14ac:dyDescent="0.3">
      <c r="A244" s="132" t="s">
        <v>231</v>
      </c>
      <c r="B244" s="133">
        <f t="shared" ref="B244:AG244" si="140">SUM(B139:B243)</f>
        <v>0</v>
      </c>
      <c r="C244" s="134">
        <f t="shared" si="140"/>
        <v>0.27999999999997272</v>
      </c>
      <c r="D244" s="134">
        <f t="shared" si="140"/>
        <v>1.3899999999999864</v>
      </c>
      <c r="E244" s="134">
        <f t="shared" si="140"/>
        <v>1.0799999999999272</v>
      </c>
      <c r="F244" s="134">
        <f t="shared" si="140"/>
        <v>1.0100000000001046</v>
      </c>
      <c r="G244" s="134">
        <f t="shared" si="140"/>
        <v>0.97000000000002728</v>
      </c>
      <c r="H244" s="134">
        <f t="shared" si="140"/>
        <v>0</v>
      </c>
      <c r="I244" s="134">
        <f t="shared" si="140"/>
        <v>0.32000000000005002</v>
      </c>
      <c r="J244" s="134">
        <f t="shared" si="140"/>
        <v>0</v>
      </c>
      <c r="K244" s="134">
        <f t="shared" si="140"/>
        <v>0</v>
      </c>
      <c r="L244" s="134">
        <f t="shared" si="140"/>
        <v>0</v>
      </c>
      <c r="M244" s="134">
        <f t="shared" si="140"/>
        <v>0</v>
      </c>
      <c r="N244" s="134">
        <f t="shared" si="140"/>
        <v>0</v>
      </c>
      <c r="O244" s="134">
        <f t="shared" si="140"/>
        <v>0</v>
      </c>
      <c r="P244" s="134">
        <f t="shared" si="140"/>
        <v>0</v>
      </c>
      <c r="Q244" s="134">
        <f t="shared" si="140"/>
        <v>0</v>
      </c>
      <c r="R244" s="134">
        <f t="shared" si="140"/>
        <v>0</v>
      </c>
      <c r="S244" s="134">
        <f t="shared" si="140"/>
        <v>0</v>
      </c>
      <c r="T244" s="134">
        <f t="shared" si="140"/>
        <v>0</v>
      </c>
      <c r="U244" s="134">
        <f t="shared" si="140"/>
        <v>0</v>
      </c>
      <c r="V244" s="134">
        <f t="shared" si="140"/>
        <v>0</v>
      </c>
      <c r="W244" s="134">
        <f t="shared" si="140"/>
        <v>0</v>
      </c>
      <c r="X244" s="134">
        <f t="shared" si="140"/>
        <v>0</v>
      </c>
      <c r="Y244" s="134">
        <f t="shared" si="140"/>
        <v>0</v>
      </c>
      <c r="Z244" s="134">
        <f t="shared" si="140"/>
        <v>0</v>
      </c>
      <c r="AA244" s="134">
        <f t="shared" si="140"/>
        <v>0</v>
      </c>
      <c r="AB244" s="134">
        <f t="shared" si="140"/>
        <v>0</v>
      </c>
      <c r="AC244" s="134">
        <f t="shared" si="140"/>
        <v>0</v>
      </c>
      <c r="AD244" s="134">
        <f t="shared" si="140"/>
        <v>0</v>
      </c>
      <c r="AE244" s="134">
        <f t="shared" si="140"/>
        <v>0</v>
      </c>
      <c r="AF244" s="135">
        <f t="shared" si="140"/>
        <v>0</v>
      </c>
      <c r="AG244" s="136">
        <f t="shared" si="140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19"/>
      <c r="AH245" s="47"/>
      <c r="AI245" s="48"/>
      <c r="AK245" s="50"/>
    </row>
    <row r="246" spans="1:37" x14ac:dyDescent="0.25">
      <c r="A246" s="100" t="s">
        <v>232</v>
      </c>
      <c r="B246" s="138">
        <f t="shared" ref="B246:B251" si="141">AF246</f>
        <v>0.3</v>
      </c>
      <c r="C246" s="138">
        <v>0.3</v>
      </c>
      <c r="D246" s="138">
        <f t="shared" ref="D246:S251" si="142">C246</f>
        <v>0.3</v>
      </c>
      <c r="E246" s="138">
        <f t="shared" si="142"/>
        <v>0.3</v>
      </c>
      <c r="F246" s="138">
        <f t="shared" si="142"/>
        <v>0.3</v>
      </c>
      <c r="G246" s="138">
        <f t="shared" si="142"/>
        <v>0.3</v>
      </c>
      <c r="H246" s="138">
        <f t="shared" si="142"/>
        <v>0.3</v>
      </c>
      <c r="I246" s="138">
        <f t="shared" si="142"/>
        <v>0.3</v>
      </c>
      <c r="J246" s="138">
        <f t="shared" si="142"/>
        <v>0.3</v>
      </c>
      <c r="K246" s="138">
        <f t="shared" si="142"/>
        <v>0.3</v>
      </c>
      <c r="L246" s="138">
        <f t="shared" si="142"/>
        <v>0.3</v>
      </c>
      <c r="M246" s="138">
        <f t="shared" si="142"/>
        <v>0.3</v>
      </c>
      <c r="N246" s="138">
        <f t="shared" si="142"/>
        <v>0.3</v>
      </c>
      <c r="O246" s="138">
        <f t="shared" si="142"/>
        <v>0.3</v>
      </c>
      <c r="P246" s="138">
        <f t="shared" si="142"/>
        <v>0.3</v>
      </c>
      <c r="Q246" s="138">
        <f t="shared" si="142"/>
        <v>0.3</v>
      </c>
      <c r="R246" s="138">
        <f t="shared" si="142"/>
        <v>0.3</v>
      </c>
      <c r="S246" s="138">
        <f t="shared" si="142"/>
        <v>0.3</v>
      </c>
      <c r="T246" s="138">
        <f t="shared" ref="T246:AF251" si="143">S246</f>
        <v>0.3</v>
      </c>
      <c r="U246" s="138">
        <f t="shared" si="143"/>
        <v>0.3</v>
      </c>
      <c r="V246" s="138">
        <f t="shared" si="143"/>
        <v>0.3</v>
      </c>
      <c r="W246" s="138">
        <f t="shared" si="143"/>
        <v>0.3</v>
      </c>
      <c r="X246" s="138">
        <f t="shared" si="143"/>
        <v>0.3</v>
      </c>
      <c r="Y246" s="138">
        <f t="shared" si="143"/>
        <v>0.3</v>
      </c>
      <c r="Z246" s="138">
        <f t="shared" si="143"/>
        <v>0.3</v>
      </c>
      <c r="AA246" s="138">
        <f t="shared" si="143"/>
        <v>0.3</v>
      </c>
      <c r="AB246" s="138">
        <f t="shared" si="143"/>
        <v>0.3</v>
      </c>
      <c r="AC246" s="138">
        <f t="shared" si="143"/>
        <v>0.3</v>
      </c>
      <c r="AD246" s="138">
        <f t="shared" si="143"/>
        <v>0.3</v>
      </c>
      <c r="AE246" s="138">
        <f t="shared" si="143"/>
        <v>0.3</v>
      </c>
      <c r="AF246" s="138">
        <f t="shared" si="143"/>
        <v>0.3</v>
      </c>
      <c r="AG246" s="139">
        <v>2.4</v>
      </c>
      <c r="AH246" s="47"/>
      <c r="AI246" s="48"/>
      <c r="AK246" s="50"/>
    </row>
    <row r="247" spans="1:37" x14ac:dyDescent="0.25">
      <c r="A247" s="103" t="s">
        <v>233</v>
      </c>
      <c r="B247" s="126">
        <f t="shared" si="141"/>
        <v>0.4</v>
      </c>
      <c r="C247" s="126">
        <v>0.4</v>
      </c>
      <c r="D247" s="126">
        <f t="shared" si="142"/>
        <v>0.4</v>
      </c>
      <c r="E247" s="126">
        <f t="shared" si="142"/>
        <v>0.4</v>
      </c>
      <c r="F247" s="126">
        <f t="shared" si="142"/>
        <v>0.4</v>
      </c>
      <c r="G247" s="126">
        <f t="shared" si="142"/>
        <v>0.4</v>
      </c>
      <c r="H247" s="126">
        <f t="shared" si="142"/>
        <v>0.4</v>
      </c>
      <c r="I247" s="126">
        <f t="shared" si="142"/>
        <v>0.4</v>
      </c>
      <c r="J247" s="126">
        <f t="shared" si="142"/>
        <v>0.4</v>
      </c>
      <c r="K247" s="126">
        <f t="shared" si="142"/>
        <v>0.4</v>
      </c>
      <c r="L247" s="126">
        <f t="shared" si="142"/>
        <v>0.4</v>
      </c>
      <c r="M247" s="126">
        <f t="shared" si="142"/>
        <v>0.4</v>
      </c>
      <c r="N247" s="126">
        <f t="shared" si="142"/>
        <v>0.4</v>
      </c>
      <c r="O247" s="126">
        <f t="shared" si="142"/>
        <v>0.4</v>
      </c>
      <c r="P247" s="126">
        <f t="shared" si="142"/>
        <v>0.4</v>
      </c>
      <c r="Q247" s="126">
        <f t="shared" si="142"/>
        <v>0.4</v>
      </c>
      <c r="R247" s="126">
        <f t="shared" si="142"/>
        <v>0.4</v>
      </c>
      <c r="S247" s="126">
        <f t="shared" si="142"/>
        <v>0.4</v>
      </c>
      <c r="T247" s="126">
        <f t="shared" si="143"/>
        <v>0.4</v>
      </c>
      <c r="U247" s="126">
        <f t="shared" si="143"/>
        <v>0.4</v>
      </c>
      <c r="V247" s="126">
        <f t="shared" si="143"/>
        <v>0.4</v>
      </c>
      <c r="W247" s="126">
        <f t="shared" si="143"/>
        <v>0.4</v>
      </c>
      <c r="X247" s="126">
        <f t="shared" si="143"/>
        <v>0.4</v>
      </c>
      <c r="Y247" s="126">
        <f t="shared" si="143"/>
        <v>0.4</v>
      </c>
      <c r="Z247" s="126">
        <f t="shared" si="143"/>
        <v>0.4</v>
      </c>
      <c r="AA247" s="126">
        <f t="shared" si="143"/>
        <v>0.4</v>
      </c>
      <c r="AB247" s="126">
        <f t="shared" si="143"/>
        <v>0.4</v>
      </c>
      <c r="AC247" s="126">
        <f t="shared" si="143"/>
        <v>0.4</v>
      </c>
      <c r="AD247" s="126">
        <f t="shared" si="143"/>
        <v>0.4</v>
      </c>
      <c r="AE247" s="126">
        <f t="shared" si="143"/>
        <v>0.4</v>
      </c>
      <c r="AF247" s="126">
        <f t="shared" si="143"/>
        <v>0.4</v>
      </c>
      <c r="AG247" s="140">
        <v>2</v>
      </c>
      <c r="AH247" s="47"/>
      <c r="AI247" s="48"/>
      <c r="AK247" s="50"/>
    </row>
    <row r="248" spans="1:37" x14ac:dyDescent="0.25">
      <c r="A248" s="103" t="s">
        <v>234</v>
      </c>
      <c r="B248" s="126">
        <f t="shared" si="141"/>
        <v>1.5</v>
      </c>
      <c r="C248" s="126">
        <v>1.5</v>
      </c>
      <c r="D248" s="126">
        <f t="shared" si="142"/>
        <v>1.5</v>
      </c>
      <c r="E248" s="126">
        <f t="shared" si="142"/>
        <v>1.5</v>
      </c>
      <c r="F248" s="126">
        <f t="shared" si="142"/>
        <v>1.5</v>
      </c>
      <c r="G248" s="126">
        <f t="shared" si="142"/>
        <v>1.5</v>
      </c>
      <c r="H248" s="126">
        <f t="shared" si="142"/>
        <v>1.5</v>
      </c>
      <c r="I248" s="126">
        <f t="shared" si="142"/>
        <v>1.5</v>
      </c>
      <c r="J248" s="126">
        <f t="shared" si="142"/>
        <v>1.5</v>
      </c>
      <c r="K248" s="126">
        <f t="shared" si="142"/>
        <v>1.5</v>
      </c>
      <c r="L248" s="126">
        <f t="shared" si="142"/>
        <v>1.5</v>
      </c>
      <c r="M248" s="126">
        <f t="shared" si="142"/>
        <v>1.5</v>
      </c>
      <c r="N248" s="126">
        <f t="shared" si="142"/>
        <v>1.5</v>
      </c>
      <c r="O248" s="126">
        <f t="shared" si="142"/>
        <v>1.5</v>
      </c>
      <c r="P248" s="126">
        <f t="shared" si="142"/>
        <v>1.5</v>
      </c>
      <c r="Q248" s="126">
        <f t="shared" si="142"/>
        <v>1.5</v>
      </c>
      <c r="R248" s="126">
        <f t="shared" si="142"/>
        <v>1.5</v>
      </c>
      <c r="S248" s="126">
        <f t="shared" si="142"/>
        <v>1.5</v>
      </c>
      <c r="T248" s="126">
        <f t="shared" si="143"/>
        <v>1.5</v>
      </c>
      <c r="U248" s="126">
        <f t="shared" si="143"/>
        <v>1.5</v>
      </c>
      <c r="V248" s="126">
        <f t="shared" si="143"/>
        <v>1.5</v>
      </c>
      <c r="W248" s="126">
        <f t="shared" si="143"/>
        <v>1.5</v>
      </c>
      <c r="X248" s="126">
        <f t="shared" si="143"/>
        <v>1.5</v>
      </c>
      <c r="Y248" s="126">
        <f t="shared" si="143"/>
        <v>1.5</v>
      </c>
      <c r="Z248" s="126">
        <f t="shared" si="143"/>
        <v>1.5</v>
      </c>
      <c r="AA248" s="126">
        <f t="shared" si="143"/>
        <v>1.5</v>
      </c>
      <c r="AB248" s="126">
        <f t="shared" si="143"/>
        <v>1.5</v>
      </c>
      <c r="AC248" s="126">
        <f t="shared" si="143"/>
        <v>1.5</v>
      </c>
      <c r="AD248" s="126">
        <f t="shared" si="143"/>
        <v>1.5</v>
      </c>
      <c r="AE248" s="126">
        <f t="shared" si="143"/>
        <v>1.5</v>
      </c>
      <c r="AF248" s="126">
        <f t="shared" si="143"/>
        <v>1.5</v>
      </c>
      <c r="AG248" s="140">
        <v>1.5</v>
      </c>
      <c r="AH248" s="47"/>
      <c r="AI248" s="48"/>
      <c r="AK248" s="50"/>
    </row>
    <row r="249" spans="1:37" x14ac:dyDescent="0.25">
      <c r="A249" s="103" t="s">
        <v>235</v>
      </c>
      <c r="B249" s="126">
        <f t="shared" si="141"/>
        <v>0.3</v>
      </c>
      <c r="C249" s="126">
        <v>0.3</v>
      </c>
      <c r="D249" s="126">
        <f t="shared" si="142"/>
        <v>0.3</v>
      </c>
      <c r="E249" s="126">
        <f t="shared" si="142"/>
        <v>0.3</v>
      </c>
      <c r="F249" s="126">
        <f t="shared" si="142"/>
        <v>0.3</v>
      </c>
      <c r="G249" s="126">
        <f t="shared" si="142"/>
        <v>0.3</v>
      </c>
      <c r="H249" s="126">
        <f t="shared" si="142"/>
        <v>0.3</v>
      </c>
      <c r="I249" s="126">
        <f t="shared" si="142"/>
        <v>0.3</v>
      </c>
      <c r="J249" s="126">
        <f t="shared" si="142"/>
        <v>0.3</v>
      </c>
      <c r="K249" s="126">
        <f t="shared" si="142"/>
        <v>0.3</v>
      </c>
      <c r="L249" s="126">
        <f t="shared" si="142"/>
        <v>0.3</v>
      </c>
      <c r="M249" s="126">
        <f t="shared" si="142"/>
        <v>0.3</v>
      </c>
      <c r="N249" s="126">
        <f t="shared" si="142"/>
        <v>0.3</v>
      </c>
      <c r="O249" s="126">
        <f t="shared" si="142"/>
        <v>0.3</v>
      </c>
      <c r="P249" s="126">
        <f t="shared" si="142"/>
        <v>0.3</v>
      </c>
      <c r="Q249" s="126">
        <f t="shared" si="142"/>
        <v>0.3</v>
      </c>
      <c r="R249" s="126">
        <f t="shared" si="142"/>
        <v>0.3</v>
      </c>
      <c r="S249" s="126">
        <f t="shared" si="142"/>
        <v>0.3</v>
      </c>
      <c r="T249" s="126">
        <f t="shared" si="143"/>
        <v>0.3</v>
      </c>
      <c r="U249" s="126">
        <f t="shared" si="143"/>
        <v>0.3</v>
      </c>
      <c r="V249" s="126">
        <f t="shared" si="143"/>
        <v>0.3</v>
      </c>
      <c r="W249" s="126">
        <f t="shared" si="143"/>
        <v>0.3</v>
      </c>
      <c r="X249" s="126">
        <f t="shared" si="143"/>
        <v>0.3</v>
      </c>
      <c r="Y249" s="126">
        <f t="shared" si="143"/>
        <v>0.3</v>
      </c>
      <c r="Z249" s="126">
        <f t="shared" si="143"/>
        <v>0.3</v>
      </c>
      <c r="AA249" s="126">
        <f t="shared" si="143"/>
        <v>0.3</v>
      </c>
      <c r="AB249" s="126">
        <f t="shared" si="143"/>
        <v>0.3</v>
      </c>
      <c r="AC249" s="126">
        <f t="shared" si="143"/>
        <v>0.3</v>
      </c>
      <c r="AD249" s="126">
        <f t="shared" si="143"/>
        <v>0.3</v>
      </c>
      <c r="AE249" s="126">
        <f t="shared" si="143"/>
        <v>0.3</v>
      </c>
      <c r="AF249" s="126">
        <f t="shared" si="143"/>
        <v>0.3</v>
      </c>
      <c r="AG249" s="140">
        <v>1</v>
      </c>
      <c r="AH249" s="47"/>
      <c r="AI249" s="48"/>
      <c r="AK249" s="50"/>
    </row>
    <row r="250" spans="1:37" x14ac:dyDescent="0.25">
      <c r="A250" s="103" t="s">
        <v>236</v>
      </c>
      <c r="B250" s="126">
        <f t="shared" si="141"/>
        <v>0.4</v>
      </c>
      <c r="C250" s="126">
        <v>0.4</v>
      </c>
      <c r="D250" s="126">
        <f t="shared" si="142"/>
        <v>0.4</v>
      </c>
      <c r="E250" s="126">
        <f t="shared" si="142"/>
        <v>0.4</v>
      </c>
      <c r="F250" s="126">
        <f t="shared" si="142"/>
        <v>0.4</v>
      </c>
      <c r="G250" s="126">
        <f t="shared" si="142"/>
        <v>0.4</v>
      </c>
      <c r="H250" s="126">
        <f t="shared" si="142"/>
        <v>0.4</v>
      </c>
      <c r="I250" s="126">
        <f t="shared" si="142"/>
        <v>0.4</v>
      </c>
      <c r="J250" s="126">
        <f t="shared" si="142"/>
        <v>0.4</v>
      </c>
      <c r="K250" s="126">
        <f t="shared" si="142"/>
        <v>0.4</v>
      </c>
      <c r="L250" s="126">
        <f t="shared" si="142"/>
        <v>0.4</v>
      </c>
      <c r="M250" s="126">
        <f t="shared" si="142"/>
        <v>0.4</v>
      </c>
      <c r="N250" s="126">
        <f t="shared" si="142"/>
        <v>0.4</v>
      </c>
      <c r="O250" s="126">
        <f t="shared" si="142"/>
        <v>0.4</v>
      </c>
      <c r="P250" s="126">
        <f t="shared" si="142"/>
        <v>0.4</v>
      </c>
      <c r="Q250" s="126">
        <f t="shared" si="142"/>
        <v>0.4</v>
      </c>
      <c r="R250" s="126">
        <f t="shared" si="142"/>
        <v>0.4</v>
      </c>
      <c r="S250" s="126">
        <f t="shared" si="142"/>
        <v>0.4</v>
      </c>
      <c r="T250" s="126">
        <f t="shared" si="143"/>
        <v>0.4</v>
      </c>
      <c r="U250" s="126">
        <f t="shared" si="143"/>
        <v>0.4</v>
      </c>
      <c r="V250" s="126">
        <f t="shared" si="143"/>
        <v>0.4</v>
      </c>
      <c r="W250" s="126">
        <f t="shared" si="143"/>
        <v>0.4</v>
      </c>
      <c r="X250" s="126">
        <f t="shared" si="143"/>
        <v>0.4</v>
      </c>
      <c r="Y250" s="126">
        <f t="shared" si="143"/>
        <v>0.4</v>
      </c>
      <c r="Z250" s="126">
        <f t="shared" si="143"/>
        <v>0.4</v>
      </c>
      <c r="AA250" s="126">
        <f t="shared" si="143"/>
        <v>0.4</v>
      </c>
      <c r="AB250" s="126">
        <f t="shared" si="143"/>
        <v>0.4</v>
      </c>
      <c r="AC250" s="126">
        <f t="shared" si="143"/>
        <v>0.4</v>
      </c>
      <c r="AD250" s="126">
        <f t="shared" si="143"/>
        <v>0.4</v>
      </c>
      <c r="AE250" s="126">
        <f t="shared" si="143"/>
        <v>0.4</v>
      </c>
      <c r="AF250" s="126">
        <f t="shared" si="143"/>
        <v>0.4</v>
      </c>
      <c r="AG250" s="140">
        <v>1</v>
      </c>
      <c r="AH250" s="47"/>
      <c r="AI250" s="48"/>
      <c r="AK250" s="50"/>
    </row>
    <row r="251" spans="1:37" ht="15.75" thickBot="1" x14ac:dyDescent="0.3">
      <c r="A251" s="116" t="s">
        <v>237</v>
      </c>
      <c r="B251" s="130">
        <f t="shared" si="141"/>
        <v>0.64</v>
      </c>
      <c r="C251" s="130">
        <v>0.64</v>
      </c>
      <c r="D251" s="130">
        <f t="shared" si="142"/>
        <v>0.64</v>
      </c>
      <c r="E251" s="130">
        <f t="shared" si="142"/>
        <v>0.64</v>
      </c>
      <c r="F251" s="130">
        <f t="shared" si="142"/>
        <v>0.64</v>
      </c>
      <c r="G251" s="130">
        <f t="shared" si="142"/>
        <v>0.64</v>
      </c>
      <c r="H251" s="130">
        <f t="shared" si="142"/>
        <v>0.64</v>
      </c>
      <c r="I251" s="130">
        <f t="shared" si="142"/>
        <v>0.64</v>
      </c>
      <c r="J251" s="130">
        <f t="shared" si="142"/>
        <v>0.64</v>
      </c>
      <c r="K251" s="130">
        <f t="shared" si="142"/>
        <v>0.64</v>
      </c>
      <c r="L251" s="130">
        <f t="shared" si="142"/>
        <v>0.64</v>
      </c>
      <c r="M251" s="130">
        <f t="shared" si="142"/>
        <v>0.64</v>
      </c>
      <c r="N251" s="130">
        <f t="shared" si="142"/>
        <v>0.64</v>
      </c>
      <c r="O251" s="130">
        <f t="shared" si="142"/>
        <v>0.64</v>
      </c>
      <c r="P251" s="130">
        <f t="shared" si="142"/>
        <v>0.64</v>
      </c>
      <c r="Q251" s="130">
        <f t="shared" si="142"/>
        <v>0.64</v>
      </c>
      <c r="R251" s="130">
        <f t="shared" si="142"/>
        <v>0.64</v>
      </c>
      <c r="S251" s="130">
        <f t="shared" si="142"/>
        <v>0.64</v>
      </c>
      <c r="T251" s="130">
        <f t="shared" si="143"/>
        <v>0.64</v>
      </c>
      <c r="U251" s="130">
        <f t="shared" si="143"/>
        <v>0.64</v>
      </c>
      <c r="V251" s="130">
        <f t="shared" si="143"/>
        <v>0.64</v>
      </c>
      <c r="W251" s="130">
        <f t="shared" si="143"/>
        <v>0.64</v>
      </c>
      <c r="X251" s="130">
        <f t="shared" si="143"/>
        <v>0.64</v>
      </c>
      <c r="Y251" s="130">
        <f t="shared" si="143"/>
        <v>0.64</v>
      </c>
      <c r="Z251" s="130">
        <f t="shared" si="143"/>
        <v>0.64</v>
      </c>
      <c r="AA251" s="130">
        <f t="shared" si="143"/>
        <v>0.64</v>
      </c>
      <c r="AB251" s="130">
        <f t="shared" si="143"/>
        <v>0.64</v>
      </c>
      <c r="AC251" s="130">
        <f t="shared" si="143"/>
        <v>0.64</v>
      </c>
      <c r="AD251" s="130">
        <f t="shared" si="143"/>
        <v>0.64</v>
      </c>
      <c r="AE251" s="130">
        <f t="shared" si="143"/>
        <v>0.64</v>
      </c>
      <c r="AF251" s="130">
        <f t="shared" si="143"/>
        <v>0.64</v>
      </c>
      <c r="AG251" s="141">
        <v>0.66</v>
      </c>
      <c r="AH251" s="47"/>
      <c r="AI251" s="48"/>
    </row>
    <row r="252" spans="1:37" ht="15.75" thickBot="1" x14ac:dyDescent="0.3">
      <c r="A252" s="142" t="s">
        <v>75</v>
      </c>
      <c r="B252" s="134">
        <f t="shared" ref="B252:AG252" si="144">SUM(B246:B251)</f>
        <v>3.54</v>
      </c>
      <c r="C252" s="134">
        <f t="shared" si="144"/>
        <v>3.54</v>
      </c>
      <c r="D252" s="134">
        <f t="shared" si="144"/>
        <v>3.54</v>
      </c>
      <c r="E252" s="134">
        <f t="shared" si="144"/>
        <v>3.54</v>
      </c>
      <c r="F252" s="134">
        <f t="shared" si="144"/>
        <v>3.54</v>
      </c>
      <c r="G252" s="134">
        <f t="shared" si="144"/>
        <v>3.54</v>
      </c>
      <c r="H252" s="134">
        <f t="shared" si="144"/>
        <v>3.54</v>
      </c>
      <c r="I252" s="134">
        <f t="shared" si="144"/>
        <v>3.54</v>
      </c>
      <c r="J252" s="134">
        <f t="shared" si="144"/>
        <v>3.54</v>
      </c>
      <c r="K252" s="134">
        <f t="shared" si="144"/>
        <v>3.54</v>
      </c>
      <c r="L252" s="134">
        <f t="shared" si="144"/>
        <v>3.54</v>
      </c>
      <c r="M252" s="134">
        <f t="shared" si="144"/>
        <v>3.54</v>
      </c>
      <c r="N252" s="134">
        <f t="shared" si="144"/>
        <v>3.54</v>
      </c>
      <c r="O252" s="134">
        <f t="shared" si="144"/>
        <v>3.54</v>
      </c>
      <c r="P252" s="134">
        <f t="shared" si="144"/>
        <v>3.54</v>
      </c>
      <c r="Q252" s="134">
        <f t="shared" si="144"/>
        <v>3.54</v>
      </c>
      <c r="R252" s="134">
        <f t="shared" si="144"/>
        <v>3.54</v>
      </c>
      <c r="S252" s="134">
        <f t="shared" si="144"/>
        <v>3.54</v>
      </c>
      <c r="T252" s="134">
        <f t="shared" si="144"/>
        <v>3.54</v>
      </c>
      <c r="U252" s="134">
        <f t="shared" si="144"/>
        <v>3.54</v>
      </c>
      <c r="V252" s="134">
        <f t="shared" si="144"/>
        <v>3.54</v>
      </c>
      <c r="W252" s="134">
        <f t="shared" si="144"/>
        <v>3.54</v>
      </c>
      <c r="X252" s="134">
        <f t="shared" si="144"/>
        <v>3.54</v>
      </c>
      <c r="Y252" s="134">
        <f t="shared" si="144"/>
        <v>3.54</v>
      </c>
      <c r="Z252" s="134">
        <f t="shared" si="144"/>
        <v>3.54</v>
      </c>
      <c r="AA252" s="134">
        <f t="shared" si="144"/>
        <v>3.54</v>
      </c>
      <c r="AB252" s="134">
        <f t="shared" si="144"/>
        <v>3.54</v>
      </c>
      <c r="AC252" s="134">
        <f t="shared" si="144"/>
        <v>3.54</v>
      </c>
      <c r="AD252" s="134">
        <f t="shared" si="144"/>
        <v>3.54</v>
      </c>
      <c r="AE252" s="134">
        <f t="shared" si="144"/>
        <v>3.54</v>
      </c>
      <c r="AF252" s="134">
        <f t="shared" si="144"/>
        <v>3.54</v>
      </c>
      <c r="AG252" s="143">
        <f t="shared" si="144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37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54" t="s">
        <v>243</v>
      </c>
      <c r="B256" s="155">
        <f>MAX(G99:N99)</f>
        <v>1871.7400000000002</v>
      </c>
      <c r="C256" s="156">
        <f>INDEX(G9:N9,1,MATCH(MAX(G99:N99),G99:N99,0))</f>
        <v>0.3125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50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157" t="str">
        <f ca="1">MID(CELL("filename",C7),FIND("]",CELL("filename",C7))+1,600)</f>
        <v>25</v>
      </c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50" x14ac:dyDescent="0.25">
      <c r="A258" s="257" t="s">
        <v>244</v>
      </c>
      <c r="B258" s="257"/>
      <c r="C258" s="43"/>
      <c r="D258" s="157" t="str">
        <f ca="1">"Pie Chart of Daily Peak Demand(Inclusive of Export) of Nepal ("&amp;A4&amp;" "&amp;B4&amp;")"</f>
        <v>Pie Chart of Daily Peak Demand(Inclusive of Export) of Nepal (Nepali Date: 2080/10/25)</v>
      </c>
      <c r="E258" s="43"/>
      <c r="F258" s="43"/>
      <c r="G258" s="157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157" t="str">
        <f ca="1">"Daily Load Curve(Excluding of Export) of Nepal ("&amp;A4&amp;" "&amp;B4&amp;")"</f>
        <v>Daily Load Curve(Excluding of Export) of Nepal (Nepali Date: 2080/10/25)</v>
      </c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50" ht="12.75" customHeight="1" thickBot="1" x14ac:dyDescent="0.3">
      <c r="A259" s="158" t="s">
        <v>7</v>
      </c>
      <c r="B259" s="159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50" ht="15.75" thickTop="1" x14ac:dyDescent="0.25">
      <c r="A260" s="158" t="s">
        <v>245</v>
      </c>
      <c r="B260" s="15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160" t="s">
        <v>246</v>
      </c>
      <c r="T260" s="161">
        <v>0</v>
      </c>
      <c r="U260" s="162">
        <v>4.1666666666666664E-2</v>
      </c>
      <c r="V260" s="163">
        <v>8.3333333333333301E-2</v>
      </c>
      <c r="W260" s="163">
        <v>0.125</v>
      </c>
      <c r="X260" s="163">
        <v>0.16666666666666699</v>
      </c>
      <c r="Y260" s="163">
        <v>0.20833333333333301</v>
      </c>
      <c r="Z260" s="163">
        <v>0.22916666666666666</v>
      </c>
      <c r="AA260" s="163">
        <v>0.25</v>
      </c>
      <c r="AB260" s="163">
        <v>0.27083333333333331</v>
      </c>
      <c r="AC260" s="163">
        <v>0.29166666666666669</v>
      </c>
      <c r="AD260" s="163">
        <v>0.3125</v>
      </c>
      <c r="AE260" s="164">
        <v>0.33333333333333331</v>
      </c>
      <c r="AF260" s="164">
        <v>0.375</v>
      </c>
      <c r="AG260" s="164">
        <v>0.41666666666666702</v>
      </c>
      <c r="AH260" s="164">
        <v>0.45833333333333298</v>
      </c>
      <c r="AI260" s="164">
        <v>0.5</v>
      </c>
      <c r="AJ260" s="164">
        <v>0.54166666666666696</v>
      </c>
      <c r="AK260" s="164">
        <v>0.58333333333333304</v>
      </c>
      <c r="AL260" s="164">
        <v>0.625</v>
      </c>
      <c r="AM260" s="164">
        <v>0.66666666666666696</v>
      </c>
      <c r="AN260" s="164">
        <v>0.70833333333333304</v>
      </c>
      <c r="AO260" s="164">
        <v>0.72916666666666663</v>
      </c>
      <c r="AP260" s="164">
        <v>0.75</v>
      </c>
      <c r="AQ260" s="164">
        <v>0.77083333333333337</v>
      </c>
      <c r="AR260" s="164">
        <v>0.79166666666666663</v>
      </c>
      <c r="AS260" s="164">
        <v>0.8125</v>
      </c>
      <c r="AT260" s="163">
        <v>0.83333333333333337</v>
      </c>
      <c r="AU260" s="163">
        <v>0.85416666666666663</v>
      </c>
      <c r="AV260" s="163">
        <v>0.875</v>
      </c>
      <c r="AW260" s="163">
        <v>0.91666666666666696</v>
      </c>
      <c r="AX260" s="163">
        <v>0.95833333333333304</v>
      </c>
    </row>
    <row r="261" spans="1:50" x14ac:dyDescent="0.25">
      <c r="A261" s="158" t="s">
        <v>247</v>
      </c>
      <c r="B261" s="15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 t="s">
        <v>248</v>
      </c>
      <c r="T261" s="165">
        <f t="shared" ref="T261:AX261" si="145">B99</f>
        <v>1226.1400000000001</v>
      </c>
      <c r="U261" s="165">
        <f t="shared" si="145"/>
        <v>1164.8400000000001</v>
      </c>
      <c r="V261" s="165">
        <f t="shared" si="145"/>
        <v>1155.04</v>
      </c>
      <c r="W261" s="165">
        <f t="shared" si="145"/>
        <v>1151.7400000000002</v>
      </c>
      <c r="X261" s="165">
        <f t="shared" si="145"/>
        <v>1150.6400000000001</v>
      </c>
      <c r="Y261" s="165">
        <f t="shared" si="145"/>
        <v>1231.8400000000001</v>
      </c>
      <c r="Z261" s="165">
        <f t="shared" si="145"/>
        <v>1238.94</v>
      </c>
      <c r="AA261" s="165">
        <f t="shared" si="145"/>
        <v>1424.64</v>
      </c>
      <c r="AB261" s="165">
        <f t="shared" si="145"/>
        <v>1482.94</v>
      </c>
      <c r="AC261" s="165">
        <f t="shared" si="145"/>
        <v>1662.14</v>
      </c>
      <c r="AD261" s="165">
        <f t="shared" si="145"/>
        <v>1871.7400000000002</v>
      </c>
      <c r="AE261" s="165">
        <f t="shared" si="145"/>
        <v>1770.54</v>
      </c>
      <c r="AF261" s="165">
        <f t="shared" si="145"/>
        <v>1672.3400000000001</v>
      </c>
      <c r="AG261" s="165">
        <f t="shared" si="145"/>
        <v>1562.14</v>
      </c>
      <c r="AH261" s="165">
        <f t="shared" si="145"/>
        <v>1500.1399999999999</v>
      </c>
      <c r="AI261" s="165">
        <f t="shared" si="145"/>
        <v>1421.64</v>
      </c>
      <c r="AJ261" s="165">
        <f t="shared" si="145"/>
        <v>1555.24</v>
      </c>
      <c r="AK261" s="165">
        <f t="shared" si="145"/>
        <v>1563.94</v>
      </c>
      <c r="AL261" s="165">
        <f t="shared" si="145"/>
        <v>1579.04</v>
      </c>
      <c r="AM261" s="165">
        <f t="shared" si="145"/>
        <v>1472.6399999999999</v>
      </c>
      <c r="AN261" s="165">
        <f t="shared" si="145"/>
        <v>1449.44</v>
      </c>
      <c r="AO261" s="165">
        <f t="shared" si="145"/>
        <v>1581.44</v>
      </c>
      <c r="AP261" s="165">
        <f t="shared" si="145"/>
        <v>1798.8400000000001</v>
      </c>
      <c r="AQ261" s="165">
        <f t="shared" si="145"/>
        <v>1839.2999999999997</v>
      </c>
      <c r="AR261" s="165">
        <f t="shared" si="145"/>
        <v>1832.5</v>
      </c>
      <c r="AS261" s="165">
        <f t="shared" si="145"/>
        <v>1793.3400000000001</v>
      </c>
      <c r="AT261" s="165">
        <f t="shared" si="145"/>
        <v>1710.8400000000001</v>
      </c>
      <c r="AU261" s="165">
        <f t="shared" si="145"/>
        <v>1621.3400000000001</v>
      </c>
      <c r="AV261" s="165">
        <f t="shared" si="145"/>
        <v>1497.8400000000001</v>
      </c>
      <c r="AW261" s="165">
        <f t="shared" si="145"/>
        <v>1427.04</v>
      </c>
      <c r="AX261" s="165">
        <f t="shared" si="145"/>
        <v>1263.04</v>
      </c>
    </row>
    <row r="262" spans="1:50" x14ac:dyDescent="0.25">
      <c r="A262" s="158" t="s">
        <v>249</v>
      </c>
      <c r="B262" s="15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50" x14ac:dyDescent="0.25">
      <c r="A263" s="158" t="s">
        <v>250</v>
      </c>
      <c r="B263" s="15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50" x14ac:dyDescent="0.25">
      <c r="A264" s="158" t="s">
        <v>251</v>
      </c>
      <c r="B264" s="15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50" x14ac:dyDescent="0.25">
      <c r="A265" s="158" t="s">
        <v>252</v>
      </c>
      <c r="B265" s="166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50" x14ac:dyDescent="0.25">
      <c r="A266" s="158" t="s">
        <v>253</v>
      </c>
      <c r="B266" s="15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50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50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50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50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50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50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1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1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1:34" x14ac:dyDescent="0.25">
      <c r="A282" s="167" t="s">
        <v>238</v>
      </c>
      <c r="B282" s="168">
        <f t="shared" ref="B282:AE282" si="146">C251</f>
        <v>0.64</v>
      </c>
      <c r="C282" s="168">
        <f t="shared" si="146"/>
        <v>0.64</v>
      </c>
      <c r="D282" s="168">
        <f t="shared" si="146"/>
        <v>0.64</v>
      </c>
      <c r="E282" s="168">
        <f t="shared" si="146"/>
        <v>0.64</v>
      </c>
      <c r="F282" s="168">
        <f t="shared" si="146"/>
        <v>0.64</v>
      </c>
      <c r="G282" s="168">
        <f t="shared" si="146"/>
        <v>0.64</v>
      </c>
      <c r="H282" s="168">
        <f t="shared" si="146"/>
        <v>0.64</v>
      </c>
      <c r="I282" s="168">
        <f t="shared" si="146"/>
        <v>0.64</v>
      </c>
      <c r="J282" s="168">
        <f t="shared" si="146"/>
        <v>0.64</v>
      </c>
      <c r="K282" s="168">
        <f t="shared" si="146"/>
        <v>0.64</v>
      </c>
      <c r="L282" s="168">
        <f t="shared" si="146"/>
        <v>0.64</v>
      </c>
      <c r="M282" s="168">
        <f t="shared" si="146"/>
        <v>0.64</v>
      </c>
      <c r="N282" s="168">
        <f t="shared" si="146"/>
        <v>0.64</v>
      </c>
      <c r="O282" s="168">
        <f t="shared" si="146"/>
        <v>0.64</v>
      </c>
      <c r="P282" s="168">
        <f t="shared" si="146"/>
        <v>0.64</v>
      </c>
      <c r="Q282" s="168">
        <f t="shared" si="146"/>
        <v>0.64</v>
      </c>
      <c r="R282" s="168">
        <f t="shared" si="146"/>
        <v>0.64</v>
      </c>
      <c r="S282" s="168">
        <f t="shared" si="146"/>
        <v>0.64</v>
      </c>
      <c r="T282" s="168">
        <f t="shared" si="146"/>
        <v>0.64</v>
      </c>
      <c r="U282" s="168">
        <f t="shared" si="146"/>
        <v>0.64</v>
      </c>
      <c r="V282" s="168">
        <f t="shared" si="146"/>
        <v>0.64</v>
      </c>
      <c r="W282" s="168">
        <f t="shared" si="146"/>
        <v>0.64</v>
      </c>
      <c r="X282" s="168">
        <f t="shared" si="146"/>
        <v>0.64</v>
      </c>
      <c r="Y282" s="168">
        <f t="shared" si="146"/>
        <v>0.64</v>
      </c>
      <c r="Z282" s="168">
        <f t="shared" si="146"/>
        <v>0.64</v>
      </c>
      <c r="AA282" s="168">
        <f t="shared" si="146"/>
        <v>0.64</v>
      </c>
      <c r="AB282" s="168">
        <f t="shared" si="146"/>
        <v>0.64</v>
      </c>
      <c r="AC282" s="168">
        <f t="shared" si="146"/>
        <v>0.64</v>
      </c>
      <c r="AD282" s="168">
        <f t="shared" si="146"/>
        <v>0.64</v>
      </c>
      <c r="AE282" s="168">
        <f t="shared" si="146"/>
        <v>0.64</v>
      </c>
      <c r="AF282" s="168">
        <f>B251</f>
        <v>0.64</v>
      </c>
      <c r="AG282" s="43"/>
      <c r="AH282" s="43"/>
    </row>
    <row r="283" spans="1:34" x14ac:dyDescent="0.25">
      <c r="A283" s="169" t="e">
        <f>#REF!</f>
        <v>#REF!</v>
      </c>
      <c r="B283" s="169" t="e">
        <f>IF(#REF!&lt;100,"",#REF!-520)</f>
        <v>#REF!</v>
      </c>
      <c r="C283" s="169" t="e">
        <f>IF(#REF!&lt;100,"",#REF!-520)</f>
        <v>#REF!</v>
      </c>
      <c r="D283" s="169" t="e">
        <f>IF(#REF!&lt;100,"",#REF!-520)</f>
        <v>#REF!</v>
      </c>
      <c r="E283" s="169" t="e">
        <f>IF(#REF!&lt;100,"",#REF!-520)</f>
        <v>#REF!</v>
      </c>
      <c r="F283" s="169" t="e">
        <f>IF(#REF!&lt;100,"",#REF!-520)</f>
        <v>#REF!</v>
      </c>
      <c r="G283" s="169" t="e">
        <f>IF(#REF!&lt;100,"",#REF!-520)</f>
        <v>#REF!</v>
      </c>
      <c r="H283" s="169" t="e">
        <f>IF(#REF!&lt;100,"",#REF!-520)</f>
        <v>#REF!</v>
      </c>
      <c r="I283" s="169" t="e">
        <f>IF(#REF!&lt;100,"",#REF!-520)</f>
        <v>#REF!</v>
      </c>
      <c r="J283" s="169" t="e">
        <f>IF(#REF!&lt;100,"",#REF!-520)</f>
        <v>#REF!</v>
      </c>
      <c r="K283" s="169" t="e">
        <f>IF(#REF!&lt;100,"",#REF!-520)</f>
        <v>#REF!</v>
      </c>
      <c r="L283" s="169" t="e">
        <f>IF(#REF!&lt;100,"",#REF!-520)</f>
        <v>#REF!</v>
      </c>
      <c r="M283" s="169" t="e">
        <f>IF(#REF!&lt;100,"",#REF!-520)</f>
        <v>#REF!</v>
      </c>
      <c r="N283" s="169" t="e">
        <f>IF(#REF!&lt;100,"",#REF!-520)</f>
        <v>#REF!</v>
      </c>
      <c r="O283" s="169" t="e">
        <f>IF(#REF!&lt;100,"",#REF!-520)</f>
        <v>#REF!</v>
      </c>
      <c r="P283" s="169" t="e">
        <f>IF(#REF!&lt;100,"",#REF!-520)</f>
        <v>#REF!</v>
      </c>
      <c r="Q283" s="169" t="e">
        <f>IF(#REF!&lt;100,"",#REF!-520)</f>
        <v>#REF!</v>
      </c>
      <c r="R283" s="169" t="e">
        <f>IF(#REF!&lt;100,"",#REF!-520)</f>
        <v>#REF!</v>
      </c>
      <c r="S283" s="169" t="e">
        <f>IF(#REF!&lt;100,"",#REF!-520)</f>
        <v>#REF!</v>
      </c>
      <c r="T283" s="169" t="e">
        <f>IF(#REF!&lt;100,"",#REF!-520)</f>
        <v>#REF!</v>
      </c>
      <c r="U283" s="169" t="e">
        <f>IF(#REF!&lt;100,"",#REF!-520)</f>
        <v>#REF!</v>
      </c>
      <c r="V283" s="169" t="e">
        <f>IF(#REF!&lt;100,"",#REF!-520)</f>
        <v>#REF!</v>
      </c>
      <c r="W283" s="169" t="e">
        <f>IF(#REF!&lt;100,"",#REF!-520)</f>
        <v>#REF!</v>
      </c>
      <c r="X283" s="169" t="e">
        <f>IF(#REF!&lt;100,"",#REF!-520)</f>
        <v>#REF!</v>
      </c>
      <c r="Y283" s="169" t="e">
        <f>IF(#REF!&lt;100,"",#REF!-520)</f>
        <v>#REF!</v>
      </c>
      <c r="Z283" s="169" t="e">
        <f>IF(#REF!&lt;100,"",#REF!-520)</f>
        <v>#REF!</v>
      </c>
      <c r="AA283" s="169" t="e">
        <f>IF(#REF!&lt;100,"",#REF!-520)</f>
        <v>#REF!</v>
      </c>
      <c r="AB283" s="169" t="e">
        <f>IF(#REF!&lt;100,"",#REF!-520)</f>
        <v>#REF!</v>
      </c>
      <c r="AC283" s="169" t="e">
        <f>IF(#REF!&lt;100,"",#REF!-520)</f>
        <v>#REF!</v>
      </c>
      <c r="AD283" s="169" t="e">
        <f>IF(#REF!&lt;100,"",#REF!-520)</f>
        <v>#REF!</v>
      </c>
      <c r="AE283" s="169" t="e">
        <f>IF(#REF!&lt;100,"",#REF!-520)</f>
        <v>#REF!</v>
      </c>
      <c r="AF283" s="169" t="e">
        <f>IF(#REF!&lt;100,"",#REF!-520)</f>
        <v>#REF!</v>
      </c>
      <c r="AG283" s="43"/>
      <c r="AH283" s="43"/>
    </row>
    <row r="284" spans="1:34" x14ac:dyDescent="0.25">
      <c r="A284" s="169" t="e">
        <f>#REF!</f>
        <v>#REF!</v>
      </c>
      <c r="B284" s="169" t="e">
        <f>IF(#REF!&lt;100,"",#REF!-620)</f>
        <v>#REF!</v>
      </c>
      <c r="C284" s="169" t="e">
        <f>IF(#REF!&lt;100,"",#REF!-620)</f>
        <v>#REF!</v>
      </c>
      <c r="D284" s="169" t="e">
        <f>IF(#REF!&lt;100,"",#REF!-620)</f>
        <v>#REF!</v>
      </c>
      <c r="E284" s="169" t="e">
        <f>IF(#REF!&lt;100,"",#REF!-620)</f>
        <v>#REF!</v>
      </c>
      <c r="F284" s="169" t="e">
        <f>IF(#REF!&lt;100,"",#REF!-620)</f>
        <v>#REF!</v>
      </c>
      <c r="G284" s="169" t="e">
        <f>IF(#REF!&lt;100,"",#REF!-620)</f>
        <v>#REF!</v>
      </c>
      <c r="H284" s="169" t="e">
        <f>IF(#REF!&lt;100,"",#REF!-620)</f>
        <v>#REF!</v>
      </c>
      <c r="I284" s="169" t="e">
        <f>IF(#REF!&lt;100,"",#REF!-620)</f>
        <v>#REF!</v>
      </c>
      <c r="J284" s="169" t="e">
        <f>IF(#REF!&lt;100,"",#REF!-620)</f>
        <v>#REF!</v>
      </c>
      <c r="K284" s="169" t="e">
        <f>IF(#REF!&lt;100,"",#REF!-620)</f>
        <v>#REF!</v>
      </c>
      <c r="L284" s="169" t="e">
        <f>IF(#REF!&lt;100,"",#REF!-620)</f>
        <v>#REF!</v>
      </c>
      <c r="M284" s="169" t="e">
        <f>IF(#REF!&lt;100,"",#REF!-620)</f>
        <v>#REF!</v>
      </c>
      <c r="N284" s="169" t="e">
        <f>IF(#REF!&lt;100,"",#REF!-620)</f>
        <v>#REF!</v>
      </c>
      <c r="O284" s="169" t="e">
        <f>IF(#REF!&lt;100,"",#REF!-620)</f>
        <v>#REF!</v>
      </c>
      <c r="P284" s="169" t="e">
        <f>IF(#REF!&lt;100,"",#REF!-620)</f>
        <v>#REF!</v>
      </c>
      <c r="Q284" s="169" t="e">
        <f>IF(#REF!&lt;100,"",#REF!-620)</f>
        <v>#REF!</v>
      </c>
      <c r="R284" s="169" t="e">
        <f>IF(#REF!&lt;100,"",#REF!-620)</f>
        <v>#REF!</v>
      </c>
      <c r="S284" s="169" t="e">
        <f>IF(#REF!&lt;100,"",#REF!-620)</f>
        <v>#REF!</v>
      </c>
      <c r="T284" s="169" t="e">
        <f>IF(#REF!&lt;100,"",#REF!-620)</f>
        <v>#REF!</v>
      </c>
      <c r="U284" s="169" t="e">
        <f>IF(#REF!&lt;100,"",#REF!-620)</f>
        <v>#REF!</v>
      </c>
      <c r="V284" s="169" t="e">
        <f>IF(#REF!&lt;100,"",#REF!-620)</f>
        <v>#REF!</v>
      </c>
      <c r="W284" s="169" t="e">
        <f>IF(#REF!&lt;100,"",#REF!-620)</f>
        <v>#REF!</v>
      </c>
      <c r="X284" s="169" t="e">
        <f>IF(#REF!&lt;100,"",#REF!-620)</f>
        <v>#REF!</v>
      </c>
      <c r="Y284" s="169" t="e">
        <f>IF(#REF!&lt;100,"",#REF!-620)</f>
        <v>#REF!</v>
      </c>
      <c r="Z284" s="169" t="e">
        <f>IF(#REF!&lt;100,"",#REF!-620)</f>
        <v>#REF!</v>
      </c>
      <c r="AA284" s="169" t="e">
        <f>IF(#REF!&lt;100,"",#REF!-620)</f>
        <v>#REF!</v>
      </c>
      <c r="AB284" s="169" t="e">
        <f>IF(#REF!&lt;100,"",#REF!-620)</f>
        <v>#REF!</v>
      </c>
      <c r="AC284" s="169" t="e">
        <f>IF(#REF!&lt;100,"",#REF!-620)</f>
        <v>#REF!</v>
      </c>
      <c r="AD284" s="169" t="e">
        <f>IF(#REF!&lt;100,"",#REF!-620)</f>
        <v>#REF!</v>
      </c>
      <c r="AE284" s="169" t="e">
        <f>IF(#REF!&lt;100,"",#REF!-620)</f>
        <v>#REF!</v>
      </c>
      <c r="AF284" s="169" t="e">
        <f>IF(#REF!&lt;100,"",#REF!-620)</f>
        <v>#REF!</v>
      </c>
      <c r="AG284" s="43"/>
      <c r="AH284" s="43"/>
    </row>
    <row r="285" spans="1:34" x14ac:dyDescent="0.25">
      <c r="A285" s="169" t="e">
        <f>#REF!</f>
        <v>#REF!</v>
      </c>
      <c r="B285" s="169" t="e">
        <f>IF(#REF!&lt;100,"",#REF!-330)</f>
        <v>#REF!</v>
      </c>
      <c r="C285" s="169" t="e">
        <f>IF(#REF!&lt;100,"",#REF!-330)</f>
        <v>#REF!</v>
      </c>
      <c r="D285" s="169" t="e">
        <f>IF(#REF!&lt;100,"",#REF!-330)</f>
        <v>#REF!</v>
      </c>
      <c r="E285" s="169" t="e">
        <f>IF(#REF!&lt;100,"",#REF!-330)</f>
        <v>#REF!</v>
      </c>
      <c r="F285" s="169" t="e">
        <f>IF(#REF!&lt;100,"",#REF!-330)</f>
        <v>#REF!</v>
      </c>
      <c r="G285" s="169" t="e">
        <f>IF(#REF!&lt;100,"",#REF!-330)</f>
        <v>#REF!</v>
      </c>
      <c r="H285" s="169" t="e">
        <f>IF(#REF!&lt;100,"",#REF!-330)</f>
        <v>#REF!</v>
      </c>
      <c r="I285" s="169" t="e">
        <f>IF(#REF!&lt;100,"",#REF!-330)</f>
        <v>#REF!</v>
      </c>
      <c r="J285" s="169" t="e">
        <f>IF(#REF!&lt;100,"",#REF!-330)</f>
        <v>#REF!</v>
      </c>
      <c r="K285" s="169" t="e">
        <f>IF(#REF!&lt;100,"",#REF!-330)</f>
        <v>#REF!</v>
      </c>
      <c r="L285" s="169" t="e">
        <f>IF(#REF!&lt;100,"",#REF!-330)</f>
        <v>#REF!</v>
      </c>
      <c r="M285" s="169" t="e">
        <f>IF(#REF!&lt;100,"",#REF!-330)</f>
        <v>#REF!</v>
      </c>
      <c r="N285" s="169" t="e">
        <f>IF(#REF!&lt;100,"",#REF!-330)</f>
        <v>#REF!</v>
      </c>
      <c r="O285" s="169" t="e">
        <f>IF(#REF!&lt;100,"",#REF!-330)</f>
        <v>#REF!</v>
      </c>
      <c r="P285" s="169" t="e">
        <f>IF(#REF!&lt;100,"",#REF!-330)</f>
        <v>#REF!</v>
      </c>
      <c r="Q285" s="169" t="e">
        <f>IF(#REF!&lt;100,"",#REF!-330)</f>
        <v>#REF!</v>
      </c>
      <c r="R285" s="169" t="e">
        <f>IF(#REF!&lt;100,"",#REF!-330)</f>
        <v>#REF!</v>
      </c>
      <c r="S285" s="169" t="e">
        <f>IF(#REF!&lt;100,"",#REF!-330)</f>
        <v>#REF!</v>
      </c>
      <c r="T285" s="169" t="e">
        <f>IF(#REF!&lt;100,"",#REF!-330)</f>
        <v>#REF!</v>
      </c>
      <c r="U285" s="169" t="e">
        <f>IF(#REF!&lt;100,"",#REF!-330)</f>
        <v>#REF!</v>
      </c>
      <c r="V285" s="169" t="e">
        <f>IF(#REF!&lt;100,"",#REF!-330)</f>
        <v>#REF!</v>
      </c>
      <c r="W285" s="169" t="e">
        <f>IF(#REF!&lt;100,"",#REF!-330)</f>
        <v>#REF!</v>
      </c>
      <c r="X285" s="169" t="e">
        <f>IF(#REF!&lt;100,"",#REF!-330)</f>
        <v>#REF!</v>
      </c>
      <c r="Y285" s="169" t="e">
        <f>IF(#REF!&lt;100,"",#REF!-330)</f>
        <v>#REF!</v>
      </c>
      <c r="Z285" s="169" t="e">
        <f>IF(#REF!&lt;100,"",#REF!-330)</f>
        <v>#REF!</v>
      </c>
      <c r="AA285" s="169" t="e">
        <f>IF(#REF!&lt;100,"",#REF!-330)</f>
        <v>#REF!</v>
      </c>
      <c r="AB285" s="169" t="e">
        <f>IF(#REF!&lt;100,"",#REF!-330)</f>
        <v>#REF!</v>
      </c>
      <c r="AC285" s="169" t="e">
        <f>IF(#REF!&lt;100,"",#REF!-330)</f>
        <v>#REF!</v>
      </c>
      <c r="AD285" s="169" t="e">
        <f>IF(#REF!&lt;100,"",#REF!-330)</f>
        <v>#REF!</v>
      </c>
      <c r="AE285" s="169" t="e">
        <f>IF(#REF!&lt;100,"",#REF!-330)</f>
        <v>#REF!</v>
      </c>
      <c r="AF285" s="169" t="e">
        <f>IF(#REF!&lt;100,"",#REF!-330)</f>
        <v>#REF!</v>
      </c>
      <c r="AG285" s="43"/>
      <c r="AH285" s="43"/>
    </row>
    <row r="286" spans="1:34" x14ac:dyDescent="0.25">
      <c r="A286" s="169" t="e">
        <f>#REF!</f>
        <v>#REF!</v>
      </c>
      <c r="B286" s="169" t="e">
        <f>IF(#REF!&lt;100,"",#REF!-1500)</f>
        <v>#REF!</v>
      </c>
      <c r="C286" s="169" t="e">
        <f>IF(#REF!&lt;100,"",#REF!-1500)</f>
        <v>#REF!</v>
      </c>
      <c r="D286" s="169" t="e">
        <f>IF(#REF!&lt;100,"",#REF!-1500)</f>
        <v>#REF!</v>
      </c>
      <c r="E286" s="169" t="e">
        <f>IF(#REF!&lt;100,"",#REF!-1500)</f>
        <v>#REF!</v>
      </c>
      <c r="F286" s="169" t="e">
        <f>IF(#REF!&lt;100,"",#REF!-1500)</f>
        <v>#REF!</v>
      </c>
      <c r="G286" s="169" t="e">
        <f>IF(#REF!&lt;100,"",#REF!-1500)</f>
        <v>#REF!</v>
      </c>
      <c r="H286" s="169" t="e">
        <f>IF(#REF!&lt;100,"",#REF!-1500)</f>
        <v>#REF!</v>
      </c>
      <c r="I286" s="169" t="e">
        <f>IF(#REF!&lt;100,"",#REF!-1500)</f>
        <v>#REF!</v>
      </c>
      <c r="J286" s="169" t="e">
        <f>IF(#REF!&lt;100,"",#REF!-1500)</f>
        <v>#REF!</v>
      </c>
      <c r="K286" s="169" t="e">
        <f>IF(#REF!&lt;100,"",#REF!-1500)</f>
        <v>#REF!</v>
      </c>
      <c r="L286" s="169" t="e">
        <f>IF(#REF!&lt;100,"",#REF!-1500)</f>
        <v>#REF!</v>
      </c>
      <c r="M286" s="169" t="e">
        <f>IF(#REF!&lt;100,"",#REF!-1500)</f>
        <v>#REF!</v>
      </c>
      <c r="N286" s="169" t="e">
        <f>IF(#REF!&lt;100,"",#REF!-1500)</f>
        <v>#REF!</v>
      </c>
      <c r="O286" s="169" t="e">
        <f>IF(#REF!&lt;100,"",#REF!-1500)</f>
        <v>#REF!</v>
      </c>
      <c r="P286" s="169" t="e">
        <f>IF(#REF!&lt;100,"",#REF!-1500)</f>
        <v>#REF!</v>
      </c>
      <c r="Q286" s="169" t="e">
        <f>IF(#REF!&lt;100,"",#REF!-1500)</f>
        <v>#REF!</v>
      </c>
      <c r="R286" s="169" t="e">
        <f>IF(#REF!&lt;100,"",#REF!-1500)</f>
        <v>#REF!</v>
      </c>
      <c r="S286" s="169" t="e">
        <f>IF(#REF!&lt;100,"",#REF!-1500)</f>
        <v>#REF!</v>
      </c>
      <c r="T286" s="169" t="e">
        <f>IF(#REF!&lt;100,"",#REF!-1500)</f>
        <v>#REF!</v>
      </c>
      <c r="U286" s="169" t="e">
        <f>IF(#REF!&lt;100,"",#REF!-1500)</f>
        <v>#REF!</v>
      </c>
      <c r="V286" s="169" t="e">
        <f>IF(#REF!&lt;100,"",#REF!-1500)</f>
        <v>#REF!</v>
      </c>
      <c r="W286" s="169" t="e">
        <f>IF(#REF!&lt;100,"",#REF!-1500)</f>
        <v>#REF!</v>
      </c>
      <c r="X286" s="169" t="e">
        <f>IF(#REF!&lt;100,"",#REF!-1500)</f>
        <v>#REF!</v>
      </c>
      <c r="Y286" s="169" t="e">
        <f>IF(#REF!&lt;100,"",#REF!-1500)</f>
        <v>#REF!</v>
      </c>
      <c r="Z286" s="169" t="e">
        <f>IF(#REF!&lt;100,"",#REF!-1500)</f>
        <v>#REF!</v>
      </c>
      <c r="AA286" s="169" t="e">
        <f>IF(#REF!&lt;100,"",#REF!-1500)</f>
        <v>#REF!</v>
      </c>
      <c r="AB286" s="169" t="e">
        <f>IF(#REF!&lt;100,"",#REF!-1500)</f>
        <v>#REF!</v>
      </c>
      <c r="AC286" s="169" t="e">
        <f>IF(#REF!&lt;100,"",#REF!-1500)</f>
        <v>#REF!</v>
      </c>
      <c r="AD286" s="169" t="e">
        <f>IF(#REF!&lt;100,"",#REF!-1500)</f>
        <v>#REF!</v>
      </c>
      <c r="AE286" s="169" t="e">
        <f>IF(#REF!&lt;100,"",#REF!-1500)</f>
        <v>#REF!</v>
      </c>
      <c r="AF286" s="169" t="e">
        <f>IF(#REF!&lt;100,"",#REF!-1500)</f>
        <v>#REF!</v>
      </c>
      <c r="AG286" s="43"/>
      <c r="AH286" s="43"/>
    </row>
    <row r="287" spans="1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1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2:34" x14ac:dyDescent="0.25"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2:34" x14ac:dyDescent="0.25"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2:34" x14ac:dyDescent="0.25"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2:34" x14ac:dyDescent="0.25"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2:34" x14ac:dyDescent="0.25"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120" priority="1">
      <formula>$AH11=0</formula>
    </cfRule>
  </conditionalFormatting>
  <conditionalFormatting sqref="A132:A253">
    <cfRule type="expression" dxfId="119" priority="6">
      <formula>$AH132=0</formula>
    </cfRule>
  </conditionalFormatting>
  <conditionalFormatting sqref="B8 M8 S8 AB8">
    <cfRule type="expression" dxfId="118" priority="115">
      <formula>AND(C$9&gt;=8/24,C$9&lt;14/24)</formula>
    </cfRule>
    <cfRule type="expression" dxfId="117" priority="114">
      <formula>AND(C$9&gt;=14/24,C$9&lt;20/24)</formula>
    </cfRule>
    <cfRule type="expression" dxfId="116" priority="116">
      <formula>C$9&lt;8/24</formula>
    </cfRule>
  </conditionalFormatting>
  <conditionalFormatting sqref="B63:J74 K69:AF71">
    <cfRule type="expression" dxfId="115" priority="21">
      <formula>B$9&gt;=20/24</formula>
    </cfRule>
    <cfRule type="expression" dxfId="114" priority="22">
      <formula>AND(B$9&gt;=14/24,B$9&lt;20/24)</formula>
    </cfRule>
    <cfRule type="expression" dxfId="113" priority="23">
      <formula>AND(B$9&gt;=8/24,B$9&lt;14/24)</formula>
    </cfRule>
    <cfRule type="expression" dxfId="112" priority="24">
      <formula>B$9&lt;8/24</formula>
    </cfRule>
  </conditionalFormatting>
  <conditionalFormatting sqref="B11:Y54">
    <cfRule type="expression" dxfId="111" priority="15">
      <formula>B11&gt;$AG11</formula>
    </cfRule>
  </conditionalFormatting>
  <conditionalFormatting sqref="B53:Y54">
    <cfRule type="expression" dxfId="110" priority="14">
      <formula>B$9&lt;8/24</formula>
    </cfRule>
  </conditionalFormatting>
  <conditionalFormatting sqref="B55:Y55">
    <cfRule type="expression" dxfId="109" priority="35">
      <formula>B55&gt;$AG55</formula>
    </cfRule>
  </conditionalFormatting>
  <conditionalFormatting sqref="B9:AF52">
    <cfRule type="expression" dxfId="108" priority="29">
      <formula>B$9&lt;8/24</formula>
    </cfRule>
    <cfRule type="expression" dxfId="107" priority="26">
      <formula>B$9&gt;=20/24</formula>
    </cfRule>
    <cfRule type="expression" dxfId="106" priority="27">
      <formula>AND(B$9&gt;=14/24,B$9&lt;20/24)</formula>
    </cfRule>
    <cfRule type="expression" dxfId="105" priority="28">
      <formula>AND(B$9&gt;=8/24,B$9&lt;14/24)</formula>
    </cfRule>
  </conditionalFormatting>
  <conditionalFormatting sqref="B53:AF54">
    <cfRule type="expression" dxfId="104" priority="11">
      <formula>B$9&gt;=20/24</formula>
    </cfRule>
    <cfRule type="expression" dxfId="103" priority="12">
      <formula>AND(B$9&gt;=14/24,B$9&lt;20/24)</formula>
    </cfRule>
    <cfRule type="expression" dxfId="102" priority="13">
      <formula>AND(B$9&gt;=8/24,B$9&lt;14/24)</formula>
    </cfRule>
  </conditionalFormatting>
  <conditionalFormatting sqref="B55:AF57">
    <cfRule type="expression" dxfId="101" priority="31">
      <formula>B$9&gt;=20/24</formula>
    </cfRule>
    <cfRule type="expression" dxfId="100" priority="33">
      <formula>AND(B$9&gt;=8/24,B$9&lt;14/24)</formula>
    </cfRule>
    <cfRule type="expression" dxfId="99" priority="32">
      <formula>AND(B$9&gt;=14/24,B$9&lt;20/24)</formula>
    </cfRule>
  </conditionalFormatting>
  <conditionalFormatting sqref="B56:AF61">
    <cfRule type="expression" dxfId="98" priority="30">
      <formula>B56&gt;$AG56</formula>
    </cfRule>
  </conditionalFormatting>
  <conditionalFormatting sqref="B59:AF61">
    <cfRule type="expression" dxfId="97" priority="44">
      <formula>B$9&lt;8/24</formula>
    </cfRule>
    <cfRule type="expression" dxfId="96" priority="43">
      <formula>AND(B$9&gt;=8/24,B$9&lt;14/24)</formula>
    </cfRule>
    <cfRule type="expression" dxfId="95" priority="42">
      <formula>AND(B$9&gt;=14/24,B$9&lt;20/24)</formula>
    </cfRule>
    <cfRule type="expression" dxfId="94" priority="41">
      <formula>B$9&gt;=20/24</formula>
    </cfRule>
  </conditionalFormatting>
  <conditionalFormatting sqref="B63:AF74">
    <cfRule type="expression" dxfId="93" priority="20">
      <formula>B63&gt;$AG63</formula>
    </cfRule>
  </conditionalFormatting>
  <conditionalFormatting sqref="B77:AF79">
    <cfRule type="expression" dxfId="92" priority="46">
      <formula>B$9&gt;=20/24</formula>
    </cfRule>
    <cfRule type="expression" dxfId="91" priority="47">
      <formula>AND(B$9&gt;=14/24,B$9&lt;20/24)</formula>
    </cfRule>
    <cfRule type="expression" dxfId="90" priority="48">
      <formula>AND(B$9&gt;=8/24,B$9&lt;14/24)</formula>
    </cfRule>
    <cfRule type="expression" dxfId="89" priority="49">
      <formula>B$9&lt;8/24</formula>
    </cfRule>
    <cfRule type="expression" dxfId="88" priority="45">
      <formula>B77&gt;$AG77</formula>
    </cfRule>
  </conditionalFormatting>
  <conditionalFormatting sqref="B81:AF99">
    <cfRule type="expression" dxfId="87" priority="16">
      <formula>B$9&gt;=20/24</formula>
    </cfRule>
    <cfRule type="expression" dxfId="86" priority="17">
      <formula>AND(B$9&gt;=14/24,B$9&lt;20/24)</formula>
    </cfRule>
    <cfRule type="expression" dxfId="85" priority="19">
      <formula>B$9&lt;8/24</formula>
    </cfRule>
    <cfRule type="expression" dxfId="84" priority="18">
      <formula>AND(B$9&gt;=8/24,B$9&lt;14/24)</formula>
    </cfRule>
  </conditionalFormatting>
  <conditionalFormatting sqref="B101:AF117">
    <cfRule type="expression" dxfId="83" priority="8">
      <formula>AND(B$9&gt;=14/24,B$9&lt;20/24)</formula>
    </cfRule>
    <cfRule type="expression" dxfId="82" priority="10">
      <formula>B$9&lt;8/24</formula>
    </cfRule>
    <cfRule type="expression" dxfId="81" priority="9">
      <formula>AND(B$9&gt;=8/24,B$9&lt;14/24)</formula>
    </cfRule>
    <cfRule type="expression" dxfId="80" priority="7">
      <formula>B$9&gt;=20/24</formula>
    </cfRule>
  </conditionalFormatting>
  <conditionalFormatting sqref="B119:AF137">
    <cfRule type="expression" dxfId="79" priority="2">
      <formula>B$9&gt;=20/24</formula>
    </cfRule>
    <cfRule type="expression" dxfId="78" priority="3">
      <formula>AND(B$9&gt;=14/24,B$9&lt;20/24)</formula>
    </cfRule>
    <cfRule type="expression" dxfId="77" priority="4">
      <formula>AND(B$9&gt;=8/24,B$9&lt;14/24)</formula>
    </cfRule>
    <cfRule type="expression" dxfId="76" priority="5">
      <formula>B$9&lt;8/24</formula>
    </cfRule>
  </conditionalFormatting>
  <conditionalFormatting sqref="B244:AF244 B246:B252 D246:AF252 U260:AF260">
    <cfRule type="expression" dxfId="75" priority="110">
      <formula>B$9&lt;8/24</formula>
    </cfRule>
    <cfRule type="expression" dxfId="74" priority="109">
      <formula>AND(B$9&gt;=8/24,B$9&lt;14/24)</formula>
    </cfRule>
    <cfRule type="expression" dxfId="73" priority="108">
      <formula>AND(B$9&gt;=14/24,B$9&lt;20/24)</formula>
    </cfRule>
    <cfRule type="expression" dxfId="72" priority="107">
      <formula>B$9&gt;=20/24</formula>
    </cfRule>
  </conditionalFormatting>
  <conditionalFormatting sqref="B62:AG62">
    <cfRule type="expression" dxfId="71" priority="50">
      <formula>B62&gt;$AG62</formula>
    </cfRule>
    <cfRule type="expression" dxfId="70" priority="51">
      <formula>B$9&gt;=20/24</formula>
    </cfRule>
    <cfRule type="expression" dxfId="69" priority="52">
      <formula>AND(B$9&gt;=14/24,B$9&lt;20/24)</formula>
    </cfRule>
    <cfRule type="expression" dxfId="68" priority="53">
      <formula>AND(B$9&gt;=8/24,B$9&lt;14/24)</formula>
    </cfRule>
    <cfRule type="expression" dxfId="67" priority="54">
      <formula>B$9&lt;8/24</formula>
    </cfRule>
  </conditionalFormatting>
  <conditionalFormatting sqref="B75:AG76 B80:AG80">
    <cfRule type="expression" dxfId="66" priority="36">
      <formula>B75&gt;$AG75</formula>
    </cfRule>
  </conditionalFormatting>
  <conditionalFormatting sqref="B80:AG80">
    <cfRule type="expression" dxfId="65" priority="37">
      <formula>B$9&gt;=20/24</formula>
    </cfRule>
    <cfRule type="expression" dxfId="64" priority="38">
      <formula>AND(B$9&gt;=14/24,B$9&lt;20/24)</formula>
    </cfRule>
    <cfRule type="expression" dxfId="63" priority="40">
      <formula>B$9&lt;8/24</formula>
    </cfRule>
    <cfRule type="expression" dxfId="62" priority="39">
      <formula>AND(B$9&gt;=8/24,B$9&lt;14/24)</formula>
    </cfRule>
  </conditionalFormatting>
  <conditionalFormatting sqref="F63:M65">
    <cfRule type="expression" dxfId="61" priority="88">
      <formula>F$9&gt;=20/24</formula>
    </cfRule>
    <cfRule type="expression" dxfId="60" priority="91">
      <formula>F$9&lt;8/24</formula>
    </cfRule>
    <cfRule type="expression" dxfId="59" priority="90">
      <formula>AND(F$9&gt;=8/24,F$9&lt;14/24)</formula>
    </cfRule>
    <cfRule type="expression" dxfId="58" priority="89">
      <formula>AND(F$9&gt;=14/24,F$9&lt;20/24)</formula>
    </cfRule>
  </conditionalFormatting>
  <conditionalFormatting sqref="F68:AF68">
    <cfRule type="expression" dxfId="57" priority="68">
      <formula>F$9&lt;8/24</formula>
    </cfRule>
    <cfRule type="expression" dxfId="56" priority="65">
      <formula>F$9&gt;=20/24</formula>
    </cfRule>
    <cfRule type="expression" dxfId="55" priority="66">
      <formula>AND(F$9&gt;=14/24,F$9&lt;20/24)</formula>
    </cfRule>
    <cfRule type="expression" dxfId="54" priority="67">
      <formula>AND(F$9&gt;=8/24,F$9&lt;14/24)</formula>
    </cfRule>
  </conditionalFormatting>
  <conditionalFormatting sqref="F69:AF74">
    <cfRule type="expression" dxfId="53" priority="55">
      <formula>F$9&gt;=20/24</formula>
    </cfRule>
    <cfRule type="expression" dxfId="52" priority="56">
      <formula>AND(F$9&gt;=14/24,F$9&lt;20/24)</formula>
    </cfRule>
    <cfRule type="expression" dxfId="51" priority="57">
      <formula>AND(F$9&gt;=8/24,F$9&lt;14/24)</formula>
    </cfRule>
    <cfRule type="expression" dxfId="50" priority="58">
      <formula>F$9&lt;8/24</formula>
    </cfRule>
  </conditionalFormatting>
  <conditionalFormatting sqref="N55:Y56 B55:M57">
    <cfRule type="expression" dxfId="49" priority="34">
      <formula>B$9&lt;8/24</formula>
    </cfRule>
  </conditionalFormatting>
  <conditionalFormatting sqref="N63:AF67">
    <cfRule type="expression" dxfId="48" priority="93">
      <formula>AND(N$9&gt;=14/24,N$9&lt;20/24)</formula>
    </cfRule>
    <cfRule type="expression" dxfId="47" priority="92">
      <formula>N$9&gt;=20/24</formula>
    </cfRule>
    <cfRule type="expression" dxfId="46" priority="94">
      <formula>AND(N$9&gt;=8/24,N$9&lt;14/24)</formula>
    </cfRule>
    <cfRule type="expression" dxfId="45" priority="95">
      <formula>N$9&lt;8/24</formula>
    </cfRule>
  </conditionalFormatting>
  <conditionalFormatting sqref="O3:P3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44" priority="113">
      <formula>C$9&gt;=20/24</formula>
    </cfRule>
  </conditionalFormatting>
  <conditionalFormatting sqref="S8">
    <cfRule type="expression" dxfId="43" priority="101">
      <formula>AND(U$9&gt;=14/24,U$9&lt;20/24)</formula>
    </cfRule>
    <cfRule type="expression" dxfId="42" priority="103">
      <formula>U$9&lt;8/24</formula>
    </cfRule>
    <cfRule type="expression" dxfId="41" priority="102">
      <formula>AND(U$9&gt;=8/24,U$9&lt;14/24)</formula>
    </cfRule>
    <cfRule type="expression" dxfId="40" priority="100">
      <formula>U$9&gt;=20/24</formula>
    </cfRule>
  </conditionalFormatting>
  <conditionalFormatting sqref="S63:AF68">
    <cfRule type="expression" dxfId="39" priority="59">
      <formula>S$9&gt;=20/24</formula>
    </cfRule>
    <cfRule type="expression" dxfId="38" priority="60">
      <formula>AND(S$9&gt;=14/24,S$9&lt;20/24)</formula>
    </cfRule>
    <cfRule type="expression" dxfId="37" priority="62">
      <formula>S$9&lt;8/24</formula>
    </cfRule>
    <cfRule type="expression" dxfId="36" priority="61">
      <formula>AND(S$9&gt;=8/24,S$9&lt;14/24)</formula>
    </cfRule>
  </conditionalFormatting>
  <conditionalFormatting sqref="T260">
    <cfRule type="expression" dxfId="35" priority="126">
      <formula>AND(AX$9&gt;=14/24,AX$9&lt;20/24)</formula>
    </cfRule>
    <cfRule type="expression" dxfId="34" priority="125">
      <formula>AX$9&gt;=20/24</formula>
    </cfRule>
    <cfRule type="expression" dxfId="33" priority="127">
      <formula>AND(AX$9&gt;=8/24,AX$9&lt;14/24)</formula>
    </cfRule>
    <cfRule type="expression" dxfId="32" priority="128">
      <formula>AX$9&lt;8/24</formula>
    </cfRule>
  </conditionalFormatting>
  <conditionalFormatting sqref="V3 AB3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Z11:AF52">
    <cfRule type="expression" dxfId="31" priority="25">
      <formula>Z11&gt;$AG11</formula>
    </cfRule>
  </conditionalFormatting>
  <conditionalFormatting sqref="Z53:AF55">
    <cfRule type="expression" dxfId="30" priority="64">
      <formula>Z53&gt;$AG53</formula>
    </cfRule>
  </conditionalFormatting>
  <conditionalFormatting sqref="Z53:AF57 B56:R56 S56:Y57 N57:R57">
    <cfRule type="expression" dxfId="29" priority="63">
      <formula>B$9&lt;8/24</formula>
    </cfRule>
  </conditionalFormatting>
  <conditionalFormatting sqref="AB8">
    <cfRule type="expression" dxfId="28" priority="98">
      <formula>AND(AD$9&gt;=8/24,AD$9&lt;14/24)</formula>
    </cfRule>
    <cfRule type="expression" dxfId="27" priority="99">
      <formula>AD$9&lt;8/24</formula>
    </cfRule>
    <cfRule type="expression" dxfId="26" priority="96">
      <formula>AD$9&gt;=20/24</formula>
    </cfRule>
    <cfRule type="expression" dxfId="25" priority="97">
      <formula>AND(AD$9&gt;=14/24,AD$9&lt;20/24)</formula>
    </cfRule>
  </conditionalFormatting>
  <conditionalFormatting sqref="AG58">
    <cfRule type="expression" dxfId="24" priority="83">
      <formula>AG58&gt;$AG58</formula>
    </cfRule>
  </conditionalFormatting>
  <conditionalFormatting sqref="AG97">
    <cfRule type="expression" dxfId="23" priority="87">
      <formula>AG$9&lt;8/24</formula>
    </cfRule>
    <cfRule type="expression" dxfId="22" priority="84">
      <formula>AG$9&gt;=20/24</formula>
    </cfRule>
    <cfRule type="expression" dxfId="21" priority="85">
      <formula>AND(AG$9&gt;=14/24,AG$9&lt;20/24)</formula>
    </cfRule>
    <cfRule type="expression" dxfId="20" priority="86">
      <formula>AND(AG$9&gt;=8/24,AG$9&lt;14/24)</formula>
    </cfRule>
  </conditionalFormatting>
  <conditionalFormatting sqref="AG260">
    <cfRule type="expression" dxfId="19" priority="118">
      <formula>AND(B$9&gt;=14/24,B$9&lt;20/24)</formula>
    </cfRule>
    <cfRule type="expression" dxfId="18" priority="119">
      <formula>AND(B$9&gt;=8/24,B$9&lt;14/24)</formula>
    </cfRule>
    <cfRule type="expression" dxfId="17" priority="120">
      <formula>B$9&lt;8/24</formula>
    </cfRule>
    <cfRule type="expression" dxfId="16" priority="117">
      <formula>B$9&gt;=20/24</formula>
    </cfRule>
  </conditionalFormatting>
  <conditionalFormatting sqref="AH260:AX260">
    <cfRule type="expression" dxfId="15" priority="121">
      <formula>AG$9&gt;=20/24</formula>
    </cfRule>
    <cfRule type="expression" dxfId="14" priority="122">
      <formula>AND(AG$9&gt;=14/24,AG$9&lt;20/24)</formula>
    </cfRule>
    <cfRule type="expression" dxfId="13" priority="123">
      <formula>AND(AG$9&gt;=8/24,AG$9&lt;14/24)</formula>
    </cfRule>
    <cfRule type="expression" dxfId="12" priority="124">
      <formula>AG$9&lt;8/24</formula>
    </cfRule>
  </conditionalFormatting>
  <conditionalFormatting sqref="AL4:AL6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19:AL20">
    <cfRule type="iconSet" priority="71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8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70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8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82">
      <iconSet iconSet="3TrafficLights2" reverse="1">
        <cfvo type="percent" val="0"/>
        <cfvo type="num" val="1"/>
        <cfvo type="num" val="1"/>
      </iconSet>
    </cfRule>
  </conditionalFormatting>
  <conditionalFormatting sqref="AL48 AL45:AL46 AL21:AL24 AL7:AL18 AL26:AL37 AL39:AL43 AL54:AL55">
    <cfRule type="iconSet" priority="129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04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69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11" priority="130">
      <formula>AJ$9&gt;=20/24</formula>
    </cfRule>
    <cfRule type="expression" dxfId="10" priority="131">
      <formula>AND(AJ$9&gt;=14/24,AJ$9&lt;20/24)</formula>
    </cfRule>
    <cfRule type="expression" dxfId="9" priority="132">
      <formula>AND(AJ$9&gt;=8/24,AJ$9&lt;14/24)</formula>
    </cfRule>
    <cfRule type="expression" dxfId="8" priority="133">
      <formula>AJ$9&lt;8/24</formula>
    </cfRule>
  </conditionalFormatting>
  <conditionalFormatting sqref="AL88:AN88 AL94:AN94">
    <cfRule type="expression" dxfId="7" priority="79">
      <formula>AL$9&lt;8/24</formula>
    </cfRule>
    <cfRule type="expression" dxfId="6" priority="78">
      <formula>AND(AL$9&gt;=8/24,AL$9&lt;14/24)</formula>
    </cfRule>
    <cfRule type="expression" dxfId="5" priority="77">
      <formula>AND(AL$9&gt;=14/24,AL$9&lt;20/24)</formula>
    </cfRule>
    <cfRule type="expression" dxfId="4" priority="76">
      <formula>AL$9&gt;=20/24</formula>
    </cfRule>
  </conditionalFormatting>
  <conditionalFormatting sqref="AN89:AN92">
    <cfRule type="expression" dxfId="3" priority="75">
      <formula>AN$9&lt;8/24</formula>
    </cfRule>
    <cfRule type="expression" dxfId="2" priority="74">
      <formula>AND(AN$9&gt;=8/24,AN$9&lt;14/24)</formula>
    </cfRule>
    <cfRule type="expression" dxfId="1" priority="73">
      <formula>AND(AN$9&gt;=14/24,AN$9&lt;20/24)</formula>
    </cfRule>
    <cfRule type="expression" dxfId="0" priority="72">
      <formula>AN$9&gt;=20/24</formula>
    </cfRule>
  </conditionalFormatting>
  <pageMargins left="0.7" right="0.7" top="0.75" bottom="0.75" header="0.3" footer="0.3"/>
  <drawing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6A8FE-6BCA-49D5-89EC-C867E165B678}">
  <sheetPr codeName="Sheet26"/>
  <dimension ref="A1:CJ293"/>
  <sheetViews>
    <sheetView zoomScale="106" workbookViewId="0">
      <pane xSplit="1" ySplit="10" topLeftCell="B78" activePane="bottomRight" state="frozen"/>
      <selection activeCell="Z63" sqref="Z63"/>
      <selection pane="topRight" activeCell="Z63" sqref="Z63"/>
      <selection pane="bottomLeft" activeCell="Z63" sqref="Z63"/>
      <selection pane="bottomRight" activeCell="Q133" sqref="Q133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2" width="6" style="1" bestFit="1" customWidth="1"/>
    <col min="13" max="14" width="8" style="1" bestFit="1" customWidth="1"/>
    <col min="15" max="15" width="6.85546875" style="1" bestFit="1" customWidth="1"/>
    <col min="16" max="16" width="8" style="1" bestFit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hidden="1" customHeight="1" thickBot="1" x14ac:dyDescent="0.3">
      <c r="A1" s="275" t="s">
        <v>0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  <c r="AD1" s="275"/>
      <c r="AE1" s="275"/>
      <c r="AF1" s="275"/>
      <c r="AG1" s="276" t="s">
        <v>1</v>
      </c>
      <c r="AH1" s="276"/>
      <c r="AI1" s="276"/>
      <c r="AL1" s="2"/>
    </row>
    <row r="2" spans="1:88" ht="20.25" hidden="1" x14ac:dyDescent="0.25">
      <c r="A2" s="3"/>
      <c r="B2" s="277" t="s">
        <v>2</v>
      </c>
      <c r="C2" s="4"/>
      <c r="D2" s="279" t="s">
        <v>3</v>
      </c>
      <c r="E2" s="4"/>
      <c r="F2" s="279" t="s">
        <v>4</v>
      </c>
      <c r="G2" s="4"/>
      <c r="H2" s="279" t="s">
        <v>5</v>
      </c>
      <c r="I2" s="5"/>
      <c r="J2" s="281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78"/>
      <c r="C3" s="16"/>
      <c r="D3" s="280"/>
      <c r="E3" s="16"/>
      <c r="F3" s="280"/>
      <c r="G3" s="16"/>
      <c r="H3" s="280"/>
      <c r="I3" s="17"/>
      <c r="J3" s="281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70" t="str">
        <f ca="1">"2080/"&amp;"10/"&amp;INT(MID(CELL("filename",D6),FIND("]",CELL("filename",D6))+1,200))</f>
        <v>2080/10/26</v>
      </c>
      <c r="C4" s="270"/>
      <c r="D4" s="270"/>
      <c r="E4" s="271" t="str">
        <f ca="1">"2080/"&amp;"10/"&amp;INT(MID(CELL("filename",G6),FIND("]",CELL("filename",G6))+1,200))</f>
        <v>2080/10/26</v>
      </c>
      <c r="F4" s="271"/>
      <c r="G4" s="271"/>
      <c r="H4" s="271" t="str">
        <f ca="1">TEXT(E4,"dddd")</f>
        <v>Saturday</v>
      </c>
      <c r="I4" s="271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C92</f>
        <v>564.1</v>
      </c>
      <c r="C5" s="30">
        <f t="shared" si="0"/>
        <v>546.70000000000005</v>
      </c>
      <c r="D5" s="30">
        <f t="shared" si="0"/>
        <v>547.70000000000005</v>
      </c>
      <c r="E5" s="30">
        <f t="shared" si="0"/>
        <v>558</v>
      </c>
      <c r="F5" s="30">
        <f t="shared" si="0"/>
        <v>585.4</v>
      </c>
      <c r="G5" s="30">
        <f t="shared" si="0"/>
        <v>646.30000000000007</v>
      </c>
      <c r="H5" s="30">
        <f t="shared" si="0"/>
        <v>631.89999999999986</v>
      </c>
      <c r="I5" s="30">
        <f t="shared" si="0"/>
        <v>570.9</v>
      </c>
      <c r="J5" s="30">
        <f t="shared" si="0"/>
        <v>458.6</v>
      </c>
      <c r="K5" s="30">
        <f t="shared" si="0"/>
        <v>221</v>
      </c>
      <c r="L5" s="30">
        <f t="shared" si="0"/>
        <v>197.8</v>
      </c>
      <c r="M5" s="30">
        <f t="shared" si="0"/>
        <v>318</v>
      </c>
      <c r="N5" s="30">
        <f t="shared" si="0"/>
        <v>480.7</v>
      </c>
      <c r="O5" s="30">
        <f t="shared" si="0"/>
        <v>543</v>
      </c>
      <c r="P5" s="30">
        <f t="shared" si="0"/>
        <v>808.6</v>
      </c>
      <c r="Q5" s="30">
        <f t="shared" si="0"/>
        <v>804</v>
      </c>
      <c r="R5" s="30">
        <f t="shared" si="0"/>
        <v>824.80000000000007</v>
      </c>
      <c r="S5" s="30">
        <f t="shared" si="0"/>
        <v>797.30000000000007</v>
      </c>
      <c r="T5" s="30">
        <f t="shared" si="0"/>
        <v>787.4</v>
      </c>
      <c r="U5" s="30">
        <f t="shared" si="0"/>
        <v>687</v>
      </c>
      <c r="V5" s="30">
        <f t="shared" si="0"/>
        <v>566.20000000000005</v>
      </c>
      <c r="W5" s="30">
        <f t="shared" si="0"/>
        <v>450.5</v>
      </c>
      <c r="X5" s="30">
        <f t="shared" si="0"/>
        <v>321.2</v>
      </c>
      <c r="Y5" s="30">
        <f t="shared" si="0"/>
        <v>235.2</v>
      </c>
      <c r="Z5" s="30">
        <f t="shared" si="0"/>
        <v>469.59999999999997</v>
      </c>
      <c r="AA5" s="30">
        <f t="shared" si="0"/>
        <v>508.2</v>
      </c>
      <c r="AB5" s="30">
        <f t="shared" si="0"/>
        <v>546.29999999999995</v>
      </c>
      <c r="AC5" s="30">
        <f t="shared" si="0"/>
        <v>539.30000000000007</v>
      </c>
      <c r="AD5" s="30">
        <f t="shared" si="0"/>
        <v>611.19999999999993</v>
      </c>
      <c r="AE5" s="30">
        <f t="shared" si="0"/>
        <v>570.9</v>
      </c>
      <c r="AF5" s="30">
        <f>B92</f>
        <v>529.9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1809MW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Load=1153</v>
      </c>
      <c r="B7" s="35">
        <f>B100</f>
        <v>1187.74</v>
      </c>
      <c r="C7" s="35">
        <f t="shared" ref="C7:AF7" si="1">C100</f>
        <v>1172.54</v>
      </c>
      <c r="D7" s="35">
        <f t="shared" si="1"/>
        <v>1152.6400000000001</v>
      </c>
      <c r="E7" s="35">
        <f t="shared" si="1"/>
        <v>1162.94</v>
      </c>
      <c r="F7" s="35">
        <f t="shared" si="1"/>
        <v>1173.24</v>
      </c>
      <c r="G7" s="35">
        <f t="shared" si="1"/>
        <v>1203.44</v>
      </c>
      <c r="H7" s="35">
        <f t="shared" si="1"/>
        <v>1294.7400000000002</v>
      </c>
      <c r="I7" s="35">
        <f t="shared" si="1"/>
        <v>1395.6399999999999</v>
      </c>
      <c r="J7" s="35">
        <f t="shared" si="1"/>
        <v>1502.2399999999998</v>
      </c>
      <c r="K7" s="35">
        <f t="shared" si="1"/>
        <v>1742.04</v>
      </c>
      <c r="L7" s="35">
        <f t="shared" si="1"/>
        <v>1809.24</v>
      </c>
      <c r="M7" s="35">
        <f t="shared" si="1"/>
        <v>1774.54</v>
      </c>
      <c r="N7" s="35">
        <f t="shared" si="1"/>
        <v>1583.74</v>
      </c>
      <c r="O7" s="35">
        <f t="shared" si="1"/>
        <v>1589.44</v>
      </c>
      <c r="P7" s="35">
        <f t="shared" si="1"/>
        <v>1302.74</v>
      </c>
      <c r="Q7" s="35">
        <f t="shared" si="1"/>
        <v>1576.54</v>
      </c>
      <c r="R7" s="35">
        <f t="shared" si="1"/>
        <v>1525.1399999999999</v>
      </c>
      <c r="S7" s="35">
        <f t="shared" si="1"/>
        <v>1549.3400000000001</v>
      </c>
      <c r="T7" s="35">
        <f t="shared" si="1"/>
        <v>1541.44</v>
      </c>
      <c r="U7" s="35">
        <f t="shared" si="1"/>
        <v>1516.1399999999999</v>
      </c>
      <c r="V7" s="35">
        <f t="shared" si="1"/>
        <v>1542.24</v>
      </c>
      <c r="W7" s="35">
        <f t="shared" si="1"/>
        <v>1517.94</v>
      </c>
      <c r="X7" s="35">
        <f t="shared" si="1"/>
        <v>1711.8400000000001</v>
      </c>
      <c r="Y7" s="35">
        <f t="shared" si="1"/>
        <v>1860.1000000000001</v>
      </c>
      <c r="Z7" s="35">
        <f t="shared" si="1"/>
        <v>1840.4</v>
      </c>
      <c r="AA7" s="35">
        <f t="shared" si="1"/>
        <v>1877.84</v>
      </c>
      <c r="AB7" s="35">
        <f t="shared" si="1"/>
        <v>1699.7400000000002</v>
      </c>
      <c r="AC7" s="35">
        <f t="shared" si="1"/>
        <v>1604.04</v>
      </c>
      <c r="AD7" s="35">
        <f t="shared" si="1"/>
        <v>1467.64</v>
      </c>
      <c r="AE7" s="35">
        <f t="shared" si="1"/>
        <v>1403.8399999999997</v>
      </c>
      <c r="AF7" s="35">
        <f t="shared" si="1"/>
        <v>1200.44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72" t="s">
        <v>14</v>
      </c>
      <c r="C8" s="273"/>
      <c r="D8" s="273"/>
      <c r="E8" s="273"/>
      <c r="F8" s="273"/>
      <c r="G8" s="273"/>
      <c r="H8" s="273"/>
      <c r="I8" s="273"/>
      <c r="J8" s="273"/>
      <c r="K8" s="273"/>
      <c r="L8" s="274"/>
      <c r="M8" s="265" t="s">
        <v>15</v>
      </c>
      <c r="N8" s="266"/>
      <c r="O8" s="266"/>
      <c r="P8" s="266"/>
      <c r="Q8" s="266"/>
      <c r="R8" s="267"/>
      <c r="S8" s="265" t="s">
        <v>16</v>
      </c>
      <c r="T8" s="266"/>
      <c r="U8" s="266"/>
      <c r="V8" s="266"/>
      <c r="W8" s="266"/>
      <c r="X8" s="266"/>
      <c r="Y8" s="266"/>
      <c r="Z8" s="266"/>
      <c r="AA8" s="267"/>
      <c r="AB8" s="265" t="s">
        <v>17</v>
      </c>
      <c r="AC8" s="266"/>
      <c r="AD8" s="266"/>
      <c r="AE8" s="266"/>
      <c r="AF8" s="267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68" t="s">
        <v>18</v>
      </c>
      <c r="B9" s="264">
        <v>0</v>
      </c>
      <c r="C9" s="264">
        <v>4.1666666666666664E-2</v>
      </c>
      <c r="D9" s="264">
        <v>8.3333333333333301E-2</v>
      </c>
      <c r="E9" s="264">
        <v>0.125</v>
      </c>
      <c r="F9" s="264">
        <v>0.16666666666666699</v>
      </c>
      <c r="G9" s="264">
        <v>0.20833333333333301</v>
      </c>
      <c r="H9" s="264">
        <v>0.22916666666666666</v>
      </c>
      <c r="I9" s="264">
        <v>0.25</v>
      </c>
      <c r="J9" s="264">
        <v>0.27083333333333331</v>
      </c>
      <c r="K9" s="264">
        <v>0.29166666666666669</v>
      </c>
      <c r="L9" s="264">
        <v>0.3125</v>
      </c>
      <c r="M9" s="262">
        <v>0.33333333333333331</v>
      </c>
      <c r="N9" s="262">
        <v>0.375</v>
      </c>
      <c r="O9" s="262">
        <v>0.41666666666666702</v>
      </c>
      <c r="P9" s="262">
        <v>0.45833333333333298</v>
      </c>
      <c r="Q9" s="262">
        <v>0.5</v>
      </c>
      <c r="R9" s="262">
        <v>0.54166666666666696</v>
      </c>
      <c r="S9" s="258">
        <v>0.58333333333333304</v>
      </c>
      <c r="T9" s="258">
        <v>0.625</v>
      </c>
      <c r="U9" s="258">
        <v>0.66666666666666696</v>
      </c>
      <c r="V9" s="258">
        <v>0.70833333333333304</v>
      </c>
      <c r="W9" s="258">
        <v>0.72916666666666663</v>
      </c>
      <c r="X9" s="258">
        <v>0.75</v>
      </c>
      <c r="Y9" s="258">
        <v>0.77083333333333337</v>
      </c>
      <c r="Z9" s="258">
        <v>0.79166666666666663</v>
      </c>
      <c r="AA9" s="258">
        <v>0.8125</v>
      </c>
      <c r="AB9" s="258">
        <v>0.83333333333333337</v>
      </c>
      <c r="AC9" s="258">
        <v>0.85416666666666663</v>
      </c>
      <c r="AD9" s="258">
        <v>0.875</v>
      </c>
      <c r="AE9" s="258">
        <v>0.91666666666666696</v>
      </c>
      <c r="AF9" s="258">
        <v>0.95833333333333304</v>
      </c>
      <c r="AG9" s="260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69"/>
      <c r="B10" s="259"/>
      <c r="C10" s="259"/>
      <c r="D10" s="259"/>
      <c r="E10" s="259"/>
      <c r="F10" s="259"/>
      <c r="G10" s="259"/>
      <c r="H10" s="259"/>
      <c r="I10" s="259"/>
      <c r="J10" s="259"/>
      <c r="K10" s="259"/>
      <c r="L10" s="259"/>
      <c r="M10" s="263"/>
      <c r="N10" s="263"/>
      <c r="O10" s="263"/>
      <c r="P10" s="263"/>
      <c r="Q10" s="263"/>
      <c r="R10" s="263"/>
      <c r="S10" s="259"/>
      <c r="T10" s="259"/>
      <c r="U10" s="259"/>
      <c r="V10" s="259"/>
      <c r="W10" s="259"/>
      <c r="X10" s="259"/>
      <c r="Y10" s="259"/>
      <c r="Z10" s="259"/>
      <c r="AA10" s="259"/>
      <c r="AB10" s="259"/>
      <c r="AC10" s="259"/>
      <c r="AD10" s="259"/>
      <c r="AE10" s="259"/>
      <c r="AF10" s="259"/>
      <c r="AG10" s="261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30.5</v>
      </c>
      <c r="C11" s="45">
        <v>30.5</v>
      </c>
      <c r="D11" s="45">
        <v>30.5</v>
      </c>
      <c r="E11" s="45">
        <v>30.5</v>
      </c>
      <c r="F11" s="45">
        <v>30.5</v>
      </c>
      <c r="G11" s="45">
        <v>30.5</v>
      </c>
      <c r="H11" s="45">
        <v>30.5</v>
      </c>
      <c r="I11" s="45">
        <v>30.5</v>
      </c>
      <c r="J11" s="45">
        <v>30.5</v>
      </c>
      <c r="K11" s="45">
        <v>30.5</v>
      </c>
      <c r="L11" s="45">
        <v>30.5</v>
      </c>
      <c r="M11" s="45">
        <v>30.5</v>
      </c>
      <c r="N11" s="45">
        <v>30.5</v>
      </c>
      <c r="O11" s="45">
        <v>30.5</v>
      </c>
      <c r="P11" s="45">
        <v>30.5</v>
      </c>
      <c r="Q11" s="45">
        <v>30.5</v>
      </c>
      <c r="R11" s="45">
        <v>30.5</v>
      </c>
      <c r="S11" s="45">
        <v>30.5</v>
      </c>
      <c r="T11" s="45">
        <v>30.5</v>
      </c>
      <c r="U11" s="45">
        <v>30.5</v>
      </c>
      <c r="V11" s="45">
        <v>30.5</v>
      </c>
      <c r="W11" s="45">
        <v>30.5</v>
      </c>
      <c r="X11" s="45">
        <v>30.5</v>
      </c>
      <c r="Y11" s="45">
        <v>30.5</v>
      </c>
      <c r="Z11" s="45">
        <v>30.5</v>
      </c>
      <c r="AA11" s="45">
        <v>30.5</v>
      </c>
      <c r="AB11" s="45">
        <v>28.4</v>
      </c>
      <c r="AC11" s="45">
        <v>28.8</v>
      </c>
      <c r="AD11" s="45">
        <v>29.1</v>
      </c>
      <c r="AE11" s="45">
        <v>30.5</v>
      </c>
      <c r="AF11" s="45">
        <v>30.5</v>
      </c>
      <c r="AG11" s="46">
        <v>86</v>
      </c>
      <c r="AH11" s="47">
        <f t="shared" ref="AH11:AH84" si="2">MAX(B11:AF11)</f>
        <v>30.5</v>
      </c>
      <c r="AI11" s="48">
        <f t="shared" ref="AI11:AI84" si="3">MIN(B11:AF11)</f>
        <v>28.4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262</v>
      </c>
      <c r="B12" s="45">
        <v>9.8000000000000007</v>
      </c>
      <c r="C12" s="45">
        <v>9.8000000000000007</v>
      </c>
      <c r="D12" s="45">
        <v>9.8000000000000007</v>
      </c>
      <c r="E12" s="45">
        <v>9.8000000000000007</v>
      </c>
      <c r="F12" s="45">
        <v>9.8000000000000007</v>
      </c>
      <c r="G12" s="45">
        <v>9.8000000000000007</v>
      </c>
      <c r="H12" s="45">
        <v>9.8000000000000007</v>
      </c>
      <c r="I12" s="45">
        <v>9.8000000000000007</v>
      </c>
      <c r="J12" s="45">
        <v>9.8000000000000007</v>
      </c>
      <c r="K12" s="45">
        <v>9.8000000000000007</v>
      </c>
      <c r="L12" s="45">
        <v>9.8000000000000007</v>
      </c>
      <c r="M12" s="45">
        <v>9.8000000000000007</v>
      </c>
      <c r="N12" s="45">
        <v>9.8000000000000007</v>
      </c>
      <c r="O12" s="45">
        <v>9.8000000000000007</v>
      </c>
      <c r="P12" s="45">
        <v>9.8000000000000007</v>
      </c>
      <c r="Q12" s="45">
        <v>9.8000000000000007</v>
      </c>
      <c r="R12" s="45">
        <v>9.8000000000000007</v>
      </c>
      <c r="S12" s="45">
        <v>9.8000000000000007</v>
      </c>
      <c r="T12" s="45">
        <v>9.8000000000000007</v>
      </c>
      <c r="U12" s="45">
        <v>9.8000000000000007</v>
      </c>
      <c r="V12" s="45">
        <v>9.8000000000000007</v>
      </c>
      <c r="W12" s="45">
        <v>9.8000000000000007</v>
      </c>
      <c r="X12" s="45">
        <v>9.8000000000000007</v>
      </c>
      <c r="Y12" s="45">
        <v>9.8000000000000007</v>
      </c>
      <c r="Z12" s="45">
        <v>9.8000000000000007</v>
      </c>
      <c r="AA12" s="45">
        <v>9.8000000000000007</v>
      </c>
      <c r="AB12" s="45">
        <v>9.8000000000000007</v>
      </c>
      <c r="AC12" s="45">
        <v>9.8000000000000007</v>
      </c>
      <c r="AD12" s="45">
        <v>9.8000000000000007</v>
      </c>
      <c r="AE12" s="45">
        <v>9.8000000000000007</v>
      </c>
      <c r="AF12" s="45">
        <v>9.8000000000000007</v>
      </c>
      <c r="AG12" s="49">
        <v>54</v>
      </c>
      <c r="AH12" s="47">
        <f t="shared" si="2"/>
        <v>9.8000000000000007</v>
      </c>
      <c r="AI12" s="48">
        <f t="shared" si="3"/>
        <v>9.8000000000000007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10.1</v>
      </c>
      <c r="C13" s="45">
        <v>10.1</v>
      </c>
      <c r="D13" s="45">
        <v>10.1</v>
      </c>
      <c r="E13" s="45">
        <v>10.1</v>
      </c>
      <c r="F13" s="45">
        <v>10.1</v>
      </c>
      <c r="G13" s="45">
        <v>10.1</v>
      </c>
      <c r="H13" s="45">
        <v>10.1</v>
      </c>
      <c r="I13" s="45">
        <v>10.1</v>
      </c>
      <c r="J13" s="45">
        <v>10.1</v>
      </c>
      <c r="K13" s="45">
        <v>10.1</v>
      </c>
      <c r="L13" s="45">
        <v>10.1</v>
      </c>
      <c r="M13" s="45">
        <v>10.1</v>
      </c>
      <c r="N13" s="45">
        <v>10.1</v>
      </c>
      <c r="O13" s="45">
        <v>10.1</v>
      </c>
      <c r="P13" s="45">
        <v>10.1</v>
      </c>
      <c r="Q13" s="45">
        <v>10.1</v>
      </c>
      <c r="R13" s="45">
        <v>10.1</v>
      </c>
      <c r="S13" s="45">
        <v>10.1</v>
      </c>
      <c r="T13" s="45">
        <v>10.1</v>
      </c>
      <c r="U13" s="45">
        <v>10.1</v>
      </c>
      <c r="V13" s="45">
        <v>10.1</v>
      </c>
      <c r="W13" s="45">
        <v>10.1</v>
      </c>
      <c r="X13" s="45">
        <v>10.1</v>
      </c>
      <c r="Y13" s="45">
        <v>10.1</v>
      </c>
      <c r="Z13" s="45">
        <v>10.1</v>
      </c>
      <c r="AA13" s="45">
        <v>10.1</v>
      </c>
      <c r="AB13" s="45">
        <v>10.1</v>
      </c>
      <c r="AC13" s="45">
        <v>10.1</v>
      </c>
      <c r="AD13" s="45">
        <v>10.1</v>
      </c>
      <c r="AE13" s="45">
        <v>11.9</v>
      </c>
      <c r="AF13" s="45">
        <v>11.9</v>
      </c>
      <c r="AG13" s="49">
        <v>54</v>
      </c>
      <c r="AH13" s="47">
        <f t="shared" si="2"/>
        <v>11.9</v>
      </c>
      <c r="AI13" s="48">
        <f t="shared" si="3"/>
        <v>10.1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13.4</v>
      </c>
      <c r="C14" s="45">
        <v>13.4</v>
      </c>
      <c r="D14" s="45">
        <v>13.4</v>
      </c>
      <c r="E14" s="45">
        <v>13.4</v>
      </c>
      <c r="F14" s="45">
        <v>13.4</v>
      </c>
      <c r="G14" s="45">
        <v>13.4</v>
      </c>
      <c r="H14" s="45">
        <v>13.4</v>
      </c>
      <c r="I14" s="45">
        <v>13.4</v>
      </c>
      <c r="J14" s="45">
        <v>13.4</v>
      </c>
      <c r="K14" s="45">
        <v>13.4</v>
      </c>
      <c r="L14" s="45">
        <v>13.4</v>
      </c>
      <c r="M14" s="45">
        <v>13.4</v>
      </c>
      <c r="N14" s="45">
        <v>13.4</v>
      </c>
      <c r="O14" s="45">
        <v>13.4</v>
      </c>
      <c r="P14" s="45">
        <v>13.4</v>
      </c>
      <c r="Q14" s="45">
        <v>13.4</v>
      </c>
      <c r="R14" s="45">
        <v>13.4</v>
      </c>
      <c r="S14" s="45">
        <v>13.4</v>
      </c>
      <c r="T14" s="45">
        <v>13.4</v>
      </c>
      <c r="U14" s="45">
        <v>13.4</v>
      </c>
      <c r="V14" s="45">
        <v>13.4</v>
      </c>
      <c r="W14" s="45">
        <v>13.4</v>
      </c>
      <c r="X14" s="45">
        <v>13.4</v>
      </c>
      <c r="Y14" s="45">
        <v>13.4</v>
      </c>
      <c r="Z14" s="45">
        <v>13.4</v>
      </c>
      <c r="AA14" s="45">
        <v>13.4</v>
      </c>
      <c r="AB14" s="45">
        <v>13.4</v>
      </c>
      <c r="AC14" s="45">
        <v>13.4</v>
      </c>
      <c r="AD14" s="45">
        <v>13.4</v>
      </c>
      <c r="AE14" s="45">
        <v>13.8</v>
      </c>
      <c r="AF14" s="45">
        <v>13.8</v>
      </c>
      <c r="AG14" s="46">
        <v>52.4</v>
      </c>
      <c r="AH14" s="47">
        <f t="shared" si="2"/>
        <v>13.8</v>
      </c>
      <c r="AI14" s="48">
        <f t="shared" si="3"/>
        <v>13.4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29.7</v>
      </c>
      <c r="C15" s="45">
        <v>29.7</v>
      </c>
      <c r="D15" s="45">
        <v>29.7</v>
      </c>
      <c r="E15" s="45">
        <v>29.7</v>
      </c>
      <c r="F15" s="45">
        <v>29.7</v>
      </c>
      <c r="G15" s="45">
        <v>29.7</v>
      </c>
      <c r="H15" s="45">
        <v>29.7</v>
      </c>
      <c r="I15" s="45">
        <v>29.7</v>
      </c>
      <c r="J15" s="45">
        <v>29.7</v>
      </c>
      <c r="K15" s="45">
        <v>29.7</v>
      </c>
      <c r="L15" s="45">
        <v>29.7</v>
      </c>
      <c r="M15" s="45">
        <v>29.7</v>
      </c>
      <c r="N15" s="45">
        <v>29.7</v>
      </c>
      <c r="O15" s="45">
        <v>29.7</v>
      </c>
      <c r="P15" s="45">
        <v>29.7</v>
      </c>
      <c r="Q15" s="45">
        <v>29.7</v>
      </c>
      <c r="R15" s="45">
        <v>29.7</v>
      </c>
      <c r="S15" s="45">
        <v>29.7</v>
      </c>
      <c r="T15" s="45">
        <v>29.7</v>
      </c>
      <c r="U15" s="45">
        <v>29.7</v>
      </c>
      <c r="V15" s="45">
        <v>29.7</v>
      </c>
      <c r="W15" s="45">
        <v>29.7</v>
      </c>
      <c r="X15" s="45">
        <v>29.7</v>
      </c>
      <c r="Y15" s="45">
        <v>29.7</v>
      </c>
      <c r="Z15" s="45">
        <v>29.7</v>
      </c>
      <c r="AA15" s="45">
        <v>29.7</v>
      </c>
      <c r="AB15" s="45">
        <v>29.7</v>
      </c>
      <c r="AC15" s="45">
        <v>29.7</v>
      </c>
      <c r="AD15" s="45">
        <v>29.7</v>
      </c>
      <c r="AE15" s="45">
        <v>29.2</v>
      </c>
      <c r="AF15" s="45">
        <v>29.2</v>
      </c>
      <c r="AG15" s="49">
        <v>50</v>
      </c>
      <c r="AH15" s="47">
        <f t="shared" si="2"/>
        <v>29.7</v>
      </c>
      <c r="AI15" s="48">
        <f t="shared" si="3"/>
        <v>29.2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15</v>
      </c>
      <c r="C16" s="45">
        <v>15</v>
      </c>
      <c r="D16" s="45">
        <v>15</v>
      </c>
      <c r="E16" s="45">
        <v>15</v>
      </c>
      <c r="F16" s="45">
        <v>15</v>
      </c>
      <c r="G16" s="45">
        <v>15</v>
      </c>
      <c r="H16" s="45">
        <v>15</v>
      </c>
      <c r="I16" s="45">
        <v>15</v>
      </c>
      <c r="J16" s="45">
        <v>15</v>
      </c>
      <c r="K16" s="45">
        <v>15</v>
      </c>
      <c r="L16" s="45">
        <v>15</v>
      </c>
      <c r="M16" s="45">
        <v>15</v>
      </c>
      <c r="N16" s="45">
        <v>15</v>
      </c>
      <c r="O16" s="45">
        <v>15</v>
      </c>
      <c r="P16" s="45">
        <v>15</v>
      </c>
      <c r="Q16" s="45">
        <v>15</v>
      </c>
      <c r="R16" s="45">
        <v>15</v>
      </c>
      <c r="S16" s="45">
        <v>15</v>
      </c>
      <c r="T16" s="45">
        <v>15</v>
      </c>
      <c r="U16" s="45">
        <v>15</v>
      </c>
      <c r="V16" s="45">
        <v>15</v>
      </c>
      <c r="W16" s="45">
        <v>15</v>
      </c>
      <c r="X16" s="45">
        <v>15</v>
      </c>
      <c r="Y16" s="45">
        <v>15</v>
      </c>
      <c r="Z16" s="45">
        <v>15</v>
      </c>
      <c r="AA16" s="45">
        <v>15</v>
      </c>
      <c r="AB16" s="45">
        <v>15</v>
      </c>
      <c r="AC16" s="45">
        <v>15</v>
      </c>
      <c r="AD16" s="45">
        <v>15</v>
      </c>
      <c r="AE16" s="45">
        <v>19</v>
      </c>
      <c r="AF16" s="45">
        <v>19</v>
      </c>
      <c r="AG16" s="49">
        <v>45</v>
      </c>
      <c r="AH16" s="47">
        <f t="shared" si="2"/>
        <v>19</v>
      </c>
      <c r="AI16" s="48">
        <f t="shared" si="3"/>
        <v>15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14</v>
      </c>
      <c r="C17" s="45">
        <v>14</v>
      </c>
      <c r="D17" s="45">
        <v>14</v>
      </c>
      <c r="E17" s="45">
        <v>14</v>
      </c>
      <c r="F17" s="45">
        <v>14</v>
      </c>
      <c r="G17" s="45">
        <v>14</v>
      </c>
      <c r="H17" s="45">
        <v>14</v>
      </c>
      <c r="I17" s="45">
        <v>14</v>
      </c>
      <c r="J17" s="45">
        <v>14</v>
      </c>
      <c r="K17" s="45">
        <v>14</v>
      </c>
      <c r="L17" s="45">
        <v>14</v>
      </c>
      <c r="M17" s="45">
        <v>14</v>
      </c>
      <c r="N17" s="45">
        <v>14</v>
      </c>
      <c r="O17" s="45">
        <v>14</v>
      </c>
      <c r="P17" s="45">
        <v>14</v>
      </c>
      <c r="Q17" s="45">
        <v>14</v>
      </c>
      <c r="R17" s="45">
        <v>14</v>
      </c>
      <c r="S17" s="45">
        <v>14</v>
      </c>
      <c r="T17" s="45">
        <v>14</v>
      </c>
      <c r="U17" s="45">
        <v>14</v>
      </c>
      <c r="V17" s="45">
        <v>14</v>
      </c>
      <c r="W17" s="45">
        <v>14</v>
      </c>
      <c r="X17" s="45">
        <v>14</v>
      </c>
      <c r="Y17" s="45">
        <v>14</v>
      </c>
      <c r="Z17" s="45">
        <v>14</v>
      </c>
      <c r="AA17" s="45">
        <v>14</v>
      </c>
      <c r="AB17" s="45">
        <v>14</v>
      </c>
      <c r="AC17" s="45">
        <v>14</v>
      </c>
      <c r="AD17" s="45">
        <v>14</v>
      </c>
      <c r="AE17" s="45">
        <v>14</v>
      </c>
      <c r="AF17" s="45">
        <v>14</v>
      </c>
      <c r="AG17" s="49">
        <v>44</v>
      </c>
      <c r="AH17" s="47">
        <f>MAX(B17:AG17)</f>
        <v>44</v>
      </c>
      <c r="AI17" s="48">
        <f>MIN(B17:AG17)</f>
        <v>14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8</v>
      </c>
      <c r="C18" s="45">
        <v>8</v>
      </c>
      <c r="D18" s="45">
        <v>8</v>
      </c>
      <c r="E18" s="45">
        <v>8</v>
      </c>
      <c r="F18" s="45">
        <v>8</v>
      </c>
      <c r="G18" s="45">
        <v>8</v>
      </c>
      <c r="H18" s="45">
        <v>8</v>
      </c>
      <c r="I18" s="45">
        <v>8</v>
      </c>
      <c r="J18" s="45">
        <v>8</v>
      </c>
      <c r="K18" s="45">
        <v>8</v>
      </c>
      <c r="L18" s="45">
        <v>8</v>
      </c>
      <c r="M18" s="45">
        <v>8</v>
      </c>
      <c r="N18" s="45">
        <v>8</v>
      </c>
      <c r="O18" s="45">
        <v>8</v>
      </c>
      <c r="P18" s="45">
        <v>8</v>
      </c>
      <c r="Q18" s="45">
        <v>8</v>
      </c>
      <c r="R18" s="45">
        <v>8</v>
      </c>
      <c r="S18" s="45">
        <v>8</v>
      </c>
      <c r="T18" s="45">
        <v>8</v>
      </c>
      <c r="U18" s="45">
        <v>8</v>
      </c>
      <c r="V18" s="45">
        <v>8</v>
      </c>
      <c r="W18" s="45">
        <v>8</v>
      </c>
      <c r="X18" s="45">
        <v>8</v>
      </c>
      <c r="Y18" s="45">
        <v>8</v>
      </c>
      <c r="Z18" s="45">
        <v>8</v>
      </c>
      <c r="AA18" s="45">
        <v>8</v>
      </c>
      <c r="AB18" s="45">
        <v>8</v>
      </c>
      <c r="AC18" s="45">
        <v>8</v>
      </c>
      <c r="AD18" s="45">
        <v>8</v>
      </c>
      <c r="AE18" s="45">
        <v>8</v>
      </c>
      <c r="AF18" s="45">
        <v>8</v>
      </c>
      <c r="AG18" s="49">
        <v>42</v>
      </c>
      <c r="AH18" s="47">
        <f t="shared" si="2"/>
        <v>8</v>
      </c>
      <c r="AI18" s="48">
        <f t="shared" si="3"/>
        <v>8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263</v>
      </c>
      <c r="B19" s="45">
        <v>15</v>
      </c>
      <c r="C19" s="45">
        <v>15</v>
      </c>
      <c r="D19" s="45">
        <v>15</v>
      </c>
      <c r="E19" s="45">
        <v>15</v>
      </c>
      <c r="F19" s="45">
        <v>15</v>
      </c>
      <c r="G19" s="45">
        <v>15</v>
      </c>
      <c r="H19" s="45">
        <v>15</v>
      </c>
      <c r="I19" s="45">
        <v>15</v>
      </c>
      <c r="J19" s="45">
        <v>15</v>
      </c>
      <c r="K19" s="45">
        <v>15</v>
      </c>
      <c r="L19" s="45">
        <v>15</v>
      </c>
      <c r="M19" s="45">
        <v>15</v>
      </c>
      <c r="N19" s="45">
        <v>15</v>
      </c>
      <c r="O19" s="45">
        <v>15</v>
      </c>
      <c r="P19" s="45">
        <v>15</v>
      </c>
      <c r="Q19" s="45">
        <v>15</v>
      </c>
      <c r="R19" s="45">
        <v>15</v>
      </c>
      <c r="S19" s="45">
        <v>15</v>
      </c>
      <c r="T19" s="45">
        <v>15</v>
      </c>
      <c r="U19" s="45">
        <v>15</v>
      </c>
      <c r="V19" s="45">
        <v>15</v>
      </c>
      <c r="W19" s="45">
        <v>15</v>
      </c>
      <c r="X19" s="45">
        <v>15</v>
      </c>
      <c r="Y19" s="45">
        <v>15</v>
      </c>
      <c r="Z19" s="45">
        <v>15</v>
      </c>
      <c r="AA19" s="45">
        <v>15</v>
      </c>
      <c r="AB19" s="45">
        <v>15</v>
      </c>
      <c r="AC19" s="45">
        <v>15</v>
      </c>
      <c r="AD19" s="45">
        <v>15</v>
      </c>
      <c r="AE19" s="45">
        <v>15</v>
      </c>
      <c r="AF19" s="45">
        <v>15</v>
      </c>
      <c r="AG19" s="49">
        <v>38.46</v>
      </c>
      <c r="AH19" s="47">
        <f t="shared" si="2"/>
        <v>15</v>
      </c>
      <c r="AI19" s="48">
        <f t="shared" si="3"/>
        <v>15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10</v>
      </c>
      <c r="C20" s="45">
        <v>10</v>
      </c>
      <c r="D20" s="45">
        <v>10</v>
      </c>
      <c r="E20" s="45">
        <v>10</v>
      </c>
      <c r="F20" s="45">
        <v>10</v>
      </c>
      <c r="G20" s="45">
        <v>10</v>
      </c>
      <c r="H20" s="45">
        <v>10</v>
      </c>
      <c r="I20" s="45">
        <v>10</v>
      </c>
      <c r="J20" s="45">
        <v>10</v>
      </c>
      <c r="K20" s="45">
        <v>10</v>
      </c>
      <c r="L20" s="45">
        <v>10</v>
      </c>
      <c r="M20" s="45">
        <v>10</v>
      </c>
      <c r="N20" s="45">
        <v>10</v>
      </c>
      <c r="O20" s="45">
        <v>10</v>
      </c>
      <c r="P20" s="45">
        <v>10</v>
      </c>
      <c r="Q20" s="45">
        <v>10</v>
      </c>
      <c r="R20" s="45">
        <v>10</v>
      </c>
      <c r="S20" s="45">
        <v>10</v>
      </c>
      <c r="T20" s="45">
        <v>10</v>
      </c>
      <c r="U20" s="45">
        <v>10</v>
      </c>
      <c r="V20" s="45">
        <v>10</v>
      </c>
      <c r="W20" s="45">
        <v>10</v>
      </c>
      <c r="X20" s="45">
        <v>10</v>
      </c>
      <c r="Y20" s="45">
        <v>10</v>
      </c>
      <c r="Z20" s="45">
        <v>10</v>
      </c>
      <c r="AA20" s="45">
        <v>10</v>
      </c>
      <c r="AB20" s="45">
        <v>10</v>
      </c>
      <c r="AC20" s="45">
        <v>10</v>
      </c>
      <c r="AD20" s="45">
        <v>10</v>
      </c>
      <c r="AE20" s="45">
        <v>10</v>
      </c>
      <c r="AF20" s="45">
        <v>10</v>
      </c>
      <c r="AG20" s="49">
        <v>38.46</v>
      </c>
      <c r="AH20" s="47">
        <f t="shared" si="2"/>
        <v>10</v>
      </c>
      <c r="AI20" s="48">
        <f t="shared" si="3"/>
        <v>10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</v>
      </c>
      <c r="C21" s="45">
        <v>13</v>
      </c>
      <c r="D21" s="45">
        <v>13</v>
      </c>
      <c r="E21" s="45">
        <v>13</v>
      </c>
      <c r="F21" s="45">
        <v>13</v>
      </c>
      <c r="G21" s="45">
        <v>13</v>
      </c>
      <c r="H21" s="45">
        <v>13</v>
      </c>
      <c r="I21" s="45">
        <v>13</v>
      </c>
      <c r="J21" s="45">
        <v>13</v>
      </c>
      <c r="K21" s="45">
        <v>13</v>
      </c>
      <c r="L21" s="45">
        <v>13</v>
      </c>
      <c r="M21" s="45">
        <v>13</v>
      </c>
      <c r="N21" s="45">
        <v>13</v>
      </c>
      <c r="O21" s="45">
        <v>13</v>
      </c>
      <c r="P21" s="45">
        <v>13</v>
      </c>
      <c r="Q21" s="45">
        <v>13</v>
      </c>
      <c r="R21" s="45">
        <v>13</v>
      </c>
      <c r="S21" s="45">
        <v>13</v>
      </c>
      <c r="T21" s="45">
        <v>13</v>
      </c>
      <c r="U21" s="45">
        <v>13</v>
      </c>
      <c r="V21" s="45">
        <v>13</v>
      </c>
      <c r="W21" s="45">
        <v>13</v>
      </c>
      <c r="X21" s="45">
        <v>13</v>
      </c>
      <c r="Y21" s="45">
        <v>13</v>
      </c>
      <c r="Z21" s="45">
        <v>13</v>
      </c>
      <c r="AA21" s="45">
        <v>13</v>
      </c>
      <c r="AB21" s="45">
        <v>13</v>
      </c>
      <c r="AC21" s="45">
        <v>13</v>
      </c>
      <c r="AD21" s="45">
        <v>13</v>
      </c>
      <c r="AE21" s="45">
        <v>13</v>
      </c>
      <c r="AF21" s="45">
        <v>13</v>
      </c>
      <c r="AG21" s="49">
        <v>36</v>
      </c>
      <c r="AH21" s="47">
        <f t="shared" si="2"/>
        <v>13</v>
      </c>
      <c r="AI21" s="48">
        <f t="shared" si="3"/>
        <v>13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8.4</v>
      </c>
      <c r="C22" s="45">
        <v>8.4</v>
      </c>
      <c r="D22" s="45">
        <v>8.4</v>
      </c>
      <c r="E22" s="45">
        <v>8.4</v>
      </c>
      <c r="F22" s="45">
        <v>8.4</v>
      </c>
      <c r="G22" s="45">
        <v>8.4</v>
      </c>
      <c r="H22" s="45">
        <v>8.4</v>
      </c>
      <c r="I22" s="45">
        <v>8.4</v>
      </c>
      <c r="J22" s="45">
        <v>8.4</v>
      </c>
      <c r="K22" s="45">
        <v>8.4</v>
      </c>
      <c r="L22" s="45">
        <v>8.4</v>
      </c>
      <c r="M22" s="45">
        <v>8.4</v>
      </c>
      <c r="N22" s="45">
        <v>8.4</v>
      </c>
      <c r="O22" s="45">
        <v>8.4</v>
      </c>
      <c r="P22" s="45">
        <v>8.4</v>
      </c>
      <c r="Q22" s="45">
        <v>8.4</v>
      </c>
      <c r="R22" s="45">
        <v>8.4</v>
      </c>
      <c r="S22" s="45">
        <v>8.4</v>
      </c>
      <c r="T22" s="45">
        <v>8.4</v>
      </c>
      <c r="U22" s="45">
        <v>8.4</v>
      </c>
      <c r="V22" s="45">
        <v>8.4</v>
      </c>
      <c r="W22" s="45">
        <v>8.4</v>
      </c>
      <c r="X22" s="45">
        <v>8.4</v>
      </c>
      <c r="Y22" s="45">
        <v>8.4</v>
      </c>
      <c r="Z22" s="45">
        <v>8.4</v>
      </c>
      <c r="AA22" s="45">
        <v>8.4</v>
      </c>
      <c r="AB22" s="45">
        <v>8.4</v>
      </c>
      <c r="AC22" s="45">
        <v>8.4</v>
      </c>
      <c r="AD22" s="45">
        <v>8.4</v>
      </c>
      <c r="AE22" s="45">
        <v>8.6999999999999993</v>
      </c>
      <c r="AF22" s="45">
        <v>8.6999999999999993</v>
      </c>
      <c r="AG22" s="52">
        <v>30</v>
      </c>
      <c r="AH22" s="47">
        <f t="shared" si="2"/>
        <v>8.6999999999999993</v>
      </c>
      <c r="AI22" s="48">
        <f t="shared" si="3"/>
        <v>8.4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9</v>
      </c>
      <c r="C23" s="45">
        <v>9</v>
      </c>
      <c r="D23" s="45">
        <v>9</v>
      </c>
      <c r="E23" s="45">
        <v>9</v>
      </c>
      <c r="F23" s="45">
        <v>9</v>
      </c>
      <c r="G23" s="45">
        <v>9</v>
      </c>
      <c r="H23" s="45">
        <v>9</v>
      </c>
      <c r="I23" s="45">
        <v>9</v>
      </c>
      <c r="J23" s="45">
        <v>9</v>
      </c>
      <c r="K23" s="45">
        <v>9</v>
      </c>
      <c r="L23" s="45">
        <v>9</v>
      </c>
      <c r="M23" s="45">
        <v>9</v>
      </c>
      <c r="N23" s="45">
        <v>9</v>
      </c>
      <c r="O23" s="45">
        <v>9</v>
      </c>
      <c r="P23" s="45">
        <v>9</v>
      </c>
      <c r="Q23" s="45">
        <v>9</v>
      </c>
      <c r="R23" s="45">
        <v>9</v>
      </c>
      <c r="S23" s="45">
        <v>9</v>
      </c>
      <c r="T23" s="45">
        <v>9</v>
      </c>
      <c r="U23" s="45">
        <v>9</v>
      </c>
      <c r="V23" s="45">
        <v>9</v>
      </c>
      <c r="W23" s="45">
        <v>9</v>
      </c>
      <c r="X23" s="45">
        <v>9</v>
      </c>
      <c r="Y23" s="45">
        <v>9</v>
      </c>
      <c r="Z23" s="45">
        <v>9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9</v>
      </c>
      <c r="AG23" s="49">
        <v>24.2</v>
      </c>
      <c r="AH23" s="47">
        <f t="shared" si="2"/>
        <v>9</v>
      </c>
      <c r="AI23" s="48">
        <f t="shared" si="3"/>
        <v>9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9.1</v>
      </c>
      <c r="C24" s="45">
        <v>9.1</v>
      </c>
      <c r="D24" s="45">
        <v>9.1</v>
      </c>
      <c r="E24" s="45">
        <v>9.1</v>
      </c>
      <c r="F24" s="45">
        <v>9.1</v>
      </c>
      <c r="G24" s="45">
        <v>9.1</v>
      </c>
      <c r="H24" s="45">
        <v>9.1</v>
      </c>
      <c r="I24" s="45">
        <v>9.1</v>
      </c>
      <c r="J24" s="45">
        <v>9.1</v>
      </c>
      <c r="K24" s="45">
        <v>9.1</v>
      </c>
      <c r="L24" s="45">
        <v>9.1</v>
      </c>
      <c r="M24" s="45">
        <v>9.1</v>
      </c>
      <c r="N24" s="45">
        <v>9.1</v>
      </c>
      <c r="O24" s="45">
        <v>9.1</v>
      </c>
      <c r="P24" s="45">
        <v>9.1</v>
      </c>
      <c r="Q24" s="45">
        <v>9.1</v>
      </c>
      <c r="R24" s="45">
        <v>9.1</v>
      </c>
      <c r="S24" s="45">
        <v>9.1</v>
      </c>
      <c r="T24" s="45">
        <v>9.1</v>
      </c>
      <c r="U24" s="45">
        <v>9.1</v>
      </c>
      <c r="V24" s="45">
        <v>9.1</v>
      </c>
      <c r="W24" s="45">
        <v>9.1</v>
      </c>
      <c r="X24" s="45">
        <v>9.1</v>
      </c>
      <c r="Y24" s="45">
        <v>9.1</v>
      </c>
      <c r="Z24" s="45">
        <v>9.1</v>
      </c>
      <c r="AA24" s="45">
        <v>9.1</v>
      </c>
      <c r="AB24" s="45">
        <v>9.1</v>
      </c>
      <c r="AC24" s="45">
        <v>9.1</v>
      </c>
      <c r="AD24" s="45">
        <v>9.1</v>
      </c>
      <c r="AE24" s="45">
        <v>8.6</v>
      </c>
      <c r="AF24" s="45">
        <v>8.6</v>
      </c>
      <c r="AG24" s="49">
        <v>28</v>
      </c>
      <c r="AH24" s="47">
        <f t="shared" si="2"/>
        <v>9.1</v>
      </c>
      <c r="AI24" s="48">
        <f t="shared" si="3"/>
        <v>8.6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7.3</v>
      </c>
      <c r="C25" s="45">
        <v>7.3</v>
      </c>
      <c r="D25" s="45">
        <v>7.3</v>
      </c>
      <c r="E25" s="45">
        <v>7.3</v>
      </c>
      <c r="F25" s="45">
        <v>7.3</v>
      </c>
      <c r="G25" s="45">
        <v>7.3</v>
      </c>
      <c r="H25" s="45">
        <v>7.3</v>
      </c>
      <c r="I25" s="45">
        <v>7.3</v>
      </c>
      <c r="J25" s="45">
        <v>7.3</v>
      </c>
      <c r="K25" s="45">
        <v>7.3</v>
      </c>
      <c r="L25" s="45">
        <v>7.3</v>
      </c>
      <c r="M25" s="45">
        <v>7.3</v>
      </c>
      <c r="N25" s="45">
        <v>7.3</v>
      </c>
      <c r="O25" s="45">
        <v>7.3</v>
      </c>
      <c r="P25" s="45">
        <v>7.3</v>
      </c>
      <c r="Q25" s="45">
        <v>7.3</v>
      </c>
      <c r="R25" s="45">
        <v>7.3</v>
      </c>
      <c r="S25" s="45">
        <v>7.3</v>
      </c>
      <c r="T25" s="45">
        <v>7.3</v>
      </c>
      <c r="U25" s="45">
        <v>7.3</v>
      </c>
      <c r="V25" s="45">
        <v>7.3</v>
      </c>
      <c r="W25" s="45">
        <v>7.3</v>
      </c>
      <c r="X25" s="45">
        <v>7.3</v>
      </c>
      <c r="Y25" s="45">
        <v>7.3</v>
      </c>
      <c r="Z25" s="45">
        <v>7.3</v>
      </c>
      <c r="AA25" s="45">
        <v>7.3</v>
      </c>
      <c r="AB25" s="45">
        <v>7.3</v>
      </c>
      <c r="AC25" s="45">
        <v>7.3</v>
      </c>
      <c r="AD25" s="45">
        <v>7.3</v>
      </c>
      <c r="AE25" s="45">
        <v>6.6</v>
      </c>
      <c r="AF25" s="45">
        <v>6.6</v>
      </c>
      <c r="AG25" s="52">
        <v>30</v>
      </c>
      <c r="AH25" s="47">
        <f t="shared" si="2"/>
        <v>7.3</v>
      </c>
      <c r="AI25" s="48">
        <f t="shared" si="3"/>
        <v>6.6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8.4</v>
      </c>
      <c r="C26" s="45">
        <v>8.4</v>
      </c>
      <c r="D26" s="45">
        <v>8.4</v>
      </c>
      <c r="E26" s="45">
        <v>8.4</v>
      </c>
      <c r="F26" s="45">
        <v>8.4</v>
      </c>
      <c r="G26" s="45">
        <v>8.4</v>
      </c>
      <c r="H26" s="45">
        <v>8.4</v>
      </c>
      <c r="I26" s="45">
        <v>8.4</v>
      </c>
      <c r="J26" s="45">
        <v>8.4</v>
      </c>
      <c r="K26" s="45">
        <v>8.4</v>
      </c>
      <c r="L26" s="45">
        <v>8.4</v>
      </c>
      <c r="M26" s="45">
        <v>8.4</v>
      </c>
      <c r="N26" s="45">
        <v>8.4</v>
      </c>
      <c r="O26" s="45">
        <v>8.4</v>
      </c>
      <c r="P26" s="45">
        <v>8.4</v>
      </c>
      <c r="Q26" s="45">
        <v>8.4</v>
      </c>
      <c r="R26" s="45">
        <v>8.4</v>
      </c>
      <c r="S26" s="45">
        <v>8.4</v>
      </c>
      <c r="T26" s="45">
        <v>8.4</v>
      </c>
      <c r="U26" s="45">
        <v>8.4</v>
      </c>
      <c r="V26" s="45">
        <v>8.4</v>
      </c>
      <c r="W26" s="45">
        <v>8.4</v>
      </c>
      <c r="X26" s="45">
        <v>8.4</v>
      </c>
      <c r="Y26" s="45">
        <v>8.4</v>
      </c>
      <c r="Z26" s="45">
        <v>8.4</v>
      </c>
      <c r="AA26" s="45">
        <v>8.4</v>
      </c>
      <c r="AB26" s="45">
        <v>8.4</v>
      </c>
      <c r="AC26" s="45">
        <v>8.4</v>
      </c>
      <c r="AD26" s="45">
        <v>8.4</v>
      </c>
      <c r="AE26" s="45">
        <v>13.2</v>
      </c>
      <c r="AF26" s="45">
        <v>13.2</v>
      </c>
      <c r="AG26" s="49">
        <v>25</v>
      </c>
      <c r="AH26" s="47">
        <f t="shared" si="2"/>
        <v>13.2</v>
      </c>
      <c r="AI26" s="48">
        <f t="shared" si="3"/>
        <v>8.4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5</v>
      </c>
      <c r="C27" s="45">
        <v>5</v>
      </c>
      <c r="D27" s="45">
        <v>5</v>
      </c>
      <c r="E27" s="45">
        <v>5</v>
      </c>
      <c r="F27" s="45">
        <v>5</v>
      </c>
      <c r="G27" s="45">
        <v>5</v>
      </c>
      <c r="H27" s="45">
        <v>5</v>
      </c>
      <c r="I27" s="45">
        <v>5</v>
      </c>
      <c r="J27" s="45">
        <v>5</v>
      </c>
      <c r="K27" s="45">
        <v>5</v>
      </c>
      <c r="L27" s="45">
        <v>5</v>
      </c>
      <c r="M27" s="45">
        <v>5</v>
      </c>
      <c r="N27" s="45">
        <v>5</v>
      </c>
      <c r="O27" s="45">
        <v>5</v>
      </c>
      <c r="P27" s="45">
        <v>5</v>
      </c>
      <c r="Q27" s="45">
        <v>5</v>
      </c>
      <c r="R27" s="45">
        <v>5</v>
      </c>
      <c r="S27" s="45">
        <v>5</v>
      </c>
      <c r="T27" s="45">
        <v>5</v>
      </c>
      <c r="U27" s="45">
        <v>5</v>
      </c>
      <c r="V27" s="45">
        <v>5</v>
      </c>
      <c r="W27" s="45">
        <v>5</v>
      </c>
      <c r="X27" s="45">
        <v>5</v>
      </c>
      <c r="Y27" s="45">
        <v>5</v>
      </c>
      <c r="Z27" s="45">
        <v>5</v>
      </c>
      <c r="AA27" s="45">
        <v>5</v>
      </c>
      <c r="AB27" s="45">
        <v>5</v>
      </c>
      <c r="AC27" s="45">
        <v>5</v>
      </c>
      <c r="AD27" s="45">
        <v>5</v>
      </c>
      <c r="AE27" s="45">
        <v>5</v>
      </c>
      <c r="AF27" s="45">
        <v>5</v>
      </c>
      <c r="AG27" s="49">
        <v>25</v>
      </c>
      <c r="AH27" s="47">
        <f t="shared" si="2"/>
        <v>5</v>
      </c>
      <c r="AI27" s="48">
        <f t="shared" si="3"/>
        <v>5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6</v>
      </c>
      <c r="C28" s="45">
        <v>6</v>
      </c>
      <c r="D28" s="45">
        <v>6</v>
      </c>
      <c r="E28" s="45">
        <v>6</v>
      </c>
      <c r="F28" s="45">
        <v>6</v>
      </c>
      <c r="G28" s="45">
        <v>6</v>
      </c>
      <c r="H28" s="45">
        <v>6</v>
      </c>
      <c r="I28" s="45">
        <v>6</v>
      </c>
      <c r="J28" s="45">
        <v>6</v>
      </c>
      <c r="K28" s="45">
        <v>6</v>
      </c>
      <c r="L28" s="45">
        <v>6</v>
      </c>
      <c r="M28" s="45">
        <v>6</v>
      </c>
      <c r="N28" s="45">
        <v>6</v>
      </c>
      <c r="O28" s="45">
        <v>6</v>
      </c>
      <c r="P28" s="45">
        <v>6</v>
      </c>
      <c r="Q28" s="45">
        <v>6</v>
      </c>
      <c r="R28" s="45">
        <v>6</v>
      </c>
      <c r="S28" s="45">
        <v>6</v>
      </c>
      <c r="T28" s="45">
        <v>6</v>
      </c>
      <c r="U28" s="45">
        <v>6</v>
      </c>
      <c r="V28" s="45">
        <v>6</v>
      </c>
      <c r="W28" s="45">
        <v>6</v>
      </c>
      <c r="X28" s="45">
        <v>6</v>
      </c>
      <c r="Y28" s="45">
        <v>6</v>
      </c>
      <c r="Z28" s="45">
        <v>6</v>
      </c>
      <c r="AA28" s="45">
        <v>6</v>
      </c>
      <c r="AB28" s="45">
        <v>6</v>
      </c>
      <c r="AC28" s="45">
        <v>6</v>
      </c>
      <c r="AD28" s="45">
        <v>6</v>
      </c>
      <c r="AE28" s="45">
        <v>6</v>
      </c>
      <c r="AF28" s="45">
        <v>6</v>
      </c>
      <c r="AG28" s="49">
        <v>25</v>
      </c>
      <c r="AH28" s="47">
        <f t="shared" si="2"/>
        <v>6</v>
      </c>
      <c r="AI28" s="48">
        <f t="shared" si="3"/>
        <v>6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7.5</v>
      </c>
      <c r="C29" s="45">
        <v>7.5</v>
      </c>
      <c r="D29" s="45">
        <v>7.5</v>
      </c>
      <c r="E29" s="45">
        <v>7.5</v>
      </c>
      <c r="F29" s="45">
        <v>7.5</v>
      </c>
      <c r="G29" s="45">
        <v>7.5</v>
      </c>
      <c r="H29" s="45">
        <v>7.5</v>
      </c>
      <c r="I29" s="45">
        <v>7.5</v>
      </c>
      <c r="J29" s="45">
        <v>7.5</v>
      </c>
      <c r="K29" s="45">
        <v>7.5</v>
      </c>
      <c r="L29" s="45">
        <v>7.5</v>
      </c>
      <c r="M29" s="45">
        <v>7.5</v>
      </c>
      <c r="N29" s="45">
        <v>7.5</v>
      </c>
      <c r="O29" s="45">
        <v>7.5</v>
      </c>
      <c r="P29" s="45">
        <v>7.5</v>
      </c>
      <c r="Q29" s="45">
        <v>7.5</v>
      </c>
      <c r="R29" s="45">
        <v>7.5</v>
      </c>
      <c r="S29" s="45">
        <v>7.5</v>
      </c>
      <c r="T29" s="45">
        <v>7.5</v>
      </c>
      <c r="U29" s="45">
        <v>7.5</v>
      </c>
      <c r="V29" s="45">
        <v>7.5</v>
      </c>
      <c r="W29" s="45">
        <v>7.5</v>
      </c>
      <c r="X29" s="45">
        <v>7.5</v>
      </c>
      <c r="Y29" s="45">
        <v>7.5</v>
      </c>
      <c r="Z29" s="45">
        <v>7.5</v>
      </c>
      <c r="AA29" s="45">
        <v>7.5</v>
      </c>
      <c r="AB29" s="45">
        <v>7.5</v>
      </c>
      <c r="AC29" s="45">
        <v>7.5</v>
      </c>
      <c r="AD29" s="45">
        <v>7.5</v>
      </c>
      <c r="AE29" s="45">
        <v>8.1</v>
      </c>
      <c r="AF29" s="45">
        <v>8.1</v>
      </c>
      <c r="AG29" s="49">
        <v>25</v>
      </c>
      <c r="AH29" s="47">
        <f t="shared" si="2"/>
        <v>8.1</v>
      </c>
      <c r="AI29" s="48">
        <f t="shared" si="3"/>
        <v>7.5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10.1</v>
      </c>
      <c r="C30" s="45">
        <v>10.1</v>
      </c>
      <c r="D30" s="45">
        <v>10.1</v>
      </c>
      <c r="E30" s="45">
        <v>10.1</v>
      </c>
      <c r="F30" s="45">
        <v>10.1</v>
      </c>
      <c r="G30" s="45">
        <v>10.1</v>
      </c>
      <c r="H30" s="45">
        <v>10.1</v>
      </c>
      <c r="I30" s="45">
        <v>10.1</v>
      </c>
      <c r="J30" s="45">
        <v>10.1</v>
      </c>
      <c r="K30" s="45">
        <v>10.1</v>
      </c>
      <c r="L30" s="45">
        <v>10.1</v>
      </c>
      <c r="M30" s="45">
        <v>10.1</v>
      </c>
      <c r="N30" s="45">
        <v>10.1</v>
      </c>
      <c r="O30" s="45">
        <v>10.1</v>
      </c>
      <c r="P30" s="45">
        <v>10.1</v>
      </c>
      <c r="Q30" s="45">
        <v>10.1</v>
      </c>
      <c r="R30" s="45">
        <v>10.1</v>
      </c>
      <c r="S30" s="45">
        <v>10.1</v>
      </c>
      <c r="T30" s="45">
        <v>10.1</v>
      </c>
      <c r="U30" s="45">
        <v>10.1</v>
      </c>
      <c r="V30" s="45">
        <v>10.1</v>
      </c>
      <c r="W30" s="45">
        <v>10.1</v>
      </c>
      <c r="X30" s="45">
        <v>10.1</v>
      </c>
      <c r="Y30" s="45">
        <v>10.1</v>
      </c>
      <c r="Z30" s="45">
        <v>10.1</v>
      </c>
      <c r="AA30" s="45">
        <v>10.1</v>
      </c>
      <c r="AB30" s="45">
        <v>10.1</v>
      </c>
      <c r="AC30" s="45">
        <v>10.1</v>
      </c>
      <c r="AD30" s="45">
        <v>10.1</v>
      </c>
      <c r="AE30" s="45">
        <v>7.8</v>
      </c>
      <c r="AF30" s="45">
        <v>7.8</v>
      </c>
      <c r="AG30" s="49">
        <v>23.5</v>
      </c>
      <c r="AH30" s="47">
        <f t="shared" si="2"/>
        <v>10.1</v>
      </c>
      <c r="AI30" s="48">
        <f t="shared" si="3"/>
        <v>7.8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4.5</v>
      </c>
      <c r="C31" s="45">
        <v>4.5</v>
      </c>
      <c r="D31" s="45">
        <v>4.5</v>
      </c>
      <c r="E31" s="45">
        <v>4.5</v>
      </c>
      <c r="F31" s="45">
        <v>4.5</v>
      </c>
      <c r="G31" s="45">
        <v>4.5</v>
      </c>
      <c r="H31" s="45">
        <v>4.5</v>
      </c>
      <c r="I31" s="45">
        <v>4.5</v>
      </c>
      <c r="J31" s="45">
        <v>4.5</v>
      </c>
      <c r="K31" s="45">
        <v>4.5</v>
      </c>
      <c r="L31" s="45">
        <v>4.5</v>
      </c>
      <c r="M31" s="45">
        <v>4.5</v>
      </c>
      <c r="N31" s="45">
        <v>4.5</v>
      </c>
      <c r="O31" s="45">
        <v>4.5</v>
      </c>
      <c r="P31" s="45">
        <v>4.5</v>
      </c>
      <c r="Q31" s="45">
        <v>4.5</v>
      </c>
      <c r="R31" s="45">
        <v>4.5</v>
      </c>
      <c r="S31" s="45">
        <v>4.5</v>
      </c>
      <c r="T31" s="45">
        <v>4.5</v>
      </c>
      <c r="U31" s="45">
        <v>4.5</v>
      </c>
      <c r="V31" s="45">
        <v>4.5</v>
      </c>
      <c r="W31" s="45">
        <v>4.5</v>
      </c>
      <c r="X31" s="45">
        <v>4.5</v>
      </c>
      <c r="Y31" s="45">
        <v>4.5</v>
      </c>
      <c r="Z31" s="45">
        <v>4.5</v>
      </c>
      <c r="AA31" s="45">
        <v>4.5</v>
      </c>
      <c r="AB31" s="45">
        <v>4.5</v>
      </c>
      <c r="AC31" s="45">
        <v>4.5</v>
      </c>
      <c r="AD31" s="45">
        <v>4.5</v>
      </c>
      <c r="AE31" s="45">
        <v>4.5</v>
      </c>
      <c r="AF31" s="45">
        <v>4.5</v>
      </c>
      <c r="AG31" s="49">
        <v>22.2</v>
      </c>
      <c r="AH31" s="47">
        <f t="shared" si="2"/>
        <v>4.5</v>
      </c>
      <c r="AI31" s="48">
        <f t="shared" si="3"/>
        <v>4.5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>
        <v>5.5</v>
      </c>
      <c r="N32" s="45">
        <v>5.5</v>
      </c>
      <c r="O32" s="45">
        <v>5.5</v>
      </c>
      <c r="P32" s="45">
        <v>5.5</v>
      </c>
      <c r="Q32" s="45">
        <v>5.5</v>
      </c>
      <c r="R32" s="45">
        <v>5.5</v>
      </c>
      <c r="S32" s="45">
        <v>5.5</v>
      </c>
      <c r="T32" s="45">
        <v>5.5</v>
      </c>
      <c r="U32" s="45">
        <v>5.5</v>
      </c>
      <c r="V32" s="45">
        <v>5.5</v>
      </c>
      <c r="W32" s="45">
        <v>5.5</v>
      </c>
      <c r="X32" s="45">
        <v>5.5</v>
      </c>
      <c r="Y32" s="45">
        <v>5.5</v>
      </c>
      <c r="Z32" s="45">
        <v>5.5</v>
      </c>
      <c r="AA32" s="45">
        <v>5.5</v>
      </c>
      <c r="AB32" s="45">
        <v>5.5</v>
      </c>
      <c r="AC32" s="45">
        <v>5.5</v>
      </c>
      <c r="AD32" s="45">
        <v>5.5</v>
      </c>
      <c r="AE32" s="45">
        <v>5.5</v>
      </c>
      <c r="AF32" s="45">
        <v>5.5</v>
      </c>
      <c r="AG32" s="49">
        <v>22.1</v>
      </c>
      <c r="AH32" s="47">
        <f t="shared" si="2"/>
        <v>5.5</v>
      </c>
      <c r="AI32" s="48">
        <f t="shared" si="3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22</v>
      </c>
      <c r="AH33" s="47">
        <f t="shared" si="2"/>
        <v>6</v>
      </c>
      <c r="AI33" s="48">
        <f t="shared" si="3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9.5</v>
      </c>
      <c r="C34" s="45">
        <v>9.5</v>
      </c>
      <c r="D34" s="45">
        <v>9.5</v>
      </c>
      <c r="E34" s="45">
        <v>9.5</v>
      </c>
      <c r="F34" s="45">
        <v>9.5</v>
      </c>
      <c r="G34" s="45">
        <v>9.5</v>
      </c>
      <c r="H34" s="45">
        <v>9.5</v>
      </c>
      <c r="I34" s="45">
        <v>9.5</v>
      </c>
      <c r="J34" s="45">
        <v>9.5</v>
      </c>
      <c r="K34" s="45">
        <v>9.5</v>
      </c>
      <c r="L34" s="45">
        <v>9.5</v>
      </c>
      <c r="M34" s="45">
        <v>9.5</v>
      </c>
      <c r="N34" s="45">
        <v>9.5</v>
      </c>
      <c r="O34" s="45">
        <v>9.5</v>
      </c>
      <c r="P34" s="45">
        <v>9.5</v>
      </c>
      <c r="Q34" s="45">
        <v>9.5</v>
      </c>
      <c r="R34" s="45">
        <v>9.5</v>
      </c>
      <c r="S34" s="45">
        <v>9.5</v>
      </c>
      <c r="T34" s="45">
        <v>9.5</v>
      </c>
      <c r="U34" s="45">
        <v>9.5</v>
      </c>
      <c r="V34" s="45">
        <v>9.5</v>
      </c>
      <c r="W34" s="45">
        <v>9.5</v>
      </c>
      <c r="X34" s="45">
        <v>9.5</v>
      </c>
      <c r="Y34" s="45">
        <v>9.5</v>
      </c>
      <c r="Z34" s="45">
        <v>9.5</v>
      </c>
      <c r="AA34" s="45">
        <v>9.5</v>
      </c>
      <c r="AB34" s="45">
        <v>9.5</v>
      </c>
      <c r="AC34" s="45">
        <v>9.5</v>
      </c>
      <c r="AD34" s="45">
        <v>9.5</v>
      </c>
      <c r="AE34" s="45">
        <v>11.7</v>
      </c>
      <c r="AF34" s="45">
        <v>11.7</v>
      </c>
      <c r="AG34" s="49">
        <v>22</v>
      </c>
      <c r="AH34" s="47">
        <f t="shared" si="2"/>
        <v>11.7</v>
      </c>
      <c r="AI34" s="48">
        <f t="shared" si="3"/>
        <v>9.5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6.5</v>
      </c>
      <c r="C35" s="45">
        <v>6.5</v>
      </c>
      <c r="D35" s="45">
        <v>6.5</v>
      </c>
      <c r="E35" s="45">
        <v>6.5</v>
      </c>
      <c r="F35" s="45">
        <v>6.5</v>
      </c>
      <c r="G35" s="45">
        <v>6.5</v>
      </c>
      <c r="H35" s="45">
        <v>6.5</v>
      </c>
      <c r="I35" s="45">
        <v>6.5</v>
      </c>
      <c r="J35" s="45">
        <v>6.5</v>
      </c>
      <c r="K35" s="45">
        <v>6.5</v>
      </c>
      <c r="L35" s="45">
        <v>6.5</v>
      </c>
      <c r="M35" s="45">
        <v>6.5</v>
      </c>
      <c r="N35" s="45">
        <v>6.5</v>
      </c>
      <c r="O35" s="45">
        <v>6.5</v>
      </c>
      <c r="P35" s="45">
        <v>6.5</v>
      </c>
      <c r="Q35" s="45">
        <v>6.5</v>
      </c>
      <c r="R35" s="45">
        <v>6.5</v>
      </c>
      <c r="S35" s="45">
        <v>6.5</v>
      </c>
      <c r="T35" s="45">
        <v>6.5</v>
      </c>
      <c r="U35" s="45">
        <v>6.5</v>
      </c>
      <c r="V35" s="45">
        <v>6.5</v>
      </c>
      <c r="W35" s="45">
        <v>6.5</v>
      </c>
      <c r="X35" s="45">
        <v>6.5</v>
      </c>
      <c r="Y35" s="45">
        <v>6.5</v>
      </c>
      <c r="Z35" s="45">
        <v>6.5</v>
      </c>
      <c r="AA35" s="45">
        <v>6.5</v>
      </c>
      <c r="AB35" s="45">
        <v>6.5</v>
      </c>
      <c r="AC35" s="45">
        <v>6.5</v>
      </c>
      <c r="AD35" s="45">
        <v>6.5</v>
      </c>
      <c r="AE35" s="45">
        <v>6.5</v>
      </c>
      <c r="AF35" s="45">
        <v>6.5</v>
      </c>
      <c r="AG35" s="49">
        <v>20</v>
      </c>
      <c r="AH35" s="47">
        <f t="shared" si="2"/>
        <v>6.5</v>
      </c>
      <c r="AI35" s="48">
        <f t="shared" si="3"/>
        <v>6.5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264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2"/>
        <v>4</v>
      </c>
      <c r="AI36" s="48">
        <f t="shared" si="3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5.5</v>
      </c>
      <c r="C37" s="45">
        <v>5.5</v>
      </c>
      <c r="D37" s="45">
        <v>5.5</v>
      </c>
      <c r="E37" s="45">
        <v>5.5</v>
      </c>
      <c r="F37" s="45">
        <v>5.5</v>
      </c>
      <c r="G37" s="45">
        <v>5.5</v>
      </c>
      <c r="H37" s="45">
        <v>5.5</v>
      </c>
      <c r="I37" s="45">
        <v>5.5</v>
      </c>
      <c r="J37" s="45">
        <v>5.5</v>
      </c>
      <c r="K37" s="45">
        <v>5.5</v>
      </c>
      <c r="L37" s="45">
        <v>5.5</v>
      </c>
      <c r="M37" s="45">
        <v>5.5</v>
      </c>
      <c r="N37" s="45">
        <v>5.5</v>
      </c>
      <c r="O37" s="45">
        <v>5.5</v>
      </c>
      <c r="P37" s="45">
        <v>5.5</v>
      </c>
      <c r="Q37" s="45">
        <v>5.5</v>
      </c>
      <c r="R37" s="45">
        <v>5.5</v>
      </c>
      <c r="S37" s="45">
        <v>5.5</v>
      </c>
      <c r="T37" s="45">
        <v>5.5</v>
      </c>
      <c r="U37" s="45">
        <v>5.5</v>
      </c>
      <c r="V37" s="45">
        <v>5.5</v>
      </c>
      <c r="W37" s="45">
        <v>5.5</v>
      </c>
      <c r="X37" s="45">
        <v>5.5</v>
      </c>
      <c r="Y37" s="45">
        <v>5.5</v>
      </c>
      <c r="Z37" s="45">
        <v>5.5</v>
      </c>
      <c r="AA37" s="45">
        <v>5.5</v>
      </c>
      <c r="AB37" s="45">
        <v>5.5</v>
      </c>
      <c r="AC37" s="45">
        <v>5.5</v>
      </c>
      <c r="AD37" s="45">
        <v>5.5</v>
      </c>
      <c r="AE37" s="45">
        <v>5.5</v>
      </c>
      <c r="AF37" s="45">
        <v>5.5</v>
      </c>
      <c r="AG37" s="49">
        <v>18</v>
      </c>
      <c r="AH37" s="47">
        <f t="shared" si="2"/>
        <v>5.5</v>
      </c>
      <c r="AI37" s="48">
        <f t="shared" si="3"/>
        <v>5.5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>
        <v>7.2</v>
      </c>
      <c r="N38" s="45">
        <v>7.2</v>
      </c>
      <c r="O38" s="45">
        <v>7.2</v>
      </c>
      <c r="P38" s="45">
        <v>7.2</v>
      </c>
      <c r="Q38" s="45">
        <v>7.2</v>
      </c>
      <c r="R38" s="45">
        <v>7.2</v>
      </c>
      <c r="S38" s="45">
        <v>7.2</v>
      </c>
      <c r="T38" s="45">
        <v>7.2</v>
      </c>
      <c r="U38" s="45">
        <v>7.2</v>
      </c>
      <c r="V38" s="45">
        <v>7.2</v>
      </c>
      <c r="W38" s="45">
        <v>7.2</v>
      </c>
      <c r="X38" s="45">
        <v>7.2</v>
      </c>
      <c r="Y38" s="45">
        <v>7.2</v>
      </c>
      <c r="Z38" s="45">
        <v>7.2</v>
      </c>
      <c r="AA38" s="45">
        <v>7.2</v>
      </c>
      <c r="AB38" s="45">
        <v>7.2</v>
      </c>
      <c r="AC38" s="45">
        <v>7.2</v>
      </c>
      <c r="AD38" s="45">
        <v>7.2</v>
      </c>
      <c r="AE38" s="45">
        <v>7.2</v>
      </c>
      <c r="AF38" s="45">
        <v>7.2</v>
      </c>
      <c r="AG38" s="49">
        <v>14.9</v>
      </c>
      <c r="AH38" s="47">
        <f t="shared" si="2"/>
        <v>7.2</v>
      </c>
      <c r="AI38" s="48">
        <f t="shared" si="3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265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2"/>
        <v>5</v>
      </c>
      <c r="AI40" s="48">
        <f t="shared" si="3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266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>
        <v>4</v>
      </c>
      <c r="N41" s="45">
        <v>4</v>
      </c>
      <c r="O41" s="45">
        <v>4</v>
      </c>
      <c r="P41" s="45">
        <v>4</v>
      </c>
      <c r="Q41" s="45">
        <v>4</v>
      </c>
      <c r="R41" s="45">
        <v>4</v>
      </c>
      <c r="S41" s="45">
        <v>4</v>
      </c>
      <c r="T41" s="45">
        <v>4</v>
      </c>
      <c r="U41" s="45">
        <v>4</v>
      </c>
      <c r="V41" s="45">
        <v>4</v>
      </c>
      <c r="W41" s="45">
        <v>4</v>
      </c>
      <c r="X41" s="45">
        <v>4</v>
      </c>
      <c r="Y41" s="45">
        <v>4</v>
      </c>
      <c r="Z41" s="45">
        <v>4</v>
      </c>
      <c r="AA41" s="45">
        <v>4</v>
      </c>
      <c r="AB41" s="45">
        <v>4</v>
      </c>
      <c r="AC41" s="45">
        <v>4</v>
      </c>
      <c r="AD41" s="45">
        <v>4</v>
      </c>
      <c r="AE41" s="45">
        <v>4</v>
      </c>
      <c r="AF41" s="45">
        <v>4</v>
      </c>
      <c r="AG41" s="49">
        <v>14.9</v>
      </c>
      <c r="AH41" s="47">
        <f t="shared" si="2"/>
        <v>4</v>
      </c>
      <c r="AI41" s="48">
        <f t="shared" si="3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2"/>
        <v>1.8</v>
      </c>
      <c r="AI42" s="48">
        <f t="shared" si="3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2"/>
        <v>3.8</v>
      </c>
      <c r="AI43" s="48">
        <f t="shared" si="3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4</v>
      </c>
      <c r="C44" s="45">
        <v>4</v>
      </c>
      <c r="D44" s="45">
        <v>4</v>
      </c>
      <c r="E44" s="45">
        <v>4</v>
      </c>
      <c r="F44" s="45">
        <v>4</v>
      </c>
      <c r="G44" s="45">
        <v>4</v>
      </c>
      <c r="H44" s="45">
        <v>4</v>
      </c>
      <c r="I44" s="45">
        <v>4</v>
      </c>
      <c r="J44" s="45">
        <v>4</v>
      </c>
      <c r="K44" s="45">
        <v>4</v>
      </c>
      <c r="L44" s="45">
        <v>4</v>
      </c>
      <c r="M44" s="45">
        <v>4</v>
      </c>
      <c r="N44" s="45">
        <v>4</v>
      </c>
      <c r="O44" s="45">
        <v>4</v>
      </c>
      <c r="P44" s="45">
        <v>4</v>
      </c>
      <c r="Q44" s="45">
        <v>4</v>
      </c>
      <c r="R44" s="45">
        <v>4</v>
      </c>
      <c r="S44" s="45">
        <v>4</v>
      </c>
      <c r="T44" s="45">
        <v>4</v>
      </c>
      <c r="U44" s="45">
        <v>4</v>
      </c>
      <c r="V44" s="45">
        <v>4</v>
      </c>
      <c r="W44" s="45">
        <v>4</v>
      </c>
      <c r="X44" s="45">
        <v>4</v>
      </c>
      <c r="Y44" s="45">
        <v>4</v>
      </c>
      <c r="Z44" s="45">
        <v>4</v>
      </c>
      <c r="AA44" s="45">
        <v>4</v>
      </c>
      <c r="AB44" s="45">
        <v>4</v>
      </c>
      <c r="AC44" s="45">
        <v>4</v>
      </c>
      <c r="AD44" s="45">
        <v>4</v>
      </c>
      <c r="AE44" s="45">
        <v>4</v>
      </c>
      <c r="AF44" s="45">
        <v>4</v>
      </c>
      <c r="AG44" s="49">
        <v>12</v>
      </c>
      <c r="AH44" s="47">
        <f t="shared" si="2"/>
        <v>4</v>
      </c>
      <c r="AI44" s="48">
        <f t="shared" si="3"/>
        <v>4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49">
        <v>12</v>
      </c>
      <c r="AH45" s="47">
        <f t="shared" si="2"/>
        <v>9</v>
      </c>
      <c r="AI45" s="48">
        <f t="shared" si="3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2"/>
        <v>3</v>
      </c>
      <c r="AI46" s="48">
        <f t="shared" si="3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2"/>
        <v>3.5</v>
      </c>
      <c r="AI47" s="48">
        <f t="shared" si="3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>
        <v>5</v>
      </c>
      <c r="N48" s="45">
        <v>5</v>
      </c>
      <c r="O48" s="45">
        <v>5</v>
      </c>
      <c r="P48" s="45">
        <v>5</v>
      </c>
      <c r="Q48" s="45">
        <v>5</v>
      </c>
      <c r="R48" s="45">
        <v>5</v>
      </c>
      <c r="S48" s="45">
        <v>5</v>
      </c>
      <c r="T48" s="45">
        <v>5</v>
      </c>
      <c r="U48" s="45">
        <v>5</v>
      </c>
      <c r="V48" s="45">
        <v>5</v>
      </c>
      <c r="W48" s="45">
        <v>5</v>
      </c>
      <c r="X48" s="45">
        <v>5</v>
      </c>
      <c r="Y48" s="45">
        <v>5</v>
      </c>
      <c r="Z48" s="45">
        <v>5</v>
      </c>
      <c r="AA48" s="45">
        <v>5</v>
      </c>
      <c r="AB48" s="45">
        <v>5</v>
      </c>
      <c r="AC48" s="45">
        <v>5</v>
      </c>
      <c r="AD48" s="45">
        <v>5</v>
      </c>
      <c r="AE48" s="45">
        <v>5</v>
      </c>
      <c r="AF48" s="45">
        <v>5</v>
      </c>
      <c r="AG48" s="52">
        <v>11.88</v>
      </c>
      <c r="AH48" s="47">
        <f t="shared" si="2"/>
        <v>5</v>
      </c>
      <c r="AI48" s="48">
        <f t="shared" si="3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>
        <v>3</v>
      </c>
      <c r="N49" s="45">
        <v>3</v>
      </c>
      <c r="O49" s="45">
        <v>3</v>
      </c>
      <c r="P49" s="45">
        <v>3</v>
      </c>
      <c r="Q49" s="45">
        <v>3</v>
      </c>
      <c r="R49" s="45">
        <v>3</v>
      </c>
      <c r="S49" s="45">
        <v>3</v>
      </c>
      <c r="T49" s="45">
        <v>3</v>
      </c>
      <c r="U49" s="45">
        <v>3</v>
      </c>
      <c r="V49" s="45">
        <v>3</v>
      </c>
      <c r="W49" s="45">
        <v>3</v>
      </c>
      <c r="X49" s="45">
        <v>3</v>
      </c>
      <c r="Y49" s="45">
        <v>3</v>
      </c>
      <c r="Z49" s="45">
        <v>3</v>
      </c>
      <c r="AA49" s="45">
        <v>3</v>
      </c>
      <c r="AB49" s="45">
        <v>3</v>
      </c>
      <c r="AC49" s="45">
        <v>3</v>
      </c>
      <c r="AD49" s="45">
        <v>3</v>
      </c>
      <c r="AE49" s="45">
        <v>3</v>
      </c>
      <c r="AF49" s="45">
        <v>3</v>
      </c>
      <c r="AG49" s="55">
        <v>11</v>
      </c>
      <c r="AH49" s="47">
        <f t="shared" si="2"/>
        <v>3</v>
      </c>
      <c r="AI49" s="48">
        <f t="shared" si="3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267</v>
      </c>
      <c r="B50" s="45">
        <v>3.3</v>
      </c>
      <c r="C50" s="45">
        <v>3.3</v>
      </c>
      <c r="D50" s="45">
        <v>3.3</v>
      </c>
      <c r="E50" s="45">
        <v>3.3</v>
      </c>
      <c r="F50" s="45">
        <v>3.3</v>
      </c>
      <c r="G50" s="45">
        <v>3.3</v>
      </c>
      <c r="H50" s="45">
        <v>3.3</v>
      </c>
      <c r="I50" s="45">
        <v>3.3</v>
      </c>
      <c r="J50" s="45">
        <v>3.3</v>
      </c>
      <c r="K50" s="45">
        <v>3.3</v>
      </c>
      <c r="L50" s="45">
        <v>3.3</v>
      </c>
      <c r="M50" s="45">
        <v>3.3</v>
      </c>
      <c r="N50" s="45">
        <v>3.3</v>
      </c>
      <c r="O50" s="45">
        <v>3.3</v>
      </c>
      <c r="P50" s="45">
        <v>3.3</v>
      </c>
      <c r="Q50" s="45">
        <v>3.3</v>
      </c>
      <c r="R50" s="45">
        <v>3.3</v>
      </c>
      <c r="S50" s="45">
        <v>3.3</v>
      </c>
      <c r="T50" s="45">
        <v>3.3</v>
      </c>
      <c r="U50" s="45">
        <v>3.3</v>
      </c>
      <c r="V50" s="45">
        <v>3.3</v>
      </c>
      <c r="W50" s="45">
        <v>3.3</v>
      </c>
      <c r="X50" s="45">
        <v>3.3</v>
      </c>
      <c r="Y50" s="45">
        <v>3.3</v>
      </c>
      <c r="Z50" s="45">
        <v>3.3</v>
      </c>
      <c r="AA50" s="45">
        <v>3.3</v>
      </c>
      <c r="AB50" s="45">
        <v>3.3</v>
      </c>
      <c r="AC50" s="45">
        <v>3.3</v>
      </c>
      <c r="AD50" s="45">
        <v>3.3</v>
      </c>
      <c r="AE50" s="45">
        <v>3.3</v>
      </c>
      <c r="AF50" s="45">
        <v>3.3</v>
      </c>
      <c r="AG50" s="55">
        <v>11</v>
      </c>
      <c r="AH50" s="47">
        <f t="shared" si="2"/>
        <v>3.3</v>
      </c>
      <c r="AI50" s="48">
        <f t="shared" si="3"/>
        <v>3.3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268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"/>
        <v>3</v>
      </c>
      <c r="AI51" s="48">
        <f t="shared" si="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2"/>
        <v>4</v>
      </c>
      <c r="AI52" s="48">
        <f t="shared" si="3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"/>
        <v>4.5</v>
      </c>
      <c r="AI53" s="48">
        <f t="shared" si="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269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"/>
        <v>0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150</v>
      </c>
      <c r="C56" s="57">
        <v>150</v>
      </c>
      <c r="D56" s="57">
        <v>150</v>
      </c>
      <c r="E56" s="57">
        <v>150</v>
      </c>
      <c r="F56" s="57">
        <v>150</v>
      </c>
      <c r="G56" s="57">
        <v>150</v>
      </c>
      <c r="H56" s="57">
        <v>150</v>
      </c>
      <c r="I56" s="57">
        <v>150</v>
      </c>
      <c r="J56" s="57">
        <v>150</v>
      </c>
      <c r="K56" s="57">
        <v>150</v>
      </c>
      <c r="L56" s="57">
        <v>150</v>
      </c>
      <c r="M56" s="57">
        <v>150</v>
      </c>
      <c r="N56" s="57">
        <v>150</v>
      </c>
      <c r="O56" s="57">
        <v>150</v>
      </c>
      <c r="P56" s="57">
        <v>150</v>
      </c>
      <c r="Q56" s="57">
        <v>150</v>
      </c>
      <c r="R56" s="57">
        <v>150</v>
      </c>
      <c r="S56" s="57">
        <v>150</v>
      </c>
      <c r="T56" s="57">
        <v>150</v>
      </c>
      <c r="U56" s="57">
        <v>150</v>
      </c>
      <c r="V56" s="57">
        <v>150</v>
      </c>
      <c r="W56" s="57">
        <v>150</v>
      </c>
      <c r="X56" s="57">
        <v>150</v>
      </c>
      <c r="Y56" s="57">
        <v>150</v>
      </c>
      <c r="Z56" s="57">
        <v>150</v>
      </c>
      <c r="AA56" s="57">
        <v>150</v>
      </c>
      <c r="AB56" s="57">
        <v>150</v>
      </c>
      <c r="AC56" s="57">
        <v>150</v>
      </c>
      <c r="AD56" s="57">
        <v>150</v>
      </c>
      <c r="AE56" s="57">
        <v>150</v>
      </c>
      <c r="AF56" s="57">
        <v>150</v>
      </c>
      <c r="AG56" s="55">
        <v>85</v>
      </c>
      <c r="AH56" s="47">
        <f t="shared" si="2"/>
        <v>150</v>
      </c>
      <c r="AI56" s="48">
        <f t="shared" si="3"/>
        <v>150</v>
      </c>
      <c r="AK56" s="50"/>
    </row>
    <row r="57" spans="1:88" ht="15.75" thickBot="1" x14ac:dyDescent="0.3">
      <c r="A57" s="58" t="s">
        <v>57</v>
      </c>
      <c r="B57" s="57">
        <v>13.6</v>
      </c>
      <c r="C57" s="57">
        <v>13.6</v>
      </c>
      <c r="D57" s="57">
        <v>13.6</v>
      </c>
      <c r="E57" s="57">
        <v>13.6</v>
      </c>
      <c r="F57" s="57">
        <v>13.6</v>
      </c>
      <c r="G57" s="57">
        <v>13.6</v>
      </c>
      <c r="H57" s="57">
        <v>13.6</v>
      </c>
      <c r="I57" s="57">
        <v>13.6</v>
      </c>
      <c r="J57" s="57">
        <v>13.6</v>
      </c>
      <c r="K57" s="57">
        <v>13.6</v>
      </c>
      <c r="L57" s="57">
        <v>13.6</v>
      </c>
      <c r="M57" s="57">
        <v>26</v>
      </c>
      <c r="N57" s="57">
        <v>26</v>
      </c>
      <c r="O57" s="57">
        <v>26</v>
      </c>
      <c r="P57" s="57">
        <v>26</v>
      </c>
      <c r="Q57" s="57">
        <v>28.4</v>
      </c>
      <c r="R57" s="57">
        <v>28.4</v>
      </c>
      <c r="S57" s="57">
        <v>28.4</v>
      </c>
      <c r="T57" s="57">
        <v>28.4</v>
      </c>
      <c r="U57" s="57">
        <v>20</v>
      </c>
      <c r="V57" s="57">
        <v>20</v>
      </c>
      <c r="W57" s="57">
        <v>19</v>
      </c>
      <c r="X57" s="57">
        <v>16.399999999999999</v>
      </c>
      <c r="Y57" s="57">
        <v>14</v>
      </c>
      <c r="Z57" s="57">
        <v>14</v>
      </c>
      <c r="AA57" s="57">
        <v>14</v>
      </c>
      <c r="AB57" s="57">
        <f>12.5+3.1</f>
        <v>15.6</v>
      </c>
      <c r="AC57" s="57">
        <f>18.3+7.8</f>
        <v>26.1</v>
      </c>
      <c r="AD57" s="57">
        <f>18.3+7.9</f>
        <v>26.200000000000003</v>
      </c>
      <c r="AE57" s="57">
        <f>8+18.3</f>
        <v>26.3</v>
      </c>
      <c r="AF57" s="57">
        <f>8.4+19.7</f>
        <v>28.1</v>
      </c>
      <c r="AG57" s="55">
        <v>240</v>
      </c>
      <c r="AH57" s="47">
        <f t="shared" si="2"/>
        <v>28.4</v>
      </c>
      <c r="AI57" s="48">
        <f t="shared" si="3"/>
        <v>13.6</v>
      </c>
      <c r="AK57" s="50"/>
    </row>
    <row r="58" spans="1:88" ht="15.75" thickBot="1" x14ac:dyDescent="0.3">
      <c r="A58" s="59" t="s">
        <v>58</v>
      </c>
      <c r="B58" s="60">
        <f t="shared" ref="B58:C58" si="4">SUM(B11:B56)</f>
        <v>494.90000000000003</v>
      </c>
      <c r="C58" s="60">
        <f t="shared" si="4"/>
        <v>494.90000000000003</v>
      </c>
      <c r="D58" s="60">
        <f t="shared" ref="D58" si="5">SUM(D11:D56)</f>
        <v>494.90000000000003</v>
      </c>
      <c r="E58" s="60">
        <f t="shared" ref="E58:AD58" si="6">SUM(E11:E56)</f>
        <v>494.90000000000003</v>
      </c>
      <c r="F58" s="60">
        <f t="shared" si="6"/>
        <v>494.90000000000003</v>
      </c>
      <c r="G58" s="60">
        <f t="shared" si="6"/>
        <v>494.90000000000003</v>
      </c>
      <c r="H58" s="60">
        <f t="shared" si="6"/>
        <v>494.90000000000003</v>
      </c>
      <c r="I58" s="60">
        <f t="shared" si="6"/>
        <v>494.90000000000003</v>
      </c>
      <c r="J58" s="60">
        <f t="shared" si="6"/>
        <v>494.90000000000003</v>
      </c>
      <c r="K58" s="60">
        <f t="shared" si="6"/>
        <v>494.90000000000003</v>
      </c>
      <c r="L58" s="60">
        <f t="shared" si="6"/>
        <v>494.90000000000003</v>
      </c>
      <c r="M58" s="60">
        <f t="shared" si="6"/>
        <v>494.90000000000003</v>
      </c>
      <c r="N58" s="60">
        <f t="shared" si="6"/>
        <v>494.90000000000003</v>
      </c>
      <c r="O58" s="60">
        <f t="shared" si="6"/>
        <v>494.90000000000003</v>
      </c>
      <c r="P58" s="60">
        <f t="shared" si="6"/>
        <v>494.90000000000003</v>
      </c>
      <c r="Q58" s="60">
        <f t="shared" si="6"/>
        <v>494.90000000000003</v>
      </c>
      <c r="R58" s="60">
        <f t="shared" si="6"/>
        <v>494.90000000000003</v>
      </c>
      <c r="S58" s="60">
        <f t="shared" si="6"/>
        <v>494.90000000000003</v>
      </c>
      <c r="T58" s="60">
        <f t="shared" si="6"/>
        <v>494.90000000000003</v>
      </c>
      <c r="U58" s="60">
        <f t="shared" si="6"/>
        <v>494.90000000000003</v>
      </c>
      <c r="V58" s="60">
        <f t="shared" si="6"/>
        <v>494.90000000000003</v>
      </c>
      <c r="W58" s="60">
        <f t="shared" si="6"/>
        <v>494.90000000000003</v>
      </c>
      <c r="X58" s="60">
        <f t="shared" si="6"/>
        <v>494.90000000000003</v>
      </c>
      <c r="Y58" s="60">
        <f>SUM(Y11:Y56)</f>
        <v>494.90000000000003</v>
      </c>
      <c r="Z58" s="60">
        <f>SUM(Z11:Z56)</f>
        <v>494.90000000000003</v>
      </c>
      <c r="AA58" s="60">
        <f t="shared" si="6"/>
        <v>494.90000000000003</v>
      </c>
      <c r="AB58" s="60">
        <f t="shared" si="6"/>
        <v>492.80000000000007</v>
      </c>
      <c r="AC58" s="60">
        <f t="shared" si="6"/>
        <v>493.20000000000005</v>
      </c>
      <c r="AD58" s="60">
        <f t="shared" si="6"/>
        <v>493.50000000000006</v>
      </c>
      <c r="AE58" s="60">
        <f t="shared" ref="AE58:AF58" si="7">SUM(AE11:AE56)</f>
        <v>504.99999999999994</v>
      </c>
      <c r="AF58" s="60">
        <f t="shared" si="7"/>
        <v>504.99999999999994</v>
      </c>
      <c r="AG58" s="61">
        <f>SUM(AG14:AG56)</f>
        <v>1042.4000000000001</v>
      </c>
      <c r="AH58" s="47">
        <f t="shared" si="2"/>
        <v>504.99999999999994</v>
      </c>
      <c r="AI58" s="48">
        <f t="shared" si="3"/>
        <v>492.80000000000007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50</v>
      </c>
      <c r="J59" s="45">
        <v>65</v>
      </c>
      <c r="K59" s="45">
        <v>194</v>
      </c>
      <c r="L59" s="45">
        <v>440</v>
      </c>
      <c r="M59" s="45">
        <v>420</v>
      </c>
      <c r="N59" s="63">
        <v>200</v>
      </c>
      <c r="O59" s="63">
        <v>70</v>
      </c>
      <c r="P59" s="63">
        <v>12</v>
      </c>
      <c r="Q59" s="63">
        <v>0</v>
      </c>
      <c r="R59" s="63">
        <v>0</v>
      </c>
      <c r="S59" s="63">
        <v>0</v>
      </c>
      <c r="T59" s="63">
        <v>0</v>
      </c>
      <c r="U59" s="63">
        <v>0</v>
      </c>
      <c r="V59" s="63">
        <v>40</v>
      </c>
      <c r="W59" s="63">
        <v>110</v>
      </c>
      <c r="X59" s="45">
        <v>220</v>
      </c>
      <c r="Y59" s="45">
        <v>360</v>
      </c>
      <c r="Z59" s="45">
        <v>390</v>
      </c>
      <c r="AA59" s="45">
        <v>200</v>
      </c>
      <c r="AB59" s="45">
        <v>70</v>
      </c>
      <c r="AC59" s="45">
        <v>30</v>
      </c>
      <c r="AD59" s="45">
        <v>30</v>
      </c>
      <c r="AE59" s="45">
        <v>25</v>
      </c>
      <c r="AF59" s="45">
        <v>0</v>
      </c>
      <c r="AG59" s="52">
        <v>456</v>
      </c>
      <c r="AH59" s="47">
        <f t="shared" si="2"/>
        <v>440</v>
      </c>
      <c r="AI59" s="48">
        <f t="shared" si="3"/>
        <v>0</v>
      </c>
      <c r="AK59" s="50"/>
    </row>
    <row r="60" spans="1:88" x14ac:dyDescent="0.25">
      <c r="A60" s="64" t="s">
        <v>60</v>
      </c>
      <c r="B60" s="65">
        <v>30</v>
      </c>
      <c r="C60" s="65">
        <v>30</v>
      </c>
      <c r="D60" s="65">
        <v>30</v>
      </c>
      <c r="E60" s="65">
        <v>30</v>
      </c>
      <c r="F60" s="65">
        <v>30</v>
      </c>
      <c r="G60" s="65">
        <v>30</v>
      </c>
      <c r="H60" s="65">
        <v>30</v>
      </c>
      <c r="I60" s="65">
        <v>30</v>
      </c>
      <c r="J60" s="65">
        <v>30</v>
      </c>
      <c r="K60" s="65">
        <v>30</v>
      </c>
      <c r="L60" s="65">
        <v>30</v>
      </c>
      <c r="M60" s="65">
        <v>30</v>
      </c>
      <c r="N60" s="65">
        <v>30</v>
      </c>
      <c r="O60" s="65">
        <v>30</v>
      </c>
      <c r="P60" s="65">
        <v>30</v>
      </c>
      <c r="Q60" s="65">
        <v>30</v>
      </c>
      <c r="R60" s="65">
        <v>30</v>
      </c>
      <c r="S60" s="65">
        <v>30</v>
      </c>
      <c r="T60" s="65">
        <v>30</v>
      </c>
      <c r="U60" s="65">
        <v>30</v>
      </c>
      <c r="V60" s="65">
        <v>30</v>
      </c>
      <c r="W60" s="65">
        <v>30</v>
      </c>
      <c r="X60" s="65">
        <v>30</v>
      </c>
      <c r="Y60" s="65">
        <v>30</v>
      </c>
      <c r="Z60" s="65">
        <v>30</v>
      </c>
      <c r="AA60" s="65">
        <v>30</v>
      </c>
      <c r="AB60" s="65">
        <v>30</v>
      </c>
      <c r="AC60" s="65">
        <v>30</v>
      </c>
      <c r="AD60" s="65">
        <v>30</v>
      </c>
      <c r="AE60" s="65">
        <v>30</v>
      </c>
      <c r="AF60" s="65">
        <v>30</v>
      </c>
      <c r="AG60" s="55">
        <v>60</v>
      </c>
      <c r="AH60" s="47">
        <f t="shared" si="2"/>
        <v>30</v>
      </c>
      <c r="AI60" s="48">
        <f t="shared" si="3"/>
        <v>30</v>
      </c>
      <c r="AK60" s="50"/>
    </row>
    <row r="61" spans="1:88" ht="15.75" thickBot="1" x14ac:dyDescent="0.3">
      <c r="A61" s="66" t="s">
        <v>61</v>
      </c>
      <c r="B61" s="67">
        <v>10.199999999999999</v>
      </c>
      <c r="C61" s="67">
        <v>10.199999999999999</v>
      </c>
      <c r="D61" s="67">
        <v>10.199999999999999</v>
      </c>
      <c r="E61" s="67">
        <v>10.199999999999999</v>
      </c>
      <c r="F61" s="67">
        <v>10.199999999999999</v>
      </c>
      <c r="G61" s="67">
        <v>10.199999999999999</v>
      </c>
      <c r="H61" s="67">
        <v>10.199999999999999</v>
      </c>
      <c r="I61" s="67">
        <v>10.199999999999999</v>
      </c>
      <c r="J61" s="67">
        <v>10.199999999999999</v>
      </c>
      <c r="K61" s="67">
        <v>10.199999999999999</v>
      </c>
      <c r="L61" s="67">
        <v>10.199999999999999</v>
      </c>
      <c r="M61" s="67">
        <v>10.199999999999999</v>
      </c>
      <c r="N61" s="67">
        <v>10.199999999999999</v>
      </c>
      <c r="O61" s="67">
        <v>10.199999999999999</v>
      </c>
      <c r="P61" s="67">
        <v>10.199999999999999</v>
      </c>
      <c r="Q61" s="67">
        <v>10.199999999999999</v>
      </c>
      <c r="R61" s="67">
        <v>10.199999999999999</v>
      </c>
      <c r="S61" s="67">
        <v>10.199999999999999</v>
      </c>
      <c r="T61" s="67">
        <v>10.199999999999999</v>
      </c>
      <c r="U61" s="67">
        <v>10.199999999999999</v>
      </c>
      <c r="V61" s="67">
        <v>10.199999999999999</v>
      </c>
      <c r="W61" s="67">
        <v>10.199999999999999</v>
      </c>
      <c r="X61" s="67">
        <v>10.199999999999999</v>
      </c>
      <c r="Y61" s="67">
        <v>10.199999999999999</v>
      </c>
      <c r="Z61" s="67">
        <v>10.199999999999999</v>
      </c>
      <c r="AA61" s="67">
        <v>10.199999999999999</v>
      </c>
      <c r="AB61" s="67">
        <v>10.199999999999999</v>
      </c>
      <c r="AC61" s="67">
        <v>10.199999999999999</v>
      </c>
      <c r="AD61" s="67">
        <v>10.199999999999999</v>
      </c>
      <c r="AE61" s="67">
        <v>10.199999999999999</v>
      </c>
      <c r="AF61" s="67">
        <v>10.199999999999999</v>
      </c>
      <c r="AG61" s="68">
        <v>22.1</v>
      </c>
      <c r="AH61" s="47">
        <f t="shared" si="2"/>
        <v>10.199999999999999</v>
      </c>
      <c r="AI61" s="48">
        <f t="shared" si="3"/>
        <v>10.199999999999999</v>
      </c>
      <c r="AK61" s="50"/>
    </row>
    <row r="62" spans="1:88" ht="15.75" thickBot="1" x14ac:dyDescent="0.3">
      <c r="A62" s="69" t="s">
        <v>62</v>
      </c>
      <c r="B62" s="60">
        <f t="shared" ref="B62:C62" si="8">SUM(B59:B61)</f>
        <v>40.200000000000003</v>
      </c>
      <c r="C62" s="60">
        <f t="shared" si="8"/>
        <v>40.200000000000003</v>
      </c>
      <c r="D62" s="60">
        <f t="shared" ref="D62" si="9">SUM(D59:D61)</f>
        <v>40.200000000000003</v>
      </c>
      <c r="E62" s="60">
        <f t="shared" ref="E62:AG62" si="10">SUM(E59:E61)</f>
        <v>40.200000000000003</v>
      </c>
      <c r="F62" s="60">
        <f t="shared" si="10"/>
        <v>40.200000000000003</v>
      </c>
      <c r="G62" s="60">
        <f t="shared" si="10"/>
        <v>40.200000000000003</v>
      </c>
      <c r="H62" s="60">
        <f t="shared" si="10"/>
        <v>40.200000000000003</v>
      </c>
      <c r="I62" s="60">
        <f t="shared" si="10"/>
        <v>90.2</v>
      </c>
      <c r="J62" s="60">
        <f t="shared" si="10"/>
        <v>105.2</v>
      </c>
      <c r="K62" s="60">
        <f t="shared" si="10"/>
        <v>234.2</v>
      </c>
      <c r="L62" s="60">
        <f t="shared" si="10"/>
        <v>480.2</v>
      </c>
      <c r="M62" s="60">
        <f t="shared" si="10"/>
        <v>460.2</v>
      </c>
      <c r="N62" s="60">
        <f t="shared" si="10"/>
        <v>240.2</v>
      </c>
      <c r="O62" s="60">
        <f t="shared" si="10"/>
        <v>110.2</v>
      </c>
      <c r="P62" s="60">
        <f t="shared" si="10"/>
        <v>52.2</v>
      </c>
      <c r="Q62" s="60">
        <f t="shared" si="10"/>
        <v>40.200000000000003</v>
      </c>
      <c r="R62" s="60">
        <f t="shared" si="10"/>
        <v>40.200000000000003</v>
      </c>
      <c r="S62" s="60">
        <f t="shared" si="10"/>
        <v>40.200000000000003</v>
      </c>
      <c r="T62" s="60">
        <f t="shared" si="10"/>
        <v>40.200000000000003</v>
      </c>
      <c r="U62" s="60">
        <f t="shared" si="10"/>
        <v>40.200000000000003</v>
      </c>
      <c r="V62" s="60">
        <f t="shared" si="10"/>
        <v>80.2</v>
      </c>
      <c r="W62" s="60">
        <f t="shared" si="10"/>
        <v>150.19999999999999</v>
      </c>
      <c r="X62" s="60">
        <f t="shared" si="10"/>
        <v>260.2</v>
      </c>
      <c r="Y62" s="60">
        <f>SUM(Y59:Y61)</f>
        <v>400.2</v>
      </c>
      <c r="Z62" s="60">
        <f>SUM(Z59:Z61)</f>
        <v>430.2</v>
      </c>
      <c r="AA62" s="60">
        <f t="shared" si="10"/>
        <v>240.2</v>
      </c>
      <c r="AB62" s="60">
        <f t="shared" si="10"/>
        <v>110.2</v>
      </c>
      <c r="AC62" s="60">
        <f t="shared" si="10"/>
        <v>70.2</v>
      </c>
      <c r="AD62" s="60">
        <f t="shared" si="10"/>
        <v>70.2</v>
      </c>
      <c r="AE62" s="60">
        <f t="shared" ref="AE62:AF62" si="11">SUM(AE59:AE61)</f>
        <v>65.2</v>
      </c>
      <c r="AF62" s="60">
        <f t="shared" si="11"/>
        <v>40.200000000000003</v>
      </c>
      <c r="AG62" s="61">
        <f t="shared" si="10"/>
        <v>538.1</v>
      </c>
      <c r="AH62" s="47">
        <f t="shared" si="2"/>
        <v>480.2</v>
      </c>
      <c r="AI62" s="48">
        <f t="shared" si="3"/>
        <v>40.200000000000003</v>
      </c>
      <c r="AK62" s="50"/>
    </row>
    <row r="63" spans="1:88" x14ac:dyDescent="0.25">
      <c r="A63" s="44" t="s">
        <v>63</v>
      </c>
      <c r="B63" s="45">
        <v>30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28.2</v>
      </c>
      <c r="J63" s="45">
        <v>77.3</v>
      </c>
      <c r="K63" s="45">
        <v>121.3</v>
      </c>
      <c r="L63" s="45">
        <v>91.3</v>
      </c>
      <c r="M63" s="45">
        <v>102.8</v>
      </c>
      <c r="N63" s="45">
        <v>70</v>
      </c>
      <c r="O63" s="45">
        <v>60</v>
      </c>
      <c r="P63" s="45">
        <v>59</v>
      </c>
      <c r="Q63" s="45">
        <v>86.3</v>
      </c>
      <c r="R63" s="45">
        <v>50</v>
      </c>
      <c r="S63" s="45">
        <v>40</v>
      </c>
      <c r="T63" s="45">
        <v>47.7</v>
      </c>
      <c r="U63" s="45">
        <v>31.1</v>
      </c>
      <c r="V63" s="45">
        <v>31.1</v>
      </c>
      <c r="W63" s="45">
        <v>31.1</v>
      </c>
      <c r="X63" s="45">
        <v>97</v>
      </c>
      <c r="Y63" s="45">
        <v>140</v>
      </c>
      <c r="Z63" s="45">
        <v>140</v>
      </c>
      <c r="AA63" s="45">
        <v>140</v>
      </c>
      <c r="AB63" s="45">
        <v>109.6</v>
      </c>
      <c r="AC63" s="45">
        <v>47.8</v>
      </c>
      <c r="AD63" s="45">
        <v>31.6</v>
      </c>
      <c r="AE63" s="45">
        <v>31.7</v>
      </c>
      <c r="AF63" s="45">
        <v>0</v>
      </c>
      <c r="AG63" s="52">
        <v>144</v>
      </c>
      <c r="AH63" s="47">
        <f t="shared" si="2"/>
        <v>140</v>
      </c>
      <c r="AI63" s="48">
        <f t="shared" si="3"/>
        <v>0</v>
      </c>
      <c r="AK63" s="50"/>
    </row>
    <row r="64" spans="1:88" x14ac:dyDescent="0.25">
      <c r="A64" s="54" t="s">
        <v>64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24</v>
      </c>
      <c r="J64" s="65">
        <v>60</v>
      </c>
      <c r="K64" s="65">
        <v>70</v>
      </c>
      <c r="L64" s="65">
        <v>70</v>
      </c>
      <c r="M64" s="65">
        <v>60</v>
      </c>
      <c r="N64" s="65">
        <v>35</v>
      </c>
      <c r="O64" s="65">
        <v>25</v>
      </c>
      <c r="P64" s="65">
        <v>25</v>
      </c>
      <c r="Q64" s="65">
        <v>35</v>
      </c>
      <c r="R64" s="65">
        <v>25</v>
      </c>
      <c r="S64" s="65">
        <v>25</v>
      </c>
      <c r="T64" s="65">
        <v>30</v>
      </c>
      <c r="U64" s="65">
        <v>30</v>
      </c>
      <c r="V64" s="65">
        <v>25</v>
      </c>
      <c r="W64" s="65">
        <v>25</v>
      </c>
      <c r="X64" s="65">
        <v>69</v>
      </c>
      <c r="Y64" s="65">
        <v>69</v>
      </c>
      <c r="Z64" s="65">
        <v>69</v>
      </c>
      <c r="AA64" s="65">
        <v>69</v>
      </c>
      <c r="AB64" s="45">
        <v>55</v>
      </c>
      <c r="AC64" s="45">
        <v>35</v>
      </c>
      <c r="AD64" s="65">
        <v>25</v>
      </c>
      <c r="AE64" s="65">
        <v>23</v>
      </c>
      <c r="AF64" s="65">
        <v>0</v>
      </c>
      <c r="AG64" s="55">
        <v>70</v>
      </c>
      <c r="AH64" s="47">
        <f t="shared" si="2"/>
        <v>70</v>
      </c>
      <c r="AI64" s="48">
        <f t="shared" si="3"/>
        <v>0</v>
      </c>
      <c r="AK64" s="50"/>
    </row>
    <row r="65" spans="1:41" x14ac:dyDescent="0.25">
      <c r="A65" s="54" t="s">
        <v>65</v>
      </c>
      <c r="B65" s="65">
        <v>18.399999999999999</v>
      </c>
      <c r="C65" s="65">
        <v>0</v>
      </c>
      <c r="D65" s="65">
        <v>0</v>
      </c>
      <c r="E65" s="65">
        <v>0</v>
      </c>
      <c r="F65" s="65">
        <v>0</v>
      </c>
      <c r="G65" s="65">
        <v>0</v>
      </c>
      <c r="H65" s="65">
        <v>20.399999999999999</v>
      </c>
      <c r="I65" s="65">
        <v>34.5</v>
      </c>
      <c r="J65" s="65">
        <v>68</v>
      </c>
      <c r="K65" s="65">
        <v>66.900000000000006</v>
      </c>
      <c r="L65" s="65">
        <v>61.8</v>
      </c>
      <c r="M65" s="65">
        <v>66.2</v>
      </c>
      <c r="N65" s="65">
        <v>44</v>
      </c>
      <c r="O65" s="65">
        <v>32</v>
      </c>
      <c r="P65" s="65">
        <v>32</v>
      </c>
      <c r="Q65" s="65">
        <v>16.5</v>
      </c>
      <c r="R65" s="65">
        <v>16</v>
      </c>
      <c r="S65" s="65">
        <v>22.7</v>
      </c>
      <c r="T65" s="65">
        <v>34.5</v>
      </c>
      <c r="U65" s="65">
        <v>34.5</v>
      </c>
      <c r="V65" s="65">
        <v>34.5</v>
      </c>
      <c r="W65" s="65">
        <v>22.3</v>
      </c>
      <c r="X65" s="65">
        <v>47</v>
      </c>
      <c r="Y65" s="65">
        <v>62.4</v>
      </c>
      <c r="Z65" s="65">
        <v>62.4</v>
      </c>
      <c r="AA65" s="65">
        <v>62.4</v>
      </c>
      <c r="AB65" s="45">
        <v>54.8</v>
      </c>
      <c r="AC65" s="45">
        <v>54.3</v>
      </c>
      <c r="AD65" s="65">
        <v>54.2</v>
      </c>
      <c r="AE65" s="65">
        <v>65.599999999999994</v>
      </c>
      <c r="AF65" s="65">
        <v>0</v>
      </c>
      <c r="AG65" s="55">
        <v>69</v>
      </c>
      <c r="AH65" s="47">
        <f t="shared" si="2"/>
        <v>68</v>
      </c>
      <c r="AI65" s="48">
        <f t="shared" si="3"/>
        <v>0</v>
      </c>
      <c r="AK65" s="50"/>
    </row>
    <row r="66" spans="1:41" x14ac:dyDescent="0.25">
      <c r="A66" s="54" t="s">
        <v>66</v>
      </c>
      <c r="B66" s="65">
        <v>38.5</v>
      </c>
      <c r="C66" s="65">
        <v>38.5</v>
      </c>
      <c r="D66" s="65">
        <v>37</v>
      </c>
      <c r="E66" s="65">
        <v>39.299999999999997</v>
      </c>
      <c r="F66" s="65">
        <v>39.299999999999997</v>
      </c>
      <c r="G66" s="65">
        <v>42.1</v>
      </c>
      <c r="H66" s="65">
        <v>42.1</v>
      </c>
      <c r="I66" s="65">
        <v>41.1</v>
      </c>
      <c r="J66" s="65">
        <v>40.1</v>
      </c>
      <c r="K66" s="57">
        <v>40.299999999999997</v>
      </c>
      <c r="L66" s="57">
        <v>40.299999999999997</v>
      </c>
      <c r="M66" s="65">
        <v>41.3</v>
      </c>
      <c r="N66" s="65">
        <v>41.3</v>
      </c>
      <c r="O66" s="65">
        <v>41.3</v>
      </c>
      <c r="P66" s="65">
        <v>41.3</v>
      </c>
      <c r="Q66" s="65">
        <v>39.1</v>
      </c>
      <c r="R66" s="65">
        <v>39.1</v>
      </c>
      <c r="S66" s="65">
        <v>39.1</v>
      </c>
      <c r="T66" s="65">
        <v>37.6</v>
      </c>
      <c r="U66" s="65">
        <v>38.299999999999997</v>
      </c>
      <c r="V66" s="65">
        <v>38.299999999999997</v>
      </c>
      <c r="W66" s="65">
        <v>38.299999999999997</v>
      </c>
      <c r="X66" s="65">
        <v>38.299999999999997</v>
      </c>
      <c r="Y66" s="65">
        <v>38.299999999999997</v>
      </c>
      <c r="Z66" s="65">
        <v>38.299999999999997</v>
      </c>
      <c r="AA66" s="65">
        <v>38.299999999999997</v>
      </c>
      <c r="AB66" s="45">
        <v>38.5</v>
      </c>
      <c r="AC66" s="45">
        <v>38.5</v>
      </c>
      <c r="AD66" s="65">
        <v>38.5</v>
      </c>
      <c r="AE66" s="65">
        <v>42.3</v>
      </c>
      <c r="AF66" s="65">
        <v>44.3</v>
      </c>
      <c r="AG66" s="55">
        <v>60</v>
      </c>
      <c r="AH66" s="47">
        <f t="shared" si="2"/>
        <v>44.3</v>
      </c>
      <c r="AI66" s="48">
        <f t="shared" si="3"/>
        <v>37</v>
      </c>
      <c r="AK66" s="50"/>
    </row>
    <row r="67" spans="1:41" x14ac:dyDescent="0.25">
      <c r="A67" s="54" t="s">
        <v>67</v>
      </c>
      <c r="B67" s="65">
        <v>0</v>
      </c>
      <c r="C67" s="65">
        <v>0</v>
      </c>
      <c r="D67" s="65">
        <v>0</v>
      </c>
      <c r="E67" s="65">
        <v>0</v>
      </c>
      <c r="F67" s="65">
        <v>0</v>
      </c>
      <c r="G67" s="65">
        <v>0</v>
      </c>
      <c r="H67" s="65">
        <v>10</v>
      </c>
      <c r="I67" s="65">
        <v>10</v>
      </c>
      <c r="J67" s="65">
        <v>10</v>
      </c>
      <c r="K67" s="57">
        <v>15</v>
      </c>
      <c r="L67" s="57">
        <v>28</v>
      </c>
      <c r="M67" s="65">
        <v>28</v>
      </c>
      <c r="N67" s="65">
        <v>15</v>
      </c>
      <c r="O67" s="65">
        <v>15</v>
      </c>
      <c r="P67" s="65">
        <v>0</v>
      </c>
      <c r="Q67" s="65">
        <v>0</v>
      </c>
      <c r="R67" s="65">
        <v>0</v>
      </c>
      <c r="S67" s="65">
        <v>10</v>
      </c>
      <c r="T67" s="65">
        <v>10</v>
      </c>
      <c r="U67" s="65">
        <v>15</v>
      </c>
      <c r="V67" s="65">
        <v>10</v>
      </c>
      <c r="W67" s="65">
        <v>0</v>
      </c>
      <c r="X67" s="65">
        <v>15</v>
      </c>
      <c r="Y67" s="65">
        <v>28</v>
      </c>
      <c r="Z67" s="65">
        <v>28</v>
      </c>
      <c r="AA67" s="65">
        <v>23</v>
      </c>
      <c r="AB67" s="45">
        <v>10</v>
      </c>
      <c r="AC67" s="45">
        <v>10</v>
      </c>
      <c r="AD67" s="65">
        <v>10</v>
      </c>
      <c r="AE67" s="65">
        <v>0</v>
      </c>
      <c r="AF67" s="65">
        <v>0</v>
      </c>
      <c r="AG67" s="55">
        <v>30</v>
      </c>
      <c r="AH67" s="47">
        <f t="shared" si="2"/>
        <v>28</v>
      </c>
      <c r="AI67" s="48">
        <f t="shared" si="3"/>
        <v>0</v>
      </c>
      <c r="AK67" s="50"/>
    </row>
    <row r="68" spans="1:41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65">
        <v>0.9</v>
      </c>
      <c r="M68" s="65">
        <v>3</v>
      </c>
      <c r="N68" s="65">
        <v>5</v>
      </c>
      <c r="O68" s="65">
        <v>10</v>
      </c>
      <c r="P68" s="65">
        <v>15</v>
      </c>
      <c r="Q68" s="65">
        <v>15.6</v>
      </c>
      <c r="R68" s="65">
        <v>15.6</v>
      </c>
      <c r="S68" s="65">
        <v>12.3</v>
      </c>
      <c r="T68" s="65">
        <v>8.9</v>
      </c>
      <c r="U68" s="65">
        <v>4.8</v>
      </c>
      <c r="V68" s="65">
        <v>1.3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5">
        <v>25</v>
      </c>
      <c r="AH68" s="47">
        <f t="shared" si="2"/>
        <v>15.6</v>
      </c>
      <c r="AI68" s="48">
        <f t="shared" si="3"/>
        <v>0</v>
      </c>
      <c r="AK68" s="50"/>
    </row>
    <row r="69" spans="1:41" x14ac:dyDescent="0.25">
      <c r="A69" s="54" t="s">
        <v>69</v>
      </c>
      <c r="B69" s="65">
        <v>15</v>
      </c>
      <c r="C69" s="65">
        <v>15</v>
      </c>
      <c r="D69" s="65">
        <v>15</v>
      </c>
      <c r="E69" s="65">
        <v>15</v>
      </c>
      <c r="F69" s="65">
        <v>15</v>
      </c>
      <c r="G69" s="65">
        <v>15</v>
      </c>
      <c r="H69" s="65">
        <v>15</v>
      </c>
      <c r="I69" s="65">
        <v>15</v>
      </c>
      <c r="J69" s="65">
        <v>15</v>
      </c>
      <c r="K69" s="65">
        <v>15</v>
      </c>
      <c r="L69" s="65">
        <v>15</v>
      </c>
      <c r="M69" s="65">
        <v>15</v>
      </c>
      <c r="N69" s="65">
        <v>15</v>
      </c>
      <c r="O69" s="65">
        <v>15</v>
      </c>
      <c r="P69" s="65">
        <v>15</v>
      </c>
      <c r="Q69" s="65">
        <v>15</v>
      </c>
      <c r="R69" s="65">
        <v>15</v>
      </c>
      <c r="S69" s="65">
        <v>15</v>
      </c>
      <c r="T69" s="65">
        <v>15</v>
      </c>
      <c r="U69" s="65">
        <v>15</v>
      </c>
      <c r="V69" s="65">
        <v>15</v>
      </c>
      <c r="W69" s="65">
        <v>15</v>
      </c>
      <c r="X69" s="65">
        <v>15</v>
      </c>
      <c r="Y69" s="65">
        <v>15</v>
      </c>
      <c r="Z69" s="65">
        <v>15</v>
      </c>
      <c r="AA69" s="65">
        <v>15</v>
      </c>
      <c r="AB69" s="65">
        <v>15</v>
      </c>
      <c r="AC69" s="65">
        <v>15</v>
      </c>
      <c r="AD69" s="65">
        <v>15</v>
      </c>
      <c r="AE69" s="65">
        <v>15</v>
      </c>
      <c r="AF69" s="65">
        <v>15</v>
      </c>
      <c r="AG69" s="55">
        <v>24</v>
      </c>
      <c r="AH69" s="47">
        <f t="shared" si="2"/>
        <v>15</v>
      </c>
      <c r="AI69" s="48">
        <f t="shared" si="3"/>
        <v>15</v>
      </c>
      <c r="AK69" s="50"/>
    </row>
    <row r="70" spans="1:41" x14ac:dyDescent="0.25">
      <c r="A70" s="54" t="s">
        <v>70</v>
      </c>
      <c r="B70" s="65">
        <v>4</v>
      </c>
      <c r="C70" s="65">
        <v>4</v>
      </c>
      <c r="D70" s="65">
        <v>4</v>
      </c>
      <c r="E70" s="65">
        <v>4</v>
      </c>
      <c r="F70" s="65">
        <v>4</v>
      </c>
      <c r="G70" s="65">
        <v>4</v>
      </c>
      <c r="H70" s="65">
        <v>4</v>
      </c>
      <c r="I70" s="65">
        <v>4</v>
      </c>
      <c r="J70" s="65">
        <v>4</v>
      </c>
      <c r="K70" s="65">
        <v>4</v>
      </c>
      <c r="L70" s="65">
        <v>4</v>
      </c>
      <c r="M70" s="65">
        <v>4</v>
      </c>
      <c r="N70" s="65">
        <v>4</v>
      </c>
      <c r="O70" s="65">
        <v>4</v>
      </c>
      <c r="P70" s="65">
        <v>4</v>
      </c>
      <c r="Q70" s="65">
        <v>4</v>
      </c>
      <c r="R70" s="65">
        <v>4</v>
      </c>
      <c r="S70" s="65">
        <v>4</v>
      </c>
      <c r="T70" s="65">
        <v>4</v>
      </c>
      <c r="U70" s="65">
        <v>4</v>
      </c>
      <c r="V70" s="65">
        <v>4</v>
      </c>
      <c r="W70" s="65">
        <v>4</v>
      </c>
      <c r="X70" s="65">
        <v>4</v>
      </c>
      <c r="Y70" s="65">
        <v>4</v>
      </c>
      <c r="Z70" s="65">
        <v>4</v>
      </c>
      <c r="AA70" s="65">
        <v>4</v>
      </c>
      <c r="AB70" s="65">
        <v>4</v>
      </c>
      <c r="AC70" s="65">
        <v>4</v>
      </c>
      <c r="AD70" s="65">
        <v>4</v>
      </c>
      <c r="AE70" s="65">
        <v>4</v>
      </c>
      <c r="AF70" s="65">
        <v>4</v>
      </c>
      <c r="AG70" s="55">
        <v>15</v>
      </c>
      <c r="AH70" s="47">
        <f t="shared" si="2"/>
        <v>4</v>
      </c>
      <c r="AI70" s="48">
        <f t="shared" si="3"/>
        <v>4</v>
      </c>
      <c r="AK70" s="50"/>
      <c r="AL70" s="70"/>
      <c r="AO70" s="70"/>
    </row>
    <row r="71" spans="1:41" s="70" customFormat="1" x14ac:dyDescent="0.25">
      <c r="A71" s="54" t="s">
        <v>71</v>
      </c>
      <c r="B71" s="65">
        <v>9.9</v>
      </c>
      <c r="C71" s="65">
        <v>9.9</v>
      </c>
      <c r="D71" s="65">
        <v>9.9</v>
      </c>
      <c r="E71" s="65">
        <v>9.9</v>
      </c>
      <c r="F71" s="65">
        <v>9.9</v>
      </c>
      <c r="G71" s="65">
        <v>9.9</v>
      </c>
      <c r="H71" s="65">
        <v>9.9</v>
      </c>
      <c r="I71" s="65">
        <v>9.9</v>
      </c>
      <c r="J71" s="65">
        <v>9.9</v>
      </c>
      <c r="K71" s="65">
        <v>9.9</v>
      </c>
      <c r="L71" s="65">
        <v>9.9</v>
      </c>
      <c r="M71" s="65">
        <v>9.9</v>
      </c>
      <c r="N71" s="65">
        <v>9.9</v>
      </c>
      <c r="O71" s="65">
        <v>9.9</v>
      </c>
      <c r="P71" s="65">
        <v>9.9</v>
      </c>
      <c r="Q71" s="65">
        <v>9.9</v>
      </c>
      <c r="R71" s="65">
        <v>9.9</v>
      </c>
      <c r="S71" s="65">
        <v>9.9</v>
      </c>
      <c r="T71" s="65">
        <v>9.9</v>
      </c>
      <c r="U71" s="65">
        <v>9.9</v>
      </c>
      <c r="V71" s="65">
        <v>9.9</v>
      </c>
      <c r="W71" s="65">
        <v>9.9</v>
      </c>
      <c r="X71" s="65">
        <v>9.9</v>
      </c>
      <c r="Y71" s="65">
        <v>9.9</v>
      </c>
      <c r="Z71" s="65">
        <v>9.9</v>
      </c>
      <c r="AA71" s="65">
        <v>9.9</v>
      </c>
      <c r="AB71" s="65">
        <v>9.9</v>
      </c>
      <c r="AC71" s="65">
        <v>9.9</v>
      </c>
      <c r="AD71" s="65">
        <v>9.9</v>
      </c>
      <c r="AE71" s="65">
        <v>9.8000000000000007</v>
      </c>
      <c r="AF71" s="65">
        <v>9.8000000000000007</v>
      </c>
      <c r="AG71" s="55">
        <v>14.1</v>
      </c>
      <c r="AH71" s="47">
        <f t="shared" si="2"/>
        <v>9.9</v>
      </c>
      <c r="AI71" s="48">
        <f t="shared" si="3"/>
        <v>9.8000000000000007</v>
      </c>
      <c r="AJ71" s="1"/>
      <c r="AK71" s="50"/>
      <c r="AL71" s="1"/>
      <c r="AM71" s="1"/>
      <c r="AN71" s="1"/>
      <c r="AO71" s="1"/>
    </row>
    <row r="72" spans="1:41" x14ac:dyDescent="0.25">
      <c r="A72" s="71" t="s">
        <v>72</v>
      </c>
      <c r="B72" s="65">
        <v>3.4</v>
      </c>
      <c r="C72" s="65">
        <v>3.4</v>
      </c>
      <c r="D72" s="65">
        <v>3.4</v>
      </c>
      <c r="E72" s="65">
        <v>3.4</v>
      </c>
      <c r="F72" s="65">
        <v>3.4</v>
      </c>
      <c r="G72" s="65">
        <v>3.4</v>
      </c>
      <c r="H72" s="65">
        <v>3.4</v>
      </c>
      <c r="I72" s="65">
        <v>3.4</v>
      </c>
      <c r="J72" s="65">
        <v>3.4</v>
      </c>
      <c r="K72" s="65">
        <v>3.4</v>
      </c>
      <c r="L72" s="65">
        <v>3.4</v>
      </c>
      <c r="M72" s="65">
        <v>3.4</v>
      </c>
      <c r="N72" s="65">
        <v>3.4</v>
      </c>
      <c r="O72" s="65">
        <v>3.4</v>
      </c>
      <c r="P72" s="65">
        <v>3.4</v>
      </c>
      <c r="Q72" s="65">
        <v>3.4</v>
      </c>
      <c r="R72" s="65">
        <v>3.4</v>
      </c>
      <c r="S72" s="65">
        <v>3.4</v>
      </c>
      <c r="T72" s="65">
        <v>3.4</v>
      </c>
      <c r="U72" s="65">
        <v>3</v>
      </c>
      <c r="V72" s="65">
        <v>3</v>
      </c>
      <c r="W72" s="65">
        <v>3</v>
      </c>
      <c r="X72" s="65">
        <v>3</v>
      </c>
      <c r="Y72" s="65">
        <v>3</v>
      </c>
      <c r="Z72" s="65">
        <v>3</v>
      </c>
      <c r="AA72" s="65">
        <v>3</v>
      </c>
      <c r="AB72" s="65">
        <v>3</v>
      </c>
      <c r="AC72" s="65">
        <v>3</v>
      </c>
      <c r="AD72" s="65">
        <v>3</v>
      </c>
      <c r="AE72" s="65">
        <v>3.2</v>
      </c>
      <c r="AF72" s="65">
        <v>3.2</v>
      </c>
      <c r="AG72" s="55">
        <v>14</v>
      </c>
      <c r="AH72" s="47">
        <f t="shared" si="2"/>
        <v>3.4</v>
      </c>
      <c r="AI72" s="48">
        <f t="shared" si="3"/>
        <v>3</v>
      </c>
      <c r="AK72" s="50"/>
    </row>
    <row r="73" spans="1:41" x14ac:dyDescent="0.25">
      <c r="A73" s="54" t="s">
        <v>73</v>
      </c>
      <c r="B73" s="65">
        <v>3</v>
      </c>
      <c r="C73" s="65">
        <v>3</v>
      </c>
      <c r="D73" s="65">
        <v>3</v>
      </c>
      <c r="E73" s="65">
        <v>3</v>
      </c>
      <c r="F73" s="65">
        <v>3</v>
      </c>
      <c r="G73" s="65">
        <v>3</v>
      </c>
      <c r="H73" s="65">
        <v>3</v>
      </c>
      <c r="I73" s="65">
        <v>3</v>
      </c>
      <c r="J73" s="65">
        <v>3</v>
      </c>
      <c r="K73" s="65">
        <v>3</v>
      </c>
      <c r="L73" s="65">
        <v>3</v>
      </c>
      <c r="M73" s="65">
        <v>2.5</v>
      </c>
      <c r="N73" s="65">
        <v>2.5</v>
      </c>
      <c r="O73" s="65">
        <v>2.5</v>
      </c>
      <c r="P73" s="65">
        <v>2.5</v>
      </c>
      <c r="Q73" s="65">
        <v>2.5</v>
      </c>
      <c r="R73" s="65">
        <v>2.5</v>
      </c>
      <c r="S73" s="65">
        <v>2.5</v>
      </c>
      <c r="T73" s="65">
        <v>2.5</v>
      </c>
      <c r="U73" s="65">
        <v>2.5</v>
      </c>
      <c r="V73" s="65">
        <v>2.5</v>
      </c>
      <c r="W73" s="65">
        <v>2.5</v>
      </c>
      <c r="X73" s="65">
        <v>2.5</v>
      </c>
      <c r="Y73" s="65">
        <v>2.5</v>
      </c>
      <c r="Z73" s="65">
        <v>2.5</v>
      </c>
      <c r="AA73" s="65">
        <v>2.5</v>
      </c>
      <c r="AB73" s="65">
        <v>2.5</v>
      </c>
      <c r="AC73" s="65">
        <v>2.5</v>
      </c>
      <c r="AD73" s="65">
        <v>2.5</v>
      </c>
      <c r="AE73" s="65">
        <v>2.5</v>
      </c>
      <c r="AF73" s="65">
        <v>2.5</v>
      </c>
      <c r="AG73" s="55">
        <v>10.050000000000001</v>
      </c>
      <c r="AH73" s="47">
        <f t="shared" si="2"/>
        <v>3</v>
      </c>
      <c r="AI73" s="48">
        <f t="shared" si="3"/>
        <v>2.5</v>
      </c>
      <c r="AK73" s="50"/>
    </row>
    <row r="74" spans="1:41" x14ac:dyDescent="0.25">
      <c r="A74" s="54" t="s">
        <v>74</v>
      </c>
      <c r="B74" s="65">
        <v>2</v>
      </c>
      <c r="C74" s="65">
        <v>2</v>
      </c>
      <c r="D74" s="65">
        <v>2</v>
      </c>
      <c r="E74" s="65">
        <v>2</v>
      </c>
      <c r="F74" s="65">
        <v>2</v>
      </c>
      <c r="G74" s="65">
        <v>2</v>
      </c>
      <c r="H74" s="65">
        <v>2</v>
      </c>
      <c r="I74" s="65">
        <v>2</v>
      </c>
      <c r="J74" s="65">
        <v>2</v>
      </c>
      <c r="K74" s="65">
        <v>2</v>
      </c>
      <c r="L74" s="65">
        <v>2</v>
      </c>
      <c r="M74" s="65">
        <v>2</v>
      </c>
      <c r="N74" s="65">
        <v>2</v>
      </c>
      <c r="O74" s="65">
        <v>2</v>
      </c>
      <c r="P74" s="65">
        <v>2</v>
      </c>
      <c r="Q74" s="65">
        <v>2</v>
      </c>
      <c r="R74" s="65">
        <v>2</v>
      </c>
      <c r="S74" s="65">
        <v>2</v>
      </c>
      <c r="T74" s="65">
        <v>2</v>
      </c>
      <c r="U74" s="65">
        <v>2</v>
      </c>
      <c r="V74" s="65">
        <v>2</v>
      </c>
      <c r="W74" s="65">
        <v>2</v>
      </c>
      <c r="X74" s="65">
        <v>2</v>
      </c>
      <c r="Y74" s="65">
        <v>2</v>
      </c>
      <c r="Z74" s="65">
        <v>2</v>
      </c>
      <c r="AA74" s="65">
        <v>2</v>
      </c>
      <c r="AB74" s="65">
        <v>2</v>
      </c>
      <c r="AC74" s="65">
        <v>2</v>
      </c>
      <c r="AD74" s="65">
        <v>2</v>
      </c>
      <c r="AE74" s="65">
        <v>2</v>
      </c>
      <c r="AF74" s="65">
        <v>2</v>
      </c>
      <c r="AG74" s="55">
        <v>6.2</v>
      </c>
      <c r="AH74" s="47">
        <f t="shared" si="2"/>
        <v>2</v>
      </c>
      <c r="AI74" s="48">
        <f t="shared" si="3"/>
        <v>2</v>
      </c>
      <c r="AK74" s="50"/>
    </row>
    <row r="75" spans="1:41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4.5</v>
      </c>
      <c r="Z75" s="72">
        <v>5.5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2"/>
        <v>5.5</v>
      </c>
      <c r="AI75" s="48">
        <f t="shared" si="3"/>
        <v>3.54</v>
      </c>
      <c r="AK75" s="50"/>
    </row>
    <row r="76" spans="1:41" ht="15.75" thickBot="1" x14ac:dyDescent="0.3">
      <c r="A76" s="74" t="s">
        <v>76</v>
      </c>
      <c r="B76" s="60">
        <f t="shared" ref="B76:C76" si="12">SUM(B63:B75)</f>
        <v>127.74000000000002</v>
      </c>
      <c r="C76" s="60">
        <f t="shared" si="12"/>
        <v>79.340000000000018</v>
      </c>
      <c r="D76" s="60">
        <f t="shared" ref="D76" si="13">SUM(D63:D75)</f>
        <v>77.840000000000018</v>
      </c>
      <c r="E76" s="60">
        <f t="shared" ref="E76:AG76" si="14">SUM(E63:E75)</f>
        <v>80.140000000000015</v>
      </c>
      <c r="F76" s="60">
        <f t="shared" si="14"/>
        <v>80.140000000000015</v>
      </c>
      <c r="G76" s="60">
        <f t="shared" si="14"/>
        <v>82.940000000000012</v>
      </c>
      <c r="H76" s="60">
        <f t="shared" si="14"/>
        <v>113.34000000000002</v>
      </c>
      <c r="I76" s="60">
        <f t="shared" si="14"/>
        <v>178.64000000000001</v>
      </c>
      <c r="J76" s="60">
        <f t="shared" si="14"/>
        <v>296.23999999999995</v>
      </c>
      <c r="K76" s="60">
        <f t="shared" si="14"/>
        <v>354.34000000000003</v>
      </c>
      <c r="L76" s="60">
        <f t="shared" si="14"/>
        <v>333.14</v>
      </c>
      <c r="M76" s="60">
        <f t="shared" si="14"/>
        <v>341.64</v>
      </c>
      <c r="N76" s="60">
        <f t="shared" si="14"/>
        <v>250.64000000000001</v>
      </c>
      <c r="O76" s="60">
        <f t="shared" si="14"/>
        <v>223.64000000000001</v>
      </c>
      <c r="P76" s="60">
        <f t="shared" si="14"/>
        <v>212.64000000000001</v>
      </c>
      <c r="Q76" s="60">
        <f t="shared" si="14"/>
        <v>232.84</v>
      </c>
      <c r="R76" s="60">
        <f t="shared" si="14"/>
        <v>186.04</v>
      </c>
      <c r="S76" s="60">
        <f t="shared" si="14"/>
        <v>189.44000000000003</v>
      </c>
      <c r="T76" s="60">
        <f t="shared" si="14"/>
        <v>209.04000000000002</v>
      </c>
      <c r="U76" s="60">
        <f t="shared" si="14"/>
        <v>193.64</v>
      </c>
      <c r="V76" s="60">
        <f t="shared" si="14"/>
        <v>180.14</v>
      </c>
      <c r="W76" s="60">
        <f t="shared" si="14"/>
        <v>156.63999999999999</v>
      </c>
      <c r="X76" s="60">
        <f t="shared" si="14"/>
        <v>306.24</v>
      </c>
      <c r="Y76" s="60">
        <f>SUM(Y63:Y75)</f>
        <v>378.59999999999997</v>
      </c>
      <c r="Z76" s="60">
        <f>SUM(Z63:Z75)</f>
        <v>379.59999999999997</v>
      </c>
      <c r="AA76" s="60">
        <f t="shared" si="14"/>
        <v>372.64</v>
      </c>
      <c r="AB76" s="60">
        <f t="shared" si="14"/>
        <v>307.83999999999997</v>
      </c>
      <c r="AC76" s="60">
        <f t="shared" si="14"/>
        <v>225.54</v>
      </c>
      <c r="AD76" s="60">
        <f t="shared" si="14"/>
        <v>199.24</v>
      </c>
      <c r="AE76" s="60">
        <f t="shared" ref="AE76:AF76" si="15">SUM(AE63:AE75)</f>
        <v>202.64</v>
      </c>
      <c r="AF76" s="60">
        <f t="shared" si="15"/>
        <v>84.34</v>
      </c>
      <c r="AG76" s="61">
        <f t="shared" si="14"/>
        <v>489.91</v>
      </c>
      <c r="AH76" s="47">
        <f t="shared" si="2"/>
        <v>379.59999999999997</v>
      </c>
      <c r="AI76" s="48">
        <f t="shared" si="3"/>
        <v>77.840000000000018</v>
      </c>
      <c r="AK76" s="50"/>
    </row>
    <row r="77" spans="1:41" x14ac:dyDescent="0.25">
      <c r="A77" s="44" t="s">
        <v>77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>
        <v>15.2</v>
      </c>
      <c r="Z77" s="45">
        <v>30</v>
      </c>
      <c r="AA77" s="45">
        <v>30</v>
      </c>
      <c r="AB77" s="45">
        <v>19.899999999999999</v>
      </c>
      <c r="AC77" s="45">
        <v>11</v>
      </c>
      <c r="AD77" s="45">
        <v>11</v>
      </c>
      <c r="AE77" s="45">
        <v>13.2</v>
      </c>
      <c r="AF77" s="45">
        <v>0</v>
      </c>
      <c r="AG77" s="52">
        <v>60</v>
      </c>
      <c r="AH77" s="47">
        <f t="shared" si="2"/>
        <v>30</v>
      </c>
      <c r="AI77" s="48">
        <f t="shared" si="3"/>
        <v>0</v>
      </c>
      <c r="AK77" s="50"/>
    </row>
    <row r="78" spans="1:41" x14ac:dyDescent="0.25">
      <c r="A78" s="54" t="s">
        <v>78</v>
      </c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>
        <v>15</v>
      </c>
      <c r="AA78" s="65">
        <v>15</v>
      </c>
      <c r="AB78" s="65">
        <v>7.9</v>
      </c>
      <c r="AC78" s="65">
        <v>5.7</v>
      </c>
      <c r="AD78" s="65">
        <v>3.2</v>
      </c>
      <c r="AE78" s="65">
        <v>4.8</v>
      </c>
      <c r="AF78" s="65">
        <v>0</v>
      </c>
      <c r="AG78" s="55">
        <v>32</v>
      </c>
      <c r="AH78" s="47">
        <f t="shared" si="2"/>
        <v>15</v>
      </c>
      <c r="AI78" s="48">
        <f t="shared" si="3"/>
        <v>0</v>
      </c>
      <c r="AK78" s="50"/>
    </row>
    <row r="79" spans="1:41" ht="15.75" thickBot="1" x14ac:dyDescent="0.3">
      <c r="A79" s="71" t="s">
        <v>79</v>
      </c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>
        <v>5.5</v>
      </c>
      <c r="AA79" s="67">
        <v>5.5</v>
      </c>
      <c r="AB79" s="67">
        <v>2.9</v>
      </c>
      <c r="AC79" s="67">
        <v>2.1</v>
      </c>
      <c r="AD79" s="67">
        <v>1.2</v>
      </c>
      <c r="AE79" s="67">
        <v>1.8</v>
      </c>
      <c r="AF79" s="67">
        <v>0</v>
      </c>
      <c r="AG79" s="68">
        <v>14</v>
      </c>
      <c r="AH79" s="47">
        <f t="shared" si="2"/>
        <v>5.5</v>
      </c>
      <c r="AI79" s="48">
        <f t="shared" si="3"/>
        <v>0</v>
      </c>
      <c r="AK79" s="50"/>
    </row>
    <row r="80" spans="1:41" ht="15.75" thickBot="1" x14ac:dyDescent="0.3">
      <c r="A80" s="74" t="s">
        <v>80</v>
      </c>
      <c r="B80" s="60">
        <f t="shared" ref="B80:C80" si="16">B77+B78+B79</f>
        <v>0</v>
      </c>
      <c r="C80" s="60">
        <f t="shared" si="16"/>
        <v>0</v>
      </c>
      <c r="D80" s="60">
        <f t="shared" ref="D80" si="17">D77+D78+D79</f>
        <v>0</v>
      </c>
      <c r="E80" s="60">
        <f t="shared" ref="E80:AD80" si="18">E77+E78+E79</f>
        <v>0</v>
      </c>
      <c r="F80" s="60">
        <f t="shared" si="18"/>
        <v>0</v>
      </c>
      <c r="G80" s="60">
        <f t="shared" si="18"/>
        <v>0</v>
      </c>
      <c r="H80" s="60">
        <f t="shared" si="18"/>
        <v>0</v>
      </c>
      <c r="I80" s="60">
        <f t="shared" si="18"/>
        <v>0</v>
      </c>
      <c r="J80" s="60">
        <f t="shared" si="18"/>
        <v>0</v>
      </c>
      <c r="K80" s="60">
        <f t="shared" si="18"/>
        <v>0</v>
      </c>
      <c r="L80" s="60">
        <f t="shared" si="18"/>
        <v>0</v>
      </c>
      <c r="M80" s="60">
        <f t="shared" si="18"/>
        <v>0</v>
      </c>
      <c r="N80" s="60">
        <f t="shared" si="18"/>
        <v>0</v>
      </c>
      <c r="O80" s="60">
        <f t="shared" si="18"/>
        <v>0</v>
      </c>
      <c r="P80" s="60">
        <f t="shared" si="18"/>
        <v>0</v>
      </c>
      <c r="Q80" s="60">
        <f t="shared" si="18"/>
        <v>0</v>
      </c>
      <c r="R80" s="60">
        <f t="shared" si="18"/>
        <v>0</v>
      </c>
      <c r="S80" s="60">
        <f t="shared" si="18"/>
        <v>0</v>
      </c>
      <c r="T80" s="60">
        <f t="shared" si="18"/>
        <v>0</v>
      </c>
      <c r="U80" s="60">
        <f t="shared" si="18"/>
        <v>0</v>
      </c>
      <c r="V80" s="60">
        <f t="shared" si="18"/>
        <v>0</v>
      </c>
      <c r="W80" s="60">
        <f t="shared" si="18"/>
        <v>0</v>
      </c>
      <c r="X80" s="60">
        <f t="shared" si="18"/>
        <v>0</v>
      </c>
      <c r="Y80" s="60">
        <f>Y77+Y78+Y79</f>
        <v>15.2</v>
      </c>
      <c r="Z80" s="60">
        <f>Z77+Z78+Z79</f>
        <v>50.5</v>
      </c>
      <c r="AA80" s="60">
        <f t="shared" si="18"/>
        <v>50.5</v>
      </c>
      <c r="AB80" s="60">
        <f t="shared" si="18"/>
        <v>30.699999999999996</v>
      </c>
      <c r="AC80" s="60">
        <f t="shared" si="18"/>
        <v>18.8</v>
      </c>
      <c r="AD80" s="60">
        <f t="shared" si="18"/>
        <v>15.399999999999999</v>
      </c>
      <c r="AE80" s="60">
        <f t="shared" ref="AE80:AF80" si="19">AE77+AE78+AE79</f>
        <v>19.8</v>
      </c>
      <c r="AF80" s="60">
        <f t="shared" si="19"/>
        <v>0</v>
      </c>
      <c r="AG80" s="61">
        <f>SUM(AG77:AG79)</f>
        <v>106</v>
      </c>
      <c r="AH80" s="47">
        <f t="shared" si="2"/>
        <v>50.5</v>
      </c>
      <c r="AI80" s="48">
        <f t="shared" si="3"/>
        <v>0</v>
      </c>
      <c r="AK80" s="50"/>
    </row>
    <row r="81" spans="1:40" x14ac:dyDescent="0.25">
      <c r="A81" s="44" t="s">
        <v>81</v>
      </c>
      <c r="B81" s="45">
        <v>72.099999999999994</v>
      </c>
      <c r="C81" s="45">
        <v>51.6</v>
      </c>
      <c r="D81" s="45">
        <v>58.3</v>
      </c>
      <c r="E81" s="45">
        <v>60.6</v>
      </c>
      <c r="F81" s="45">
        <v>64.3</v>
      </c>
      <c r="G81" s="45">
        <v>54</v>
      </c>
      <c r="H81" s="45">
        <v>56.3</v>
      </c>
      <c r="I81" s="45">
        <v>60.4</v>
      </c>
      <c r="J81" s="45">
        <v>63.2</v>
      </c>
      <c r="K81" s="45">
        <v>58.8</v>
      </c>
      <c r="L81" s="45">
        <v>49.5</v>
      </c>
      <c r="M81" s="45">
        <v>51.6</v>
      </c>
      <c r="N81" s="45">
        <v>41</v>
      </c>
      <c r="O81" s="45">
        <v>45</v>
      </c>
      <c r="P81" s="45">
        <v>56</v>
      </c>
      <c r="Q81" s="45">
        <v>75.599999999999994</v>
      </c>
      <c r="R81" s="45">
        <v>72</v>
      </c>
      <c r="S81" s="45">
        <v>70</v>
      </c>
      <c r="T81" s="45">
        <v>67</v>
      </c>
      <c r="U81" s="45">
        <v>67.2</v>
      </c>
      <c r="V81" s="45">
        <v>64</v>
      </c>
      <c r="W81" s="45">
        <v>71.599999999999994</v>
      </c>
      <c r="X81" s="45">
        <v>63.3</v>
      </c>
      <c r="Y81" s="45">
        <v>72.2</v>
      </c>
      <c r="Z81" s="45">
        <v>48</v>
      </c>
      <c r="AA81" s="45">
        <v>50.2</v>
      </c>
      <c r="AB81" s="45">
        <v>52.7</v>
      </c>
      <c r="AC81" s="45">
        <v>61.2</v>
      </c>
      <c r="AD81" s="45">
        <v>56.3</v>
      </c>
      <c r="AE81" s="45">
        <v>71.5</v>
      </c>
      <c r="AF81" s="45">
        <v>65.900000000000006</v>
      </c>
      <c r="AG81" s="52"/>
      <c r="AH81" s="47">
        <f t="shared" si="2"/>
        <v>75.599999999999994</v>
      </c>
      <c r="AI81" s="48">
        <f t="shared" si="3"/>
        <v>41</v>
      </c>
      <c r="AK81" s="50"/>
    </row>
    <row r="82" spans="1:40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55"/>
      <c r="AH82" s="47">
        <f t="shared" si="2"/>
        <v>0</v>
      </c>
      <c r="AI82" s="48">
        <f t="shared" si="3"/>
        <v>0</v>
      </c>
      <c r="AK82" s="50"/>
    </row>
    <row r="83" spans="1:40" x14ac:dyDescent="0.25">
      <c r="A83" s="54" t="s">
        <v>83</v>
      </c>
      <c r="B83" s="65">
        <v>376.8</v>
      </c>
      <c r="C83" s="65">
        <v>428.4</v>
      </c>
      <c r="D83" s="65">
        <v>406.2</v>
      </c>
      <c r="E83" s="65">
        <v>402.6</v>
      </c>
      <c r="F83" s="65">
        <v>409.7</v>
      </c>
      <c r="G83" s="65">
        <v>386</v>
      </c>
      <c r="H83" s="65">
        <v>434.2</v>
      </c>
      <c r="I83" s="65">
        <v>422.2</v>
      </c>
      <c r="J83" s="65">
        <v>384.5</v>
      </c>
      <c r="K83" s="65">
        <v>300</v>
      </c>
      <c r="L83" s="65">
        <v>80</v>
      </c>
      <c r="M83" s="65">
        <v>54</v>
      </c>
      <c r="N83" s="65">
        <v>190</v>
      </c>
      <c r="O83" s="65">
        <v>332</v>
      </c>
      <c r="P83" s="65">
        <v>364</v>
      </c>
      <c r="Q83" s="65">
        <v>503</v>
      </c>
      <c r="R83" s="65">
        <v>501</v>
      </c>
      <c r="S83" s="65">
        <v>529</v>
      </c>
      <c r="T83" s="65">
        <v>508.1</v>
      </c>
      <c r="U83" s="65">
        <v>508.2</v>
      </c>
      <c r="V83" s="65">
        <v>443</v>
      </c>
      <c r="W83" s="65">
        <v>407</v>
      </c>
      <c r="X83" s="65">
        <v>300</v>
      </c>
      <c r="Y83" s="65">
        <v>154</v>
      </c>
      <c r="Z83" s="65">
        <v>92</v>
      </c>
      <c r="AA83" s="65">
        <v>327</v>
      </c>
      <c r="AB83" s="65">
        <v>362</v>
      </c>
      <c r="AC83" s="65">
        <v>384</v>
      </c>
      <c r="AD83" s="65">
        <v>386.8</v>
      </c>
      <c r="AE83" s="65">
        <v>417.8</v>
      </c>
      <c r="AF83" s="65">
        <v>385</v>
      </c>
      <c r="AG83" s="75"/>
      <c r="AH83" s="47">
        <f t="shared" si="2"/>
        <v>529</v>
      </c>
      <c r="AI83" s="48">
        <f t="shared" si="3"/>
        <v>54</v>
      </c>
      <c r="AK83" s="50"/>
    </row>
    <row r="84" spans="1:40" x14ac:dyDescent="0.25">
      <c r="A84" s="54" t="s">
        <v>84</v>
      </c>
      <c r="B84" s="65">
        <v>53</v>
      </c>
      <c r="C84" s="65">
        <v>57.9</v>
      </c>
      <c r="D84" s="65">
        <v>54.6</v>
      </c>
      <c r="E84" s="76">
        <v>56.9</v>
      </c>
      <c r="F84" s="76">
        <v>57.2</v>
      </c>
      <c r="G84" s="76">
        <v>50.8</v>
      </c>
      <c r="H84" s="76">
        <v>57.2</v>
      </c>
      <c r="I84" s="76">
        <v>52.5</v>
      </c>
      <c r="J84" s="76">
        <v>53.2</v>
      </c>
      <c r="K84" s="76">
        <v>27.2</v>
      </c>
      <c r="L84" s="76">
        <v>17.3</v>
      </c>
      <c r="M84" s="76">
        <v>17</v>
      </c>
      <c r="N84" s="76">
        <v>16</v>
      </c>
      <c r="O84" s="76">
        <v>16</v>
      </c>
      <c r="P84" s="76">
        <v>16</v>
      </c>
      <c r="Q84" s="76">
        <v>57</v>
      </c>
      <c r="R84" s="76">
        <v>45</v>
      </c>
      <c r="S84" s="76">
        <v>54.6</v>
      </c>
      <c r="T84" s="76">
        <v>50</v>
      </c>
      <c r="U84" s="76">
        <v>45</v>
      </c>
      <c r="V84" s="76">
        <v>28</v>
      </c>
      <c r="W84" s="76">
        <v>26.1</v>
      </c>
      <c r="X84" s="76">
        <v>24.7</v>
      </c>
      <c r="Y84" s="76">
        <v>25</v>
      </c>
      <c r="Z84" s="76">
        <v>27.2</v>
      </c>
      <c r="AA84" s="76">
        <v>27.4</v>
      </c>
      <c r="AB84" s="76">
        <v>27</v>
      </c>
      <c r="AC84" s="76">
        <v>32</v>
      </c>
      <c r="AD84" s="65">
        <v>33.5</v>
      </c>
      <c r="AE84" s="65">
        <v>55</v>
      </c>
      <c r="AF84" s="65">
        <v>52</v>
      </c>
      <c r="AG84" s="75"/>
      <c r="AH84" s="47">
        <f t="shared" si="2"/>
        <v>57.9</v>
      </c>
      <c r="AI84" s="48">
        <f t="shared" si="3"/>
        <v>16</v>
      </c>
      <c r="AK84" s="50"/>
    </row>
    <row r="85" spans="1:40" x14ac:dyDescent="0.25">
      <c r="A85" s="54" t="s">
        <v>85</v>
      </c>
      <c r="B85" s="45">
        <v>28</v>
      </c>
      <c r="C85" s="45">
        <v>26.2</v>
      </c>
      <c r="D85" s="45">
        <v>27.6</v>
      </c>
      <c r="E85" s="45">
        <v>27.6</v>
      </c>
      <c r="F85" s="45">
        <v>26.8</v>
      </c>
      <c r="G85" s="45">
        <v>94.6</v>
      </c>
      <c r="H85" s="45">
        <v>98.6</v>
      </c>
      <c r="I85" s="45">
        <v>96.8</v>
      </c>
      <c r="J85" s="45">
        <v>0</v>
      </c>
      <c r="K85" s="45">
        <v>0</v>
      </c>
      <c r="L85" s="45">
        <v>0</v>
      </c>
      <c r="M85" s="45">
        <v>0</v>
      </c>
      <c r="N85" s="45">
        <v>0</v>
      </c>
      <c r="O85" s="45">
        <v>16</v>
      </c>
      <c r="P85" s="45">
        <v>30</v>
      </c>
      <c r="Q85" s="45">
        <v>98</v>
      </c>
      <c r="R85" s="45">
        <v>110</v>
      </c>
      <c r="S85" s="45">
        <v>100</v>
      </c>
      <c r="T85" s="45">
        <v>100</v>
      </c>
      <c r="U85" s="45">
        <v>87</v>
      </c>
      <c r="V85" s="45">
        <v>90</v>
      </c>
      <c r="W85" s="45">
        <v>0</v>
      </c>
      <c r="X85" s="45">
        <v>0</v>
      </c>
      <c r="Y85" s="45">
        <v>0</v>
      </c>
      <c r="Z85" s="45">
        <v>0</v>
      </c>
      <c r="AA85" s="45">
        <v>0</v>
      </c>
      <c r="AB85" s="45"/>
      <c r="AC85" s="45"/>
      <c r="AD85" s="45"/>
      <c r="AE85" s="45">
        <v>0</v>
      </c>
      <c r="AF85" s="45">
        <v>0</v>
      </c>
      <c r="AG85" s="75"/>
      <c r="AH85" s="47">
        <f t="shared" ref="AH85:AH130" si="20">MAX(B85:AF85)</f>
        <v>110</v>
      </c>
      <c r="AI85" s="48">
        <f t="shared" ref="AI85:AI130" si="21">MIN(B85:AF85)</f>
        <v>0</v>
      </c>
      <c r="AK85" s="50"/>
    </row>
    <row r="86" spans="1:40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5"/>
      <c r="AH86" s="47">
        <f t="shared" si="20"/>
        <v>0</v>
      </c>
      <c r="AI86" s="48">
        <f t="shared" si="21"/>
        <v>0</v>
      </c>
      <c r="AK86" s="50"/>
    </row>
    <row r="87" spans="1:40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5"/>
      <c r="AH87" s="47">
        <f t="shared" si="20"/>
        <v>0</v>
      </c>
      <c r="AI87" s="48">
        <f t="shared" si="21"/>
        <v>0</v>
      </c>
      <c r="AK87" s="50"/>
      <c r="AL87" s="78" t="s">
        <v>88</v>
      </c>
      <c r="AM87" s="78"/>
    </row>
    <row r="88" spans="1:40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5"/>
      <c r="AH88" s="47">
        <f t="shared" si="20"/>
        <v>0</v>
      </c>
      <c r="AI88" s="48">
        <f t="shared" si="21"/>
        <v>0</v>
      </c>
      <c r="AK88" s="79"/>
      <c r="AL88" s="80"/>
      <c r="AM88" s="80"/>
      <c r="AN88" s="81"/>
    </row>
    <row r="89" spans="1:40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5"/>
      <c r="AH89" s="47">
        <f t="shared" si="20"/>
        <v>0</v>
      </c>
      <c r="AI89" s="48">
        <f t="shared" si="21"/>
        <v>0</v>
      </c>
      <c r="AK89" s="82" t="s">
        <v>91</v>
      </c>
      <c r="AL89" s="65"/>
      <c r="AM89" s="76"/>
      <c r="AN89" s="83"/>
    </row>
    <row r="90" spans="1:40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85"/>
      <c r="AH90" s="47">
        <f t="shared" si="20"/>
        <v>0</v>
      </c>
      <c r="AI90" s="48">
        <f t="shared" si="21"/>
        <v>0</v>
      </c>
      <c r="AK90" s="82" t="s">
        <v>93</v>
      </c>
      <c r="AL90" s="76"/>
      <c r="AM90" s="76"/>
      <c r="AN90" s="83"/>
    </row>
    <row r="91" spans="1:40" ht="15.75" thickBot="1" x14ac:dyDescent="0.3">
      <c r="A91" s="84" t="s">
        <v>421</v>
      </c>
      <c r="B91" s="77">
        <v>0</v>
      </c>
      <c r="C91" s="77">
        <v>0</v>
      </c>
      <c r="D91" s="77">
        <v>0</v>
      </c>
      <c r="E91" s="77">
        <v>0</v>
      </c>
      <c r="F91" s="77"/>
      <c r="G91" s="77"/>
      <c r="H91" s="77"/>
      <c r="I91" s="77"/>
      <c r="J91" s="77">
        <v>70</v>
      </c>
      <c r="K91" s="77">
        <v>72.599999999999994</v>
      </c>
      <c r="L91" s="77">
        <v>74.2</v>
      </c>
      <c r="M91" s="77">
        <v>75.2</v>
      </c>
      <c r="N91" s="77">
        <v>71</v>
      </c>
      <c r="O91" s="77">
        <v>71.7</v>
      </c>
      <c r="P91" s="77">
        <v>77</v>
      </c>
      <c r="Q91" s="77">
        <v>75</v>
      </c>
      <c r="R91" s="77">
        <v>76</v>
      </c>
      <c r="S91" s="77">
        <v>71.2</v>
      </c>
      <c r="T91" s="77">
        <v>72.2</v>
      </c>
      <c r="U91" s="77">
        <v>80</v>
      </c>
      <c r="V91" s="77">
        <v>62</v>
      </c>
      <c r="W91" s="77">
        <v>61.5</v>
      </c>
      <c r="X91" s="77">
        <v>62.5</v>
      </c>
      <c r="Y91" s="77">
        <v>70</v>
      </c>
      <c r="Z91" s="77">
        <v>68</v>
      </c>
      <c r="AA91" s="77">
        <v>65</v>
      </c>
      <c r="AB91" s="77">
        <v>66.5</v>
      </c>
      <c r="AC91" s="77">
        <v>69.099999999999994</v>
      </c>
      <c r="AD91" s="77">
        <v>62.7</v>
      </c>
      <c r="AE91" s="77">
        <v>66.900000000000006</v>
      </c>
      <c r="AF91" s="77">
        <v>68</v>
      </c>
      <c r="AG91" s="85"/>
      <c r="AH91" s="47">
        <f t="shared" si="20"/>
        <v>80</v>
      </c>
      <c r="AI91" s="48">
        <f t="shared" si="21"/>
        <v>0</v>
      </c>
      <c r="AK91" s="86"/>
      <c r="AL91" s="45"/>
      <c r="AM91" s="45"/>
      <c r="AN91" s="87"/>
    </row>
    <row r="92" spans="1:40" ht="15.75" thickBot="1" x14ac:dyDescent="0.3">
      <c r="A92" s="74" t="s">
        <v>95</v>
      </c>
      <c r="B92" s="60">
        <f t="shared" ref="B92:C92" si="22">SUMIF(B81:B91,"&gt;0")</f>
        <v>529.9</v>
      </c>
      <c r="C92" s="60">
        <f t="shared" si="22"/>
        <v>564.1</v>
      </c>
      <c r="D92" s="60">
        <f t="shared" ref="D92" si="23">SUMIF(D81:D91,"&gt;0")</f>
        <v>546.70000000000005</v>
      </c>
      <c r="E92" s="60">
        <f t="shared" ref="E92:AD92" si="24">SUMIF(E81:E91,"&gt;0")</f>
        <v>547.70000000000005</v>
      </c>
      <c r="F92" s="60">
        <f t="shared" si="24"/>
        <v>558</v>
      </c>
      <c r="G92" s="60">
        <f t="shared" si="24"/>
        <v>585.4</v>
      </c>
      <c r="H92" s="60">
        <f t="shared" si="24"/>
        <v>646.30000000000007</v>
      </c>
      <c r="I92" s="60">
        <f t="shared" si="24"/>
        <v>631.89999999999986</v>
      </c>
      <c r="J92" s="60">
        <f t="shared" si="24"/>
        <v>570.9</v>
      </c>
      <c r="K92" s="60">
        <f t="shared" si="24"/>
        <v>458.6</v>
      </c>
      <c r="L92" s="60">
        <f t="shared" si="24"/>
        <v>221</v>
      </c>
      <c r="M92" s="60">
        <f t="shared" si="24"/>
        <v>197.8</v>
      </c>
      <c r="N92" s="60">
        <f t="shared" si="24"/>
        <v>318</v>
      </c>
      <c r="O92" s="60">
        <f t="shared" si="24"/>
        <v>480.7</v>
      </c>
      <c r="P92" s="60">
        <f t="shared" si="24"/>
        <v>543</v>
      </c>
      <c r="Q92" s="60">
        <f t="shared" si="24"/>
        <v>808.6</v>
      </c>
      <c r="R92" s="60">
        <f t="shared" si="24"/>
        <v>804</v>
      </c>
      <c r="S92" s="60">
        <f t="shared" si="24"/>
        <v>824.80000000000007</v>
      </c>
      <c r="T92" s="60">
        <f t="shared" si="24"/>
        <v>797.30000000000007</v>
      </c>
      <c r="U92" s="60">
        <f t="shared" si="24"/>
        <v>787.4</v>
      </c>
      <c r="V92" s="60">
        <f t="shared" si="24"/>
        <v>687</v>
      </c>
      <c r="W92" s="60">
        <f t="shared" si="24"/>
        <v>566.20000000000005</v>
      </c>
      <c r="X92" s="60">
        <f t="shared" si="24"/>
        <v>450.5</v>
      </c>
      <c r="Y92" s="60">
        <f>SUMIF(Y81:Y91,"&gt;0")</f>
        <v>321.2</v>
      </c>
      <c r="Z92" s="60">
        <f>SUMIF(Z81:Z91,"&gt;0")</f>
        <v>235.2</v>
      </c>
      <c r="AA92" s="60">
        <f t="shared" si="24"/>
        <v>469.59999999999997</v>
      </c>
      <c r="AB92" s="60">
        <f t="shared" si="24"/>
        <v>508.2</v>
      </c>
      <c r="AC92" s="60">
        <f t="shared" si="24"/>
        <v>546.29999999999995</v>
      </c>
      <c r="AD92" s="60">
        <f t="shared" si="24"/>
        <v>539.30000000000007</v>
      </c>
      <c r="AE92" s="60">
        <f t="shared" ref="AE92:AF92" si="25">SUMIF(AE81:AE91,"&gt;0")</f>
        <v>611.19999999999993</v>
      </c>
      <c r="AF92" s="60">
        <f t="shared" si="25"/>
        <v>570.9</v>
      </c>
      <c r="AG92" s="88">
        <f>SUM(AG81:AG91)</f>
        <v>0</v>
      </c>
      <c r="AH92" s="47">
        <f t="shared" si="20"/>
        <v>824.80000000000007</v>
      </c>
      <c r="AI92" s="48">
        <f t="shared" si="21"/>
        <v>197.8</v>
      </c>
      <c r="AK92" s="86"/>
      <c r="AL92" s="77"/>
      <c r="AM92" s="89"/>
      <c r="AN92" s="255"/>
    </row>
    <row r="93" spans="1:40" x14ac:dyDescent="0.25">
      <c r="A93" s="44" t="s">
        <v>96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20"/>
        <v>0</v>
      </c>
      <c r="AI93" s="48">
        <f t="shared" si="21"/>
        <v>0</v>
      </c>
      <c r="AK93" s="86"/>
      <c r="AL93" s="77"/>
      <c r="AM93" s="77"/>
      <c r="AN93" s="256"/>
    </row>
    <row r="94" spans="1:40" ht="15.75" thickBot="1" x14ac:dyDescent="0.3">
      <c r="A94" s="54" t="s">
        <v>97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20"/>
        <v>0</v>
      </c>
      <c r="AI94" s="48">
        <f t="shared" si="21"/>
        <v>0</v>
      </c>
      <c r="AK94" s="91"/>
      <c r="AL94" s="92"/>
      <c r="AM94" s="92"/>
      <c r="AN94" s="93"/>
    </row>
    <row r="95" spans="1:40" ht="15.75" thickBot="1" x14ac:dyDescent="0.3">
      <c r="A95" s="84" t="s">
        <v>98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20"/>
        <v>0</v>
      </c>
      <c r="AI95" s="48">
        <f t="shared" si="21"/>
        <v>0</v>
      </c>
    </row>
    <row r="96" spans="1:40" ht="15.75" thickBot="1" x14ac:dyDescent="0.3">
      <c r="A96" s="74" t="s">
        <v>99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20"/>
        <v>0</v>
      </c>
      <c r="AI96" s="48">
        <f t="shared" si="21"/>
        <v>0</v>
      </c>
    </row>
    <row r="97" spans="1:37" ht="15.75" thickBot="1" x14ac:dyDescent="0.3">
      <c r="A97" s="74" t="s">
        <v>100</v>
      </c>
      <c r="B97" s="95">
        <f t="shared" ref="B97:C97" si="26">B58+B62+B80+B76+B92+B96</f>
        <v>1192.74</v>
      </c>
      <c r="C97" s="95">
        <f t="shared" si="26"/>
        <v>1178.54</v>
      </c>
      <c r="D97" s="95">
        <f t="shared" ref="D97" si="27">D58+D62+D80+D76+D92+D96</f>
        <v>1159.6400000000001</v>
      </c>
      <c r="E97" s="95">
        <f t="shared" ref="E97:AG97" si="28">E58+E62+E80+E76+E92+E96</f>
        <v>1162.94</v>
      </c>
      <c r="F97" s="95">
        <f t="shared" si="28"/>
        <v>1173.24</v>
      </c>
      <c r="G97" s="95">
        <f t="shared" si="28"/>
        <v>1203.44</v>
      </c>
      <c r="H97" s="95">
        <f t="shared" si="28"/>
        <v>1294.7400000000002</v>
      </c>
      <c r="I97" s="95">
        <f t="shared" si="28"/>
        <v>1395.6399999999999</v>
      </c>
      <c r="J97" s="95">
        <f t="shared" si="28"/>
        <v>1467.2399999999998</v>
      </c>
      <c r="K97" s="95">
        <f t="shared" si="28"/>
        <v>1542.04</v>
      </c>
      <c r="L97" s="95">
        <f t="shared" si="28"/>
        <v>1529.24</v>
      </c>
      <c r="M97" s="95">
        <f t="shared" si="28"/>
        <v>1494.54</v>
      </c>
      <c r="N97" s="95">
        <f t="shared" si="28"/>
        <v>1303.74</v>
      </c>
      <c r="O97" s="95">
        <f t="shared" si="28"/>
        <v>1309.44</v>
      </c>
      <c r="P97" s="95">
        <f t="shared" si="28"/>
        <v>1302.74</v>
      </c>
      <c r="Q97" s="95">
        <f t="shared" si="28"/>
        <v>1576.54</v>
      </c>
      <c r="R97" s="95">
        <f t="shared" si="28"/>
        <v>1525.1399999999999</v>
      </c>
      <c r="S97" s="95">
        <f t="shared" si="28"/>
        <v>1549.3400000000001</v>
      </c>
      <c r="T97" s="95">
        <f t="shared" si="28"/>
        <v>1541.44</v>
      </c>
      <c r="U97" s="95">
        <f t="shared" si="28"/>
        <v>1516.1399999999999</v>
      </c>
      <c r="V97" s="95">
        <f t="shared" si="28"/>
        <v>1442.24</v>
      </c>
      <c r="W97" s="95">
        <f t="shared" si="28"/>
        <v>1367.94</v>
      </c>
      <c r="X97" s="95">
        <f t="shared" si="28"/>
        <v>1511.8400000000001</v>
      </c>
      <c r="Y97" s="95">
        <f>Y58+Y62+Y80+Y76+Y92+Y96</f>
        <v>1610.1000000000001</v>
      </c>
      <c r="Z97" s="95">
        <f>Z58+Z62+Z80+Z76+Z92+Z96</f>
        <v>1590.4</v>
      </c>
      <c r="AA97" s="95">
        <f t="shared" si="28"/>
        <v>1627.84</v>
      </c>
      <c r="AB97" s="95">
        <f t="shared" si="28"/>
        <v>1449.7400000000002</v>
      </c>
      <c r="AC97" s="95">
        <f t="shared" si="28"/>
        <v>1354.04</v>
      </c>
      <c r="AD97" s="95">
        <f t="shared" si="28"/>
        <v>1317.64</v>
      </c>
      <c r="AE97" s="95">
        <f t="shared" ref="AE97:AF97" si="29">AE58+AE62+AE80+AE76+AE92+AE96</f>
        <v>1403.8399999999997</v>
      </c>
      <c r="AF97" s="95">
        <f t="shared" si="29"/>
        <v>1200.44</v>
      </c>
      <c r="AG97" s="61">
        <f t="shared" si="28"/>
        <v>2231.81</v>
      </c>
      <c r="AH97" s="47">
        <f t="shared" si="20"/>
        <v>1627.84</v>
      </c>
      <c r="AI97" s="48">
        <f t="shared" si="21"/>
        <v>1159.6400000000001</v>
      </c>
    </row>
    <row r="98" spans="1:37" ht="15.75" thickBot="1" x14ac:dyDescent="0.3">
      <c r="A98" s="96" t="s">
        <v>101</v>
      </c>
      <c r="B98" s="97">
        <v>0</v>
      </c>
      <c r="C98" s="97">
        <v>0</v>
      </c>
      <c r="D98" s="97">
        <v>0</v>
      </c>
      <c r="E98" s="97"/>
      <c r="F98" s="97"/>
      <c r="G98" s="97"/>
      <c r="H98" s="97"/>
      <c r="I98" s="97"/>
      <c r="J98" s="97">
        <v>35</v>
      </c>
      <c r="K98" s="97">
        <v>200</v>
      </c>
      <c r="L98" s="97">
        <v>280</v>
      </c>
      <c r="M98" s="97">
        <v>280</v>
      </c>
      <c r="N98" s="97">
        <v>280</v>
      </c>
      <c r="O98" s="97">
        <v>280</v>
      </c>
      <c r="P98" s="97"/>
      <c r="Q98" s="97"/>
      <c r="R98" s="97"/>
      <c r="S98" s="97"/>
      <c r="T98" s="97"/>
      <c r="U98" s="97"/>
      <c r="V98" s="97">
        <v>100</v>
      </c>
      <c r="W98" s="97">
        <v>150</v>
      </c>
      <c r="X98" s="97">
        <v>200</v>
      </c>
      <c r="Y98" s="97">
        <v>250</v>
      </c>
      <c r="Z98" s="97">
        <v>250</v>
      </c>
      <c r="AA98" s="97">
        <v>250</v>
      </c>
      <c r="AB98" s="97">
        <v>250</v>
      </c>
      <c r="AC98" s="97">
        <v>250</v>
      </c>
      <c r="AD98" s="97">
        <v>150</v>
      </c>
      <c r="AE98" s="97">
        <v>0</v>
      </c>
      <c r="AF98" s="97">
        <v>0</v>
      </c>
      <c r="AG98" s="88"/>
      <c r="AH98" s="47">
        <f t="shared" si="20"/>
        <v>280</v>
      </c>
      <c r="AI98" s="48">
        <f t="shared" si="21"/>
        <v>0</v>
      </c>
    </row>
    <row r="99" spans="1:37" ht="15.75" thickBot="1" x14ac:dyDescent="0.3">
      <c r="A99" s="74" t="s">
        <v>102</v>
      </c>
      <c r="B99" s="95">
        <f t="shared" ref="B99:C99" si="30">B97+B98</f>
        <v>1192.74</v>
      </c>
      <c r="C99" s="95">
        <f t="shared" si="30"/>
        <v>1178.54</v>
      </c>
      <c r="D99" s="95">
        <f t="shared" ref="D99" si="31">D97+D98</f>
        <v>1159.6400000000001</v>
      </c>
      <c r="E99" s="95">
        <f t="shared" ref="E99:AD99" si="32">E97+E98</f>
        <v>1162.94</v>
      </c>
      <c r="F99" s="95">
        <f t="shared" si="32"/>
        <v>1173.24</v>
      </c>
      <c r="G99" s="95">
        <f t="shared" si="32"/>
        <v>1203.44</v>
      </c>
      <c r="H99" s="95">
        <f t="shared" si="32"/>
        <v>1294.7400000000002</v>
      </c>
      <c r="I99" s="95">
        <f t="shared" si="32"/>
        <v>1395.6399999999999</v>
      </c>
      <c r="J99" s="95">
        <f t="shared" si="32"/>
        <v>1502.2399999999998</v>
      </c>
      <c r="K99" s="95">
        <f t="shared" si="32"/>
        <v>1742.04</v>
      </c>
      <c r="L99" s="95">
        <f t="shared" si="32"/>
        <v>1809.24</v>
      </c>
      <c r="M99" s="95">
        <f t="shared" si="32"/>
        <v>1774.54</v>
      </c>
      <c r="N99" s="95">
        <f t="shared" si="32"/>
        <v>1583.74</v>
      </c>
      <c r="O99" s="95">
        <f t="shared" si="32"/>
        <v>1589.44</v>
      </c>
      <c r="P99" s="95">
        <f t="shared" si="32"/>
        <v>1302.74</v>
      </c>
      <c r="Q99" s="95">
        <f t="shared" si="32"/>
        <v>1576.54</v>
      </c>
      <c r="R99" s="95">
        <f t="shared" si="32"/>
        <v>1525.1399999999999</v>
      </c>
      <c r="S99" s="95">
        <f t="shared" si="32"/>
        <v>1549.3400000000001</v>
      </c>
      <c r="T99" s="95">
        <f t="shared" si="32"/>
        <v>1541.44</v>
      </c>
      <c r="U99" s="95">
        <f t="shared" si="32"/>
        <v>1516.1399999999999</v>
      </c>
      <c r="V99" s="95">
        <f t="shared" si="32"/>
        <v>1542.24</v>
      </c>
      <c r="W99" s="95">
        <f t="shared" si="32"/>
        <v>1517.94</v>
      </c>
      <c r="X99" s="95">
        <f t="shared" si="32"/>
        <v>1711.8400000000001</v>
      </c>
      <c r="Y99" s="95">
        <f>Y97+Y98</f>
        <v>1860.1000000000001</v>
      </c>
      <c r="Z99" s="95">
        <f>Z97+Z98</f>
        <v>1840.4</v>
      </c>
      <c r="AA99" s="95">
        <f t="shared" si="32"/>
        <v>1877.84</v>
      </c>
      <c r="AB99" s="95">
        <f t="shared" si="32"/>
        <v>1699.7400000000002</v>
      </c>
      <c r="AC99" s="95">
        <f t="shared" si="32"/>
        <v>1604.04</v>
      </c>
      <c r="AD99" s="95">
        <f t="shared" si="32"/>
        <v>1467.64</v>
      </c>
      <c r="AE99" s="95">
        <f t="shared" ref="AE99:AF99" si="33">AE97+AE98</f>
        <v>1403.8399999999997</v>
      </c>
      <c r="AF99" s="95">
        <f t="shared" si="33"/>
        <v>1200.44</v>
      </c>
      <c r="AG99" s="88">
        <f>AG96+AG92+AG80+AG76+AG58+AG98</f>
        <v>1693.71</v>
      </c>
      <c r="AH99" s="47">
        <f t="shared" si="20"/>
        <v>1877.84</v>
      </c>
      <c r="AI99" s="48">
        <f t="shared" si="21"/>
        <v>1159.6400000000001</v>
      </c>
    </row>
    <row r="100" spans="1:37" ht="15.75" thickBot="1" x14ac:dyDescent="0.3">
      <c r="A100" s="74" t="s">
        <v>103</v>
      </c>
      <c r="B100" s="95">
        <f t="shared" ref="B100:C100" si="34">B99-(B107)</f>
        <v>1187.74</v>
      </c>
      <c r="C100" s="95">
        <f t="shared" si="34"/>
        <v>1172.54</v>
      </c>
      <c r="D100" s="95">
        <f t="shared" ref="D100" si="35">D99-(D107)</f>
        <v>1152.6400000000001</v>
      </c>
      <c r="E100" s="95">
        <f t="shared" ref="E100:M100" si="36">E99-(E107)</f>
        <v>1162.94</v>
      </c>
      <c r="F100" s="95">
        <f t="shared" si="36"/>
        <v>1173.24</v>
      </c>
      <c r="G100" s="95">
        <f t="shared" si="36"/>
        <v>1203.44</v>
      </c>
      <c r="H100" s="95">
        <f t="shared" si="36"/>
        <v>1294.7400000000002</v>
      </c>
      <c r="I100" s="95">
        <f t="shared" si="36"/>
        <v>1395.6399999999999</v>
      </c>
      <c r="J100" s="95">
        <f t="shared" si="36"/>
        <v>1502.2399999999998</v>
      </c>
      <c r="K100" s="95">
        <f t="shared" si="36"/>
        <v>1742.04</v>
      </c>
      <c r="L100" s="95">
        <f t="shared" si="36"/>
        <v>1809.24</v>
      </c>
      <c r="M100" s="95">
        <f t="shared" si="36"/>
        <v>1774.54</v>
      </c>
      <c r="N100" s="95">
        <f>N99-(N107)</f>
        <v>1583.74</v>
      </c>
      <c r="O100" s="95">
        <f t="shared" ref="O100:AD100" si="37">O99-(O107)</f>
        <v>1589.44</v>
      </c>
      <c r="P100" s="95">
        <f t="shared" si="37"/>
        <v>1302.74</v>
      </c>
      <c r="Q100" s="95">
        <f t="shared" si="37"/>
        <v>1576.54</v>
      </c>
      <c r="R100" s="95">
        <f t="shared" si="37"/>
        <v>1525.1399999999999</v>
      </c>
      <c r="S100" s="95">
        <f t="shared" si="37"/>
        <v>1549.3400000000001</v>
      </c>
      <c r="T100" s="95">
        <f t="shared" si="37"/>
        <v>1541.44</v>
      </c>
      <c r="U100" s="95">
        <f t="shared" si="37"/>
        <v>1516.1399999999999</v>
      </c>
      <c r="V100" s="95">
        <f t="shared" si="37"/>
        <v>1542.24</v>
      </c>
      <c r="W100" s="95">
        <f t="shared" si="37"/>
        <v>1517.94</v>
      </c>
      <c r="X100" s="95">
        <f t="shared" si="37"/>
        <v>1711.8400000000001</v>
      </c>
      <c r="Y100" s="95">
        <f t="shared" si="37"/>
        <v>1860.1000000000001</v>
      </c>
      <c r="Z100" s="95">
        <f t="shared" si="37"/>
        <v>1840.4</v>
      </c>
      <c r="AA100" s="95">
        <f t="shared" si="37"/>
        <v>1877.84</v>
      </c>
      <c r="AB100" s="95">
        <f t="shared" si="37"/>
        <v>1699.7400000000002</v>
      </c>
      <c r="AC100" s="95">
        <f t="shared" si="37"/>
        <v>1604.04</v>
      </c>
      <c r="AD100" s="95">
        <f t="shared" si="37"/>
        <v>1467.64</v>
      </c>
      <c r="AE100" s="95">
        <f t="shared" ref="AE100:AF100" si="38">AE99-(AE107)</f>
        <v>1403.8399999999997</v>
      </c>
      <c r="AF100" s="95">
        <f t="shared" si="38"/>
        <v>1200.44</v>
      </c>
      <c r="AG100" s="88"/>
      <c r="AH100" s="47">
        <f t="shared" si="20"/>
        <v>1877.84</v>
      </c>
      <c r="AI100" s="48">
        <f t="shared" si="21"/>
        <v>1152.6400000000001</v>
      </c>
    </row>
    <row r="101" spans="1:37" x14ac:dyDescent="0.25">
      <c r="A101" s="44" t="s">
        <v>84</v>
      </c>
      <c r="B101" s="76">
        <f t="shared" ref="B101:C101" si="39">IF(B84&lt;0,B84*-1,0)</f>
        <v>0</v>
      </c>
      <c r="C101" s="76">
        <f t="shared" si="39"/>
        <v>0</v>
      </c>
      <c r="D101" s="76">
        <f t="shared" ref="D101" si="40">IF(D84&lt;0,D84*-1,0)</f>
        <v>0</v>
      </c>
      <c r="E101" s="76">
        <f t="shared" ref="E101:AD101" si="41">IF(E84&lt;0,E84*-1,0)</f>
        <v>0</v>
      </c>
      <c r="F101" s="76">
        <f t="shared" si="41"/>
        <v>0</v>
      </c>
      <c r="G101" s="76">
        <f t="shared" si="41"/>
        <v>0</v>
      </c>
      <c r="H101" s="76">
        <f t="shared" si="41"/>
        <v>0</v>
      </c>
      <c r="I101" s="76">
        <f t="shared" si="41"/>
        <v>0</v>
      </c>
      <c r="J101" s="76">
        <f t="shared" si="41"/>
        <v>0</v>
      </c>
      <c r="K101" s="76">
        <f t="shared" si="41"/>
        <v>0</v>
      </c>
      <c r="L101" s="76">
        <f t="shared" si="41"/>
        <v>0</v>
      </c>
      <c r="M101" s="76">
        <f t="shared" si="41"/>
        <v>0</v>
      </c>
      <c r="N101" s="76">
        <f t="shared" si="41"/>
        <v>0</v>
      </c>
      <c r="O101" s="76">
        <f t="shared" si="41"/>
        <v>0</v>
      </c>
      <c r="P101" s="76">
        <f t="shared" si="41"/>
        <v>0</v>
      </c>
      <c r="Q101" s="76">
        <f t="shared" si="41"/>
        <v>0</v>
      </c>
      <c r="R101" s="76">
        <f t="shared" si="41"/>
        <v>0</v>
      </c>
      <c r="S101" s="76">
        <f t="shared" si="41"/>
        <v>0</v>
      </c>
      <c r="T101" s="76">
        <f t="shared" si="41"/>
        <v>0</v>
      </c>
      <c r="U101" s="76">
        <f t="shared" si="41"/>
        <v>0</v>
      </c>
      <c r="V101" s="76">
        <f t="shared" si="41"/>
        <v>0</v>
      </c>
      <c r="W101" s="76">
        <f t="shared" si="41"/>
        <v>0</v>
      </c>
      <c r="X101" s="76">
        <f t="shared" si="41"/>
        <v>0</v>
      </c>
      <c r="Y101" s="76">
        <f t="shared" si="41"/>
        <v>0</v>
      </c>
      <c r="Z101" s="76">
        <f t="shared" si="41"/>
        <v>0</v>
      </c>
      <c r="AA101" s="76">
        <f t="shared" si="41"/>
        <v>0</v>
      </c>
      <c r="AB101" s="76">
        <f t="shared" si="41"/>
        <v>0</v>
      </c>
      <c r="AC101" s="76">
        <f t="shared" si="41"/>
        <v>0</v>
      </c>
      <c r="AD101" s="76">
        <f t="shared" si="41"/>
        <v>0</v>
      </c>
      <c r="AE101" s="76">
        <f t="shared" ref="AE101:AF101" si="42">IF(AE84&lt;0,AE84*-1,0)</f>
        <v>0</v>
      </c>
      <c r="AF101" s="76">
        <f t="shared" si="42"/>
        <v>0</v>
      </c>
      <c r="AG101" s="52"/>
      <c r="AH101" s="47">
        <f t="shared" si="20"/>
        <v>0</v>
      </c>
      <c r="AI101" s="48">
        <f t="shared" si="21"/>
        <v>0</v>
      </c>
    </row>
    <row r="102" spans="1:37" x14ac:dyDescent="0.25">
      <c r="A102" s="54" t="s">
        <v>82</v>
      </c>
      <c r="B102" s="76">
        <f t="shared" ref="B102:C102" si="43">IF(B82&lt;0,B82*-1,0)</f>
        <v>0</v>
      </c>
      <c r="C102" s="76">
        <f t="shared" si="43"/>
        <v>0</v>
      </c>
      <c r="D102" s="76">
        <f t="shared" ref="D102" si="44">IF(D82&lt;0,D82*-1,0)</f>
        <v>0</v>
      </c>
      <c r="E102" s="76">
        <f t="shared" ref="E102:AD102" si="45">IF(E82&lt;0,E82*-1,0)</f>
        <v>0</v>
      </c>
      <c r="F102" s="76">
        <f t="shared" si="45"/>
        <v>0</v>
      </c>
      <c r="G102" s="76">
        <f t="shared" si="45"/>
        <v>0</v>
      </c>
      <c r="H102" s="76">
        <f t="shared" si="45"/>
        <v>0</v>
      </c>
      <c r="I102" s="76">
        <f t="shared" si="45"/>
        <v>0</v>
      </c>
      <c r="J102" s="76">
        <f t="shared" si="45"/>
        <v>0</v>
      </c>
      <c r="K102" s="76">
        <f t="shared" si="45"/>
        <v>0</v>
      </c>
      <c r="L102" s="76">
        <f t="shared" si="45"/>
        <v>0</v>
      </c>
      <c r="M102" s="76">
        <f t="shared" si="45"/>
        <v>0</v>
      </c>
      <c r="N102" s="76">
        <f t="shared" si="45"/>
        <v>0</v>
      </c>
      <c r="O102" s="76">
        <f t="shared" si="45"/>
        <v>0</v>
      </c>
      <c r="P102" s="76">
        <f t="shared" si="45"/>
        <v>0</v>
      </c>
      <c r="Q102" s="76">
        <f t="shared" si="45"/>
        <v>0</v>
      </c>
      <c r="R102" s="76">
        <f t="shared" si="45"/>
        <v>0</v>
      </c>
      <c r="S102" s="76">
        <f t="shared" si="45"/>
        <v>0</v>
      </c>
      <c r="T102" s="76">
        <f t="shared" si="45"/>
        <v>0</v>
      </c>
      <c r="U102" s="76">
        <f t="shared" si="45"/>
        <v>0</v>
      </c>
      <c r="V102" s="76">
        <f t="shared" si="45"/>
        <v>0</v>
      </c>
      <c r="W102" s="76">
        <f t="shared" si="45"/>
        <v>0</v>
      </c>
      <c r="X102" s="76">
        <f t="shared" si="45"/>
        <v>0</v>
      </c>
      <c r="Y102" s="76">
        <f t="shared" si="45"/>
        <v>0</v>
      </c>
      <c r="Z102" s="76">
        <f t="shared" si="45"/>
        <v>0</v>
      </c>
      <c r="AA102" s="76">
        <f t="shared" si="45"/>
        <v>0</v>
      </c>
      <c r="AB102" s="76">
        <f t="shared" si="45"/>
        <v>0</v>
      </c>
      <c r="AC102" s="76">
        <f t="shared" si="45"/>
        <v>0</v>
      </c>
      <c r="AD102" s="76">
        <f t="shared" si="45"/>
        <v>0</v>
      </c>
      <c r="AE102" s="76">
        <f t="shared" ref="AE102:AF102" si="46">IF(AE82&lt;0,AE82*-1,0)</f>
        <v>0</v>
      </c>
      <c r="AF102" s="76">
        <f t="shared" si="46"/>
        <v>0</v>
      </c>
      <c r="AG102" s="55"/>
      <c r="AH102" s="47">
        <f t="shared" si="20"/>
        <v>0</v>
      </c>
      <c r="AI102" s="48">
        <f t="shared" si="21"/>
        <v>0</v>
      </c>
    </row>
    <row r="103" spans="1:37" x14ac:dyDescent="0.25">
      <c r="A103" s="84" t="s">
        <v>104</v>
      </c>
      <c r="B103" s="76">
        <f t="shared" ref="B103:C103" si="47">IF(B85&lt;0,B85*-1,0)</f>
        <v>0</v>
      </c>
      <c r="C103" s="76">
        <f t="shared" si="47"/>
        <v>0</v>
      </c>
      <c r="D103" s="76">
        <f t="shared" ref="D103" si="48">IF(D85&lt;0,D85*-1,0)</f>
        <v>0</v>
      </c>
      <c r="E103" s="76">
        <f t="shared" ref="E103:AD103" si="49">IF(E85&lt;0,E85*-1,0)</f>
        <v>0</v>
      </c>
      <c r="F103" s="76">
        <f t="shared" si="49"/>
        <v>0</v>
      </c>
      <c r="G103" s="76">
        <f t="shared" si="49"/>
        <v>0</v>
      </c>
      <c r="H103" s="76">
        <f t="shared" si="49"/>
        <v>0</v>
      </c>
      <c r="I103" s="76">
        <f t="shared" si="49"/>
        <v>0</v>
      </c>
      <c r="J103" s="76">
        <f t="shared" si="49"/>
        <v>0</v>
      </c>
      <c r="K103" s="76">
        <f t="shared" si="49"/>
        <v>0</v>
      </c>
      <c r="L103" s="76">
        <f t="shared" si="49"/>
        <v>0</v>
      </c>
      <c r="M103" s="76">
        <f t="shared" si="49"/>
        <v>0</v>
      </c>
      <c r="N103" s="76">
        <f t="shared" si="49"/>
        <v>0</v>
      </c>
      <c r="O103" s="76">
        <f t="shared" si="49"/>
        <v>0</v>
      </c>
      <c r="P103" s="76">
        <f t="shared" si="49"/>
        <v>0</v>
      </c>
      <c r="Q103" s="76">
        <f t="shared" si="49"/>
        <v>0</v>
      </c>
      <c r="R103" s="76">
        <f t="shared" si="49"/>
        <v>0</v>
      </c>
      <c r="S103" s="76">
        <f t="shared" si="49"/>
        <v>0</v>
      </c>
      <c r="T103" s="76">
        <f t="shared" si="49"/>
        <v>0</v>
      </c>
      <c r="U103" s="76">
        <f t="shared" si="49"/>
        <v>0</v>
      </c>
      <c r="V103" s="76">
        <f t="shared" si="49"/>
        <v>0</v>
      </c>
      <c r="W103" s="76">
        <f t="shared" si="49"/>
        <v>0</v>
      </c>
      <c r="X103" s="76">
        <f t="shared" si="49"/>
        <v>0</v>
      </c>
      <c r="Y103" s="76">
        <f t="shared" si="49"/>
        <v>0</v>
      </c>
      <c r="Z103" s="76">
        <f t="shared" si="49"/>
        <v>0</v>
      </c>
      <c r="AA103" s="76">
        <f t="shared" si="49"/>
        <v>0</v>
      </c>
      <c r="AB103" s="76">
        <f t="shared" si="49"/>
        <v>0</v>
      </c>
      <c r="AC103" s="76">
        <f t="shared" si="49"/>
        <v>0</v>
      </c>
      <c r="AD103" s="76">
        <f t="shared" si="49"/>
        <v>0</v>
      </c>
      <c r="AE103" s="76">
        <f t="shared" ref="AE103:AF103" si="50">IF(AE85&lt;0,AE85*-1,0)</f>
        <v>0</v>
      </c>
      <c r="AF103" s="76">
        <f t="shared" si="50"/>
        <v>0</v>
      </c>
      <c r="AG103" s="98"/>
      <c r="AH103" s="47">
        <f t="shared" si="20"/>
        <v>0</v>
      </c>
      <c r="AI103" s="48">
        <f t="shared" si="21"/>
        <v>0</v>
      </c>
    </row>
    <row r="104" spans="1:37" x14ac:dyDescent="0.25">
      <c r="A104" s="84" t="s">
        <v>105</v>
      </c>
      <c r="B104" s="76">
        <f t="shared" ref="B104:C104" si="51">IF(B83&lt;0,B83*-1,0)</f>
        <v>0</v>
      </c>
      <c r="C104" s="76">
        <f t="shared" si="51"/>
        <v>0</v>
      </c>
      <c r="D104" s="76">
        <f t="shared" ref="D104" si="52">IF(D83&lt;0,D83*-1,0)</f>
        <v>0</v>
      </c>
      <c r="E104" s="76">
        <f t="shared" ref="E104:AD104" si="53">IF(E83&lt;0,E83*-1,0)</f>
        <v>0</v>
      </c>
      <c r="F104" s="76">
        <f t="shared" si="53"/>
        <v>0</v>
      </c>
      <c r="G104" s="76">
        <f t="shared" si="53"/>
        <v>0</v>
      </c>
      <c r="H104" s="76">
        <f t="shared" si="53"/>
        <v>0</v>
      </c>
      <c r="I104" s="76">
        <f t="shared" si="53"/>
        <v>0</v>
      </c>
      <c r="J104" s="76">
        <f t="shared" si="53"/>
        <v>0</v>
      </c>
      <c r="K104" s="76">
        <f t="shared" si="53"/>
        <v>0</v>
      </c>
      <c r="L104" s="76">
        <f t="shared" si="53"/>
        <v>0</v>
      </c>
      <c r="M104" s="76">
        <f t="shared" si="53"/>
        <v>0</v>
      </c>
      <c r="N104" s="76">
        <f t="shared" si="53"/>
        <v>0</v>
      </c>
      <c r="O104" s="76">
        <f t="shared" si="53"/>
        <v>0</v>
      </c>
      <c r="P104" s="76">
        <f t="shared" si="53"/>
        <v>0</v>
      </c>
      <c r="Q104" s="76">
        <f t="shared" si="53"/>
        <v>0</v>
      </c>
      <c r="R104" s="76">
        <f t="shared" si="53"/>
        <v>0</v>
      </c>
      <c r="S104" s="76">
        <f t="shared" si="53"/>
        <v>0</v>
      </c>
      <c r="T104" s="76">
        <f t="shared" si="53"/>
        <v>0</v>
      </c>
      <c r="U104" s="76">
        <f t="shared" si="53"/>
        <v>0</v>
      </c>
      <c r="V104" s="76">
        <f t="shared" si="53"/>
        <v>0</v>
      </c>
      <c r="W104" s="76">
        <f t="shared" si="53"/>
        <v>0</v>
      </c>
      <c r="X104" s="76">
        <f t="shared" si="53"/>
        <v>0</v>
      </c>
      <c r="Y104" s="76">
        <f t="shared" si="53"/>
        <v>0</v>
      </c>
      <c r="Z104" s="76">
        <f t="shared" si="53"/>
        <v>0</v>
      </c>
      <c r="AA104" s="76">
        <f t="shared" si="53"/>
        <v>0</v>
      </c>
      <c r="AB104" s="76">
        <f t="shared" si="53"/>
        <v>0</v>
      </c>
      <c r="AC104" s="76">
        <f t="shared" si="53"/>
        <v>0</v>
      </c>
      <c r="AD104" s="76">
        <f t="shared" si="53"/>
        <v>0</v>
      </c>
      <c r="AE104" s="76">
        <f t="shared" ref="AE104:AF104" si="54">IF(AE83&lt;0,AE83*-1,0)</f>
        <v>0</v>
      </c>
      <c r="AF104" s="76">
        <f t="shared" si="54"/>
        <v>0</v>
      </c>
      <c r="AG104" s="98"/>
      <c r="AH104" s="47">
        <f t="shared" si="20"/>
        <v>0</v>
      </c>
      <c r="AI104" s="48">
        <f t="shared" si="21"/>
        <v>0</v>
      </c>
    </row>
    <row r="105" spans="1:37" x14ac:dyDescent="0.25">
      <c r="A105" s="84" t="s">
        <v>81</v>
      </c>
      <c r="B105" s="76">
        <f t="shared" ref="B105:C105" si="55">IF(B81&lt;0,B81*-1,0)</f>
        <v>0</v>
      </c>
      <c r="C105" s="76">
        <f t="shared" si="55"/>
        <v>0</v>
      </c>
      <c r="D105" s="76">
        <f t="shared" ref="D105" si="56">IF(D81&lt;0,D81*-1,0)</f>
        <v>0</v>
      </c>
      <c r="E105" s="76">
        <f t="shared" ref="E105:AD105" si="57">IF(E81&lt;0,E81*-1,0)</f>
        <v>0</v>
      </c>
      <c r="F105" s="76">
        <f t="shared" si="57"/>
        <v>0</v>
      </c>
      <c r="G105" s="76">
        <f t="shared" si="57"/>
        <v>0</v>
      </c>
      <c r="H105" s="76">
        <f t="shared" si="57"/>
        <v>0</v>
      </c>
      <c r="I105" s="76">
        <f t="shared" si="57"/>
        <v>0</v>
      </c>
      <c r="J105" s="76">
        <f t="shared" si="57"/>
        <v>0</v>
      </c>
      <c r="K105" s="76">
        <f t="shared" si="57"/>
        <v>0</v>
      </c>
      <c r="L105" s="76">
        <f t="shared" si="57"/>
        <v>0</v>
      </c>
      <c r="M105" s="76">
        <f t="shared" si="57"/>
        <v>0</v>
      </c>
      <c r="N105" s="76">
        <f t="shared" si="57"/>
        <v>0</v>
      </c>
      <c r="O105" s="76">
        <f t="shared" si="57"/>
        <v>0</v>
      </c>
      <c r="P105" s="76">
        <f t="shared" si="57"/>
        <v>0</v>
      </c>
      <c r="Q105" s="76">
        <f t="shared" si="57"/>
        <v>0</v>
      </c>
      <c r="R105" s="76">
        <f t="shared" si="57"/>
        <v>0</v>
      </c>
      <c r="S105" s="76">
        <f t="shared" si="57"/>
        <v>0</v>
      </c>
      <c r="T105" s="76">
        <f t="shared" si="57"/>
        <v>0</v>
      </c>
      <c r="U105" s="76">
        <f t="shared" si="57"/>
        <v>0</v>
      </c>
      <c r="V105" s="76">
        <f t="shared" si="57"/>
        <v>0</v>
      </c>
      <c r="W105" s="76">
        <f t="shared" si="57"/>
        <v>0</v>
      </c>
      <c r="X105" s="76">
        <f t="shared" si="57"/>
        <v>0</v>
      </c>
      <c r="Y105" s="76">
        <f t="shared" si="57"/>
        <v>0</v>
      </c>
      <c r="Z105" s="76">
        <f t="shared" si="57"/>
        <v>0</v>
      </c>
      <c r="AA105" s="76">
        <f t="shared" si="57"/>
        <v>0</v>
      </c>
      <c r="AB105" s="76">
        <f t="shared" si="57"/>
        <v>0</v>
      </c>
      <c r="AC105" s="76">
        <f t="shared" si="57"/>
        <v>0</v>
      </c>
      <c r="AD105" s="76">
        <f t="shared" si="57"/>
        <v>0</v>
      </c>
      <c r="AE105" s="76">
        <f t="shared" ref="AE105:AF105" si="58">IF(AE81&lt;0,AE81*-1,0)</f>
        <v>0</v>
      </c>
      <c r="AF105" s="76">
        <f t="shared" si="58"/>
        <v>0</v>
      </c>
      <c r="AG105" s="98"/>
      <c r="AH105" s="47">
        <f t="shared" si="20"/>
        <v>0</v>
      </c>
      <c r="AI105" s="48">
        <f t="shared" si="21"/>
        <v>0</v>
      </c>
    </row>
    <row r="106" spans="1:37" ht="15.75" thickBot="1" x14ac:dyDescent="0.3">
      <c r="A106" s="84" t="s">
        <v>106</v>
      </c>
      <c r="B106" s="94">
        <v>5</v>
      </c>
      <c r="C106" s="94">
        <v>6</v>
      </c>
      <c r="D106" s="94">
        <v>7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0</v>
      </c>
      <c r="AB106" s="94">
        <v>0</v>
      </c>
      <c r="AC106" s="94">
        <v>0</v>
      </c>
      <c r="AD106" s="94">
        <v>0</v>
      </c>
      <c r="AE106" s="94">
        <v>0</v>
      </c>
      <c r="AF106" s="94">
        <v>0</v>
      </c>
      <c r="AG106" s="85"/>
      <c r="AH106" s="47">
        <f t="shared" si="20"/>
        <v>7</v>
      </c>
      <c r="AI106" s="48">
        <f t="shared" si="21"/>
        <v>0</v>
      </c>
    </row>
    <row r="107" spans="1:37" ht="15.75" thickBot="1" x14ac:dyDescent="0.3">
      <c r="A107" s="99" t="s">
        <v>107</v>
      </c>
      <c r="B107" s="60">
        <f t="shared" ref="B107:C107" si="59">SUM(B101:B106)</f>
        <v>5</v>
      </c>
      <c r="C107" s="60">
        <f t="shared" si="59"/>
        <v>6</v>
      </c>
      <c r="D107" s="60">
        <f t="shared" ref="D107" si="60">SUM(D101:D106)</f>
        <v>7</v>
      </c>
      <c r="E107" s="60">
        <f t="shared" ref="E107:AD107" si="61">SUM(E101:E106)</f>
        <v>0</v>
      </c>
      <c r="F107" s="60">
        <f t="shared" si="61"/>
        <v>0</v>
      </c>
      <c r="G107" s="60">
        <f t="shared" si="61"/>
        <v>0</v>
      </c>
      <c r="H107" s="60">
        <f t="shared" si="61"/>
        <v>0</v>
      </c>
      <c r="I107" s="60">
        <f t="shared" si="61"/>
        <v>0</v>
      </c>
      <c r="J107" s="60">
        <f t="shared" si="61"/>
        <v>0</v>
      </c>
      <c r="K107" s="60">
        <f t="shared" si="61"/>
        <v>0</v>
      </c>
      <c r="L107" s="60">
        <f t="shared" si="61"/>
        <v>0</v>
      </c>
      <c r="M107" s="60">
        <f t="shared" si="61"/>
        <v>0</v>
      </c>
      <c r="N107" s="60">
        <f t="shared" si="61"/>
        <v>0</v>
      </c>
      <c r="O107" s="60">
        <f t="shared" si="61"/>
        <v>0</v>
      </c>
      <c r="P107" s="60">
        <f t="shared" si="61"/>
        <v>0</v>
      </c>
      <c r="Q107" s="60">
        <f t="shared" si="61"/>
        <v>0</v>
      </c>
      <c r="R107" s="60">
        <f t="shared" si="61"/>
        <v>0</v>
      </c>
      <c r="S107" s="60">
        <f t="shared" si="61"/>
        <v>0</v>
      </c>
      <c r="T107" s="60">
        <f t="shared" si="61"/>
        <v>0</v>
      </c>
      <c r="U107" s="60">
        <f t="shared" si="61"/>
        <v>0</v>
      </c>
      <c r="V107" s="60">
        <f t="shared" si="61"/>
        <v>0</v>
      </c>
      <c r="W107" s="60">
        <f t="shared" si="61"/>
        <v>0</v>
      </c>
      <c r="X107" s="60">
        <f t="shared" si="61"/>
        <v>0</v>
      </c>
      <c r="Y107" s="60">
        <f t="shared" si="61"/>
        <v>0</v>
      </c>
      <c r="Z107" s="60">
        <f t="shared" si="61"/>
        <v>0</v>
      </c>
      <c r="AA107" s="60">
        <f t="shared" si="61"/>
        <v>0</v>
      </c>
      <c r="AB107" s="60">
        <f t="shared" si="61"/>
        <v>0</v>
      </c>
      <c r="AC107" s="60">
        <f t="shared" si="61"/>
        <v>0</v>
      </c>
      <c r="AD107" s="60">
        <f t="shared" si="61"/>
        <v>0</v>
      </c>
      <c r="AE107" s="60">
        <f t="shared" ref="AE107:AF107" si="62">SUM(AE101:AE106)</f>
        <v>0</v>
      </c>
      <c r="AF107" s="60">
        <f t="shared" si="62"/>
        <v>0</v>
      </c>
      <c r="AG107" s="88"/>
      <c r="AH107" s="47">
        <f t="shared" si="20"/>
        <v>7</v>
      </c>
      <c r="AI107" s="48">
        <f t="shared" si="21"/>
        <v>0</v>
      </c>
      <c r="AK107" s="50"/>
    </row>
    <row r="108" spans="1:37" ht="15.75" thickBot="1" x14ac:dyDescent="0.3">
      <c r="A108" s="74" t="s">
        <v>108</v>
      </c>
      <c r="B108" s="60">
        <f t="shared" ref="B108:C108" si="63">B92-B107</f>
        <v>524.9</v>
      </c>
      <c r="C108" s="60">
        <f t="shared" si="63"/>
        <v>558.1</v>
      </c>
      <c r="D108" s="60">
        <f t="shared" ref="D108" si="64">D92-D107</f>
        <v>539.70000000000005</v>
      </c>
      <c r="E108" s="60">
        <f t="shared" ref="E108:AD108" si="65">E92-E107</f>
        <v>547.70000000000005</v>
      </c>
      <c r="F108" s="60">
        <f t="shared" si="65"/>
        <v>558</v>
      </c>
      <c r="G108" s="60">
        <f t="shared" si="65"/>
        <v>585.4</v>
      </c>
      <c r="H108" s="60">
        <f t="shared" si="65"/>
        <v>646.30000000000007</v>
      </c>
      <c r="I108" s="60">
        <f t="shared" si="65"/>
        <v>631.89999999999986</v>
      </c>
      <c r="J108" s="60">
        <f t="shared" si="65"/>
        <v>570.9</v>
      </c>
      <c r="K108" s="60">
        <f t="shared" si="65"/>
        <v>458.6</v>
      </c>
      <c r="L108" s="60">
        <f t="shared" si="65"/>
        <v>221</v>
      </c>
      <c r="M108" s="60">
        <f t="shared" si="65"/>
        <v>197.8</v>
      </c>
      <c r="N108" s="60">
        <f t="shared" si="65"/>
        <v>318</v>
      </c>
      <c r="O108" s="60">
        <f t="shared" si="65"/>
        <v>480.7</v>
      </c>
      <c r="P108" s="60">
        <f t="shared" si="65"/>
        <v>543</v>
      </c>
      <c r="Q108" s="60">
        <f t="shared" si="65"/>
        <v>808.6</v>
      </c>
      <c r="R108" s="60">
        <f t="shared" si="65"/>
        <v>804</v>
      </c>
      <c r="S108" s="60">
        <f t="shared" si="65"/>
        <v>824.80000000000007</v>
      </c>
      <c r="T108" s="60">
        <f t="shared" si="65"/>
        <v>797.30000000000007</v>
      </c>
      <c r="U108" s="60">
        <f t="shared" si="65"/>
        <v>787.4</v>
      </c>
      <c r="V108" s="60">
        <f t="shared" si="65"/>
        <v>687</v>
      </c>
      <c r="W108" s="60">
        <f t="shared" si="65"/>
        <v>566.20000000000005</v>
      </c>
      <c r="X108" s="60">
        <f t="shared" si="65"/>
        <v>450.5</v>
      </c>
      <c r="Y108" s="60">
        <f>Y92-Y107</f>
        <v>321.2</v>
      </c>
      <c r="Z108" s="60">
        <f>Z92-Z107</f>
        <v>235.2</v>
      </c>
      <c r="AA108" s="60">
        <f t="shared" si="65"/>
        <v>469.59999999999997</v>
      </c>
      <c r="AB108" s="60">
        <f t="shared" si="65"/>
        <v>508.2</v>
      </c>
      <c r="AC108" s="60">
        <f t="shared" si="65"/>
        <v>546.29999999999995</v>
      </c>
      <c r="AD108" s="60">
        <f t="shared" si="65"/>
        <v>539.30000000000007</v>
      </c>
      <c r="AE108" s="60">
        <f t="shared" ref="AE108:AF108" si="66">AE92-AE107</f>
        <v>611.19999999999993</v>
      </c>
      <c r="AF108" s="60">
        <f t="shared" si="66"/>
        <v>570.9</v>
      </c>
      <c r="AG108" s="88"/>
      <c r="AH108" s="47">
        <f t="shared" si="20"/>
        <v>824.80000000000007</v>
      </c>
      <c r="AI108" s="48">
        <f t="shared" si="21"/>
        <v>197.8</v>
      </c>
    </row>
    <row r="109" spans="1:37" x14ac:dyDescent="0.25">
      <c r="A109" s="100" t="s">
        <v>109</v>
      </c>
      <c r="B109" s="101">
        <v>50.03</v>
      </c>
      <c r="C109" s="101">
        <v>49.99</v>
      </c>
      <c r="D109" s="101">
        <v>49.99</v>
      </c>
      <c r="E109" s="101">
        <v>50.015000000000001</v>
      </c>
      <c r="F109" s="101">
        <v>49.976999999999997</v>
      </c>
      <c r="G109" s="101">
        <v>49.987000000000002</v>
      </c>
      <c r="H109" s="101">
        <v>49.987000000000002</v>
      </c>
      <c r="I109" s="101">
        <v>50.026000000000003</v>
      </c>
      <c r="J109" s="101">
        <v>50.026000000000003</v>
      </c>
      <c r="K109" s="101">
        <v>49.957000000000001</v>
      </c>
      <c r="L109" s="101">
        <v>49.854999999999997</v>
      </c>
      <c r="M109" s="101">
        <v>50.116999999999997</v>
      </c>
      <c r="N109" s="101">
        <v>50</v>
      </c>
      <c r="O109" s="101">
        <v>50.003999999999998</v>
      </c>
      <c r="P109" s="101">
        <v>50.002000000000002</v>
      </c>
      <c r="Q109" s="101">
        <v>49.91</v>
      </c>
      <c r="R109" s="101">
        <v>50.069000000000003</v>
      </c>
      <c r="S109" s="101">
        <v>50.009</v>
      </c>
      <c r="T109" s="101">
        <v>49.914999999999999</v>
      </c>
      <c r="U109" s="101">
        <v>49.884</v>
      </c>
      <c r="V109" s="101">
        <v>49.98</v>
      </c>
      <c r="W109" s="101">
        <v>50.12</v>
      </c>
      <c r="X109" s="101">
        <v>50.06</v>
      </c>
      <c r="Y109" s="101">
        <v>49.976999999999997</v>
      </c>
      <c r="Z109" s="101">
        <v>49.948</v>
      </c>
      <c r="AA109" s="101">
        <v>49.892000000000003</v>
      </c>
      <c r="AB109" s="101">
        <v>50.057000000000002</v>
      </c>
      <c r="AC109" s="101">
        <v>49.98</v>
      </c>
      <c r="AD109" s="101">
        <v>50.008000000000003</v>
      </c>
      <c r="AE109" s="101">
        <v>50.07</v>
      </c>
      <c r="AF109" s="101">
        <v>49.99</v>
      </c>
      <c r="AG109" s="102"/>
      <c r="AH109" s="47">
        <f t="shared" si="20"/>
        <v>50.12</v>
      </c>
      <c r="AI109" s="48">
        <f t="shared" si="21"/>
        <v>49.854999999999997</v>
      </c>
    </row>
    <row r="110" spans="1:37" x14ac:dyDescent="0.25">
      <c r="A110" s="103" t="s">
        <v>110</v>
      </c>
      <c r="B110" s="65">
        <v>123.3</v>
      </c>
      <c r="C110" s="65">
        <v>123.3</v>
      </c>
      <c r="D110" s="65">
        <v>123.3</v>
      </c>
      <c r="E110" s="65">
        <v>125.5</v>
      </c>
      <c r="F110" s="65">
        <v>128</v>
      </c>
      <c r="G110" s="65">
        <v>126.2</v>
      </c>
      <c r="H110" s="65">
        <v>126.2</v>
      </c>
      <c r="I110" s="65">
        <v>123.7</v>
      </c>
      <c r="J110" s="65">
        <v>123.7</v>
      </c>
      <c r="K110" s="65">
        <v>123.9</v>
      </c>
      <c r="L110" s="65">
        <v>125.1</v>
      </c>
      <c r="M110" s="65">
        <v>124.2</v>
      </c>
      <c r="N110" s="65" t="s">
        <v>619</v>
      </c>
      <c r="O110" s="65">
        <v>122.7</v>
      </c>
      <c r="P110" s="65">
        <v>124.6</v>
      </c>
      <c r="Q110" s="65">
        <v>120</v>
      </c>
      <c r="R110" s="65">
        <v>121.3</v>
      </c>
      <c r="S110" s="65">
        <v>120</v>
      </c>
      <c r="T110" s="65">
        <v>121.4</v>
      </c>
      <c r="U110" s="65">
        <v>122.5</v>
      </c>
      <c r="V110" s="65">
        <v>124.6</v>
      </c>
      <c r="W110" s="65">
        <v>123.2</v>
      </c>
      <c r="X110" s="65">
        <v>123.3</v>
      </c>
      <c r="Y110" s="65">
        <v>123.6</v>
      </c>
      <c r="Z110" s="65">
        <v>126</v>
      </c>
      <c r="AA110" s="65">
        <v>127.7</v>
      </c>
      <c r="AB110" s="65">
        <v>127.6</v>
      </c>
      <c r="AC110" s="65">
        <v>127.5</v>
      </c>
      <c r="AD110" s="65">
        <v>127.2</v>
      </c>
      <c r="AE110" s="65">
        <v>124.7</v>
      </c>
      <c r="AF110" s="65">
        <v>127</v>
      </c>
      <c r="AG110" s="104"/>
      <c r="AH110" s="47">
        <f t="shared" si="20"/>
        <v>128</v>
      </c>
      <c r="AI110" s="48">
        <f t="shared" si="21"/>
        <v>120</v>
      </c>
    </row>
    <row r="111" spans="1:37" x14ac:dyDescent="0.25">
      <c r="A111" s="103" t="s">
        <v>111</v>
      </c>
      <c r="B111" s="65">
        <v>129</v>
      </c>
      <c r="C111" s="65">
        <v>129</v>
      </c>
      <c r="D111" s="65">
        <v>129</v>
      </c>
      <c r="E111" s="65">
        <v>131.19999999999999</v>
      </c>
      <c r="F111" s="65">
        <v>132.30000000000001</v>
      </c>
      <c r="G111" s="65">
        <v>130.1</v>
      </c>
      <c r="H111" s="65">
        <v>130.1</v>
      </c>
      <c r="I111" s="65">
        <v>127.3</v>
      </c>
      <c r="J111" s="65">
        <v>127.3</v>
      </c>
      <c r="K111" s="65">
        <v>126.5</v>
      </c>
      <c r="L111" s="65">
        <v>127.4</v>
      </c>
      <c r="M111" s="65">
        <v>126.8</v>
      </c>
      <c r="N111" s="65">
        <v>125.1</v>
      </c>
      <c r="O111" s="65">
        <v>124.7</v>
      </c>
      <c r="P111" s="65">
        <v>126.5</v>
      </c>
      <c r="Q111" s="65">
        <v>124.2</v>
      </c>
      <c r="R111" s="65">
        <v>125.3</v>
      </c>
      <c r="S111" s="65">
        <v>124.5</v>
      </c>
      <c r="T111" s="65">
        <v>125.6</v>
      </c>
      <c r="U111" s="65">
        <v>126.3</v>
      </c>
      <c r="V111" s="65">
        <v>127.5</v>
      </c>
      <c r="W111" s="65">
        <v>125.8</v>
      </c>
      <c r="X111" s="65">
        <v>125.3</v>
      </c>
      <c r="Y111" s="65">
        <v>124.9</v>
      </c>
      <c r="Z111" s="65">
        <v>127.2</v>
      </c>
      <c r="AA111" s="65">
        <v>128.80000000000001</v>
      </c>
      <c r="AB111" s="65">
        <v>128.9</v>
      </c>
      <c r="AC111" s="65">
        <v>129.19999999999999</v>
      </c>
      <c r="AD111" s="65">
        <v>129.19999999999999</v>
      </c>
      <c r="AE111" s="65">
        <v>129.4</v>
      </c>
      <c r="AF111" s="65">
        <v>131.4</v>
      </c>
      <c r="AG111" s="104"/>
      <c r="AH111" s="47">
        <f t="shared" si="20"/>
        <v>132.30000000000001</v>
      </c>
      <c r="AI111" s="48">
        <f t="shared" si="21"/>
        <v>124.2</v>
      </c>
    </row>
    <row r="112" spans="1:37" x14ac:dyDescent="0.25">
      <c r="A112" s="103" t="s">
        <v>112</v>
      </c>
      <c r="B112" s="65">
        <v>127.1</v>
      </c>
      <c r="C112" s="65">
        <v>127.1</v>
      </c>
      <c r="D112" s="65">
        <v>127.1</v>
      </c>
      <c r="E112" s="65">
        <v>130</v>
      </c>
      <c r="F112" s="65">
        <v>130.6</v>
      </c>
      <c r="G112" s="65">
        <v>126.6</v>
      </c>
      <c r="H112" s="65">
        <v>126.6</v>
      </c>
      <c r="I112" s="65">
        <v>122.6</v>
      </c>
      <c r="J112" s="65">
        <v>122.6</v>
      </c>
      <c r="K112" s="65">
        <v>129.19999999999999</v>
      </c>
      <c r="L112" s="65">
        <v>125.9</v>
      </c>
      <c r="M112" s="65">
        <v>130</v>
      </c>
      <c r="N112" s="65">
        <v>132.30000000000001</v>
      </c>
      <c r="O112" s="65">
        <v>132.30000000000001</v>
      </c>
      <c r="P112" s="65">
        <v>127.7</v>
      </c>
      <c r="Q112" s="65">
        <v>124.4</v>
      </c>
      <c r="R112" s="65">
        <v>126.7</v>
      </c>
      <c r="S112" s="65">
        <v>125.3</v>
      </c>
      <c r="T112" s="65">
        <v>123.9</v>
      </c>
      <c r="U112" s="65">
        <v>122.5</v>
      </c>
      <c r="V112" s="65">
        <v>130</v>
      </c>
      <c r="W112" s="65">
        <v>126.7</v>
      </c>
      <c r="X112" s="65">
        <v>126.6</v>
      </c>
      <c r="Y112" s="65">
        <v>130.4</v>
      </c>
      <c r="Z112" s="65">
        <v>130.19999999999999</v>
      </c>
      <c r="AA112" s="65">
        <v>132.80000000000001</v>
      </c>
      <c r="AB112" s="65">
        <v>134.19999999999999</v>
      </c>
      <c r="AC112" s="65">
        <v>130.9</v>
      </c>
      <c r="AD112" s="65">
        <v>132.6</v>
      </c>
      <c r="AE112" s="65">
        <v>129.1</v>
      </c>
      <c r="AF112" s="65">
        <v>127.3</v>
      </c>
      <c r="AG112" s="104"/>
      <c r="AH112" s="47">
        <f t="shared" si="20"/>
        <v>134.19999999999999</v>
      </c>
      <c r="AI112" s="48">
        <f t="shared" si="21"/>
        <v>122.5</v>
      </c>
    </row>
    <row r="113" spans="1:35" x14ac:dyDescent="0.25">
      <c r="A113" s="105" t="s">
        <v>113</v>
      </c>
      <c r="B113" s="65">
        <v>127.8</v>
      </c>
      <c r="C113" s="65">
        <v>127.8</v>
      </c>
      <c r="D113" s="65">
        <v>127.8</v>
      </c>
      <c r="E113" s="65">
        <v>131</v>
      </c>
      <c r="F113" s="65">
        <v>132.19999999999999</v>
      </c>
      <c r="G113" s="65">
        <v>128.69999999999999</v>
      </c>
      <c r="H113" s="65">
        <v>128.69999999999999</v>
      </c>
      <c r="I113" s="65">
        <v>128.4</v>
      </c>
      <c r="J113" s="65">
        <v>128.4</v>
      </c>
      <c r="K113" s="65">
        <v>130.4</v>
      </c>
      <c r="L113" s="65">
        <v>126.9</v>
      </c>
      <c r="M113" s="65">
        <v>131.85</v>
      </c>
      <c r="N113" s="65">
        <v>133.69999999999999</v>
      </c>
      <c r="O113" s="65">
        <v>133.5</v>
      </c>
      <c r="P113" s="65">
        <v>130.1</v>
      </c>
      <c r="Q113" s="65">
        <v>126.7</v>
      </c>
      <c r="R113" s="65">
        <v>129.19999999999999</v>
      </c>
      <c r="S113" s="65">
        <v>126.2</v>
      </c>
      <c r="T113" s="65">
        <v>124.8</v>
      </c>
      <c r="U113" s="65">
        <v>123.3</v>
      </c>
      <c r="V113" s="65">
        <v>130</v>
      </c>
      <c r="W113" s="65">
        <v>127.9</v>
      </c>
      <c r="X113" s="65">
        <v>126.1</v>
      </c>
      <c r="Y113" s="65">
        <v>130.1</v>
      </c>
      <c r="Z113" s="65">
        <v>130.5</v>
      </c>
      <c r="AA113" s="65">
        <v>133</v>
      </c>
      <c r="AB113" s="65">
        <v>133.80000000000001</v>
      </c>
      <c r="AC113" s="65">
        <v>131.4</v>
      </c>
      <c r="AD113" s="65">
        <v>133.30000000000001</v>
      </c>
      <c r="AE113" s="65">
        <v>132.6</v>
      </c>
      <c r="AF113" s="65">
        <v>132.19999999999999</v>
      </c>
      <c r="AG113" s="104"/>
      <c r="AH113" s="47">
        <f t="shared" si="20"/>
        <v>133.80000000000001</v>
      </c>
      <c r="AI113" s="48">
        <f t="shared" si="21"/>
        <v>123.3</v>
      </c>
    </row>
    <row r="114" spans="1:35" x14ac:dyDescent="0.25">
      <c r="A114" s="105" t="s">
        <v>114</v>
      </c>
      <c r="B114" s="106">
        <v>132.4</v>
      </c>
      <c r="C114" s="106">
        <v>132.4</v>
      </c>
      <c r="D114" s="106">
        <v>132.4</v>
      </c>
      <c r="E114" s="106">
        <v>133.19999999999999</v>
      </c>
      <c r="F114" s="106">
        <v>132.30000000000001</v>
      </c>
      <c r="G114" s="106">
        <v>128.5</v>
      </c>
      <c r="H114" s="106">
        <v>128.5</v>
      </c>
      <c r="I114" s="106">
        <v>133.6</v>
      </c>
      <c r="J114" s="106">
        <v>133.6</v>
      </c>
      <c r="K114" s="106">
        <v>134.9</v>
      </c>
      <c r="L114" s="106">
        <v>134</v>
      </c>
      <c r="M114" s="106">
        <v>133.5</v>
      </c>
      <c r="N114" s="106">
        <v>131.1</v>
      </c>
      <c r="O114" s="106">
        <v>130.5</v>
      </c>
      <c r="P114" s="106">
        <v>133.69999999999999</v>
      </c>
      <c r="Q114" s="106">
        <v>134</v>
      </c>
      <c r="R114" s="106">
        <v>134.6</v>
      </c>
      <c r="S114" s="106">
        <v>133.30000000000001</v>
      </c>
      <c r="T114" s="106">
        <v>132.4</v>
      </c>
      <c r="U114" s="106">
        <v>133.80000000000001</v>
      </c>
      <c r="V114" s="106">
        <v>134.4</v>
      </c>
      <c r="W114" s="106">
        <v>130.69999999999999</v>
      </c>
      <c r="X114" s="106">
        <v>131.30000000000001</v>
      </c>
      <c r="Y114" s="106">
        <v>135.1</v>
      </c>
      <c r="Z114" s="106">
        <v>137.4</v>
      </c>
      <c r="AA114" s="106">
        <v>137.5</v>
      </c>
      <c r="AB114" s="106">
        <v>135.69999999999999</v>
      </c>
      <c r="AC114" s="106">
        <v>137.69999999999999</v>
      </c>
      <c r="AD114" s="106">
        <v>135.9</v>
      </c>
      <c r="AE114" s="106">
        <v>135</v>
      </c>
      <c r="AF114" s="106">
        <v>135</v>
      </c>
      <c r="AG114" s="107"/>
      <c r="AH114" s="47">
        <f t="shared" si="20"/>
        <v>137.69999999999999</v>
      </c>
      <c r="AI114" s="48">
        <f t="shared" si="21"/>
        <v>128.5</v>
      </c>
    </row>
    <row r="115" spans="1:35" x14ac:dyDescent="0.25">
      <c r="A115" s="103" t="s">
        <v>115</v>
      </c>
      <c r="B115" s="65">
        <v>127.4</v>
      </c>
      <c r="C115" s="65">
        <v>127.4</v>
      </c>
      <c r="D115" s="65">
        <v>127.4</v>
      </c>
      <c r="E115" s="65">
        <v>131.4</v>
      </c>
      <c r="F115" s="65">
        <v>128.1</v>
      </c>
      <c r="G115" s="65">
        <v>130.5</v>
      </c>
      <c r="H115" s="65">
        <v>130.5</v>
      </c>
      <c r="I115" s="65">
        <v>129.5</v>
      </c>
      <c r="J115" s="65">
        <v>129.5</v>
      </c>
      <c r="K115" s="65">
        <v>126.6</v>
      </c>
      <c r="L115" s="65">
        <v>129.6</v>
      </c>
      <c r="M115" s="65">
        <v>132.9</v>
      </c>
      <c r="N115" s="65">
        <v>137.6</v>
      </c>
      <c r="O115" s="65">
        <v>133.30000000000001</v>
      </c>
      <c r="P115" s="65">
        <v>128.19999999999999</v>
      </c>
      <c r="Q115" s="65">
        <v>129</v>
      </c>
      <c r="R115" s="65">
        <v>127.7</v>
      </c>
      <c r="S115" s="65">
        <v>130.5</v>
      </c>
      <c r="T115" s="65">
        <v>127.8</v>
      </c>
      <c r="U115" s="65">
        <v>135.4</v>
      </c>
      <c r="V115" s="65">
        <v>127.3</v>
      </c>
      <c r="W115" s="65">
        <v>130.19999999999999</v>
      </c>
      <c r="X115" s="65">
        <v>130.6</v>
      </c>
      <c r="Y115" s="65">
        <v>130.4</v>
      </c>
      <c r="Z115" s="65">
        <v>134.5</v>
      </c>
      <c r="AA115" s="65">
        <v>134.4</v>
      </c>
      <c r="AB115" s="65">
        <v>130.1</v>
      </c>
      <c r="AC115" s="65">
        <v>132.19999999999999</v>
      </c>
      <c r="AD115" s="65">
        <v>133.9</v>
      </c>
      <c r="AE115" s="65">
        <v>130.1</v>
      </c>
      <c r="AF115" s="65">
        <v>131.5</v>
      </c>
      <c r="AG115" s="104"/>
      <c r="AH115" s="47">
        <f t="shared" si="20"/>
        <v>137.6</v>
      </c>
      <c r="AI115" s="48">
        <f t="shared" si="21"/>
        <v>126.6</v>
      </c>
    </row>
    <row r="116" spans="1:35" ht="15.75" thickBot="1" x14ac:dyDescent="0.3">
      <c r="A116" s="103" t="s">
        <v>116</v>
      </c>
      <c r="B116" s="92">
        <v>64.7</v>
      </c>
      <c r="C116" s="92">
        <v>64.7</v>
      </c>
      <c r="D116" s="92">
        <v>64.7</v>
      </c>
      <c r="E116" s="92">
        <v>65.599999999999994</v>
      </c>
      <c r="F116" s="92">
        <v>66.5</v>
      </c>
      <c r="G116" s="92">
        <v>65.3</v>
      </c>
      <c r="H116" s="92">
        <v>65.3</v>
      </c>
      <c r="I116" s="92">
        <v>64</v>
      </c>
      <c r="J116" s="92">
        <v>63.7</v>
      </c>
      <c r="K116" s="92">
        <v>63.9</v>
      </c>
      <c r="L116" s="92">
        <v>63.8</v>
      </c>
      <c r="M116" s="92">
        <v>63.6</v>
      </c>
      <c r="N116" s="92">
        <v>62.9</v>
      </c>
      <c r="O116" s="92">
        <v>62.5</v>
      </c>
      <c r="P116" s="92">
        <v>63.3</v>
      </c>
      <c r="Q116" s="92">
        <v>62.1</v>
      </c>
      <c r="R116" s="92">
        <v>63</v>
      </c>
      <c r="S116" s="92">
        <v>62.6</v>
      </c>
      <c r="T116" s="92">
        <v>63.1</v>
      </c>
      <c r="U116" s="92">
        <v>63.4</v>
      </c>
      <c r="V116" s="92">
        <v>64.3</v>
      </c>
      <c r="W116" s="92">
        <v>63.1</v>
      </c>
      <c r="X116" s="92">
        <v>62.9</v>
      </c>
      <c r="Y116" s="92">
        <v>63.4</v>
      </c>
      <c r="Z116" s="92">
        <v>64</v>
      </c>
      <c r="AA116" s="92">
        <v>64.8</v>
      </c>
      <c r="AB116" s="92">
        <v>64.900000000000006</v>
      </c>
      <c r="AC116" s="92">
        <v>64.900000000000006</v>
      </c>
      <c r="AD116" s="92">
        <v>64.5</v>
      </c>
      <c r="AE116" s="92">
        <v>65.099999999999994</v>
      </c>
      <c r="AF116" s="92">
        <v>65.7</v>
      </c>
      <c r="AG116" s="108"/>
      <c r="AH116" s="47">
        <f t="shared" si="20"/>
        <v>66.5</v>
      </c>
      <c r="AI116" s="48">
        <f t="shared" si="21"/>
        <v>62.1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 t="s">
        <v>117</v>
      </c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20"/>
        <v>0</v>
      </c>
      <c r="AI117" s="48">
        <f t="shared" si="21"/>
        <v>0</v>
      </c>
    </row>
    <row r="118" spans="1:35" ht="15.75" thickBot="1" x14ac:dyDescent="0.3">
      <c r="A118" s="110" t="s">
        <v>118</v>
      </c>
      <c r="B118" s="111">
        <f t="shared" ref="B118:C118" si="67">SUM(B22,B28,B31:B32,B66,B68:B69,B71,B73,B119:B123,B155,B161,B167,B176,B178,B190,B197,B200:B201,B208,B210,B212,B216:B218,B220:B222,B227,B233:B234,B236:B238,B246,B251)</f>
        <v>128.24</v>
      </c>
      <c r="C118" s="111">
        <f t="shared" si="67"/>
        <v>148.96</v>
      </c>
      <c r="D118" s="111">
        <f t="shared" ref="D118" si="68">SUM(D22,D28,D31:D32,D66,D68:D69,D71,D73,D119:D123,D155,D161,D167,D176,D178,D190,D197,D200:D201,D208,D210,D212,D216:D218,D220:D222,D227,D233:D234,D236:D238,D246,D251)</f>
        <v>144.56000000000003</v>
      </c>
      <c r="E118" s="111">
        <f t="shared" ref="E118:O118" si="69">SUM(E22,E28,E31:E32,E66,E68:E69,E71,E73,E119:E123,E155,E161,E167,E176,E178,E190,E197,E200:E201,E208,E210,E212,E216:E218,E220:E222,E227,E233:E234,E236:E238,E246,E251)</f>
        <v>140.07</v>
      </c>
      <c r="F118" s="111">
        <f t="shared" si="69"/>
        <v>144.36399999999998</v>
      </c>
      <c r="G118" s="111">
        <f t="shared" si="69"/>
        <v>175.48099999999999</v>
      </c>
      <c r="H118" s="111">
        <f t="shared" si="69"/>
        <v>175.48099999999999</v>
      </c>
      <c r="I118" s="111">
        <f t="shared" si="69"/>
        <v>174.48099999999999</v>
      </c>
      <c r="J118" s="111">
        <f t="shared" si="69"/>
        <v>310.46799999999996</v>
      </c>
      <c r="K118" s="111">
        <f t="shared" si="69"/>
        <v>369.59700000000004</v>
      </c>
      <c r="L118" s="111">
        <f t="shared" si="69"/>
        <v>425.50099999999998</v>
      </c>
      <c r="M118" s="111">
        <f t="shared" si="69"/>
        <v>434.03999999999996</v>
      </c>
      <c r="N118" s="111">
        <f t="shared" si="69"/>
        <v>384.23999999999995</v>
      </c>
      <c r="O118" s="111">
        <f t="shared" si="69"/>
        <v>391.73999999999995</v>
      </c>
      <c r="P118" s="111">
        <v>42</v>
      </c>
      <c r="Q118" s="111">
        <f t="shared" ref="Q118:AD118" si="70">SUM(Q22,Q28,Q31:Q32,Q66,Q68:Q69,Q71,Q73,Q119:Q123,Q155,Q161,Q167,Q176,Q178,Q190,Q197,Q200:Q201,Q208,Q210,Q212,Q216:Q218,Q220:Q222,Q227,Q233:Q234,Q236:Q238,Q246,Q251)</f>
        <v>370.54</v>
      </c>
      <c r="R118" s="111">
        <f t="shared" si="70"/>
        <v>350.44</v>
      </c>
      <c r="S118" s="111">
        <f t="shared" si="70"/>
        <v>341.08000000000004</v>
      </c>
      <c r="T118" s="111">
        <f t="shared" si="70"/>
        <v>334.04</v>
      </c>
      <c r="U118" s="111">
        <f t="shared" si="70"/>
        <v>338.52000000000004</v>
      </c>
      <c r="V118" s="111">
        <f t="shared" si="70"/>
        <v>352.34</v>
      </c>
      <c r="W118" s="111">
        <f t="shared" si="70"/>
        <v>368.64</v>
      </c>
      <c r="X118" s="111">
        <f t="shared" si="70"/>
        <v>426.04</v>
      </c>
      <c r="Y118" s="111">
        <f t="shared" ref="Y118" si="71">SUM(Y20,Y26,Y37:Y38,Y66,Y68:Y69,Y71,Y73,Y119:Y123,Y148,Y154,Y160,Y169,Y171,Y183,Y190,Y193:Y194,Y201,Y203,Y205,Y209:Y211,Y213:Y215,Y220,Y226:Y227,Y229:Y231,Y239,Y244)</f>
        <v>484</v>
      </c>
      <c r="Z118" s="111">
        <v>490.06750000000005</v>
      </c>
      <c r="AA118" s="111">
        <f t="shared" si="70"/>
        <v>459.84000000000003</v>
      </c>
      <c r="AB118" s="111">
        <f t="shared" si="70"/>
        <v>383</v>
      </c>
      <c r="AC118" s="111">
        <f t="shared" si="70"/>
        <v>346.09999999999997</v>
      </c>
      <c r="AD118" s="111">
        <f t="shared" si="70"/>
        <v>350.55300000000005</v>
      </c>
      <c r="AE118" s="111">
        <f t="shared" ref="AE118:AF118" si="72">SUM(AE22,AE28,AE31:AE32,AE66,AE68:AE69,AE71,AE73,AE119:AE123,AE155,AE161,AE167,AE176,AE178,AE190,AE197,AE200:AE201,AE208,AE210,AE212,AE216:AE218,AE220:AE222,AE227,AE233:AE234,AE236:AE238,AE246,AE251)</f>
        <v>300.04000000000002</v>
      </c>
      <c r="AF118" s="111">
        <f t="shared" si="72"/>
        <v>187.3</v>
      </c>
      <c r="AG118" s="112"/>
      <c r="AH118" s="47">
        <f t="shared" si="20"/>
        <v>490.06750000000005</v>
      </c>
      <c r="AI118" s="48">
        <f t="shared" si="21"/>
        <v>42</v>
      </c>
    </row>
    <row r="119" spans="1:35" x14ac:dyDescent="0.25">
      <c r="A119" s="172" t="s">
        <v>119</v>
      </c>
      <c r="B119" s="113">
        <v>-8.4</v>
      </c>
      <c r="C119" s="113">
        <v>-13.2</v>
      </c>
      <c r="D119" s="113">
        <v>-10.6</v>
      </c>
      <c r="E119" s="113">
        <v>-20.7</v>
      </c>
      <c r="F119" s="113">
        <v>-15.9</v>
      </c>
      <c r="G119" s="113">
        <v>-29.6</v>
      </c>
      <c r="H119" s="113">
        <v>-29.6</v>
      </c>
      <c r="I119" s="113">
        <v>-29.6</v>
      </c>
      <c r="J119" s="113">
        <v>57.1</v>
      </c>
      <c r="K119" s="113">
        <v>61.2</v>
      </c>
      <c r="L119" s="113">
        <v>54.5</v>
      </c>
      <c r="M119" s="113">
        <v>58.3</v>
      </c>
      <c r="N119" s="113">
        <v>40.799999999999997</v>
      </c>
      <c r="O119" s="113">
        <v>30.7</v>
      </c>
      <c r="P119" s="113">
        <v>26.3</v>
      </c>
      <c r="Q119" s="113">
        <v>37.4</v>
      </c>
      <c r="R119" s="113">
        <v>30</v>
      </c>
      <c r="S119" s="113">
        <v>26.6</v>
      </c>
      <c r="T119" s="113">
        <v>25.9</v>
      </c>
      <c r="U119" s="113">
        <v>28</v>
      </c>
      <c r="V119" s="113">
        <v>28</v>
      </c>
      <c r="W119" s="113">
        <v>14.7</v>
      </c>
      <c r="X119" s="113">
        <v>63.6</v>
      </c>
      <c r="Y119" s="113">
        <v>75</v>
      </c>
      <c r="Z119" s="113">
        <v>63.7</v>
      </c>
      <c r="AA119" s="113">
        <v>77</v>
      </c>
      <c r="AB119" s="113">
        <v>64</v>
      </c>
      <c r="AC119" s="113">
        <v>49.5</v>
      </c>
      <c r="AD119" s="113">
        <v>36.200000000000003</v>
      </c>
      <c r="AE119" s="113">
        <v>56.5</v>
      </c>
      <c r="AF119" s="113">
        <v>10.199999999999999</v>
      </c>
      <c r="AG119" s="114">
        <v>75</v>
      </c>
      <c r="AH119" s="47">
        <f t="shared" si="20"/>
        <v>77</v>
      </c>
      <c r="AI119" s="48">
        <f t="shared" si="21"/>
        <v>-29.6</v>
      </c>
    </row>
    <row r="120" spans="1:35" x14ac:dyDescent="0.25">
      <c r="A120" s="173" t="s">
        <v>120</v>
      </c>
      <c r="B120" s="115">
        <v>-8.1</v>
      </c>
      <c r="C120" s="115">
        <v>-20.9</v>
      </c>
      <c r="D120" s="115">
        <v>-16</v>
      </c>
      <c r="E120" s="115">
        <v>-14.3</v>
      </c>
      <c r="F120" s="115">
        <v>-23.9</v>
      </c>
      <c r="G120" s="115">
        <v>-43</v>
      </c>
      <c r="H120" s="115">
        <v>-43</v>
      </c>
      <c r="I120" s="115">
        <v>-43</v>
      </c>
      <c r="J120" s="115">
        <v>73.099999999999994</v>
      </c>
      <c r="K120" s="115">
        <v>83.1</v>
      </c>
      <c r="L120" s="115">
        <v>72.400000000000006</v>
      </c>
      <c r="M120" s="115">
        <v>78.599999999999994</v>
      </c>
      <c r="N120" s="115">
        <v>55.4</v>
      </c>
      <c r="O120" s="115">
        <v>41</v>
      </c>
      <c r="P120" s="115">
        <v>34.6</v>
      </c>
      <c r="Q120" s="115">
        <v>47.7</v>
      </c>
      <c r="R120" s="115">
        <v>37</v>
      </c>
      <c r="S120" s="115">
        <v>31.8</v>
      </c>
      <c r="T120" s="115">
        <v>30.3</v>
      </c>
      <c r="U120" s="115">
        <v>36.200000000000003</v>
      </c>
      <c r="V120" s="115">
        <v>39</v>
      </c>
      <c r="W120" s="115">
        <v>20.3</v>
      </c>
      <c r="X120" s="115">
        <v>89</v>
      </c>
      <c r="Y120" s="115">
        <v>101</v>
      </c>
      <c r="Z120" s="115">
        <v>85.1</v>
      </c>
      <c r="AA120" s="115">
        <v>103</v>
      </c>
      <c r="AB120" s="115">
        <v>85</v>
      </c>
      <c r="AC120" s="115">
        <v>64.5</v>
      </c>
      <c r="AD120" s="115">
        <v>42.2</v>
      </c>
      <c r="AE120" s="115">
        <v>70.900000000000006</v>
      </c>
      <c r="AF120" s="115">
        <v>10.6</v>
      </c>
      <c r="AG120" s="114">
        <v>240</v>
      </c>
      <c r="AH120" s="47">
        <f t="shared" si="20"/>
        <v>103</v>
      </c>
      <c r="AI120" s="48">
        <f t="shared" si="21"/>
        <v>-43</v>
      </c>
    </row>
    <row r="121" spans="1:35" x14ac:dyDescent="0.25">
      <c r="A121" s="173" t="s">
        <v>121</v>
      </c>
      <c r="B121" s="115">
        <v>-36</v>
      </c>
      <c r="C121" s="115">
        <v>-20</v>
      </c>
      <c r="D121" s="115">
        <v>-24</v>
      </c>
      <c r="E121" s="115">
        <v>-23.8</v>
      </c>
      <c r="F121" s="115">
        <v>-19</v>
      </c>
      <c r="G121" s="115">
        <v>25</v>
      </c>
      <c r="H121" s="115">
        <v>25</v>
      </c>
      <c r="I121" s="115">
        <v>25</v>
      </c>
      <c r="J121" s="115">
        <v>-35</v>
      </c>
      <c r="K121" s="115">
        <v>-15.7</v>
      </c>
      <c r="L121" s="115">
        <v>29</v>
      </c>
      <c r="M121" s="115">
        <v>21.6</v>
      </c>
      <c r="N121" s="115">
        <v>24</v>
      </c>
      <c r="O121" s="115">
        <v>40</v>
      </c>
      <c r="P121" s="115">
        <v>40</v>
      </c>
      <c r="Q121" s="115">
        <v>13.9</v>
      </c>
      <c r="R121" s="115">
        <v>14</v>
      </c>
      <c r="S121" s="115">
        <v>16</v>
      </c>
      <c r="T121" s="115">
        <v>16</v>
      </c>
      <c r="U121" s="115">
        <v>22</v>
      </c>
      <c r="V121" s="115">
        <v>32</v>
      </c>
      <c r="W121" s="115">
        <v>50</v>
      </c>
      <c r="X121" s="115">
        <v>10</v>
      </c>
      <c r="Y121" s="115">
        <v>15</v>
      </c>
      <c r="Z121" s="115">
        <v>33</v>
      </c>
      <c r="AA121" s="115">
        <v>22</v>
      </c>
      <c r="AB121" s="115">
        <f>-14-14.5</f>
        <v>-28.5</v>
      </c>
      <c r="AC121" s="115">
        <f>-18-19.5</f>
        <v>-37.5</v>
      </c>
      <c r="AD121" s="115" t="s">
        <v>620</v>
      </c>
      <c r="AE121" s="115">
        <f>-17.9-22.7</f>
        <v>-40.599999999999994</v>
      </c>
      <c r="AF121" s="115">
        <f>-9.5-11.6</f>
        <v>-21.1</v>
      </c>
      <c r="AG121" s="114">
        <v>240</v>
      </c>
      <c r="AH121" s="47">
        <f t="shared" si="20"/>
        <v>50</v>
      </c>
      <c r="AI121" s="48">
        <f t="shared" si="21"/>
        <v>-40.599999999999994</v>
      </c>
    </row>
    <row r="122" spans="1:35" ht="15.75" thickBot="1" x14ac:dyDescent="0.3">
      <c r="A122" s="173" t="s">
        <v>122</v>
      </c>
      <c r="B122" s="115">
        <v>-7.8</v>
      </c>
      <c r="C122" s="115">
        <v>-4.2</v>
      </c>
      <c r="D122" s="115">
        <v>-9</v>
      </c>
      <c r="E122" s="115">
        <v>-9.4</v>
      </c>
      <c r="F122" s="115">
        <v>-11.3</v>
      </c>
      <c r="G122" s="115">
        <v>-3.8</v>
      </c>
      <c r="H122" s="115">
        <v>-3.8</v>
      </c>
      <c r="I122" s="115">
        <v>-3.8</v>
      </c>
      <c r="J122" s="115">
        <v>-1.3</v>
      </c>
      <c r="K122" s="115">
        <v>10.7</v>
      </c>
      <c r="L122" s="115">
        <v>20.8</v>
      </c>
      <c r="M122" s="115">
        <v>20.5</v>
      </c>
      <c r="N122" s="115">
        <v>20</v>
      </c>
      <c r="O122" s="115">
        <v>21</v>
      </c>
      <c r="P122" s="115">
        <v>21</v>
      </c>
      <c r="Q122" s="115">
        <v>7.1</v>
      </c>
      <c r="R122" s="115">
        <v>7</v>
      </c>
      <c r="S122" s="115">
        <v>4.3</v>
      </c>
      <c r="T122" s="115">
        <v>9</v>
      </c>
      <c r="U122" s="115">
        <v>12</v>
      </c>
      <c r="V122" s="115">
        <v>17</v>
      </c>
      <c r="W122" s="115">
        <v>24.6</v>
      </c>
      <c r="X122" s="115">
        <v>22</v>
      </c>
      <c r="Y122" s="115">
        <v>33</v>
      </c>
      <c r="Z122" s="115">
        <v>49.1</v>
      </c>
      <c r="AA122" s="115">
        <v>42</v>
      </c>
      <c r="AB122" s="115">
        <v>33.5</v>
      </c>
      <c r="AC122" s="115">
        <v>32.4</v>
      </c>
      <c r="AD122" s="115">
        <v>28.3</v>
      </c>
      <c r="AE122" s="115">
        <v>6</v>
      </c>
      <c r="AF122" s="115">
        <v>-6.6</v>
      </c>
      <c r="AG122" s="114">
        <v>60</v>
      </c>
      <c r="AH122" s="47">
        <f t="shared" si="20"/>
        <v>49.1</v>
      </c>
      <c r="AI122" s="48">
        <f t="shared" si="21"/>
        <v>-11.3</v>
      </c>
    </row>
    <row r="123" spans="1:35" x14ac:dyDescent="0.25">
      <c r="A123" s="172" t="s">
        <v>260</v>
      </c>
      <c r="B123" s="117">
        <f>60.5*1.6</f>
        <v>96.800000000000011</v>
      </c>
      <c r="C123" s="117">
        <f>72.2*1.6</f>
        <v>115.52000000000001</v>
      </c>
      <c r="D123" s="117">
        <f>71.2*1.6</f>
        <v>113.92000000000002</v>
      </c>
      <c r="E123" s="117">
        <f>71*1.63</f>
        <v>115.72999999999999</v>
      </c>
      <c r="F123" s="117">
        <f>74.8*1.63</f>
        <v>121.92399999999999</v>
      </c>
      <c r="G123" s="117">
        <f>80.7*1.63</f>
        <v>131.541</v>
      </c>
      <c r="H123" s="117">
        <f>80.7*1.63</f>
        <v>131.541</v>
      </c>
      <c r="I123" s="117">
        <f>80.7*1.63</f>
        <v>131.541</v>
      </c>
      <c r="J123" s="117">
        <f>75.6*1.63</f>
        <v>123.22799999999998</v>
      </c>
      <c r="K123" s="117">
        <f>83.9*1.63</f>
        <v>136.75700000000001</v>
      </c>
      <c r="L123" s="117">
        <f>94.7*1.63</f>
        <v>154.36099999999999</v>
      </c>
      <c r="M123" s="117">
        <v>158</v>
      </c>
      <c r="N123" s="117">
        <v>145</v>
      </c>
      <c r="O123" s="117">
        <v>155</v>
      </c>
      <c r="P123" s="117">
        <v>145</v>
      </c>
      <c r="Q123" s="117">
        <v>157</v>
      </c>
      <c r="R123" s="117">
        <v>155</v>
      </c>
      <c r="S123" s="117">
        <f>98.9*1.6</f>
        <v>158.24</v>
      </c>
      <c r="T123" s="117">
        <f>96*1.6</f>
        <v>153.60000000000002</v>
      </c>
      <c r="U123" s="117">
        <f>90.3*1.6</f>
        <v>144.47999999999999</v>
      </c>
      <c r="V123" s="117">
        <f>90*1.6</f>
        <v>144</v>
      </c>
      <c r="W123" s="117">
        <f>105*1.6</f>
        <v>168</v>
      </c>
      <c r="X123" s="117">
        <f>94*1.6</f>
        <v>150.4</v>
      </c>
      <c r="Y123" s="117">
        <f>102*1.6</f>
        <v>163.20000000000002</v>
      </c>
      <c r="Z123" s="117">
        <v>161</v>
      </c>
      <c r="AA123" s="117">
        <f>78*1.6</f>
        <v>124.80000000000001</v>
      </c>
      <c r="AB123" s="117">
        <f>84*1.64</f>
        <v>137.76</v>
      </c>
      <c r="AC123" s="117">
        <f>89*1.64</f>
        <v>145.95999999999998</v>
      </c>
      <c r="AD123" s="117">
        <f>93*1.641</f>
        <v>152.613</v>
      </c>
      <c r="AE123" s="117">
        <f>70*1.6</f>
        <v>112</v>
      </c>
      <c r="AF123" s="117">
        <f>60.6*1.6</f>
        <v>96.960000000000008</v>
      </c>
      <c r="AG123" s="118">
        <v>120</v>
      </c>
      <c r="AH123" s="47">
        <f t="shared" si="20"/>
        <v>168</v>
      </c>
      <c r="AI123" s="48">
        <f t="shared" si="21"/>
        <v>96.800000000000011</v>
      </c>
    </row>
    <row r="124" spans="1:35" x14ac:dyDescent="0.25">
      <c r="A124" s="173" t="s">
        <v>259</v>
      </c>
      <c r="B124" s="117">
        <v>74.5</v>
      </c>
      <c r="C124" s="117">
        <v>83.5</v>
      </c>
      <c r="D124" s="117">
        <v>83</v>
      </c>
      <c r="E124" s="117">
        <v>83.4</v>
      </c>
      <c r="F124" s="117">
        <v>86.8</v>
      </c>
      <c r="G124" s="117">
        <v>91.6</v>
      </c>
      <c r="H124" s="117">
        <v>91.6</v>
      </c>
      <c r="I124" s="117">
        <v>91.6</v>
      </c>
      <c r="J124" s="117">
        <v>86.1</v>
      </c>
      <c r="K124" s="117">
        <v>92.2</v>
      </c>
      <c r="L124" s="117">
        <v>100.9</v>
      </c>
      <c r="M124" s="117">
        <v>101.4</v>
      </c>
      <c r="N124" s="117">
        <v>103</v>
      </c>
      <c r="O124" s="117">
        <v>103</v>
      </c>
      <c r="P124" s="117">
        <v>96</v>
      </c>
      <c r="Q124" s="117">
        <v>100.7</v>
      </c>
      <c r="R124" s="117">
        <v>101</v>
      </c>
      <c r="S124" s="117">
        <v>104</v>
      </c>
      <c r="T124" s="117">
        <v>102</v>
      </c>
      <c r="U124" s="117">
        <v>98</v>
      </c>
      <c r="V124" s="117">
        <v>96</v>
      </c>
      <c r="W124" s="117">
        <v>110</v>
      </c>
      <c r="X124" s="117">
        <v>100</v>
      </c>
      <c r="Y124" s="117">
        <v>106</v>
      </c>
      <c r="Z124" s="117">
        <v>106</v>
      </c>
      <c r="AA124" s="117">
        <v>88</v>
      </c>
      <c r="AB124" s="117">
        <v>92.9</v>
      </c>
      <c r="AC124" s="117">
        <v>97</v>
      </c>
      <c r="AD124" s="117">
        <v>100.4</v>
      </c>
      <c r="AE124" s="117">
        <v>84.2</v>
      </c>
      <c r="AF124" s="117">
        <v>78.900000000000006</v>
      </c>
      <c r="AG124" s="118"/>
      <c r="AH124" s="47"/>
      <c r="AI124" s="48"/>
    </row>
    <row r="125" spans="1:35" x14ac:dyDescent="0.25">
      <c r="A125" s="173" t="s">
        <v>256</v>
      </c>
      <c r="B125" s="117">
        <v>59.4</v>
      </c>
      <c r="C125" s="117">
        <v>39</v>
      </c>
      <c r="D125" s="117">
        <v>39.9</v>
      </c>
      <c r="E125" s="117">
        <v>44.7</v>
      </c>
      <c r="F125" s="117">
        <v>78.099999999999994</v>
      </c>
      <c r="G125" s="117">
        <v>70.7</v>
      </c>
      <c r="H125" s="117">
        <v>70.7</v>
      </c>
      <c r="I125" s="117">
        <v>70.7</v>
      </c>
      <c r="J125" s="117">
        <v>-13.2</v>
      </c>
      <c r="K125" s="117">
        <v>-35.200000000000003</v>
      </c>
      <c r="L125" s="117">
        <v>-51.4</v>
      </c>
      <c r="M125" s="117">
        <v>-48.9</v>
      </c>
      <c r="N125" s="117">
        <v>-24</v>
      </c>
      <c r="O125" s="117">
        <v>-16</v>
      </c>
      <c r="P125" s="117">
        <v>96</v>
      </c>
      <c r="Q125" s="117">
        <v>12.4</v>
      </c>
      <c r="R125" s="117">
        <v>18</v>
      </c>
      <c r="S125" s="117">
        <v>23.1</v>
      </c>
      <c r="T125" s="117">
        <v>20</v>
      </c>
      <c r="U125" s="117">
        <v>11</v>
      </c>
      <c r="V125" s="117">
        <v>-2.1</v>
      </c>
      <c r="W125" s="117">
        <v>7</v>
      </c>
      <c r="X125" s="117">
        <v>-39</v>
      </c>
      <c r="Y125" s="117">
        <v>-52</v>
      </c>
      <c r="Z125" s="117">
        <v>-51</v>
      </c>
      <c r="AA125" s="117">
        <v>-72</v>
      </c>
      <c r="AB125" s="117">
        <v>-53.1</v>
      </c>
      <c r="AC125" s="117">
        <v>-34</v>
      </c>
      <c r="AD125" s="117">
        <v>-19.600000000000001</v>
      </c>
      <c r="AE125" s="117">
        <v>0.2</v>
      </c>
      <c r="AF125" s="117">
        <v>35</v>
      </c>
      <c r="AG125" s="118"/>
      <c r="AH125" s="47"/>
      <c r="AI125" s="48"/>
    </row>
    <row r="126" spans="1:35" ht="15.75" thickBot="1" x14ac:dyDescent="0.3">
      <c r="A126" s="173" t="s">
        <v>255</v>
      </c>
      <c r="B126" s="117">
        <v>80.3</v>
      </c>
      <c r="C126" s="117">
        <v>104.5</v>
      </c>
      <c r="D126" s="117">
        <v>100.1</v>
      </c>
      <c r="E126" s="117">
        <v>95.7</v>
      </c>
      <c r="F126" s="117">
        <v>106.6</v>
      </c>
      <c r="G126" s="117">
        <v>83.9</v>
      </c>
      <c r="H126" s="117">
        <v>83.9</v>
      </c>
      <c r="I126" s="117">
        <v>83.9</v>
      </c>
      <c r="J126" s="117">
        <v>95</v>
      </c>
      <c r="K126" s="117">
        <v>89.9</v>
      </c>
      <c r="L126" s="117">
        <v>94.1</v>
      </c>
      <c r="M126" s="117">
        <v>91.4</v>
      </c>
      <c r="N126" s="117">
        <v>95</v>
      </c>
      <c r="O126" s="117">
        <v>96</v>
      </c>
      <c r="P126" s="117">
        <v>85</v>
      </c>
      <c r="Q126" s="117">
        <v>94.9</v>
      </c>
      <c r="R126" s="117">
        <v>93.5</v>
      </c>
      <c r="S126" s="117">
        <v>98.3</v>
      </c>
      <c r="T126" s="117">
        <v>98</v>
      </c>
      <c r="U126" s="117">
        <v>88</v>
      </c>
      <c r="V126" s="117">
        <v>86</v>
      </c>
      <c r="W126" s="117">
        <v>100</v>
      </c>
      <c r="X126" s="117">
        <v>81</v>
      </c>
      <c r="Y126" s="117">
        <v>87</v>
      </c>
      <c r="Z126" s="117">
        <v>83</v>
      </c>
      <c r="AA126" s="117">
        <v>81</v>
      </c>
      <c r="AB126" s="117">
        <v>88.7</v>
      </c>
      <c r="AC126" s="117">
        <v>92.8</v>
      </c>
      <c r="AD126" s="117">
        <v>93.4</v>
      </c>
      <c r="AE126" s="117">
        <v>102</v>
      </c>
      <c r="AF126" s="117">
        <v>79</v>
      </c>
      <c r="AG126" s="114"/>
      <c r="AH126" s="47">
        <f t="shared" si="20"/>
        <v>106.6</v>
      </c>
      <c r="AI126" s="48">
        <f t="shared" si="21"/>
        <v>79</v>
      </c>
    </row>
    <row r="127" spans="1:35" x14ac:dyDescent="0.25">
      <c r="A127" s="172" t="s">
        <v>257</v>
      </c>
      <c r="B127" s="117">
        <v>0</v>
      </c>
      <c r="C127" s="117">
        <v>0</v>
      </c>
      <c r="D127" s="117">
        <v>0</v>
      </c>
      <c r="E127" s="117">
        <v>0</v>
      </c>
      <c r="F127" s="117">
        <v>0</v>
      </c>
      <c r="G127" s="117">
        <v>0</v>
      </c>
      <c r="H127" s="117">
        <v>0</v>
      </c>
      <c r="I127" s="117">
        <v>0</v>
      </c>
      <c r="J127" s="117">
        <v>0</v>
      </c>
      <c r="K127" s="117">
        <v>0</v>
      </c>
      <c r="L127" s="117">
        <v>0</v>
      </c>
      <c r="M127" s="117">
        <v>0</v>
      </c>
      <c r="N127" s="117">
        <v>0</v>
      </c>
      <c r="O127" s="117">
        <v>0</v>
      </c>
      <c r="P127" s="117">
        <v>0</v>
      </c>
      <c r="Q127" s="117">
        <v>0</v>
      </c>
      <c r="R127" s="117">
        <v>0</v>
      </c>
      <c r="S127" s="117">
        <v>0</v>
      </c>
      <c r="T127" s="117">
        <v>0</v>
      </c>
      <c r="U127" s="117">
        <v>0</v>
      </c>
      <c r="V127" s="117">
        <v>0</v>
      </c>
      <c r="W127" s="117">
        <v>0</v>
      </c>
      <c r="X127" s="117">
        <v>0</v>
      </c>
      <c r="Y127" s="117">
        <v>0</v>
      </c>
      <c r="Z127" s="117">
        <v>0</v>
      </c>
      <c r="AA127" s="117">
        <v>0</v>
      </c>
      <c r="AB127" s="117">
        <v>0</v>
      </c>
      <c r="AC127" s="117">
        <v>0</v>
      </c>
      <c r="AD127" s="117">
        <v>0</v>
      </c>
      <c r="AE127" s="117">
        <v>0</v>
      </c>
      <c r="AF127" s="117">
        <v>0</v>
      </c>
      <c r="AG127" s="114"/>
      <c r="AH127" s="47">
        <f t="shared" si="20"/>
        <v>0</v>
      </c>
      <c r="AI127" s="48">
        <f t="shared" si="21"/>
        <v>0</v>
      </c>
    </row>
    <row r="128" spans="1:35" x14ac:dyDescent="0.25">
      <c r="A128" s="173" t="s">
        <v>124</v>
      </c>
      <c r="B128" s="106">
        <v>-1.8</v>
      </c>
      <c r="C128" s="106">
        <v>0.5</v>
      </c>
      <c r="D128" s="106">
        <v>0.3</v>
      </c>
      <c r="E128" s="106">
        <v>1.4</v>
      </c>
      <c r="F128" s="106">
        <v>0</v>
      </c>
      <c r="G128" s="106">
        <v>-3.6</v>
      </c>
      <c r="H128" s="106">
        <v>-3.6</v>
      </c>
      <c r="I128" s="106">
        <v>-3.6</v>
      </c>
      <c r="J128" s="106"/>
      <c r="K128" s="106">
        <v>-37.700000000000003</v>
      </c>
      <c r="L128" s="106">
        <v>-38.4</v>
      </c>
      <c r="M128" s="106">
        <v>-24.4</v>
      </c>
      <c r="N128" s="106">
        <v>-9</v>
      </c>
      <c r="O128" s="106">
        <v>-6</v>
      </c>
      <c r="P128" s="106">
        <v>-5</v>
      </c>
      <c r="Q128" s="106">
        <v>-14.6</v>
      </c>
      <c r="R128" s="106">
        <v>-17</v>
      </c>
      <c r="S128" s="106">
        <v>-19.7</v>
      </c>
      <c r="T128" s="106">
        <v>-24</v>
      </c>
      <c r="U128" s="106">
        <v>-29</v>
      </c>
      <c r="V128" s="106">
        <v>-34</v>
      </c>
      <c r="W128" s="106">
        <v>-39</v>
      </c>
      <c r="X128" s="106">
        <v>-53.1</v>
      </c>
      <c r="Y128" s="106">
        <v>-54.1</v>
      </c>
      <c r="Z128" s="106">
        <v>-51</v>
      </c>
      <c r="AA128" s="106">
        <v>-46</v>
      </c>
      <c r="AB128" s="106">
        <v>-24.9</v>
      </c>
      <c r="AC128" s="106">
        <v>-22.1</v>
      </c>
      <c r="AD128" s="106">
        <v>-18.5</v>
      </c>
      <c r="AE128" s="106">
        <v>-10.199999999999999</v>
      </c>
      <c r="AF128" s="106">
        <v>-6.5</v>
      </c>
      <c r="AG128" s="114"/>
      <c r="AH128" s="47">
        <f t="shared" si="20"/>
        <v>1.4</v>
      </c>
      <c r="AI128" s="48">
        <f t="shared" si="21"/>
        <v>-54.1</v>
      </c>
    </row>
    <row r="129" spans="1:37" x14ac:dyDescent="0.25">
      <c r="A129" s="173" t="s">
        <v>261</v>
      </c>
      <c r="B129" s="106">
        <v>26.8</v>
      </c>
      <c r="C129" s="106">
        <v>24.6</v>
      </c>
      <c r="D129" s="106">
        <v>24.6</v>
      </c>
      <c r="E129" s="106">
        <v>24.9</v>
      </c>
      <c r="F129" s="106">
        <v>23.6</v>
      </c>
      <c r="G129" s="106">
        <v>25.3</v>
      </c>
      <c r="H129" s="106">
        <v>25.3</v>
      </c>
      <c r="I129" s="106">
        <v>25.3</v>
      </c>
      <c r="J129" s="106">
        <v>25</v>
      </c>
      <c r="K129" s="106">
        <v>13.6</v>
      </c>
      <c r="L129" s="106">
        <v>11.4</v>
      </c>
      <c r="M129" s="106">
        <v>11.9</v>
      </c>
      <c r="N129" s="106">
        <v>11</v>
      </c>
      <c r="O129" s="106">
        <v>11</v>
      </c>
      <c r="P129" s="106">
        <v>10.8</v>
      </c>
      <c r="Q129" s="106">
        <v>28.69</v>
      </c>
      <c r="R129" s="106">
        <v>32</v>
      </c>
      <c r="S129" s="106">
        <v>31</v>
      </c>
      <c r="T129" s="106">
        <v>31.4</v>
      </c>
      <c r="U129" s="106">
        <v>16</v>
      </c>
      <c r="V129" s="106">
        <v>13</v>
      </c>
      <c r="W129" s="106">
        <v>12</v>
      </c>
      <c r="X129" s="106">
        <v>12</v>
      </c>
      <c r="Y129" s="106">
        <v>13</v>
      </c>
      <c r="Z129" s="106">
        <v>13</v>
      </c>
      <c r="AA129" s="106">
        <v>12</v>
      </c>
      <c r="AB129" s="106">
        <v>10.9</v>
      </c>
      <c r="AC129" s="106">
        <v>10</v>
      </c>
      <c r="AD129" s="106">
        <v>8.1999999999999993</v>
      </c>
      <c r="AE129" s="106">
        <v>17.600000000000001</v>
      </c>
      <c r="AF129" s="106">
        <v>25.8</v>
      </c>
      <c r="AG129" s="114"/>
      <c r="AH129" s="47">
        <f t="shared" si="20"/>
        <v>32</v>
      </c>
      <c r="AI129" s="48">
        <f t="shared" si="21"/>
        <v>8.1999999999999993</v>
      </c>
    </row>
    <row r="130" spans="1:37" ht="15.75" thickBot="1" x14ac:dyDescent="0.3">
      <c r="A130" s="173" t="s">
        <v>258</v>
      </c>
      <c r="B130" s="106">
        <v>84.4</v>
      </c>
      <c r="C130" s="106">
        <v>85.6</v>
      </c>
      <c r="D130" s="106">
        <v>84.8</v>
      </c>
      <c r="E130" s="106">
        <v>84.7</v>
      </c>
      <c r="F130" s="106">
        <v>78.8</v>
      </c>
      <c r="G130" s="106">
        <v>86.6</v>
      </c>
      <c r="H130" s="106">
        <v>86.6</v>
      </c>
      <c r="I130" s="106">
        <v>86.6</v>
      </c>
      <c r="J130" s="106">
        <v>80</v>
      </c>
      <c r="K130" s="106">
        <v>99.4</v>
      </c>
      <c r="L130" s="106">
        <v>107.6</v>
      </c>
      <c r="M130" s="106">
        <v>80.7</v>
      </c>
      <c r="N130" s="106">
        <v>61</v>
      </c>
      <c r="O130" s="106">
        <v>39.5</v>
      </c>
      <c r="P130" s="106">
        <v>73</v>
      </c>
      <c r="Q130" s="106">
        <v>106</v>
      </c>
      <c r="R130" s="106">
        <v>114</v>
      </c>
      <c r="S130" s="106">
        <v>116.4</v>
      </c>
      <c r="T130" s="106">
        <v>120</v>
      </c>
      <c r="U130" s="106">
        <v>124</v>
      </c>
      <c r="V130" s="106">
        <v>108</v>
      </c>
      <c r="W130" s="106">
        <v>102</v>
      </c>
      <c r="X130" s="106">
        <v>119</v>
      </c>
      <c r="Y130" s="106">
        <v>107</v>
      </c>
      <c r="Z130" s="106">
        <v>103</v>
      </c>
      <c r="AA130" s="106">
        <v>94.2</v>
      </c>
      <c r="AB130" s="106">
        <v>76.8</v>
      </c>
      <c r="AC130" s="106">
        <v>71.099999999999994</v>
      </c>
      <c r="AD130" s="106">
        <v>66.099999999999994</v>
      </c>
      <c r="AE130" s="106">
        <v>98.8</v>
      </c>
      <c r="AF130" s="106">
        <v>94.5</v>
      </c>
      <c r="AG130" s="114"/>
      <c r="AH130" s="47">
        <f t="shared" si="20"/>
        <v>124</v>
      </c>
      <c r="AI130" s="48">
        <f t="shared" si="21"/>
        <v>39.5</v>
      </c>
    </row>
    <row r="131" spans="1:37" x14ac:dyDescent="0.25">
      <c r="A131" s="144" t="s">
        <v>238</v>
      </c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5"/>
      <c r="AG131" s="43"/>
      <c r="AH131" s="47"/>
      <c r="AI131" s="48"/>
    </row>
    <row r="132" spans="1:37" x14ac:dyDescent="0.25">
      <c r="A132" s="189" t="s">
        <v>368</v>
      </c>
      <c r="B132" s="147">
        <v>1983.78</v>
      </c>
      <c r="C132" s="147">
        <v>1984.07</v>
      </c>
      <c r="D132" s="147">
        <v>1984.3</v>
      </c>
      <c r="E132" s="147">
        <v>1984.54</v>
      </c>
      <c r="F132" s="147">
        <v>1984.78</v>
      </c>
      <c r="G132" s="147">
        <v>1985</v>
      </c>
      <c r="H132" s="147"/>
      <c r="I132" s="147"/>
      <c r="J132" s="147"/>
      <c r="K132" s="147">
        <v>1985.18</v>
      </c>
      <c r="L132" s="147"/>
      <c r="M132" s="191">
        <v>1984.1</v>
      </c>
      <c r="N132" s="191">
        <v>1983.3</v>
      </c>
      <c r="O132" s="191"/>
      <c r="P132" s="191">
        <v>1982.68</v>
      </c>
      <c r="Q132" s="191">
        <v>1982.98</v>
      </c>
      <c r="R132" s="191">
        <v>1983.25</v>
      </c>
      <c r="S132" s="147">
        <v>1983.5</v>
      </c>
      <c r="T132" s="147">
        <v>1983.75</v>
      </c>
      <c r="U132" s="147">
        <v>1983.98</v>
      </c>
      <c r="V132" s="147">
        <v>1984.15</v>
      </c>
      <c r="W132" s="147">
        <v>1984.15</v>
      </c>
      <c r="X132" s="147">
        <v>1984.08</v>
      </c>
      <c r="Y132" s="147">
        <v>1983.67</v>
      </c>
      <c r="Z132" s="147">
        <v>1983.1</v>
      </c>
      <c r="AA132" s="147">
        <v>1982.5</v>
      </c>
      <c r="AB132" s="147">
        <v>1982.6</v>
      </c>
      <c r="AC132" s="147"/>
      <c r="AD132" s="147">
        <v>1982.8</v>
      </c>
      <c r="AE132" s="147">
        <v>1983.0740000000001</v>
      </c>
      <c r="AF132" s="147">
        <v>1983.34</v>
      </c>
      <c r="AG132" s="149"/>
      <c r="AH132" s="47"/>
      <c r="AI132" s="48"/>
    </row>
    <row r="133" spans="1:37" x14ac:dyDescent="0.25">
      <c r="A133" s="189" t="s">
        <v>239</v>
      </c>
      <c r="B133" s="150">
        <v>519.29999999999995</v>
      </c>
      <c r="C133" s="150">
        <v>519.46</v>
      </c>
      <c r="D133" s="150">
        <v>519.9</v>
      </c>
      <c r="E133" s="150">
        <v>520.29999999999995</v>
      </c>
      <c r="F133" s="150">
        <v>520.67999999999995</v>
      </c>
      <c r="G133" s="150">
        <v>521.02</v>
      </c>
      <c r="H133" s="150"/>
      <c r="I133" s="150">
        <v>521.29999999999995</v>
      </c>
      <c r="J133" s="150"/>
      <c r="K133" s="150">
        <v>521.16</v>
      </c>
      <c r="L133" s="150"/>
      <c r="M133" s="192">
        <v>520.9</v>
      </c>
      <c r="N133" s="192">
        <v>520.6</v>
      </c>
      <c r="O133" s="192">
        <v>520.41</v>
      </c>
      <c r="P133" s="192">
        <v>520.37</v>
      </c>
      <c r="Q133" s="192">
        <v>520.23</v>
      </c>
      <c r="R133" s="192">
        <v>520.04</v>
      </c>
      <c r="S133" s="150">
        <v>520.1</v>
      </c>
      <c r="T133" s="150">
        <v>520.24</v>
      </c>
      <c r="U133" s="150">
        <v>520.4</v>
      </c>
      <c r="V133" s="150">
        <v>520.58000000000004</v>
      </c>
      <c r="W133" s="150"/>
      <c r="X133" s="150">
        <v>520.66</v>
      </c>
      <c r="Y133" s="150"/>
      <c r="Z133" s="150">
        <v>520.1</v>
      </c>
      <c r="AA133" s="150"/>
      <c r="AB133" s="150">
        <v>519.46</v>
      </c>
      <c r="AC133" s="150"/>
      <c r="AD133" s="150">
        <v>519.47</v>
      </c>
      <c r="AE133" s="150">
        <v>519.67999999999995</v>
      </c>
      <c r="AF133" s="150">
        <v>520</v>
      </c>
      <c r="AG133" s="149"/>
      <c r="AH133" s="47"/>
      <c r="AI133" s="48"/>
    </row>
    <row r="134" spans="1:37" x14ac:dyDescent="0.25">
      <c r="A134" s="189" t="s">
        <v>240</v>
      </c>
      <c r="B134" s="150">
        <v>622.41</v>
      </c>
      <c r="C134" s="150">
        <v>622.95000000000005</v>
      </c>
      <c r="D134" s="150">
        <v>623.35</v>
      </c>
      <c r="E134" s="150">
        <v>623.67999999999995</v>
      </c>
      <c r="F134" s="150">
        <v>624.01</v>
      </c>
      <c r="G134" s="150">
        <v>624.44000000000005</v>
      </c>
      <c r="H134" s="150"/>
      <c r="I134" s="150"/>
      <c r="J134" s="150"/>
      <c r="K134" s="150">
        <v>624.38</v>
      </c>
      <c r="L134" s="150"/>
      <c r="M134" s="192">
        <v>623.97</v>
      </c>
      <c r="N134" s="192">
        <v>623.33000000000004</v>
      </c>
      <c r="O134" s="192">
        <v>623.15</v>
      </c>
      <c r="P134" s="192">
        <v>623.16</v>
      </c>
      <c r="Q134" s="192">
        <v>623.21</v>
      </c>
      <c r="R134" s="192">
        <v>623.14</v>
      </c>
      <c r="S134" s="150">
        <v>623.16</v>
      </c>
      <c r="T134" s="150">
        <v>623.22</v>
      </c>
      <c r="U134" s="150">
        <v>623.20000000000005</v>
      </c>
      <c r="V134" s="150">
        <v>623.23</v>
      </c>
      <c r="W134" s="150"/>
      <c r="X134" s="150">
        <v>623.16</v>
      </c>
      <c r="Y134" s="150"/>
      <c r="Z134" s="150">
        <v>622.44000000000005</v>
      </c>
      <c r="AA134" s="150"/>
      <c r="AB134" s="150">
        <v>621.5</v>
      </c>
      <c r="AC134" s="150"/>
      <c r="AD134" s="150">
        <v>621.30999999999995</v>
      </c>
      <c r="AE134" s="150">
        <v>621.47</v>
      </c>
      <c r="AF134" s="150">
        <v>621.76</v>
      </c>
      <c r="AG134" s="149"/>
      <c r="AH134" s="47"/>
      <c r="AI134" s="48"/>
    </row>
    <row r="135" spans="1:37" x14ac:dyDescent="0.25">
      <c r="A135" s="189" t="s">
        <v>241</v>
      </c>
      <c r="B135" s="150">
        <v>334.85</v>
      </c>
      <c r="C135" s="150">
        <v>335.24</v>
      </c>
      <c r="D135" s="150">
        <v>335.6</v>
      </c>
      <c r="E135" s="150">
        <v>335.93</v>
      </c>
      <c r="F135" s="150">
        <v>336.27</v>
      </c>
      <c r="G135" s="150">
        <v>336.55</v>
      </c>
      <c r="H135" s="150"/>
      <c r="I135" s="150"/>
      <c r="J135" s="150"/>
      <c r="K135" s="150">
        <v>336.25</v>
      </c>
      <c r="L135" s="150"/>
      <c r="M135" s="192">
        <v>335.85</v>
      </c>
      <c r="N135" s="192">
        <v>335.32</v>
      </c>
      <c r="O135" s="192">
        <v>334.95</v>
      </c>
      <c r="P135" s="192">
        <v>334.81</v>
      </c>
      <c r="Q135" s="192">
        <v>334.75</v>
      </c>
      <c r="R135" s="192">
        <v>334.97</v>
      </c>
      <c r="S135" s="150">
        <v>335.45</v>
      </c>
      <c r="T135" s="150">
        <v>335.74</v>
      </c>
      <c r="U135" s="150">
        <v>335.81</v>
      </c>
      <c r="V135" s="150">
        <v>335.81</v>
      </c>
      <c r="W135" s="150"/>
      <c r="X135" s="150">
        <v>335.86</v>
      </c>
      <c r="Y135" s="150"/>
      <c r="Z135" s="150">
        <v>335.66</v>
      </c>
      <c r="AA135" s="150"/>
      <c r="AB135" s="150">
        <v>335.35</v>
      </c>
      <c r="AC135" s="150"/>
      <c r="AD135" s="150">
        <v>335.08</v>
      </c>
      <c r="AE135" s="150">
        <v>334.7</v>
      </c>
      <c r="AF135" s="150">
        <v>334.7</v>
      </c>
      <c r="AG135" s="149"/>
      <c r="AH135" s="47"/>
      <c r="AI135" s="48"/>
    </row>
    <row r="136" spans="1:37" x14ac:dyDescent="0.25">
      <c r="A136" s="189" t="s">
        <v>407</v>
      </c>
      <c r="B136" s="150">
        <v>883.6</v>
      </c>
      <c r="C136" s="150">
        <v>884.3</v>
      </c>
      <c r="D136" s="150">
        <v>885</v>
      </c>
      <c r="E136" s="150">
        <v>855.6</v>
      </c>
      <c r="F136" s="150">
        <v>886.2</v>
      </c>
      <c r="G136" s="150">
        <v>886.7</v>
      </c>
      <c r="H136" s="150"/>
      <c r="I136" s="150"/>
      <c r="J136" s="150"/>
      <c r="K136" s="150">
        <v>886.6</v>
      </c>
      <c r="L136" s="150"/>
      <c r="M136" s="192">
        <v>886.6</v>
      </c>
      <c r="N136" s="192">
        <v>884.2</v>
      </c>
      <c r="O136" s="192">
        <v>883.1</v>
      </c>
      <c r="P136" s="192"/>
      <c r="Q136" s="192">
        <v>884</v>
      </c>
      <c r="R136" s="192">
        <v>885.3</v>
      </c>
      <c r="S136" s="150">
        <v>885.2</v>
      </c>
      <c r="T136" s="150">
        <v>884.9</v>
      </c>
      <c r="U136" s="150">
        <v>884.7</v>
      </c>
      <c r="V136" s="150">
        <v>884.6</v>
      </c>
      <c r="W136" s="150"/>
      <c r="X136" s="150">
        <v>885</v>
      </c>
      <c r="Y136" s="150"/>
      <c r="Z136" s="150">
        <v>883.5</v>
      </c>
      <c r="AA136" s="150"/>
      <c r="AB136" s="150">
        <v>881.9</v>
      </c>
      <c r="AC136" s="150"/>
      <c r="AD136" s="150">
        <v>881.8</v>
      </c>
      <c r="AE136" s="150">
        <v>882.7</v>
      </c>
      <c r="AF136" s="150">
        <v>883.6</v>
      </c>
      <c r="AG136" s="149"/>
      <c r="AH136" s="47"/>
      <c r="AI136" s="48"/>
    </row>
    <row r="137" spans="1:37" ht="15.75" thickBot="1" x14ac:dyDescent="0.3">
      <c r="A137" s="189" t="s">
        <v>242</v>
      </c>
      <c r="B137" s="152">
        <v>1518.77</v>
      </c>
      <c r="C137" s="152"/>
      <c r="D137" s="152"/>
      <c r="E137" s="152"/>
      <c r="F137" s="152"/>
      <c r="G137" s="152">
        <v>1518.78</v>
      </c>
      <c r="H137" s="152"/>
      <c r="I137" s="152"/>
      <c r="J137" s="152"/>
      <c r="K137" s="152"/>
      <c r="L137" s="152"/>
      <c r="M137" s="193"/>
      <c r="N137" s="193"/>
      <c r="O137" s="193"/>
      <c r="P137" s="193"/>
      <c r="Q137" s="193">
        <v>1518.79</v>
      </c>
      <c r="R137" s="193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  <c r="AC137" s="152"/>
      <c r="AD137" s="152"/>
      <c r="AE137" s="152"/>
      <c r="AF137" s="153"/>
      <c r="AG137" s="149"/>
      <c r="AH137" s="47"/>
      <c r="AI137" s="48"/>
    </row>
    <row r="138" spans="1:37" ht="16.5" thickBot="1" x14ac:dyDescent="0.3">
      <c r="A138" s="120" t="s">
        <v>125</v>
      </c>
      <c r="B138" s="121"/>
      <c r="C138" s="121"/>
      <c r="D138" s="121"/>
      <c r="E138" s="121"/>
      <c r="F138" s="170" t="s">
        <v>254</v>
      </c>
      <c r="G138" s="170" t="s">
        <v>254</v>
      </c>
      <c r="H138" s="121"/>
      <c r="I138" s="121"/>
      <c r="J138" s="121"/>
      <c r="K138" s="121"/>
      <c r="L138" s="121"/>
      <c r="M138" s="248"/>
      <c r="N138" s="248"/>
      <c r="O138" s="248"/>
      <c r="P138" s="248"/>
      <c r="Q138" s="248"/>
      <c r="R138" s="248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74"/>
      <c r="AH138" s="47"/>
      <c r="AI138" s="48"/>
      <c r="AK138" s="50"/>
    </row>
    <row r="139" spans="1:37" x14ac:dyDescent="0.25">
      <c r="A139" s="122" t="s">
        <v>126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5">
        <v>9.94</v>
      </c>
      <c r="AH139" s="47"/>
      <c r="AI139" s="48"/>
      <c r="AK139" s="50"/>
    </row>
    <row r="140" spans="1:37" x14ac:dyDescent="0.25">
      <c r="A140" s="103" t="s">
        <v>127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5"/>
      <c r="AH140" s="47"/>
      <c r="AI140" s="48"/>
      <c r="AK140" s="50"/>
    </row>
    <row r="141" spans="1:37" x14ac:dyDescent="0.25">
      <c r="A141" s="103" t="s">
        <v>128</v>
      </c>
      <c r="B141" s="123"/>
      <c r="C141" s="124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5"/>
      <c r="AH141" s="47"/>
      <c r="AI141" s="48"/>
      <c r="AK141" s="50"/>
    </row>
    <row r="142" spans="1:37" x14ac:dyDescent="0.25">
      <c r="A142" s="103" t="s">
        <v>129</v>
      </c>
      <c r="B142" s="123"/>
      <c r="C142" s="124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5"/>
      <c r="AH142" s="47"/>
      <c r="AI142" s="48"/>
      <c r="AK142" s="50"/>
    </row>
    <row r="143" spans="1:37" x14ac:dyDescent="0.25">
      <c r="A143" s="103" t="s">
        <v>130</v>
      </c>
      <c r="B143" s="123"/>
      <c r="C143" s="124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5"/>
      <c r="AH143" s="47"/>
      <c r="AI143" s="48"/>
      <c r="AK143" s="50"/>
    </row>
    <row r="144" spans="1:37" x14ac:dyDescent="0.25">
      <c r="A144" s="103" t="s">
        <v>131</v>
      </c>
      <c r="B144" s="123"/>
      <c r="C144" s="124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5"/>
      <c r="AH144" s="47"/>
      <c r="AI144" s="48"/>
      <c r="AK144" s="50"/>
    </row>
    <row r="145" spans="1:37" x14ac:dyDescent="0.25">
      <c r="A145" s="103" t="s">
        <v>132</v>
      </c>
      <c r="B145" s="123"/>
      <c r="C145" s="124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5"/>
      <c r="AH145" s="47"/>
      <c r="AI145" s="48"/>
      <c r="AK145" s="50"/>
    </row>
    <row r="146" spans="1:37" x14ac:dyDescent="0.25">
      <c r="A146" s="103" t="s">
        <v>133</v>
      </c>
      <c r="B146" s="123"/>
      <c r="C146" s="124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5"/>
      <c r="AH146" s="47"/>
      <c r="AI146" s="48"/>
      <c r="AK146" s="50"/>
    </row>
    <row r="147" spans="1:37" x14ac:dyDescent="0.25">
      <c r="A147" s="103" t="s">
        <v>134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5"/>
      <c r="AH147" s="47"/>
      <c r="AI147" s="48"/>
      <c r="AK147" s="50"/>
    </row>
    <row r="148" spans="1:37" x14ac:dyDescent="0.25">
      <c r="A148" s="103" t="s">
        <v>135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5"/>
      <c r="AH148" s="47"/>
      <c r="AI148" s="48"/>
      <c r="AK148" s="50"/>
    </row>
    <row r="149" spans="1:37" x14ac:dyDescent="0.25">
      <c r="A149" s="103" t="s">
        <v>136</v>
      </c>
      <c r="B149" s="123"/>
      <c r="C149" s="124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5"/>
      <c r="AH149" s="47"/>
      <c r="AI149" s="48"/>
      <c r="AK149" s="50"/>
    </row>
    <row r="150" spans="1:37" x14ac:dyDescent="0.25">
      <c r="A150" s="103" t="s">
        <v>137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5"/>
      <c r="AH150" s="47"/>
      <c r="AI150" s="48"/>
      <c r="AK150" s="50"/>
    </row>
    <row r="151" spans="1:37" x14ac:dyDescent="0.25">
      <c r="A151" s="103" t="s">
        <v>138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5"/>
      <c r="AH151" s="47"/>
      <c r="AI151" s="48"/>
      <c r="AK151" s="50"/>
    </row>
    <row r="152" spans="1:37" x14ac:dyDescent="0.25">
      <c r="A152" s="103" t="s">
        <v>139</v>
      </c>
      <c r="B152" s="123"/>
      <c r="C152" s="124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5"/>
      <c r="AH152" s="47"/>
      <c r="AI152" s="48"/>
      <c r="AK152" s="50"/>
    </row>
    <row r="153" spans="1:37" x14ac:dyDescent="0.25">
      <c r="A153" s="103" t="s">
        <v>140</v>
      </c>
      <c r="B153" s="123"/>
      <c r="C153" s="124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5"/>
      <c r="AH153" s="47"/>
      <c r="AI153" s="48"/>
      <c r="AK153" s="50"/>
    </row>
    <row r="154" spans="1:37" x14ac:dyDescent="0.25">
      <c r="A154" s="103" t="s">
        <v>141</v>
      </c>
      <c r="B154" s="123"/>
      <c r="C154" s="124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5"/>
      <c r="AH154" s="47"/>
      <c r="AI154" s="48"/>
      <c r="AK154" s="50"/>
    </row>
    <row r="155" spans="1:37" x14ac:dyDescent="0.25">
      <c r="A155" s="103" t="s">
        <v>142</v>
      </c>
      <c r="B155" s="126"/>
      <c r="C155" s="127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8">
        <v>9.9</v>
      </c>
      <c r="AH155" s="47"/>
      <c r="AI155" s="48"/>
      <c r="AK155" s="50"/>
    </row>
    <row r="156" spans="1:37" x14ac:dyDescent="0.25">
      <c r="A156" s="116" t="s">
        <v>143</v>
      </c>
      <c r="B156" s="126"/>
      <c r="C156" s="127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9">
        <v>9.6579999999999995</v>
      </c>
      <c r="AH156" s="47"/>
      <c r="AI156" s="48"/>
      <c r="AK156" s="50"/>
    </row>
    <row r="157" spans="1:37" x14ac:dyDescent="0.25">
      <c r="A157" s="116" t="s">
        <v>144</v>
      </c>
      <c r="B157" s="126"/>
      <c r="C157" s="127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9">
        <v>9.6</v>
      </c>
      <c r="AH157" s="47"/>
      <c r="AI157" s="48"/>
      <c r="AK157" s="50"/>
    </row>
    <row r="158" spans="1:37" x14ac:dyDescent="0.25">
      <c r="A158" s="116" t="s">
        <v>145</v>
      </c>
      <c r="B158" s="126"/>
      <c r="C158" s="127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9">
        <v>9.51</v>
      </c>
      <c r="AH158" s="47"/>
      <c r="AI158" s="48"/>
      <c r="AK158" s="50"/>
    </row>
    <row r="159" spans="1:37" x14ac:dyDescent="0.25">
      <c r="A159" s="116" t="s">
        <v>146</v>
      </c>
      <c r="B159" s="126"/>
      <c r="C159" s="127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9">
        <v>9.4</v>
      </c>
      <c r="AH159" s="47"/>
      <c r="AI159" s="48"/>
      <c r="AK159" s="50"/>
    </row>
    <row r="160" spans="1:37" x14ac:dyDescent="0.25">
      <c r="A160" s="116" t="s">
        <v>147</v>
      </c>
      <c r="B160" s="126"/>
      <c r="C160" s="127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9">
        <v>8.8000000000000007</v>
      </c>
      <c r="AH160" s="47"/>
      <c r="AI160" s="48"/>
      <c r="AK160" s="50"/>
    </row>
    <row r="161" spans="1:37" x14ac:dyDescent="0.25">
      <c r="A161" s="116" t="s">
        <v>148</v>
      </c>
      <c r="B161" s="126"/>
      <c r="C161" s="127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9">
        <v>8.5</v>
      </c>
      <c r="AH161" s="47"/>
      <c r="AI161" s="48"/>
      <c r="AK161" s="50"/>
    </row>
    <row r="162" spans="1:37" x14ac:dyDescent="0.25">
      <c r="A162" s="116" t="s">
        <v>149</v>
      </c>
      <c r="B162" s="126"/>
      <c r="C162" s="127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9">
        <v>8.5</v>
      </c>
      <c r="AH162" s="47"/>
      <c r="AI162" s="48"/>
      <c r="AK162" s="50"/>
    </row>
    <row r="163" spans="1:37" x14ac:dyDescent="0.25">
      <c r="A163" s="116" t="s">
        <v>150</v>
      </c>
      <c r="B163" s="126"/>
      <c r="C163" s="127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9">
        <v>8.4</v>
      </c>
      <c r="AH163" s="47"/>
      <c r="AI163" s="48"/>
      <c r="AK163" s="50"/>
    </row>
    <row r="164" spans="1:37" ht="13.5" customHeight="1" x14ac:dyDescent="0.25">
      <c r="A164" s="116" t="s">
        <v>151</v>
      </c>
      <c r="B164" s="126"/>
      <c r="C164" s="127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9">
        <v>8</v>
      </c>
      <c r="AH164" s="47"/>
      <c r="AI164" s="48"/>
      <c r="AK164" s="50"/>
    </row>
    <row r="165" spans="1:37" x14ac:dyDescent="0.25">
      <c r="A165" s="116" t="s">
        <v>152</v>
      </c>
      <c r="B165" s="126"/>
      <c r="C165" s="127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9">
        <v>8</v>
      </c>
      <c r="AH165" s="47"/>
      <c r="AI165" s="48"/>
      <c r="AK165" s="50"/>
    </row>
    <row r="166" spans="1:37" x14ac:dyDescent="0.25">
      <c r="A166" s="116" t="s">
        <v>153</v>
      </c>
      <c r="B166" s="126"/>
      <c r="C166" s="127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9">
        <v>8</v>
      </c>
      <c r="AH166" s="47"/>
      <c r="AI166" s="48"/>
      <c r="AK166" s="50"/>
    </row>
    <row r="167" spans="1:37" x14ac:dyDescent="0.25">
      <c r="A167" s="116" t="s">
        <v>154</v>
      </c>
      <c r="B167" s="126"/>
      <c r="C167" s="127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9">
        <v>7.8</v>
      </c>
      <c r="AH167" s="47"/>
      <c r="AI167" s="48"/>
      <c r="AK167" s="50"/>
    </row>
    <row r="168" spans="1:37" x14ac:dyDescent="0.25">
      <c r="A168" s="116" t="s">
        <v>155</v>
      </c>
      <c r="B168" s="126"/>
      <c r="C168" s="127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9">
        <v>7.6</v>
      </c>
      <c r="AH168" s="47"/>
      <c r="AI168" s="48"/>
      <c r="AK168" s="50"/>
    </row>
    <row r="169" spans="1:37" x14ac:dyDescent="0.25">
      <c r="A169" s="116" t="s">
        <v>156</v>
      </c>
      <c r="B169" s="126"/>
      <c r="C169" s="127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9">
        <v>7.5</v>
      </c>
      <c r="AH169" s="47"/>
      <c r="AI169" s="48"/>
      <c r="AK169" s="50"/>
    </row>
    <row r="170" spans="1:37" x14ac:dyDescent="0.25">
      <c r="A170" s="116" t="s">
        <v>157</v>
      </c>
      <c r="B170" s="126"/>
      <c r="C170" s="127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9">
        <v>7.5</v>
      </c>
      <c r="AH170" s="47"/>
      <c r="AI170" s="48"/>
      <c r="AK170" s="50"/>
    </row>
    <row r="171" spans="1:37" x14ac:dyDescent="0.25">
      <c r="A171" s="116" t="s">
        <v>158</v>
      </c>
      <c r="B171" s="126"/>
      <c r="C171" s="127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9">
        <v>7</v>
      </c>
      <c r="AH171" s="47"/>
      <c r="AI171" s="48"/>
      <c r="AK171" s="50"/>
    </row>
    <row r="172" spans="1:37" x14ac:dyDescent="0.25">
      <c r="A172" s="116" t="s">
        <v>159</v>
      </c>
      <c r="B172" s="126"/>
      <c r="C172" s="127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9">
        <v>7</v>
      </c>
      <c r="AH172" s="47"/>
      <c r="AI172" s="48"/>
      <c r="AK172" s="50"/>
    </row>
    <row r="173" spans="1:37" x14ac:dyDescent="0.25">
      <c r="A173" s="116" t="s">
        <v>160</v>
      </c>
      <c r="B173" s="126"/>
      <c r="C173" s="127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9">
        <v>7</v>
      </c>
      <c r="AH173" s="47"/>
      <c r="AI173" s="48"/>
      <c r="AK173" s="50"/>
    </row>
    <row r="174" spans="1:37" x14ac:dyDescent="0.25">
      <c r="A174" s="116" t="s">
        <v>161</v>
      </c>
      <c r="B174" s="126"/>
      <c r="C174" s="127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9">
        <v>7</v>
      </c>
      <c r="AH174" s="47"/>
      <c r="AI174" s="48"/>
      <c r="AK174" s="50"/>
    </row>
    <row r="175" spans="1:37" x14ac:dyDescent="0.25">
      <c r="A175" s="116" t="s">
        <v>162</v>
      </c>
      <c r="B175" s="126"/>
      <c r="C175" s="127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9">
        <v>6.6</v>
      </c>
      <c r="AH175" s="47"/>
      <c r="AI175" s="48"/>
      <c r="AK175" s="50"/>
    </row>
    <row r="176" spans="1:37" x14ac:dyDescent="0.25">
      <c r="A176" s="116" t="s">
        <v>163</v>
      </c>
      <c r="B176" s="126"/>
      <c r="C176" s="127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9">
        <v>6.6</v>
      </c>
      <c r="AH176" s="47"/>
      <c r="AI176" s="48"/>
      <c r="AK176" s="50"/>
    </row>
    <row r="177" spans="1:37" x14ac:dyDescent="0.25">
      <c r="A177" s="116" t="s">
        <v>164</v>
      </c>
      <c r="B177" s="126"/>
      <c r="C177" s="127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9">
        <v>6.4</v>
      </c>
      <c r="AH177" s="47"/>
      <c r="AI177" s="48"/>
      <c r="AK177" s="50"/>
    </row>
    <row r="178" spans="1:37" x14ac:dyDescent="0.25">
      <c r="A178" s="116" t="s">
        <v>165</v>
      </c>
      <c r="B178" s="126"/>
      <c r="C178" s="127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9">
        <v>6</v>
      </c>
      <c r="AH178" s="47"/>
      <c r="AI178" s="48"/>
      <c r="AK178" s="50"/>
    </row>
    <row r="179" spans="1:37" x14ac:dyDescent="0.25">
      <c r="A179" s="116" t="s">
        <v>166</v>
      </c>
      <c r="B179" s="126"/>
      <c r="C179" s="127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9">
        <v>5.0999999999999996</v>
      </c>
      <c r="AH179" s="47"/>
      <c r="AI179" s="48"/>
      <c r="AK179" s="50"/>
    </row>
    <row r="180" spans="1:37" x14ac:dyDescent="0.25">
      <c r="A180" s="116" t="s">
        <v>167</v>
      </c>
      <c r="B180" s="126"/>
      <c r="C180" s="127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9">
        <v>5</v>
      </c>
      <c r="AH180" s="47"/>
      <c r="AI180" s="48"/>
      <c r="AK180" s="50"/>
    </row>
    <row r="181" spans="1:37" x14ac:dyDescent="0.25">
      <c r="A181" s="103" t="s">
        <v>168</v>
      </c>
      <c r="B181" s="126"/>
      <c r="C181" s="127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8">
        <v>5</v>
      </c>
      <c r="AH181" s="47"/>
      <c r="AI181" s="48"/>
      <c r="AK181" s="50"/>
    </row>
    <row r="182" spans="1:37" x14ac:dyDescent="0.25">
      <c r="A182" s="116" t="s">
        <v>169</v>
      </c>
      <c r="B182" s="126"/>
      <c r="C182" s="127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9">
        <v>5</v>
      </c>
      <c r="AH182" s="47"/>
      <c r="AI182" s="48"/>
      <c r="AK182" s="50"/>
    </row>
    <row r="183" spans="1:37" x14ac:dyDescent="0.25">
      <c r="A183" s="116" t="s">
        <v>170</v>
      </c>
      <c r="B183" s="126"/>
      <c r="C183" s="127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9">
        <v>5</v>
      </c>
      <c r="AH183" s="47"/>
      <c r="AI183" s="48"/>
      <c r="AK183" s="50"/>
    </row>
    <row r="184" spans="1:37" x14ac:dyDescent="0.25">
      <c r="A184" s="116" t="s">
        <v>171</v>
      </c>
      <c r="B184" s="126"/>
      <c r="C184" s="127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9">
        <v>5</v>
      </c>
      <c r="AH184" s="47"/>
      <c r="AI184" s="48"/>
      <c r="AK184" s="50"/>
    </row>
    <row r="185" spans="1:37" x14ac:dyDescent="0.25">
      <c r="A185" s="116" t="s">
        <v>172</v>
      </c>
      <c r="B185" s="126"/>
      <c r="C185" s="127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9">
        <v>5</v>
      </c>
      <c r="AH185" s="47"/>
      <c r="AI185" s="48"/>
      <c r="AK185" s="50"/>
    </row>
    <row r="186" spans="1:37" x14ac:dyDescent="0.25">
      <c r="A186" s="116" t="s">
        <v>173</v>
      </c>
      <c r="B186" s="126"/>
      <c r="C186" s="127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9">
        <v>5</v>
      </c>
      <c r="AH186" s="47"/>
      <c r="AI186" s="48"/>
      <c r="AK186" s="50"/>
    </row>
    <row r="187" spans="1:37" x14ac:dyDescent="0.25">
      <c r="A187" s="116" t="s">
        <v>174</v>
      </c>
      <c r="B187" s="126"/>
      <c r="C187" s="127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9">
        <v>4.9930000000000003</v>
      </c>
      <c r="AH187" s="47"/>
      <c r="AI187" s="48"/>
      <c r="AK187" s="50"/>
    </row>
    <row r="188" spans="1:37" x14ac:dyDescent="0.25">
      <c r="A188" s="116" t="s">
        <v>175</v>
      </c>
      <c r="B188" s="126"/>
      <c r="C188" s="127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9">
        <v>4.9800000000000004</v>
      </c>
      <c r="AH188" s="47"/>
      <c r="AI188" s="48"/>
      <c r="AK188" s="50"/>
    </row>
    <row r="189" spans="1:37" x14ac:dyDescent="0.25">
      <c r="A189" s="116" t="s">
        <v>176</v>
      </c>
      <c r="B189" s="126"/>
      <c r="C189" s="127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9">
        <v>4.95</v>
      </c>
      <c r="AH189" s="47"/>
      <c r="AI189" s="48"/>
      <c r="AK189" s="50"/>
    </row>
    <row r="190" spans="1:37" x14ac:dyDescent="0.25">
      <c r="A190" s="116" t="s">
        <v>177</v>
      </c>
      <c r="B190" s="126"/>
      <c r="C190" s="127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9">
        <v>4.95</v>
      </c>
      <c r="AH190" s="47"/>
      <c r="AI190" s="48"/>
      <c r="AK190" s="50"/>
    </row>
    <row r="191" spans="1:37" x14ac:dyDescent="0.25">
      <c r="A191" s="116" t="s">
        <v>178</v>
      </c>
      <c r="B191" s="126"/>
      <c r="C191" s="127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9">
        <v>4.8</v>
      </c>
      <c r="AH191" s="47"/>
      <c r="AI191" s="48"/>
      <c r="AK191" s="50"/>
    </row>
    <row r="192" spans="1:37" x14ac:dyDescent="0.25">
      <c r="A192" s="116" t="s">
        <v>179</v>
      </c>
      <c r="B192" s="126"/>
      <c r="C192" s="127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9">
        <v>4.8</v>
      </c>
      <c r="AH192" s="47"/>
      <c r="AI192" s="48"/>
      <c r="AK192" s="50"/>
    </row>
    <row r="193" spans="1:37" x14ac:dyDescent="0.25">
      <c r="A193" s="116" t="s">
        <v>180</v>
      </c>
      <c r="B193" s="126"/>
      <c r="C193" s="127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9">
        <v>4.8</v>
      </c>
      <c r="AH193" s="47"/>
      <c r="AI193" s="48"/>
      <c r="AK193" s="50"/>
    </row>
    <row r="194" spans="1:37" x14ac:dyDescent="0.25">
      <c r="A194" s="116" t="s">
        <v>181</v>
      </c>
      <c r="B194" s="126"/>
      <c r="C194" s="127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9">
        <v>4.5</v>
      </c>
      <c r="AH194" s="47"/>
      <c r="AI194" s="48"/>
      <c r="AK194" s="50"/>
    </row>
    <row r="195" spans="1:37" x14ac:dyDescent="0.25">
      <c r="A195" s="116" t="s">
        <v>182</v>
      </c>
      <c r="B195" s="126"/>
      <c r="C195" s="127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9">
        <v>4.5</v>
      </c>
      <c r="AH195" s="47"/>
      <c r="AI195" s="48"/>
      <c r="AK195" s="50"/>
    </row>
    <row r="196" spans="1:37" x14ac:dyDescent="0.25">
      <c r="A196" s="116" t="s">
        <v>183</v>
      </c>
      <c r="B196" s="126"/>
      <c r="C196" s="127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9">
        <v>4.4550000000000001</v>
      </c>
      <c r="AH196" s="47"/>
      <c r="AI196" s="48"/>
      <c r="AK196" s="50"/>
    </row>
    <row r="197" spans="1:37" x14ac:dyDescent="0.25">
      <c r="A197" s="116" t="s">
        <v>184</v>
      </c>
      <c r="B197" s="126"/>
      <c r="C197" s="127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9">
        <v>4.41</v>
      </c>
      <c r="AH197" s="47"/>
      <c r="AI197" s="48"/>
      <c r="AK197" s="50"/>
    </row>
    <row r="198" spans="1:37" x14ac:dyDescent="0.25">
      <c r="A198" s="116" t="s">
        <v>185</v>
      </c>
      <c r="B198" s="126"/>
      <c r="C198" s="127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9">
        <v>4.4000000000000004</v>
      </c>
      <c r="AH198" s="47"/>
      <c r="AI198" s="48"/>
      <c r="AK198" s="50"/>
    </row>
    <row r="199" spans="1:37" x14ac:dyDescent="0.25">
      <c r="A199" s="116" t="s">
        <v>186</v>
      </c>
      <c r="B199" s="126"/>
      <c r="C199" s="127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9">
        <v>4.3600000000000003</v>
      </c>
      <c r="AH199" s="47"/>
      <c r="AI199" s="48"/>
      <c r="AK199" s="50"/>
    </row>
    <row r="200" spans="1:37" x14ac:dyDescent="0.25">
      <c r="A200" s="116" t="s">
        <v>187</v>
      </c>
      <c r="B200" s="126"/>
      <c r="C200" s="127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9">
        <v>4.2</v>
      </c>
      <c r="AH200" s="47"/>
      <c r="AI200" s="48"/>
      <c r="AK200" s="50"/>
    </row>
    <row r="201" spans="1:37" x14ac:dyDescent="0.25">
      <c r="A201" s="116" t="s">
        <v>188</v>
      </c>
      <c r="B201" s="126"/>
      <c r="C201" s="127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9">
        <v>4</v>
      </c>
      <c r="AH201" s="47"/>
      <c r="AI201" s="48"/>
      <c r="AK201" s="50"/>
    </row>
    <row r="202" spans="1:37" x14ac:dyDescent="0.25">
      <c r="A202" s="116" t="s">
        <v>189</v>
      </c>
      <c r="B202" s="126"/>
      <c r="C202" s="127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9">
        <v>4</v>
      </c>
      <c r="AH202" s="47"/>
      <c r="AI202" s="48"/>
      <c r="AK202" s="50"/>
    </row>
    <row r="203" spans="1:37" x14ac:dyDescent="0.25">
      <c r="A203" s="116" t="s">
        <v>190</v>
      </c>
      <c r="B203" s="126"/>
      <c r="C203" s="127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9">
        <v>4</v>
      </c>
      <c r="AH203" s="47"/>
      <c r="AI203" s="48"/>
      <c r="AK203" s="50"/>
    </row>
    <row r="204" spans="1:37" x14ac:dyDescent="0.25">
      <c r="A204" s="116" t="s">
        <v>191</v>
      </c>
      <c r="B204" s="126"/>
      <c r="C204" s="127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9">
        <v>4</v>
      </c>
      <c r="AH204" s="47"/>
      <c r="AI204" s="48"/>
      <c r="AK204" s="50"/>
    </row>
    <row r="205" spans="1:37" x14ac:dyDescent="0.25">
      <c r="A205" s="116" t="s">
        <v>192</v>
      </c>
      <c r="B205" s="126"/>
      <c r="C205" s="127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9">
        <v>4</v>
      </c>
      <c r="AH205" s="47"/>
      <c r="AI205" s="48"/>
      <c r="AK205" s="50"/>
    </row>
    <row r="206" spans="1:37" x14ac:dyDescent="0.25">
      <c r="A206" s="116" t="s">
        <v>193</v>
      </c>
      <c r="B206" s="126"/>
      <c r="C206" s="127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9">
        <v>4</v>
      </c>
      <c r="AH206" s="47"/>
      <c r="AI206" s="48"/>
      <c r="AK206" s="50"/>
    </row>
    <row r="207" spans="1:37" x14ac:dyDescent="0.25">
      <c r="A207" s="116" t="s">
        <v>194</v>
      </c>
      <c r="B207" s="126"/>
      <c r="C207" s="127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9">
        <v>4</v>
      </c>
      <c r="AH207" s="47"/>
      <c r="AI207" s="48"/>
      <c r="AK207" s="50"/>
    </row>
    <row r="208" spans="1:37" x14ac:dyDescent="0.25">
      <c r="A208" s="116" t="s">
        <v>195</v>
      </c>
      <c r="B208" s="126"/>
      <c r="C208" s="127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9">
        <v>4</v>
      </c>
      <c r="AH208" s="47"/>
      <c r="AI208" s="48"/>
      <c r="AK208" s="50"/>
    </row>
    <row r="209" spans="1:37" x14ac:dyDescent="0.25">
      <c r="A209" s="116" t="s">
        <v>196</v>
      </c>
      <c r="B209" s="126"/>
      <c r="C209" s="127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9">
        <v>3.75</v>
      </c>
      <c r="AH209" s="47"/>
      <c r="AI209" s="48"/>
      <c r="AK209" s="50"/>
    </row>
    <row r="210" spans="1:37" x14ac:dyDescent="0.25">
      <c r="A210" s="116" t="s">
        <v>197</v>
      </c>
      <c r="B210" s="126"/>
      <c r="C210" s="127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9">
        <v>3.52</v>
      </c>
      <c r="AH210" s="47"/>
      <c r="AI210" s="48"/>
      <c r="AK210" s="50"/>
    </row>
    <row r="211" spans="1:37" x14ac:dyDescent="0.25">
      <c r="A211" s="116" t="s">
        <v>198</v>
      </c>
      <c r="B211" s="126"/>
      <c r="C211" s="127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9">
        <v>3.33</v>
      </c>
      <c r="AH211" s="47"/>
      <c r="AI211" s="48"/>
      <c r="AK211" s="50"/>
    </row>
    <row r="212" spans="1:37" x14ac:dyDescent="0.25">
      <c r="A212" s="116" t="s">
        <v>199</v>
      </c>
      <c r="B212" s="126"/>
      <c r="C212" s="127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9">
        <v>3.2</v>
      </c>
      <c r="AH212" s="47"/>
      <c r="AI212" s="48"/>
      <c r="AK212" s="50"/>
    </row>
    <row r="213" spans="1:37" x14ac:dyDescent="0.25">
      <c r="A213" s="116" t="s">
        <v>200</v>
      </c>
      <c r="B213" s="126"/>
      <c r="C213" s="127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9">
        <v>3</v>
      </c>
      <c r="AH213" s="47"/>
      <c r="AI213" s="48"/>
      <c r="AK213" s="50"/>
    </row>
    <row r="214" spans="1:37" x14ac:dyDescent="0.25">
      <c r="A214" s="116" t="s">
        <v>201</v>
      </c>
      <c r="B214" s="126"/>
      <c r="C214" s="127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9">
        <v>3</v>
      </c>
      <c r="AH214" s="47"/>
      <c r="AI214" s="48"/>
      <c r="AK214" s="50"/>
    </row>
    <row r="215" spans="1:37" x14ac:dyDescent="0.25">
      <c r="A215" s="116" t="s">
        <v>202</v>
      </c>
      <c r="B215" s="126"/>
      <c r="C215" s="127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9">
        <v>3</v>
      </c>
      <c r="AH215" s="47"/>
      <c r="AI215" s="48"/>
      <c r="AK215" s="50"/>
    </row>
    <row r="216" spans="1:37" x14ac:dyDescent="0.25">
      <c r="A216" s="116" t="s">
        <v>203</v>
      </c>
      <c r="B216" s="126"/>
      <c r="C216" s="127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9">
        <v>3</v>
      </c>
      <c r="AH216" s="47"/>
      <c r="AI216" s="48"/>
      <c r="AK216" s="50"/>
    </row>
    <row r="217" spans="1:37" x14ac:dyDescent="0.25">
      <c r="A217" s="116" t="s">
        <v>204</v>
      </c>
      <c r="B217" s="126"/>
      <c r="C217" s="127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9">
        <v>3</v>
      </c>
      <c r="AH217" s="47"/>
      <c r="AI217" s="48"/>
      <c r="AK217" s="50"/>
    </row>
    <row r="218" spans="1:37" x14ac:dyDescent="0.25">
      <c r="A218" s="116" t="s">
        <v>205</v>
      </c>
      <c r="B218" s="126"/>
      <c r="C218" s="127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9">
        <v>3</v>
      </c>
      <c r="AH218" s="47"/>
      <c r="AI218" s="48"/>
      <c r="AK218" s="50"/>
    </row>
    <row r="219" spans="1:37" x14ac:dyDescent="0.25">
      <c r="A219" s="116" t="s">
        <v>206</v>
      </c>
      <c r="B219" s="126"/>
      <c r="C219" s="127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9">
        <v>3</v>
      </c>
      <c r="AH219" s="47"/>
      <c r="AI219" s="48"/>
      <c r="AK219" s="50"/>
    </row>
    <row r="220" spans="1:37" x14ac:dyDescent="0.25">
      <c r="A220" s="116" t="s">
        <v>207</v>
      </c>
      <c r="B220" s="126"/>
      <c r="C220" s="127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9">
        <v>3</v>
      </c>
      <c r="AH220" s="47"/>
      <c r="AI220" s="48"/>
      <c r="AK220" s="50"/>
    </row>
    <row r="221" spans="1:37" x14ac:dyDescent="0.25">
      <c r="A221" s="116" t="s">
        <v>208</v>
      </c>
      <c r="B221" s="126"/>
      <c r="C221" s="127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9">
        <v>2.83</v>
      </c>
      <c r="AH221" s="47"/>
      <c r="AI221" s="48"/>
      <c r="AK221" s="50"/>
    </row>
    <row r="222" spans="1:37" x14ac:dyDescent="0.25">
      <c r="A222" s="116" t="s">
        <v>209</v>
      </c>
      <c r="B222" s="126"/>
      <c r="C222" s="127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9">
        <v>2.5</v>
      </c>
      <c r="AH222" s="47"/>
      <c r="AI222" s="48"/>
      <c r="AK222" s="50"/>
    </row>
    <row r="223" spans="1:37" x14ac:dyDescent="0.25">
      <c r="A223" s="116" t="s">
        <v>210</v>
      </c>
      <c r="B223" s="126"/>
      <c r="C223" s="127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9">
        <v>2.5</v>
      </c>
      <c r="AH223" s="47"/>
      <c r="AI223" s="48"/>
      <c r="AK223" s="50"/>
    </row>
    <row r="224" spans="1:37" x14ac:dyDescent="0.25">
      <c r="A224" s="116" t="s">
        <v>211</v>
      </c>
      <c r="B224" s="126"/>
      <c r="C224" s="127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9">
        <v>2.4</v>
      </c>
      <c r="AH224" s="47"/>
      <c r="AI224" s="48"/>
      <c r="AK224" s="50"/>
    </row>
    <row r="225" spans="1:37" x14ac:dyDescent="0.25">
      <c r="A225" s="116" t="s">
        <v>212</v>
      </c>
      <c r="B225" s="126"/>
      <c r="C225" s="127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9">
        <v>2.4</v>
      </c>
      <c r="AH225" s="47"/>
      <c r="AI225" s="48"/>
      <c r="AK225" s="50"/>
    </row>
    <row r="226" spans="1:37" x14ac:dyDescent="0.25">
      <c r="A226" s="116" t="s">
        <v>213</v>
      </c>
      <c r="B226" s="126"/>
      <c r="C226" s="127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9">
        <v>2.2000000000000002</v>
      </c>
      <c r="AH226" s="47"/>
      <c r="AI226" s="48"/>
      <c r="AK226" s="50"/>
    </row>
    <row r="227" spans="1:37" x14ac:dyDescent="0.25">
      <c r="A227" s="116" t="s">
        <v>214</v>
      </c>
      <c r="B227" s="126"/>
      <c r="C227" s="127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9">
        <v>2</v>
      </c>
      <c r="AH227" s="47"/>
      <c r="AI227" s="48"/>
      <c r="AK227" s="50"/>
    </row>
    <row r="228" spans="1:37" x14ac:dyDescent="0.25">
      <c r="A228" s="116" t="s">
        <v>215</v>
      </c>
      <c r="B228" s="126"/>
      <c r="C228" s="127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9">
        <v>2</v>
      </c>
      <c r="AH228" s="47"/>
      <c r="AI228" s="48"/>
      <c r="AK228" s="50"/>
    </row>
    <row r="229" spans="1:37" x14ac:dyDescent="0.25">
      <c r="A229" s="116" t="s">
        <v>216</v>
      </c>
      <c r="B229" s="126"/>
      <c r="C229" s="127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9">
        <v>2</v>
      </c>
      <c r="AH229" s="47"/>
      <c r="AI229" s="48"/>
      <c r="AK229" s="50"/>
    </row>
    <row r="230" spans="1:37" x14ac:dyDescent="0.25">
      <c r="A230" s="116" t="s">
        <v>217</v>
      </c>
      <c r="B230" s="126"/>
      <c r="C230" s="127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9">
        <v>1.8</v>
      </c>
      <c r="AH230" s="47"/>
      <c r="AI230" s="48"/>
      <c r="AK230" s="50"/>
    </row>
    <row r="231" spans="1:37" x14ac:dyDescent="0.25">
      <c r="A231" s="116" t="s">
        <v>218</v>
      </c>
      <c r="B231" s="126"/>
      <c r="C231" s="127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9">
        <v>1.8</v>
      </c>
      <c r="AH231" s="47"/>
      <c r="AI231" s="48"/>
      <c r="AK231" s="50"/>
    </row>
    <row r="232" spans="1:37" x14ac:dyDescent="0.25">
      <c r="A232" s="116" t="s">
        <v>219</v>
      </c>
      <c r="B232" s="126"/>
      <c r="C232" s="127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9">
        <v>1.65</v>
      </c>
      <c r="AH232" s="47"/>
      <c r="AI232" s="48"/>
      <c r="AK232" s="50"/>
    </row>
    <row r="233" spans="1:37" x14ac:dyDescent="0.25">
      <c r="A233" s="116" t="s">
        <v>220</v>
      </c>
      <c r="B233" s="126"/>
      <c r="C233" s="127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9">
        <v>1.5</v>
      </c>
      <c r="AH233" s="47"/>
      <c r="AI233" s="48"/>
      <c r="AK233" s="50"/>
    </row>
    <row r="234" spans="1:37" x14ac:dyDescent="0.25">
      <c r="A234" s="116" t="s">
        <v>221</v>
      </c>
      <c r="B234" s="126"/>
      <c r="C234" s="127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9">
        <v>0.998</v>
      </c>
      <c r="AH234" s="47"/>
      <c r="AI234" s="48"/>
      <c r="AK234" s="50"/>
    </row>
    <row r="235" spans="1:37" x14ac:dyDescent="0.25">
      <c r="A235" s="116" t="s">
        <v>222</v>
      </c>
      <c r="B235" s="126"/>
      <c r="C235" s="127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9">
        <v>0.997</v>
      </c>
      <c r="AH235" s="47"/>
      <c r="AI235" s="48"/>
      <c r="AK235" s="50"/>
    </row>
    <row r="236" spans="1:37" x14ac:dyDescent="0.25">
      <c r="A236" s="116" t="s">
        <v>223</v>
      </c>
      <c r="B236" s="126"/>
      <c r="C236" s="127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9">
        <v>0.997</v>
      </c>
      <c r="AH236" s="47"/>
      <c r="AI236" s="48"/>
      <c r="AK236" s="50"/>
    </row>
    <row r="237" spans="1:37" x14ac:dyDescent="0.25">
      <c r="A237" s="116" t="s">
        <v>224</v>
      </c>
      <c r="B237" s="126"/>
      <c r="C237" s="127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9">
        <v>0.996</v>
      </c>
      <c r="AH237" s="47"/>
      <c r="AI237" s="48"/>
      <c r="AK237" s="50"/>
    </row>
    <row r="238" spans="1:37" x14ac:dyDescent="0.25">
      <c r="A238" s="116" t="s">
        <v>225</v>
      </c>
      <c r="B238" s="126"/>
      <c r="C238" s="127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9">
        <v>0.996</v>
      </c>
      <c r="AH238" s="47"/>
      <c r="AI238" s="48"/>
      <c r="AK238" s="50"/>
    </row>
    <row r="239" spans="1:37" x14ac:dyDescent="0.25">
      <c r="A239" s="116" t="s">
        <v>226</v>
      </c>
      <c r="B239" s="126"/>
      <c r="C239" s="127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9">
        <v>0.996</v>
      </c>
      <c r="AH239" s="47"/>
      <c r="AI239" s="48"/>
      <c r="AK239" s="50"/>
    </row>
    <row r="240" spans="1:37" x14ac:dyDescent="0.25">
      <c r="A240" s="116" t="s">
        <v>227</v>
      </c>
      <c r="B240" s="126"/>
      <c r="C240" s="127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9">
        <v>0.995</v>
      </c>
      <c r="AH240" s="47"/>
      <c r="AI240" s="48"/>
      <c r="AK240" s="50"/>
    </row>
    <row r="241" spans="1:37" x14ac:dyDescent="0.25">
      <c r="A241" s="116" t="s">
        <v>228</v>
      </c>
      <c r="B241" s="126"/>
      <c r="C241" s="127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9">
        <v>0.99299999999999999</v>
      </c>
      <c r="AH241" s="47"/>
      <c r="AI241" s="48"/>
      <c r="AK241" s="50"/>
    </row>
    <row r="242" spans="1:37" x14ac:dyDescent="0.25">
      <c r="A242" s="116" t="s">
        <v>229</v>
      </c>
      <c r="B242" s="126"/>
      <c r="C242" s="124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9">
        <v>0.99</v>
      </c>
      <c r="AH242" s="47"/>
      <c r="AI242" s="48"/>
      <c r="AK242" s="50"/>
    </row>
    <row r="243" spans="1:37" ht="15.75" thickBot="1" x14ac:dyDescent="0.3">
      <c r="A243" s="116" t="s">
        <v>230</v>
      </c>
      <c r="B243" s="130"/>
      <c r="C243" s="131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29">
        <v>0.97899999999999998</v>
      </c>
      <c r="AH243" s="47"/>
      <c r="AI243" s="48"/>
      <c r="AK243" s="50"/>
    </row>
    <row r="244" spans="1:37" ht="15.75" thickBot="1" x14ac:dyDescent="0.3">
      <c r="A244" s="132" t="s">
        <v>231</v>
      </c>
      <c r="B244" s="133">
        <f t="shared" ref="B244:AG244" si="73">SUM(B139:B243)</f>
        <v>0</v>
      </c>
      <c r="C244" s="134">
        <f t="shared" si="73"/>
        <v>0</v>
      </c>
      <c r="D244" s="134">
        <f t="shared" si="73"/>
        <v>0</v>
      </c>
      <c r="E244" s="134">
        <f t="shared" si="73"/>
        <v>0</v>
      </c>
      <c r="F244" s="134">
        <f t="shared" si="73"/>
        <v>0</v>
      </c>
      <c r="G244" s="134">
        <f t="shared" si="73"/>
        <v>0</v>
      </c>
      <c r="H244" s="134">
        <f t="shared" si="73"/>
        <v>0</v>
      </c>
      <c r="I244" s="134">
        <f t="shared" si="73"/>
        <v>0</v>
      </c>
      <c r="J244" s="134">
        <f t="shared" si="73"/>
        <v>0</v>
      </c>
      <c r="K244" s="134">
        <f t="shared" si="73"/>
        <v>0</v>
      </c>
      <c r="L244" s="134">
        <f t="shared" si="73"/>
        <v>0</v>
      </c>
      <c r="M244" s="134">
        <f t="shared" si="73"/>
        <v>0</v>
      </c>
      <c r="N244" s="134">
        <f t="shared" si="73"/>
        <v>0</v>
      </c>
      <c r="O244" s="134">
        <f t="shared" si="73"/>
        <v>0</v>
      </c>
      <c r="P244" s="134">
        <f t="shared" si="73"/>
        <v>0</v>
      </c>
      <c r="Q244" s="134">
        <f t="shared" si="73"/>
        <v>0</v>
      </c>
      <c r="R244" s="134">
        <f t="shared" si="73"/>
        <v>0</v>
      </c>
      <c r="S244" s="134">
        <f t="shared" si="73"/>
        <v>0</v>
      </c>
      <c r="T244" s="134">
        <f t="shared" si="73"/>
        <v>0</v>
      </c>
      <c r="U244" s="134">
        <f t="shared" si="73"/>
        <v>0</v>
      </c>
      <c r="V244" s="134">
        <f t="shared" si="73"/>
        <v>0</v>
      </c>
      <c r="W244" s="134">
        <f t="shared" si="73"/>
        <v>0</v>
      </c>
      <c r="X244" s="134">
        <f t="shared" si="73"/>
        <v>0</v>
      </c>
      <c r="Y244" s="134">
        <f t="shared" si="73"/>
        <v>0</v>
      </c>
      <c r="Z244" s="134">
        <f t="shared" si="73"/>
        <v>0</v>
      </c>
      <c r="AA244" s="134">
        <f t="shared" si="73"/>
        <v>0</v>
      </c>
      <c r="AB244" s="134">
        <f t="shared" si="73"/>
        <v>0</v>
      </c>
      <c r="AC244" s="134">
        <f t="shared" si="73"/>
        <v>0</v>
      </c>
      <c r="AD244" s="134">
        <f t="shared" si="73"/>
        <v>0</v>
      </c>
      <c r="AE244" s="134">
        <f t="shared" si="73"/>
        <v>0</v>
      </c>
      <c r="AF244" s="135">
        <f t="shared" si="73"/>
        <v>0</v>
      </c>
      <c r="AG244" s="136">
        <f t="shared" si="73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19"/>
      <c r="AH245" s="47"/>
      <c r="AI245" s="48"/>
      <c r="AK245" s="50"/>
    </row>
    <row r="246" spans="1:37" x14ac:dyDescent="0.25">
      <c r="A246" s="100" t="s">
        <v>232</v>
      </c>
      <c r="B246" s="138">
        <f t="shared" ref="B246:B251" si="74">AF246</f>
        <v>0.3</v>
      </c>
      <c r="C246" s="138">
        <v>0.3</v>
      </c>
      <c r="D246" s="138">
        <f t="shared" ref="D246:S251" si="75">C246</f>
        <v>0.3</v>
      </c>
      <c r="E246" s="138">
        <f t="shared" si="75"/>
        <v>0.3</v>
      </c>
      <c r="F246" s="138">
        <f t="shared" si="75"/>
        <v>0.3</v>
      </c>
      <c r="G246" s="138">
        <f t="shared" si="75"/>
        <v>0.3</v>
      </c>
      <c r="H246" s="138">
        <f t="shared" si="75"/>
        <v>0.3</v>
      </c>
      <c r="I246" s="138">
        <f t="shared" si="75"/>
        <v>0.3</v>
      </c>
      <c r="J246" s="138">
        <f t="shared" si="75"/>
        <v>0.3</v>
      </c>
      <c r="K246" s="138">
        <f t="shared" si="75"/>
        <v>0.3</v>
      </c>
      <c r="L246" s="138">
        <f t="shared" si="75"/>
        <v>0.3</v>
      </c>
      <c r="M246" s="138">
        <f t="shared" si="75"/>
        <v>0.3</v>
      </c>
      <c r="N246" s="138">
        <f t="shared" si="75"/>
        <v>0.3</v>
      </c>
      <c r="O246" s="138">
        <f t="shared" si="75"/>
        <v>0.3</v>
      </c>
      <c r="P246" s="138">
        <f t="shared" si="75"/>
        <v>0.3</v>
      </c>
      <c r="Q246" s="138">
        <f t="shared" si="75"/>
        <v>0.3</v>
      </c>
      <c r="R246" s="138">
        <f t="shared" si="75"/>
        <v>0.3</v>
      </c>
      <c r="S246" s="138">
        <f t="shared" si="75"/>
        <v>0.3</v>
      </c>
      <c r="T246" s="138">
        <f t="shared" ref="T246:AF251" si="76">S246</f>
        <v>0.3</v>
      </c>
      <c r="U246" s="138">
        <f t="shared" si="76"/>
        <v>0.3</v>
      </c>
      <c r="V246" s="138">
        <f t="shared" si="76"/>
        <v>0.3</v>
      </c>
      <c r="W246" s="138">
        <f t="shared" si="76"/>
        <v>0.3</v>
      </c>
      <c r="X246" s="138">
        <f t="shared" si="76"/>
        <v>0.3</v>
      </c>
      <c r="Y246" s="138">
        <f t="shared" si="76"/>
        <v>0.3</v>
      </c>
      <c r="Z246" s="138">
        <f t="shared" si="76"/>
        <v>0.3</v>
      </c>
      <c r="AA246" s="138">
        <f t="shared" si="76"/>
        <v>0.3</v>
      </c>
      <c r="AB246" s="138">
        <f t="shared" si="76"/>
        <v>0.3</v>
      </c>
      <c r="AC246" s="138">
        <f t="shared" si="76"/>
        <v>0.3</v>
      </c>
      <c r="AD246" s="138">
        <f t="shared" si="76"/>
        <v>0.3</v>
      </c>
      <c r="AE246" s="138">
        <f t="shared" si="76"/>
        <v>0.3</v>
      </c>
      <c r="AF246" s="138">
        <f t="shared" si="76"/>
        <v>0.3</v>
      </c>
      <c r="AG246" s="139">
        <v>2.4</v>
      </c>
      <c r="AH246" s="47"/>
      <c r="AI246" s="48"/>
      <c r="AK246" s="50"/>
    </row>
    <row r="247" spans="1:37" x14ac:dyDescent="0.25">
      <c r="A247" s="103" t="s">
        <v>233</v>
      </c>
      <c r="B247" s="126">
        <f t="shared" si="74"/>
        <v>0.4</v>
      </c>
      <c r="C247" s="126">
        <v>0.4</v>
      </c>
      <c r="D247" s="126">
        <f t="shared" si="75"/>
        <v>0.4</v>
      </c>
      <c r="E247" s="126">
        <f t="shared" si="75"/>
        <v>0.4</v>
      </c>
      <c r="F247" s="126">
        <f t="shared" si="75"/>
        <v>0.4</v>
      </c>
      <c r="G247" s="126">
        <f t="shared" si="75"/>
        <v>0.4</v>
      </c>
      <c r="H247" s="126">
        <f t="shared" si="75"/>
        <v>0.4</v>
      </c>
      <c r="I247" s="126">
        <f t="shared" si="75"/>
        <v>0.4</v>
      </c>
      <c r="J247" s="126">
        <f t="shared" si="75"/>
        <v>0.4</v>
      </c>
      <c r="K247" s="126">
        <f t="shared" si="75"/>
        <v>0.4</v>
      </c>
      <c r="L247" s="126">
        <f t="shared" si="75"/>
        <v>0.4</v>
      </c>
      <c r="M247" s="126">
        <f t="shared" si="75"/>
        <v>0.4</v>
      </c>
      <c r="N247" s="126">
        <f t="shared" si="75"/>
        <v>0.4</v>
      </c>
      <c r="O247" s="126">
        <f t="shared" si="75"/>
        <v>0.4</v>
      </c>
      <c r="P247" s="126">
        <f t="shared" si="75"/>
        <v>0.4</v>
      </c>
      <c r="Q247" s="126">
        <f t="shared" si="75"/>
        <v>0.4</v>
      </c>
      <c r="R247" s="126">
        <f t="shared" si="75"/>
        <v>0.4</v>
      </c>
      <c r="S247" s="126">
        <f t="shared" si="75"/>
        <v>0.4</v>
      </c>
      <c r="T247" s="126">
        <f t="shared" si="76"/>
        <v>0.4</v>
      </c>
      <c r="U247" s="126">
        <f t="shared" si="76"/>
        <v>0.4</v>
      </c>
      <c r="V247" s="126">
        <f t="shared" si="76"/>
        <v>0.4</v>
      </c>
      <c r="W247" s="126">
        <f t="shared" si="76"/>
        <v>0.4</v>
      </c>
      <c r="X247" s="126">
        <f t="shared" si="76"/>
        <v>0.4</v>
      </c>
      <c r="Y247" s="126">
        <f t="shared" si="76"/>
        <v>0.4</v>
      </c>
      <c r="Z247" s="126">
        <f t="shared" si="76"/>
        <v>0.4</v>
      </c>
      <c r="AA247" s="126">
        <f t="shared" si="76"/>
        <v>0.4</v>
      </c>
      <c r="AB247" s="126">
        <f t="shared" si="76"/>
        <v>0.4</v>
      </c>
      <c r="AC247" s="126">
        <f t="shared" si="76"/>
        <v>0.4</v>
      </c>
      <c r="AD247" s="126">
        <f t="shared" si="76"/>
        <v>0.4</v>
      </c>
      <c r="AE247" s="126">
        <f t="shared" si="76"/>
        <v>0.4</v>
      </c>
      <c r="AF247" s="126">
        <f t="shared" si="76"/>
        <v>0.4</v>
      </c>
      <c r="AG247" s="140">
        <v>2</v>
      </c>
      <c r="AH247" s="47"/>
      <c r="AI247" s="48"/>
      <c r="AK247" s="50"/>
    </row>
    <row r="248" spans="1:37" x14ac:dyDescent="0.25">
      <c r="A248" s="103" t="s">
        <v>234</v>
      </c>
      <c r="B248" s="126">
        <f t="shared" si="74"/>
        <v>1.5</v>
      </c>
      <c r="C248" s="126">
        <v>1.5</v>
      </c>
      <c r="D248" s="126">
        <f t="shared" si="75"/>
        <v>1.5</v>
      </c>
      <c r="E248" s="126">
        <f t="shared" si="75"/>
        <v>1.5</v>
      </c>
      <c r="F248" s="126">
        <f t="shared" si="75"/>
        <v>1.5</v>
      </c>
      <c r="G248" s="126">
        <f t="shared" si="75"/>
        <v>1.5</v>
      </c>
      <c r="H248" s="126">
        <f t="shared" si="75"/>
        <v>1.5</v>
      </c>
      <c r="I248" s="126">
        <f t="shared" si="75"/>
        <v>1.5</v>
      </c>
      <c r="J248" s="126">
        <f t="shared" si="75"/>
        <v>1.5</v>
      </c>
      <c r="K248" s="126">
        <f t="shared" si="75"/>
        <v>1.5</v>
      </c>
      <c r="L248" s="126">
        <f t="shared" si="75"/>
        <v>1.5</v>
      </c>
      <c r="M248" s="126">
        <f t="shared" si="75"/>
        <v>1.5</v>
      </c>
      <c r="N248" s="126">
        <f t="shared" si="75"/>
        <v>1.5</v>
      </c>
      <c r="O248" s="126">
        <f t="shared" si="75"/>
        <v>1.5</v>
      </c>
      <c r="P248" s="126">
        <f t="shared" si="75"/>
        <v>1.5</v>
      </c>
      <c r="Q248" s="126">
        <f t="shared" si="75"/>
        <v>1.5</v>
      </c>
      <c r="R248" s="126">
        <f t="shared" si="75"/>
        <v>1.5</v>
      </c>
      <c r="S248" s="126">
        <f t="shared" si="75"/>
        <v>1.5</v>
      </c>
      <c r="T248" s="126">
        <f t="shared" si="76"/>
        <v>1.5</v>
      </c>
      <c r="U248" s="126">
        <f t="shared" si="76"/>
        <v>1.5</v>
      </c>
      <c r="V248" s="126">
        <f t="shared" si="76"/>
        <v>1.5</v>
      </c>
      <c r="W248" s="126">
        <f t="shared" si="76"/>
        <v>1.5</v>
      </c>
      <c r="X248" s="126">
        <f t="shared" si="76"/>
        <v>1.5</v>
      </c>
      <c r="Y248" s="126">
        <f t="shared" si="76"/>
        <v>1.5</v>
      </c>
      <c r="Z248" s="126">
        <f t="shared" si="76"/>
        <v>1.5</v>
      </c>
      <c r="AA248" s="126">
        <f t="shared" si="76"/>
        <v>1.5</v>
      </c>
      <c r="AB248" s="126">
        <f t="shared" si="76"/>
        <v>1.5</v>
      </c>
      <c r="AC248" s="126">
        <f t="shared" si="76"/>
        <v>1.5</v>
      </c>
      <c r="AD248" s="126">
        <f t="shared" si="76"/>
        <v>1.5</v>
      </c>
      <c r="AE248" s="126">
        <f t="shared" si="76"/>
        <v>1.5</v>
      </c>
      <c r="AF248" s="126">
        <f t="shared" si="76"/>
        <v>1.5</v>
      </c>
      <c r="AG248" s="140">
        <v>1.5</v>
      </c>
      <c r="AH248" s="47"/>
      <c r="AI248" s="48"/>
      <c r="AK248" s="50"/>
    </row>
    <row r="249" spans="1:37" x14ac:dyDescent="0.25">
      <c r="A249" s="103" t="s">
        <v>235</v>
      </c>
      <c r="B249" s="126">
        <f t="shared" si="74"/>
        <v>0.3</v>
      </c>
      <c r="C249" s="126">
        <v>0.3</v>
      </c>
      <c r="D249" s="126">
        <f t="shared" si="75"/>
        <v>0.3</v>
      </c>
      <c r="E249" s="126">
        <f t="shared" si="75"/>
        <v>0.3</v>
      </c>
      <c r="F249" s="126">
        <f t="shared" si="75"/>
        <v>0.3</v>
      </c>
      <c r="G249" s="126">
        <f t="shared" si="75"/>
        <v>0.3</v>
      </c>
      <c r="H249" s="126">
        <f t="shared" si="75"/>
        <v>0.3</v>
      </c>
      <c r="I249" s="126">
        <f t="shared" si="75"/>
        <v>0.3</v>
      </c>
      <c r="J249" s="126">
        <f t="shared" si="75"/>
        <v>0.3</v>
      </c>
      <c r="K249" s="126">
        <f t="shared" si="75"/>
        <v>0.3</v>
      </c>
      <c r="L249" s="126">
        <f t="shared" si="75"/>
        <v>0.3</v>
      </c>
      <c r="M249" s="126">
        <f t="shared" si="75"/>
        <v>0.3</v>
      </c>
      <c r="N249" s="126">
        <f t="shared" si="75"/>
        <v>0.3</v>
      </c>
      <c r="O249" s="126">
        <f t="shared" si="75"/>
        <v>0.3</v>
      </c>
      <c r="P249" s="126">
        <f t="shared" si="75"/>
        <v>0.3</v>
      </c>
      <c r="Q249" s="126">
        <f t="shared" si="75"/>
        <v>0.3</v>
      </c>
      <c r="R249" s="126">
        <f t="shared" si="75"/>
        <v>0.3</v>
      </c>
      <c r="S249" s="126">
        <f t="shared" si="75"/>
        <v>0.3</v>
      </c>
      <c r="T249" s="126">
        <f t="shared" si="76"/>
        <v>0.3</v>
      </c>
      <c r="U249" s="126">
        <f t="shared" si="76"/>
        <v>0.3</v>
      </c>
      <c r="V249" s="126">
        <f t="shared" si="76"/>
        <v>0.3</v>
      </c>
      <c r="W249" s="126">
        <f t="shared" si="76"/>
        <v>0.3</v>
      </c>
      <c r="X249" s="126">
        <f t="shared" si="76"/>
        <v>0.3</v>
      </c>
      <c r="Y249" s="126">
        <f t="shared" si="76"/>
        <v>0.3</v>
      </c>
      <c r="Z249" s="126">
        <f t="shared" si="76"/>
        <v>0.3</v>
      </c>
      <c r="AA249" s="126">
        <f t="shared" si="76"/>
        <v>0.3</v>
      </c>
      <c r="AB249" s="126">
        <f t="shared" si="76"/>
        <v>0.3</v>
      </c>
      <c r="AC249" s="126">
        <f t="shared" si="76"/>
        <v>0.3</v>
      </c>
      <c r="AD249" s="126">
        <f t="shared" si="76"/>
        <v>0.3</v>
      </c>
      <c r="AE249" s="126">
        <f t="shared" si="76"/>
        <v>0.3</v>
      </c>
      <c r="AF249" s="126">
        <f t="shared" si="76"/>
        <v>0.3</v>
      </c>
      <c r="AG249" s="140">
        <v>1</v>
      </c>
      <c r="AH249" s="47"/>
      <c r="AI249" s="48"/>
      <c r="AK249" s="50"/>
    </row>
    <row r="250" spans="1:37" x14ac:dyDescent="0.25">
      <c r="A250" s="103" t="s">
        <v>236</v>
      </c>
      <c r="B250" s="126">
        <f t="shared" si="74"/>
        <v>0.4</v>
      </c>
      <c r="C250" s="126">
        <v>0.4</v>
      </c>
      <c r="D250" s="126">
        <f t="shared" si="75"/>
        <v>0.4</v>
      </c>
      <c r="E250" s="126">
        <f t="shared" si="75"/>
        <v>0.4</v>
      </c>
      <c r="F250" s="126">
        <f t="shared" si="75"/>
        <v>0.4</v>
      </c>
      <c r="G250" s="126">
        <f t="shared" si="75"/>
        <v>0.4</v>
      </c>
      <c r="H250" s="126">
        <f t="shared" si="75"/>
        <v>0.4</v>
      </c>
      <c r="I250" s="126">
        <f t="shared" si="75"/>
        <v>0.4</v>
      </c>
      <c r="J250" s="126">
        <f t="shared" si="75"/>
        <v>0.4</v>
      </c>
      <c r="K250" s="126">
        <f t="shared" si="75"/>
        <v>0.4</v>
      </c>
      <c r="L250" s="126">
        <f t="shared" si="75"/>
        <v>0.4</v>
      </c>
      <c r="M250" s="126">
        <f t="shared" si="75"/>
        <v>0.4</v>
      </c>
      <c r="N250" s="126">
        <f t="shared" si="75"/>
        <v>0.4</v>
      </c>
      <c r="O250" s="126">
        <f t="shared" si="75"/>
        <v>0.4</v>
      </c>
      <c r="P250" s="126">
        <f t="shared" si="75"/>
        <v>0.4</v>
      </c>
      <c r="Q250" s="126">
        <f t="shared" si="75"/>
        <v>0.4</v>
      </c>
      <c r="R250" s="126">
        <f t="shared" si="75"/>
        <v>0.4</v>
      </c>
      <c r="S250" s="126">
        <f t="shared" si="75"/>
        <v>0.4</v>
      </c>
      <c r="T250" s="126">
        <f t="shared" si="76"/>
        <v>0.4</v>
      </c>
      <c r="U250" s="126">
        <f t="shared" si="76"/>
        <v>0.4</v>
      </c>
      <c r="V250" s="126">
        <f t="shared" si="76"/>
        <v>0.4</v>
      </c>
      <c r="W250" s="126">
        <f t="shared" si="76"/>
        <v>0.4</v>
      </c>
      <c r="X250" s="126">
        <f t="shared" si="76"/>
        <v>0.4</v>
      </c>
      <c r="Y250" s="126">
        <f t="shared" si="76"/>
        <v>0.4</v>
      </c>
      <c r="Z250" s="126">
        <f t="shared" si="76"/>
        <v>0.4</v>
      </c>
      <c r="AA250" s="126">
        <f t="shared" si="76"/>
        <v>0.4</v>
      </c>
      <c r="AB250" s="126">
        <f t="shared" si="76"/>
        <v>0.4</v>
      </c>
      <c r="AC250" s="126">
        <f t="shared" si="76"/>
        <v>0.4</v>
      </c>
      <c r="AD250" s="126">
        <f t="shared" si="76"/>
        <v>0.4</v>
      </c>
      <c r="AE250" s="126">
        <f t="shared" si="76"/>
        <v>0.4</v>
      </c>
      <c r="AF250" s="126">
        <f t="shared" si="76"/>
        <v>0.4</v>
      </c>
      <c r="AG250" s="140">
        <v>1</v>
      </c>
      <c r="AH250" s="47"/>
      <c r="AI250" s="48"/>
      <c r="AK250" s="50"/>
    </row>
    <row r="251" spans="1:37" ht="15.75" thickBot="1" x14ac:dyDescent="0.3">
      <c r="A251" s="116" t="s">
        <v>237</v>
      </c>
      <c r="B251" s="130">
        <f t="shared" si="74"/>
        <v>0.64</v>
      </c>
      <c r="C251" s="130">
        <v>0.64</v>
      </c>
      <c r="D251" s="130">
        <f t="shared" si="75"/>
        <v>0.64</v>
      </c>
      <c r="E251" s="130">
        <f t="shared" si="75"/>
        <v>0.64</v>
      </c>
      <c r="F251" s="130">
        <f t="shared" si="75"/>
        <v>0.64</v>
      </c>
      <c r="G251" s="130">
        <f t="shared" si="75"/>
        <v>0.64</v>
      </c>
      <c r="H251" s="130">
        <f t="shared" si="75"/>
        <v>0.64</v>
      </c>
      <c r="I251" s="130">
        <f t="shared" si="75"/>
        <v>0.64</v>
      </c>
      <c r="J251" s="130">
        <f t="shared" si="75"/>
        <v>0.64</v>
      </c>
      <c r="K251" s="130">
        <f t="shared" si="75"/>
        <v>0.64</v>
      </c>
      <c r="L251" s="130">
        <f t="shared" si="75"/>
        <v>0.64</v>
      </c>
      <c r="M251" s="130">
        <f t="shared" si="75"/>
        <v>0.64</v>
      </c>
      <c r="N251" s="130">
        <f t="shared" si="75"/>
        <v>0.64</v>
      </c>
      <c r="O251" s="130">
        <f t="shared" si="75"/>
        <v>0.64</v>
      </c>
      <c r="P251" s="130">
        <f t="shared" si="75"/>
        <v>0.64</v>
      </c>
      <c r="Q251" s="130">
        <f t="shared" si="75"/>
        <v>0.64</v>
      </c>
      <c r="R251" s="130">
        <f t="shared" si="75"/>
        <v>0.64</v>
      </c>
      <c r="S251" s="130">
        <f t="shared" si="75"/>
        <v>0.64</v>
      </c>
      <c r="T251" s="130">
        <f t="shared" si="76"/>
        <v>0.64</v>
      </c>
      <c r="U251" s="130">
        <f t="shared" si="76"/>
        <v>0.64</v>
      </c>
      <c r="V251" s="130">
        <f t="shared" si="76"/>
        <v>0.64</v>
      </c>
      <c r="W251" s="130">
        <f t="shared" si="76"/>
        <v>0.64</v>
      </c>
      <c r="X251" s="130">
        <f t="shared" si="76"/>
        <v>0.64</v>
      </c>
      <c r="Y251" s="130">
        <f t="shared" si="76"/>
        <v>0.64</v>
      </c>
      <c r="Z251" s="130">
        <f t="shared" si="76"/>
        <v>0.64</v>
      </c>
      <c r="AA251" s="130">
        <f t="shared" si="76"/>
        <v>0.64</v>
      </c>
      <c r="AB251" s="130">
        <f t="shared" si="76"/>
        <v>0.64</v>
      </c>
      <c r="AC251" s="130">
        <f t="shared" si="76"/>
        <v>0.64</v>
      </c>
      <c r="AD251" s="130">
        <f t="shared" si="76"/>
        <v>0.64</v>
      </c>
      <c r="AE251" s="130">
        <f t="shared" si="76"/>
        <v>0.64</v>
      </c>
      <c r="AF251" s="130">
        <f t="shared" si="76"/>
        <v>0.64</v>
      </c>
      <c r="AG251" s="141">
        <v>0.66</v>
      </c>
      <c r="AH251" s="47"/>
      <c r="AI251" s="48"/>
    </row>
    <row r="252" spans="1:37" ht="15.75" thickBot="1" x14ac:dyDescent="0.3">
      <c r="A252" s="142" t="s">
        <v>75</v>
      </c>
      <c r="B252" s="134">
        <f t="shared" ref="B252:AG252" si="77">SUM(B246:B251)</f>
        <v>3.54</v>
      </c>
      <c r="C252" s="134">
        <f t="shared" si="77"/>
        <v>3.54</v>
      </c>
      <c r="D252" s="134">
        <f t="shared" si="77"/>
        <v>3.54</v>
      </c>
      <c r="E252" s="134">
        <f t="shared" si="77"/>
        <v>3.54</v>
      </c>
      <c r="F252" s="134">
        <f t="shared" si="77"/>
        <v>3.54</v>
      </c>
      <c r="G252" s="134">
        <f t="shared" si="77"/>
        <v>3.54</v>
      </c>
      <c r="H252" s="134">
        <f t="shared" si="77"/>
        <v>3.54</v>
      </c>
      <c r="I252" s="134">
        <f t="shared" si="77"/>
        <v>3.54</v>
      </c>
      <c r="J252" s="134">
        <f t="shared" si="77"/>
        <v>3.54</v>
      </c>
      <c r="K252" s="134">
        <f t="shared" si="77"/>
        <v>3.54</v>
      </c>
      <c r="L252" s="134">
        <f t="shared" si="77"/>
        <v>3.54</v>
      </c>
      <c r="M252" s="134">
        <f t="shared" si="77"/>
        <v>3.54</v>
      </c>
      <c r="N252" s="134">
        <f t="shared" si="77"/>
        <v>3.54</v>
      </c>
      <c r="O252" s="134">
        <f t="shared" si="77"/>
        <v>3.54</v>
      </c>
      <c r="P252" s="134">
        <f t="shared" si="77"/>
        <v>3.54</v>
      </c>
      <c r="Q252" s="134">
        <f t="shared" si="77"/>
        <v>3.54</v>
      </c>
      <c r="R252" s="134">
        <f t="shared" si="77"/>
        <v>3.54</v>
      </c>
      <c r="S252" s="134">
        <f t="shared" si="77"/>
        <v>3.54</v>
      </c>
      <c r="T252" s="134">
        <f t="shared" si="77"/>
        <v>3.54</v>
      </c>
      <c r="U252" s="134">
        <f t="shared" si="77"/>
        <v>3.54</v>
      </c>
      <c r="V252" s="134">
        <f t="shared" si="77"/>
        <v>3.54</v>
      </c>
      <c r="W252" s="134">
        <f t="shared" si="77"/>
        <v>3.54</v>
      </c>
      <c r="X252" s="134">
        <f t="shared" si="77"/>
        <v>3.54</v>
      </c>
      <c r="Y252" s="134">
        <f t="shared" si="77"/>
        <v>3.54</v>
      </c>
      <c r="Z252" s="134">
        <f t="shared" si="77"/>
        <v>3.54</v>
      </c>
      <c r="AA252" s="134">
        <f t="shared" si="77"/>
        <v>3.54</v>
      </c>
      <c r="AB252" s="134">
        <f t="shared" si="77"/>
        <v>3.54</v>
      </c>
      <c r="AC252" s="134">
        <f t="shared" si="77"/>
        <v>3.54</v>
      </c>
      <c r="AD252" s="134">
        <f t="shared" si="77"/>
        <v>3.54</v>
      </c>
      <c r="AE252" s="134">
        <f t="shared" si="77"/>
        <v>3.54</v>
      </c>
      <c r="AF252" s="134">
        <f t="shared" si="77"/>
        <v>3.54</v>
      </c>
      <c r="AG252" s="143">
        <f t="shared" si="77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37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54" t="s">
        <v>243</v>
      </c>
      <c r="B256" s="155">
        <f>MAX(G99:N99)</f>
        <v>1809.24</v>
      </c>
      <c r="C256" s="156">
        <f>INDEX(G9:N9,1,MATCH(MAX(G99:N99),G99:N99,0))</f>
        <v>0.3125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50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157" t="str">
        <f ca="1">MID(CELL("filename",C7),FIND("]",CELL("filename",C7))+1,600)</f>
        <v>26</v>
      </c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50" x14ac:dyDescent="0.25">
      <c r="A258" s="257" t="s">
        <v>244</v>
      </c>
      <c r="B258" s="257"/>
      <c r="C258" s="43"/>
      <c r="D258" s="157" t="str">
        <f ca="1">"Pie Chart of Daily Peak Demand(Inclusive of Export) of Nepal ("&amp;A4&amp;" "&amp;B4&amp;")"</f>
        <v>Pie Chart of Daily Peak Demand(Inclusive of Export) of Nepal (Nepali Date: 2080/10/26)</v>
      </c>
      <c r="E258" s="43"/>
      <c r="F258" s="43"/>
      <c r="G258" s="157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157" t="str">
        <f ca="1">"Daily Load Curve(Excluding of Export) of Nepal ("&amp;A4&amp;" "&amp;B4&amp;")"</f>
        <v>Daily Load Curve(Excluding of Export) of Nepal (Nepali Date: 2080/10/26)</v>
      </c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50" ht="12.75" customHeight="1" thickBot="1" x14ac:dyDescent="0.3">
      <c r="A259" s="158" t="s">
        <v>7</v>
      </c>
      <c r="B259" s="159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50" ht="15.75" thickTop="1" x14ac:dyDescent="0.25">
      <c r="A260" s="158" t="s">
        <v>245</v>
      </c>
      <c r="B260" s="15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160" t="s">
        <v>246</v>
      </c>
      <c r="T260" s="161">
        <v>0</v>
      </c>
      <c r="U260" s="162">
        <v>4.1666666666666664E-2</v>
      </c>
      <c r="V260" s="163">
        <v>8.3333333333333301E-2</v>
      </c>
      <c r="W260" s="163">
        <v>0.125</v>
      </c>
      <c r="X260" s="163">
        <v>0.16666666666666699</v>
      </c>
      <c r="Y260" s="163">
        <v>0.20833333333333301</v>
      </c>
      <c r="Z260" s="163">
        <v>0.22916666666666666</v>
      </c>
      <c r="AA260" s="163">
        <v>0.25</v>
      </c>
      <c r="AB260" s="163">
        <v>0.27083333333333331</v>
      </c>
      <c r="AC260" s="163">
        <v>0.29166666666666669</v>
      </c>
      <c r="AD260" s="163">
        <v>0.3125</v>
      </c>
      <c r="AE260" s="164">
        <v>0.33333333333333331</v>
      </c>
      <c r="AF260" s="164">
        <v>0.375</v>
      </c>
      <c r="AG260" s="164">
        <v>0.41666666666666702</v>
      </c>
      <c r="AH260" s="164">
        <v>0.45833333333333298</v>
      </c>
      <c r="AI260" s="164">
        <v>0.5</v>
      </c>
      <c r="AJ260" s="164">
        <v>0.54166666666666696</v>
      </c>
      <c r="AK260" s="164">
        <v>0.58333333333333304</v>
      </c>
      <c r="AL260" s="164">
        <v>0.625</v>
      </c>
      <c r="AM260" s="164">
        <v>0.66666666666666696</v>
      </c>
      <c r="AN260" s="164">
        <v>0.70833333333333304</v>
      </c>
      <c r="AO260" s="164">
        <v>0.72916666666666663</v>
      </c>
      <c r="AP260" s="164">
        <v>0.75</v>
      </c>
      <c r="AQ260" s="164">
        <v>0.77083333333333337</v>
      </c>
      <c r="AR260" s="164">
        <v>0.79166666666666663</v>
      </c>
      <c r="AS260" s="164">
        <v>0.8125</v>
      </c>
      <c r="AT260" s="163">
        <v>0.83333333333333337</v>
      </c>
      <c r="AU260" s="163">
        <v>0.85416666666666663</v>
      </c>
      <c r="AV260" s="163">
        <v>0.875</v>
      </c>
      <c r="AW260" s="163">
        <v>0.91666666666666696</v>
      </c>
      <c r="AX260" s="163">
        <v>0.95833333333333304</v>
      </c>
    </row>
    <row r="261" spans="1:50" x14ac:dyDescent="0.25">
      <c r="A261" s="158" t="s">
        <v>247</v>
      </c>
      <c r="B261" s="15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 t="s">
        <v>248</v>
      </c>
      <c r="T261" s="165">
        <f t="shared" ref="T261:AX261" si="78">B99</f>
        <v>1192.74</v>
      </c>
      <c r="U261" s="165">
        <f t="shared" si="78"/>
        <v>1178.54</v>
      </c>
      <c r="V261" s="165">
        <f t="shared" si="78"/>
        <v>1159.6400000000001</v>
      </c>
      <c r="W261" s="165">
        <f t="shared" si="78"/>
        <v>1162.94</v>
      </c>
      <c r="X261" s="165">
        <f t="shared" si="78"/>
        <v>1173.24</v>
      </c>
      <c r="Y261" s="165">
        <f t="shared" si="78"/>
        <v>1203.44</v>
      </c>
      <c r="Z261" s="165">
        <f t="shared" si="78"/>
        <v>1294.7400000000002</v>
      </c>
      <c r="AA261" s="165">
        <f t="shared" si="78"/>
        <v>1395.6399999999999</v>
      </c>
      <c r="AB261" s="165">
        <f t="shared" si="78"/>
        <v>1502.2399999999998</v>
      </c>
      <c r="AC261" s="165">
        <f t="shared" si="78"/>
        <v>1742.04</v>
      </c>
      <c r="AD261" s="165">
        <f t="shared" si="78"/>
        <v>1809.24</v>
      </c>
      <c r="AE261" s="165">
        <f t="shared" si="78"/>
        <v>1774.54</v>
      </c>
      <c r="AF261" s="165">
        <f t="shared" si="78"/>
        <v>1583.74</v>
      </c>
      <c r="AG261" s="165">
        <f t="shared" si="78"/>
        <v>1589.44</v>
      </c>
      <c r="AH261" s="165">
        <f t="shared" si="78"/>
        <v>1302.74</v>
      </c>
      <c r="AI261" s="165">
        <f t="shared" si="78"/>
        <v>1576.54</v>
      </c>
      <c r="AJ261" s="165">
        <f t="shared" si="78"/>
        <v>1525.1399999999999</v>
      </c>
      <c r="AK261" s="165">
        <f t="shared" si="78"/>
        <v>1549.3400000000001</v>
      </c>
      <c r="AL261" s="165">
        <f t="shared" si="78"/>
        <v>1541.44</v>
      </c>
      <c r="AM261" s="165">
        <f t="shared" si="78"/>
        <v>1516.1399999999999</v>
      </c>
      <c r="AN261" s="165">
        <f t="shared" si="78"/>
        <v>1542.24</v>
      </c>
      <c r="AO261" s="165">
        <f t="shared" si="78"/>
        <v>1517.94</v>
      </c>
      <c r="AP261" s="165">
        <f t="shared" si="78"/>
        <v>1711.8400000000001</v>
      </c>
      <c r="AQ261" s="165">
        <f t="shared" si="78"/>
        <v>1860.1000000000001</v>
      </c>
      <c r="AR261" s="165">
        <f t="shared" si="78"/>
        <v>1840.4</v>
      </c>
      <c r="AS261" s="165">
        <f t="shared" si="78"/>
        <v>1877.84</v>
      </c>
      <c r="AT261" s="165">
        <f t="shared" si="78"/>
        <v>1699.7400000000002</v>
      </c>
      <c r="AU261" s="165">
        <f t="shared" si="78"/>
        <v>1604.04</v>
      </c>
      <c r="AV261" s="165">
        <f t="shared" si="78"/>
        <v>1467.64</v>
      </c>
      <c r="AW261" s="165">
        <f t="shared" si="78"/>
        <v>1403.8399999999997</v>
      </c>
      <c r="AX261" s="165">
        <f t="shared" si="78"/>
        <v>1200.44</v>
      </c>
    </row>
    <row r="262" spans="1:50" x14ac:dyDescent="0.25">
      <c r="A262" s="158" t="s">
        <v>249</v>
      </c>
      <c r="B262" s="15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50" x14ac:dyDescent="0.25">
      <c r="A263" s="158" t="s">
        <v>250</v>
      </c>
      <c r="B263" s="15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50" x14ac:dyDescent="0.25">
      <c r="A264" s="158" t="s">
        <v>251</v>
      </c>
      <c r="B264" s="15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50" x14ac:dyDescent="0.25">
      <c r="A265" s="158" t="s">
        <v>252</v>
      </c>
      <c r="B265" s="166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50" x14ac:dyDescent="0.25">
      <c r="A266" s="158" t="s">
        <v>253</v>
      </c>
      <c r="B266" s="15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50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50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50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50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50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50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1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1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1:34" x14ac:dyDescent="0.25">
      <c r="A282" s="167" t="s">
        <v>238</v>
      </c>
      <c r="B282" s="168">
        <f t="shared" ref="B282:AE282" si="79">C251</f>
        <v>0.64</v>
      </c>
      <c r="C282" s="168">
        <f t="shared" si="79"/>
        <v>0.64</v>
      </c>
      <c r="D282" s="168">
        <f t="shared" si="79"/>
        <v>0.64</v>
      </c>
      <c r="E282" s="168">
        <f t="shared" si="79"/>
        <v>0.64</v>
      </c>
      <c r="F282" s="168">
        <f t="shared" si="79"/>
        <v>0.64</v>
      </c>
      <c r="G282" s="168">
        <f t="shared" si="79"/>
        <v>0.64</v>
      </c>
      <c r="H282" s="168">
        <f t="shared" si="79"/>
        <v>0.64</v>
      </c>
      <c r="I282" s="168">
        <f t="shared" si="79"/>
        <v>0.64</v>
      </c>
      <c r="J282" s="168">
        <f t="shared" si="79"/>
        <v>0.64</v>
      </c>
      <c r="K282" s="168">
        <f t="shared" si="79"/>
        <v>0.64</v>
      </c>
      <c r="L282" s="168">
        <f t="shared" si="79"/>
        <v>0.64</v>
      </c>
      <c r="M282" s="168">
        <f t="shared" si="79"/>
        <v>0.64</v>
      </c>
      <c r="N282" s="168">
        <f t="shared" si="79"/>
        <v>0.64</v>
      </c>
      <c r="O282" s="168">
        <f t="shared" si="79"/>
        <v>0.64</v>
      </c>
      <c r="P282" s="168">
        <f t="shared" si="79"/>
        <v>0.64</v>
      </c>
      <c r="Q282" s="168">
        <f t="shared" si="79"/>
        <v>0.64</v>
      </c>
      <c r="R282" s="168">
        <f t="shared" si="79"/>
        <v>0.64</v>
      </c>
      <c r="S282" s="168">
        <f t="shared" si="79"/>
        <v>0.64</v>
      </c>
      <c r="T282" s="168">
        <f t="shared" si="79"/>
        <v>0.64</v>
      </c>
      <c r="U282" s="168">
        <f t="shared" si="79"/>
        <v>0.64</v>
      </c>
      <c r="V282" s="168">
        <f t="shared" si="79"/>
        <v>0.64</v>
      </c>
      <c r="W282" s="168">
        <f t="shared" si="79"/>
        <v>0.64</v>
      </c>
      <c r="X282" s="168">
        <f t="shared" si="79"/>
        <v>0.64</v>
      </c>
      <c r="Y282" s="168">
        <f t="shared" si="79"/>
        <v>0.64</v>
      </c>
      <c r="Z282" s="168">
        <f t="shared" si="79"/>
        <v>0.64</v>
      </c>
      <c r="AA282" s="168">
        <f t="shared" si="79"/>
        <v>0.64</v>
      </c>
      <c r="AB282" s="168">
        <f t="shared" si="79"/>
        <v>0.64</v>
      </c>
      <c r="AC282" s="168">
        <f t="shared" si="79"/>
        <v>0.64</v>
      </c>
      <c r="AD282" s="168">
        <f t="shared" si="79"/>
        <v>0.64</v>
      </c>
      <c r="AE282" s="168">
        <f t="shared" si="79"/>
        <v>0.64</v>
      </c>
      <c r="AF282" s="168">
        <f>B251</f>
        <v>0.64</v>
      </c>
      <c r="AG282" s="43"/>
      <c r="AH282" s="43"/>
    </row>
    <row r="283" spans="1:34" x14ac:dyDescent="0.25">
      <c r="A283" s="169" t="e">
        <f>#REF!</f>
        <v>#REF!</v>
      </c>
      <c r="B283" s="169" t="e">
        <f>IF(#REF!&lt;100,"",#REF!-520)</f>
        <v>#REF!</v>
      </c>
      <c r="C283" s="169" t="e">
        <f>IF(#REF!&lt;100,"",#REF!-520)</f>
        <v>#REF!</v>
      </c>
      <c r="D283" s="169" t="e">
        <f>IF(#REF!&lt;100,"",#REF!-520)</f>
        <v>#REF!</v>
      </c>
      <c r="E283" s="169" t="e">
        <f>IF(#REF!&lt;100,"",#REF!-520)</f>
        <v>#REF!</v>
      </c>
      <c r="F283" s="169" t="e">
        <f>IF(#REF!&lt;100,"",#REF!-520)</f>
        <v>#REF!</v>
      </c>
      <c r="G283" s="169" t="e">
        <f>IF(#REF!&lt;100,"",#REF!-520)</f>
        <v>#REF!</v>
      </c>
      <c r="H283" s="169" t="e">
        <f>IF(#REF!&lt;100,"",#REF!-520)</f>
        <v>#REF!</v>
      </c>
      <c r="I283" s="169" t="e">
        <f>IF(#REF!&lt;100,"",#REF!-520)</f>
        <v>#REF!</v>
      </c>
      <c r="J283" s="169" t="e">
        <f>IF(#REF!&lt;100,"",#REF!-520)</f>
        <v>#REF!</v>
      </c>
      <c r="K283" s="169" t="e">
        <f>IF(#REF!&lt;100,"",#REF!-520)</f>
        <v>#REF!</v>
      </c>
      <c r="L283" s="169" t="e">
        <f>IF(#REF!&lt;100,"",#REF!-520)</f>
        <v>#REF!</v>
      </c>
      <c r="M283" s="169" t="e">
        <f>IF(#REF!&lt;100,"",#REF!-520)</f>
        <v>#REF!</v>
      </c>
      <c r="N283" s="169" t="e">
        <f>IF(#REF!&lt;100,"",#REF!-520)</f>
        <v>#REF!</v>
      </c>
      <c r="O283" s="169" t="e">
        <f>IF(#REF!&lt;100,"",#REF!-520)</f>
        <v>#REF!</v>
      </c>
      <c r="P283" s="169" t="e">
        <f>IF(#REF!&lt;100,"",#REF!-520)</f>
        <v>#REF!</v>
      </c>
      <c r="Q283" s="169" t="e">
        <f>IF(#REF!&lt;100,"",#REF!-520)</f>
        <v>#REF!</v>
      </c>
      <c r="R283" s="169" t="e">
        <f>IF(#REF!&lt;100,"",#REF!-520)</f>
        <v>#REF!</v>
      </c>
      <c r="S283" s="169" t="e">
        <f>IF(#REF!&lt;100,"",#REF!-520)</f>
        <v>#REF!</v>
      </c>
      <c r="T283" s="169" t="e">
        <f>IF(#REF!&lt;100,"",#REF!-520)</f>
        <v>#REF!</v>
      </c>
      <c r="U283" s="169" t="e">
        <f>IF(#REF!&lt;100,"",#REF!-520)</f>
        <v>#REF!</v>
      </c>
      <c r="V283" s="169" t="e">
        <f>IF(#REF!&lt;100,"",#REF!-520)</f>
        <v>#REF!</v>
      </c>
      <c r="W283" s="169" t="e">
        <f>IF(#REF!&lt;100,"",#REF!-520)</f>
        <v>#REF!</v>
      </c>
      <c r="X283" s="169" t="e">
        <f>IF(#REF!&lt;100,"",#REF!-520)</f>
        <v>#REF!</v>
      </c>
      <c r="Y283" s="169" t="e">
        <f>IF(#REF!&lt;100,"",#REF!-520)</f>
        <v>#REF!</v>
      </c>
      <c r="Z283" s="169" t="e">
        <f>IF(#REF!&lt;100,"",#REF!-520)</f>
        <v>#REF!</v>
      </c>
      <c r="AA283" s="169" t="e">
        <f>IF(#REF!&lt;100,"",#REF!-520)</f>
        <v>#REF!</v>
      </c>
      <c r="AB283" s="169" t="e">
        <f>IF(#REF!&lt;100,"",#REF!-520)</f>
        <v>#REF!</v>
      </c>
      <c r="AC283" s="169" t="e">
        <f>IF(#REF!&lt;100,"",#REF!-520)</f>
        <v>#REF!</v>
      </c>
      <c r="AD283" s="169" t="e">
        <f>IF(#REF!&lt;100,"",#REF!-520)</f>
        <v>#REF!</v>
      </c>
      <c r="AE283" s="169" t="e">
        <f>IF(#REF!&lt;100,"",#REF!-520)</f>
        <v>#REF!</v>
      </c>
      <c r="AF283" s="169" t="e">
        <f>IF(#REF!&lt;100,"",#REF!-520)</f>
        <v>#REF!</v>
      </c>
      <c r="AG283" s="43"/>
      <c r="AH283" s="43"/>
    </row>
    <row r="284" spans="1:34" x14ac:dyDescent="0.25">
      <c r="A284" s="169" t="e">
        <f>#REF!</f>
        <v>#REF!</v>
      </c>
      <c r="B284" s="169" t="e">
        <f>IF(#REF!&lt;100,"",#REF!-620)</f>
        <v>#REF!</v>
      </c>
      <c r="C284" s="169" t="e">
        <f>IF(#REF!&lt;100,"",#REF!-620)</f>
        <v>#REF!</v>
      </c>
      <c r="D284" s="169" t="e">
        <f>IF(#REF!&lt;100,"",#REF!-620)</f>
        <v>#REF!</v>
      </c>
      <c r="E284" s="169" t="e">
        <f>IF(#REF!&lt;100,"",#REF!-620)</f>
        <v>#REF!</v>
      </c>
      <c r="F284" s="169" t="e">
        <f>IF(#REF!&lt;100,"",#REF!-620)</f>
        <v>#REF!</v>
      </c>
      <c r="G284" s="169" t="e">
        <f>IF(#REF!&lt;100,"",#REF!-620)</f>
        <v>#REF!</v>
      </c>
      <c r="H284" s="169" t="e">
        <f>IF(#REF!&lt;100,"",#REF!-620)</f>
        <v>#REF!</v>
      </c>
      <c r="I284" s="169" t="e">
        <f>IF(#REF!&lt;100,"",#REF!-620)</f>
        <v>#REF!</v>
      </c>
      <c r="J284" s="169" t="e">
        <f>IF(#REF!&lt;100,"",#REF!-620)</f>
        <v>#REF!</v>
      </c>
      <c r="K284" s="169" t="e">
        <f>IF(#REF!&lt;100,"",#REF!-620)</f>
        <v>#REF!</v>
      </c>
      <c r="L284" s="169" t="e">
        <f>IF(#REF!&lt;100,"",#REF!-620)</f>
        <v>#REF!</v>
      </c>
      <c r="M284" s="169" t="e">
        <f>IF(#REF!&lt;100,"",#REF!-620)</f>
        <v>#REF!</v>
      </c>
      <c r="N284" s="169" t="e">
        <f>IF(#REF!&lt;100,"",#REF!-620)</f>
        <v>#REF!</v>
      </c>
      <c r="O284" s="169" t="e">
        <f>IF(#REF!&lt;100,"",#REF!-620)</f>
        <v>#REF!</v>
      </c>
      <c r="P284" s="169" t="e">
        <f>IF(#REF!&lt;100,"",#REF!-620)</f>
        <v>#REF!</v>
      </c>
      <c r="Q284" s="169" t="e">
        <f>IF(#REF!&lt;100,"",#REF!-620)</f>
        <v>#REF!</v>
      </c>
      <c r="R284" s="169" t="e">
        <f>IF(#REF!&lt;100,"",#REF!-620)</f>
        <v>#REF!</v>
      </c>
      <c r="S284" s="169" t="e">
        <f>IF(#REF!&lt;100,"",#REF!-620)</f>
        <v>#REF!</v>
      </c>
      <c r="T284" s="169" t="e">
        <f>IF(#REF!&lt;100,"",#REF!-620)</f>
        <v>#REF!</v>
      </c>
      <c r="U284" s="169" t="e">
        <f>IF(#REF!&lt;100,"",#REF!-620)</f>
        <v>#REF!</v>
      </c>
      <c r="V284" s="169" t="e">
        <f>IF(#REF!&lt;100,"",#REF!-620)</f>
        <v>#REF!</v>
      </c>
      <c r="W284" s="169" t="e">
        <f>IF(#REF!&lt;100,"",#REF!-620)</f>
        <v>#REF!</v>
      </c>
      <c r="X284" s="169" t="e">
        <f>IF(#REF!&lt;100,"",#REF!-620)</f>
        <v>#REF!</v>
      </c>
      <c r="Y284" s="169" t="e">
        <f>IF(#REF!&lt;100,"",#REF!-620)</f>
        <v>#REF!</v>
      </c>
      <c r="Z284" s="169" t="e">
        <f>IF(#REF!&lt;100,"",#REF!-620)</f>
        <v>#REF!</v>
      </c>
      <c r="AA284" s="169" t="e">
        <f>IF(#REF!&lt;100,"",#REF!-620)</f>
        <v>#REF!</v>
      </c>
      <c r="AB284" s="169" t="e">
        <f>IF(#REF!&lt;100,"",#REF!-620)</f>
        <v>#REF!</v>
      </c>
      <c r="AC284" s="169" t="e">
        <f>IF(#REF!&lt;100,"",#REF!-620)</f>
        <v>#REF!</v>
      </c>
      <c r="AD284" s="169" t="e">
        <f>IF(#REF!&lt;100,"",#REF!-620)</f>
        <v>#REF!</v>
      </c>
      <c r="AE284" s="169" t="e">
        <f>IF(#REF!&lt;100,"",#REF!-620)</f>
        <v>#REF!</v>
      </c>
      <c r="AF284" s="169" t="e">
        <f>IF(#REF!&lt;100,"",#REF!-620)</f>
        <v>#REF!</v>
      </c>
      <c r="AG284" s="43"/>
      <c r="AH284" s="43"/>
    </row>
    <row r="285" spans="1:34" x14ac:dyDescent="0.25">
      <c r="A285" s="169" t="e">
        <f>#REF!</f>
        <v>#REF!</v>
      </c>
      <c r="B285" s="169" t="e">
        <f>IF(#REF!&lt;100,"",#REF!-330)</f>
        <v>#REF!</v>
      </c>
      <c r="C285" s="169" t="e">
        <f>IF(#REF!&lt;100,"",#REF!-330)</f>
        <v>#REF!</v>
      </c>
      <c r="D285" s="169" t="e">
        <f>IF(#REF!&lt;100,"",#REF!-330)</f>
        <v>#REF!</v>
      </c>
      <c r="E285" s="169" t="e">
        <f>IF(#REF!&lt;100,"",#REF!-330)</f>
        <v>#REF!</v>
      </c>
      <c r="F285" s="169" t="e">
        <f>IF(#REF!&lt;100,"",#REF!-330)</f>
        <v>#REF!</v>
      </c>
      <c r="G285" s="169" t="e">
        <f>IF(#REF!&lt;100,"",#REF!-330)</f>
        <v>#REF!</v>
      </c>
      <c r="H285" s="169" t="e">
        <f>IF(#REF!&lt;100,"",#REF!-330)</f>
        <v>#REF!</v>
      </c>
      <c r="I285" s="169" t="e">
        <f>IF(#REF!&lt;100,"",#REF!-330)</f>
        <v>#REF!</v>
      </c>
      <c r="J285" s="169" t="e">
        <f>IF(#REF!&lt;100,"",#REF!-330)</f>
        <v>#REF!</v>
      </c>
      <c r="K285" s="169" t="e">
        <f>IF(#REF!&lt;100,"",#REF!-330)</f>
        <v>#REF!</v>
      </c>
      <c r="L285" s="169" t="e">
        <f>IF(#REF!&lt;100,"",#REF!-330)</f>
        <v>#REF!</v>
      </c>
      <c r="M285" s="169" t="e">
        <f>IF(#REF!&lt;100,"",#REF!-330)</f>
        <v>#REF!</v>
      </c>
      <c r="N285" s="169" t="e">
        <f>IF(#REF!&lt;100,"",#REF!-330)</f>
        <v>#REF!</v>
      </c>
      <c r="O285" s="169" t="e">
        <f>IF(#REF!&lt;100,"",#REF!-330)</f>
        <v>#REF!</v>
      </c>
      <c r="P285" s="169" t="e">
        <f>IF(#REF!&lt;100,"",#REF!-330)</f>
        <v>#REF!</v>
      </c>
      <c r="Q285" s="169" t="e">
        <f>IF(#REF!&lt;100,"",#REF!-330)</f>
        <v>#REF!</v>
      </c>
      <c r="R285" s="169" t="e">
        <f>IF(#REF!&lt;100,"",#REF!-330)</f>
        <v>#REF!</v>
      </c>
      <c r="S285" s="169" t="e">
        <f>IF(#REF!&lt;100,"",#REF!-330)</f>
        <v>#REF!</v>
      </c>
      <c r="T285" s="169" t="e">
        <f>IF(#REF!&lt;100,"",#REF!-330)</f>
        <v>#REF!</v>
      </c>
      <c r="U285" s="169" t="e">
        <f>IF(#REF!&lt;100,"",#REF!-330)</f>
        <v>#REF!</v>
      </c>
      <c r="V285" s="169" t="e">
        <f>IF(#REF!&lt;100,"",#REF!-330)</f>
        <v>#REF!</v>
      </c>
      <c r="W285" s="169" t="e">
        <f>IF(#REF!&lt;100,"",#REF!-330)</f>
        <v>#REF!</v>
      </c>
      <c r="X285" s="169" t="e">
        <f>IF(#REF!&lt;100,"",#REF!-330)</f>
        <v>#REF!</v>
      </c>
      <c r="Y285" s="169" t="e">
        <f>IF(#REF!&lt;100,"",#REF!-330)</f>
        <v>#REF!</v>
      </c>
      <c r="Z285" s="169" t="e">
        <f>IF(#REF!&lt;100,"",#REF!-330)</f>
        <v>#REF!</v>
      </c>
      <c r="AA285" s="169" t="e">
        <f>IF(#REF!&lt;100,"",#REF!-330)</f>
        <v>#REF!</v>
      </c>
      <c r="AB285" s="169" t="e">
        <f>IF(#REF!&lt;100,"",#REF!-330)</f>
        <v>#REF!</v>
      </c>
      <c r="AC285" s="169" t="e">
        <f>IF(#REF!&lt;100,"",#REF!-330)</f>
        <v>#REF!</v>
      </c>
      <c r="AD285" s="169" t="e">
        <f>IF(#REF!&lt;100,"",#REF!-330)</f>
        <v>#REF!</v>
      </c>
      <c r="AE285" s="169" t="e">
        <f>IF(#REF!&lt;100,"",#REF!-330)</f>
        <v>#REF!</v>
      </c>
      <c r="AF285" s="169" t="e">
        <f>IF(#REF!&lt;100,"",#REF!-330)</f>
        <v>#REF!</v>
      </c>
      <c r="AG285" s="43"/>
      <c r="AH285" s="43"/>
    </row>
    <row r="286" spans="1:34" x14ac:dyDescent="0.25">
      <c r="A286" s="169" t="e">
        <f>#REF!</f>
        <v>#REF!</v>
      </c>
      <c r="B286" s="169" t="e">
        <f>IF(#REF!&lt;100,"",#REF!-1500)</f>
        <v>#REF!</v>
      </c>
      <c r="C286" s="169" t="e">
        <f>IF(#REF!&lt;100,"",#REF!-1500)</f>
        <v>#REF!</v>
      </c>
      <c r="D286" s="169" t="e">
        <f>IF(#REF!&lt;100,"",#REF!-1500)</f>
        <v>#REF!</v>
      </c>
      <c r="E286" s="169" t="e">
        <f>IF(#REF!&lt;100,"",#REF!-1500)</f>
        <v>#REF!</v>
      </c>
      <c r="F286" s="169" t="e">
        <f>IF(#REF!&lt;100,"",#REF!-1500)</f>
        <v>#REF!</v>
      </c>
      <c r="G286" s="169" t="e">
        <f>IF(#REF!&lt;100,"",#REF!-1500)</f>
        <v>#REF!</v>
      </c>
      <c r="H286" s="169" t="e">
        <f>IF(#REF!&lt;100,"",#REF!-1500)</f>
        <v>#REF!</v>
      </c>
      <c r="I286" s="169" t="e">
        <f>IF(#REF!&lt;100,"",#REF!-1500)</f>
        <v>#REF!</v>
      </c>
      <c r="J286" s="169" t="e">
        <f>IF(#REF!&lt;100,"",#REF!-1500)</f>
        <v>#REF!</v>
      </c>
      <c r="K286" s="169" t="e">
        <f>IF(#REF!&lt;100,"",#REF!-1500)</f>
        <v>#REF!</v>
      </c>
      <c r="L286" s="169" t="e">
        <f>IF(#REF!&lt;100,"",#REF!-1500)</f>
        <v>#REF!</v>
      </c>
      <c r="M286" s="169" t="e">
        <f>IF(#REF!&lt;100,"",#REF!-1500)</f>
        <v>#REF!</v>
      </c>
      <c r="N286" s="169" t="e">
        <f>IF(#REF!&lt;100,"",#REF!-1500)</f>
        <v>#REF!</v>
      </c>
      <c r="O286" s="169" t="e">
        <f>IF(#REF!&lt;100,"",#REF!-1500)</f>
        <v>#REF!</v>
      </c>
      <c r="P286" s="169" t="e">
        <f>IF(#REF!&lt;100,"",#REF!-1500)</f>
        <v>#REF!</v>
      </c>
      <c r="Q286" s="169" t="e">
        <f>IF(#REF!&lt;100,"",#REF!-1500)</f>
        <v>#REF!</v>
      </c>
      <c r="R286" s="169" t="e">
        <f>IF(#REF!&lt;100,"",#REF!-1500)</f>
        <v>#REF!</v>
      </c>
      <c r="S286" s="169" t="e">
        <f>IF(#REF!&lt;100,"",#REF!-1500)</f>
        <v>#REF!</v>
      </c>
      <c r="T286" s="169" t="e">
        <f>IF(#REF!&lt;100,"",#REF!-1500)</f>
        <v>#REF!</v>
      </c>
      <c r="U286" s="169" t="e">
        <f>IF(#REF!&lt;100,"",#REF!-1500)</f>
        <v>#REF!</v>
      </c>
      <c r="V286" s="169" t="e">
        <f>IF(#REF!&lt;100,"",#REF!-1500)</f>
        <v>#REF!</v>
      </c>
      <c r="W286" s="169" t="e">
        <f>IF(#REF!&lt;100,"",#REF!-1500)</f>
        <v>#REF!</v>
      </c>
      <c r="X286" s="169" t="e">
        <f>IF(#REF!&lt;100,"",#REF!-1500)</f>
        <v>#REF!</v>
      </c>
      <c r="Y286" s="169" t="e">
        <f>IF(#REF!&lt;100,"",#REF!-1500)</f>
        <v>#REF!</v>
      </c>
      <c r="Z286" s="169" t="e">
        <f>IF(#REF!&lt;100,"",#REF!-1500)</f>
        <v>#REF!</v>
      </c>
      <c r="AA286" s="169" t="e">
        <f>IF(#REF!&lt;100,"",#REF!-1500)</f>
        <v>#REF!</v>
      </c>
      <c r="AB286" s="169" t="e">
        <f>IF(#REF!&lt;100,"",#REF!-1500)</f>
        <v>#REF!</v>
      </c>
      <c r="AC286" s="169" t="e">
        <f>IF(#REF!&lt;100,"",#REF!-1500)</f>
        <v>#REF!</v>
      </c>
      <c r="AD286" s="169" t="e">
        <f>IF(#REF!&lt;100,"",#REF!-1500)</f>
        <v>#REF!</v>
      </c>
      <c r="AE286" s="169" t="e">
        <f>IF(#REF!&lt;100,"",#REF!-1500)</f>
        <v>#REF!</v>
      </c>
      <c r="AF286" s="169" t="e">
        <f>IF(#REF!&lt;100,"",#REF!-1500)</f>
        <v>#REF!</v>
      </c>
      <c r="AG286" s="43"/>
      <c r="AH286" s="43"/>
    </row>
    <row r="287" spans="1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1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2:34" x14ac:dyDescent="0.25"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2:34" x14ac:dyDescent="0.25"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2:34" x14ac:dyDescent="0.25"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2:34" x14ac:dyDescent="0.25"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2:34" x14ac:dyDescent="0.25"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phoneticPr fontId="40" type="noConversion"/>
  <conditionalFormatting sqref="A11:A130">
    <cfRule type="expression" dxfId="3741" priority="1">
      <formula>$AH11=0</formula>
    </cfRule>
  </conditionalFormatting>
  <conditionalFormatting sqref="A132:A253">
    <cfRule type="expression" dxfId="3740" priority="6">
      <formula>$AH132=0</formula>
    </cfRule>
  </conditionalFormatting>
  <conditionalFormatting sqref="B8 M8 S8 AB8">
    <cfRule type="expression" dxfId="3739" priority="114">
      <formula>AND(C$9&gt;=14/24,C$9&lt;20/24)</formula>
    </cfRule>
    <cfRule type="expression" dxfId="3738" priority="115">
      <formula>AND(C$9&gt;=8/24,C$9&lt;14/24)</formula>
    </cfRule>
    <cfRule type="expression" dxfId="3737" priority="116">
      <formula>C$9&lt;8/24</formula>
    </cfRule>
  </conditionalFormatting>
  <conditionalFormatting sqref="B63:I74 J64:J74 K68:K74 K69:L71 AB69:AF73 L69:AA74 C73:L73">
    <cfRule type="expression" dxfId="3736" priority="21">
      <formula>B$9&gt;=20/24</formula>
    </cfRule>
    <cfRule type="expression" dxfId="3735" priority="22">
      <formula>AND(B$9&gt;=14/24,B$9&lt;20/24)</formula>
    </cfRule>
    <cfRule type="expression" dxfId="3734" priority="23">
      <formula>AND(B$9&gt;=8/24,B$9&lt;14/24)</formula>
    </cfRule>
    <cfRule type="expression" dxfId="3733" priority="24">
      <formula>B$9&lt;8/24</formula>
    </cfRule>
  </conditionalFormatting>
  <conditionalFormatting sqref="B56:AD56 AE56:AF57 AB57:AD57">
    <cfRule type="expression" dxfId="3732" priority="63">
      <formula>B$9&lt;8/24</formula>
    </cfRule>
  </conditionalFormatting>
  <conditionalFormatting sqref="B9:AF52">
    <cfRule type="expression" dxfId="3731" priority="26">
      <formula>B$9&gt;=20/24</formula>
    </cfRule>
    <cfRule type="expression" dxfId="3730" priority="27">
      <formula>AND(B$9&gt;=14/24,B$9&lt;20/24)</formula>
    </cfRule>
    <cfRule type="expression" dxfId="3729" priority="28">
      <formula>AND(B$9&gt;=8/24,B$9&lt;14/24)</formula>
    </cfRule>
    <cfRule type="expression" dxfId="3728" priority="29">
      <formula>B$9&lt;8/24</formula>
    </cfRule>
  </conditionalFormatting>
  <conditionalFormatting sqref="B11:AF54">
    <cfRule type="expression" dxfId="3727" priority="15">
      <formula>B11&gt;$AG11</formula>
    </cfRule>
  </conditionalFormatting>
  <conditionalFormatting sqref="B53:AF54">
    <cfRule type="expression" dxfId="3726" priority="11">
      <formula>B$9&gt;=20/24</formula>
    </cfRule>
    <cfRule type="expression" dxfId="3725" priority="12">
      <formula>AND(B$9&gt;=14/24,B$9&lt;20/24)</formula>
    </cfRule>
    <cfRule type="expression" dxfId="3724" priority="13">
      <formula>AND(B$9&gt;=8/24,B$9&lt;14/24)</formula>
    </cfRule>
    <cfRule type="expression" dxfId="3723" priority="14">
      <formula>B$9&lt;8/24</formula>
    </cfRule>
  </conditionalFormatting>
  <conditionalFormatting sqref="B55:AF55">
    <cfRule type="expression" dxfId="3722" priority="35">
      <formula>B55&gt;$AG55</formula>
    </cfRule>
  </conditionalFormatting>
  <conditionalFormatting sqref="B55:AF57">
    <cfRule type="expression" dxfId="3721" priority="31">
      <formula>B$9&gt;=20/24</formula>
    </cfRule>
    <cfRule type="expression" dxfId="3720" priority="32">
      <formula>AND(B$9&gt;=14/24,B$9&lt;20/24)</formula>
    </cfRule>
    <cfRule type="expression" dxfId="3719" priority="33">
      <formula>AND(B$9&gt;=8/24,B$9&lt;14/24)</formula>
    </cfRule>
  </conditionalFormatting>
  <conditionalFormatting sqref="B56:AF61">
    <cfRule type="expression" dxfId="3718" priority="30">
      <formula>B56&gt;$AG56</formula>
    </cfRule>
  </conditionalFormatting>
  <conditionalFormatting sqref="B59:AF61">
    <cfRule type="expression" dxfId="3717" priority="41">
      <formula>B$9&gt;=20/24</formula>
    </cfRule>
    <cfRule type="expression" dxfId="3716" priority="42">
      <formula>AND(B$9&gt;=14/24,B$9&lt;20/24)</formula>
    </cfRule>
    <cfRule type="expression" dxfId="3715" priority="43">
      <formula>AND(B$9&gt;=8/24,B$9&lt;14/24)</formula>
    </cfRule>
    <cfRule type="expression" dxfId="3714" priority="44">
      <formula>B$9&lt;8/24</formula>
    </cfRule>
  </conditionalFormatting>
  <conditionalFormatting sqref="B63:AF74">
    <cfRule type="expression" dxfId="3713" priority="20">
      <formula>B63&gt;$AG63</formula>
    </cfRule>
  </conditionalFormatting>
  <conditionalFormatting sqref="B77:AF79">
    <cfRule type="expression" dxfId="3712" priority="45">
      <formula>B77&gt;$AG77</formula>
    </cfRule>
    <cfRule type="expression" dxfId="3711" priority="46">
      <formula>B$9&gt;=20/24</formula>
    </cfRule>
    <cfRule type="expression" dxfId="3710" priority="47">
      <formula>AND(B$9&gt;=14/24,B$9&lt;20/24)</formula>
    </cfRule>
    <cfRule type="expression" dxfId="3709" priority="48">
      <formula>AND(B$9&gt;=8/24,B$9&lt;14/24)</formula>
    </cfRule>
    <cfRule type="expression" dxfId="3708" priority="49">
      <formula>B$9&lt;8/24</formula>
    </cfRule>
  </conditionalFormatting>
  <conditionalFormatting sqref="B81:AF99">
    <cfRule type="expression" dxfId="3707" priority="16">
      <formula>B$9&gt;=20/24</formula>
    </cfRule>
    <cfRule type="expression" dxfId="3706" priority="17">
      <formula>AND(B$9&gt;=14/24,B$9&lt;20/24)</formula>
    </cfRule>
    <cfRule type="expression" dxfId="3705" priority="18">
      <formula>AND(B$9&gt;=8/24,B$9&lt;14/24)</formula>
    </cfRule>
    <cfRule type="expression" dxfId="3704" priority="19">
      <formula>B$9&lt;8/24</formula>
    </cfRule>
  </conditionalFormatting>
  <conditionalFormatting sqref="B101:AF117">
    <cfRule type="expression" dxfId="3703" priority="7">
      <formula>B$9&gt;=20/24</formula>
    </cfRule>
    <cfRule type="expression" dxfId="3702" priority="8">
      <formula>AND(B$9&gt;=14/24,B$9&lt;20/24)</formula>
    </cfRule>
    <cfRule type="expression" dxfId="3701" priority="9">
      <formula>AND(B$9&gt;=8/24,B$9&lt;14/24)</formula>
    </cfRule>
    <cfRule type="expression" dxfId="3700" priority="10">
      <formula>B$9&lt;8/24</formula>
    </cfRule>
  </conditionalFormatting>
  <conditionalFormatting sqref="B119:AF137">
    <cfRule type="expression" dxfId="3699" priority="2">
      <formula>B$9&gt;=20/24</formula>
    </cfRule>
    <cfRule type="expression" dxfId="3698" priority="3">
      <formula>AND(B$9&gt;=14/24,B$9&lt;20/24)</formula>
    </cfRule>
    <cfRule type="expression" dxfId="3697" priority="4">
      <formula>AND(B$9&gt;=8/24,B$9&lt;14/24)</formula>
    </cfRule>
    <cfRule type="expression" dxfId="3696" priority="5">
      <formula>B$9&lt;8/24</formula>
    </cfRule>
  </conditionalFormatting>
  <conditionalFormatting sqref="B244:AF244 B246:B252 D246:AF252 U260:AF260">
    <cfRule type="expression" dxfId="3695" priority="107">
      <formula>B$9&gt;=20/24</formula>
    </cfRule>
    <cfRule type="expression" dxfId="3694" priority="108">
      <formula>AND(B$9&gt;=14/24,B$9&lt;20/24)</formula>
    </cfRule>
    <cfRule type="expression" dxfId="3693" priority="109">
      <formula>AND(B$9&gt;=8/24,B$9&lt;14/24)</formula>
    </cfRule>
    <cfRule type="expression" dxfId="3692" priority="110">
      <formula>B$9&lt;8/24</formula>
    </cfRule>
  </conditionalFormatting>
  <conditionalFormatting sqref="B62:AG62">
    <cfRule type="expression" dxfId="3691" priority="50">
      <formula>B62&gt;$AG62</formula>
    </cfRule>
    <cfRule type="expression" dxfId="3690" priority="51">
      <formula>B$9&gt;=20/24</formula>
    </cfRule>
    <cfRule type="expression" dxfId="3689" priority="52">
      <formula>AND(B$9&gt;=14/24,B$9&lt;20/24)</formula>
    </cfRule>
    <cfRule type="expression" dxfId="3688" priority="53">
      <formula>AND(B$9&gt;=8/24,B$9&lt;14/24)</formula>
    </cfRule>
    <cfRule type="expression" dxfId="3687" priority="54">
      <formula>B$9&lt;8/24</formula>
    </cfRule>
  </conditionalFormatting>
  <conditionalFormatting sqref="B75:AG76 B80:AG80">
    <cfRule type="expression" dxfId="3686" priority="36">
      <formula>B75&gt;$AG75</formula>
    </cfRule>
  </conditionalFormatting>
  <conditionalFormatting sqref="B80:AG80">
    <cfRule type="expression" dxfId="3685" priority="37">
      <formula>B$9&gt;=20/24</formula>
    </cfRule>
    <cfRule type="expression" dxfId="3684" priority="38">
      <formula>AND(B$9&gt;=14/24,B$9&lt;20/24)</formula>
    </cfRule>
    <cfRule type="expression" dxfId="3683" priority="39">
      <formula>AND(B$9&gt;=8/24,B$9&lt;14/24)</formula>
    </cfRule>
    <cfRule type="expression" dxfId="3682" priority="40">
      <formula>B$9&lt;8/24</formula>
    </cfRule>
  </conditionalFormatting>
  <conditionalFormatting sqref="F63:L65">
    <cfRule type="expression" dxfId="3681" priority="88">
      <formula>F$9&gt;=20/24</formula>
    </cfRule>
    <cfRule type="expression" dxfId="3680" priority="89">
      <formula>AND(F$9&gt;=14/24,F$9&lt;20/24)</formula>
    </cfRule>
    <cfRule type="expression" dxfId="3679" priority="90">
      <formula>AND(F$9&gt;=8/24,F$9&lt;14/24)</formula>
    </cfRule>
    <cfRule type="expression" dxfId="3678" priority="91">
      <formula>F$9&lt;8/24</formula>
    </cfRule>
  </conditionalFormatting>
  <conditionalFormatting sqref="F68:AF68">
    <cfRule type="expression" dxfId="3677" priority="65">
      <formula>F$9&gt;=20/24</formula>
    </cfRule>
    <cfRule type="expression" dxfId="3676" priority="66">
      <formula>AND(F$9&gt;=14/24,F$9&lt;20/24)</formula>
    </cfRule>
    <cfRule type="expression" dxfId="3675" priority="67">
      <formula>AND(F$9&gt;=8/24,F$9&lt;14/24)</formula>
    </cfRule>
    <cfRule type="expression" dxfId="3674" priority="68">
      <formula>F$9&lt;8/24</formula>
    </cfRule>
  </conditionalFormatting>
  <conditionalFormatting sqref="F69:AF74">
    <cfRule type="expression" dxfId="3673" priority="55">
      <formula>F$9&gt;=20/24</formula>
    </cfRule>
    <cfRule type="expression" dxfId="3672" priority="56">
      <formula>AND(F$9&gt;=14/24,F$9&lt;20/24)</formula>
    </cfRule>
    <cfRule type="expression" dxfId="3671" priority="57">
      <formula>AND(F$9&gt;=8/24,F$9&lt;14/24)</formula>
    </cfRule>
    <cfRule type="expression" dxfId="3670" priority="58">
      <formula>F$9&lt;8/24</formula>
    </cfRule>
  </conditionalFormatting>
  <conditionalFormatting sqref="M63:AA67">
    <cfRule type="expression" dxfId="3669" priority="92">
      <formula>M$9&gt;=20/24</formula>
    </cfRule>
    <cfRule type="expression" dxfId="3668" priority="93">
      <formula>AND(M$9&gt;=14/24,M$9&lt;20/24)</formula>
    </cfRule>
    <cfRule type="expression" dxfId="3667" priority="94">
      <formula>AND(M$9&gt;=8/24,M$9&lt;14/24)</formula>
    </cfRule>
    <cfRule type="expression" dxfId="3666" priority="95">
      <formula>M$9&lt;8/24</formula>
    </cfRule>
  </conditionalFormatting>
  <conditionalFormatting sqref="O3:P3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3665" priority="113">
      <formula>C$9&gt;=20/24</formula>
    </cfRule>
  </conditionalFormatting>
  <conditionalFormatting sqref="S8">
    <cfRule type="expression" dxfId="3664" priority="100">
      <formula>U$9&gt;=20/24</formula>
    </cfRule>
    <cfRule type="expression" dxfId="3663" priority="101">
      <formula>AND(U$9&gt;=14/24,U$9&lt;20/24)</formula>
    </cfRule>
    <cfRule type="expression" dxfId="3662" priority="102">
      <formula>AND(U$9&gt;=8/24,U$9&lt;14/24)</formula>
    </cfRule>
    <cfRule type="expression" dxfId="3661" priority="103">
      <formula>U$9&lt;8/24</formula>
    </cfRule>
  </conditionalFormatting>
  <conditionalFormatting sqref="S63:AF68">
    <cfRule type="expression" dxfId="3660" priority="59">
      <formula>S$9&gt;=20/24</formula>
    </cfRule>
    <cfRule type="expression" dxfId="3659" priority="60">
      <formula>AND(S$9&gt;=14/24,S$9&lt;20/24)</formula>
    </cfRule>
    <cfRule type="expression" dxfId="3658" priority="61">
      <formula>AND(S$9&gt;=8/24,S$9&lt;14/24)</formula>
    </cfRule>
    <cfRule type="expression" dxfId="3657" priority="62">
      <formula>S$9&lt;8/24</formula>
    </cfRule>
  </conditionalFormatting>
  <conditionalFormatting sqref="T260">
    <cfRule type="expression" dxfId="3656" priority="125">
      <formula>AX$9&gt;=20/24</formula>
    </cfRule>
    <cfRule type="expression" dxfId="3655" priority="126">
      <formula>AND(AX$9&gt;=14/24,AX$9&lt;20/24)</formula>
    </cfRule>
    <cfRule type="expression" dxfId="3654" priority="127">
      <formula>AND(AX$9&gt;=8/24,AX$9&lt;14/24)</formula>
    </cfRule>
    <cfRule type="expression" dxfId="3653" priority="128">
      <formula>AX$9&lt;8/24</formula>
    </cfRule>
  </conditionalFormatting>
  <conditionalFormatting sqref="V3 AB3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3652" priority="96">
      <formula>AD$9&gt;=20/24</formula>
    </cfRule>
    <cfRule type="expression" dxfId="3651" priority="97">
      <formula>AND(AD$9&gt;=14/24,AD$9&lt;20/24)</formula>
    </cfRule>
    <cfRule type="expression" dxfId="3650" priority="98">
      <formula>AND(AD$9&gt;=8/24,AD$9&lt;14/24)</formula>
    </cfRule>
    <cfRule type="expression" dxfId="3649" priority="99">
      <formula>AD$9&lt;8/24</formula>
    </cfRule>
  </conditionalFormatting>
  <conditionalFormatting sqref="AB55:AF56 B55:AA57">
    <cfRule type="expression" dxfId="3648" priority="34">
      <formula>B$9&lt;8/24</formula>
    </cfRule>
  </conditionalFormatting>
  <conditionalFormatting sqref="AG58">
    <cfRule type="expression" dxfId="3647" priority="83">
      <formula>AG58&gt;$AG58</formula>
    </cfRule>
  </conditionalFormatting>
  <conditionalFormatting sqref="AG97">
    <cfRule type="expression" dxfId="3646" priority="84">
      <formula>AG$9&gt;=20/24</formula>
    </cfRule>
    <cfRule type="expression" dxfId="3645" priority="85">
      <formula>AND(AG$9&gt;=14/24,AG$9&lt;20/24)</formula>
    </cfRule>
    <cfRule type="expression" dxfId="3644" priority="86">
      <formula>AND(AG$9&gt;=8/24,AG$9&lt;14/24)</formula>
    </cfRule>
    <cfRule type="expression" dxfId="3643" priority="87">
      <formula>AG$9&lt;8/24</formula>
    </cfRule>
  </conditionalFormatting>
  <conditionalFormatting sqref="AG260">
    <cfRule type="expression" dxfId="3642" priority="117">
      <formula>B$9&gt;=20/24</formula>
    </cfRule>
    <cfRule type="expression" dxfId="3641" priority="118">
      <formula>AND(B$9&gt;=14/24,B$9&lt;20/24)</formula>
    </cfRule>
    <cfRule type="expression" dxfId="3640" priority="119">
      <formula>AND(B$9&gt;=8/24,B$9&lt;14/24)</formula>
    </cfRule>
    <cfRule type="expression" dxfId="3639" priority="120">
      <formula>B$9&lt;8/24</formula>
    </cfRule>
  </conditionalFormatting>
  <conditionalFormatting sqref="AH260:AX260">
    <cfRule type="expression" dxfId="3638" priority="121">
      <formula>AG$9&gt;=20/24</formula>
    </cfRule>
    <cfRule type="expression" dxfId="3637" priority="122">
      <formula>AND(AG$9&gt;=14/24,AG$9&lt;20/24)</formula>
    </cfRule>
    <cfRule type="expression" dxfId="3636" priority="123">
      <formula>AND(AG$9&gt;=8/24,AG$9&lt;14/24)</formula>
    </cfRule>
    <cfRule type="expression" dxfId="3635" priority="124">
      <formula>AG$9&lt;8/24</formula>
    </cfRule>
  </conditionalFormatting>
  <conditionalFormatting sqref="AL4:AL6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19:AL20">
    <cfRule type="iconSet" priority="71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8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70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8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82">
      <iconSet iconSet="3TrafficLights2" reverse="1">
        <cfvo type="percent" val="0"/>
        <cfvo type="num" val="1"/>
        <cfvo type="num" val="1"/>
      </iconSet>
    </cfRule>
  </conditionalFormatting>
  <conditionalFormatting sqref="AL48 AL45:AL46 AL21:AL24 AL7:AL18 AL26:AL37 AL39:AL43 AL54:AL55">
    <cfRule type="iconSet" priority="129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04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69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3634" priority="130">
      <formula>AJ$9&gt;=20/24</formula>
    </cfRule>
    <cfRule type="expression" dxfId="3633" priority="131">
      <formula>AND(AJ$9&gt;=14/24,AJ$9&lt;20/24)</formula>
    </cfRule>
    <cfRule type="expression" dxfId="3632" priority="132">
      <formula>AND(AJ$9&gt;=8/24,AJ$9&lt;14/24)</formula>
    </cfRule>
    <cfRule type="expression" dxfId="3631" priority="133">
      <formula>AJ$9&lt;8/24</formula>
    </cfRule>
  </conditionalFormatting>
  <conditionalFormatting sqref="AL88:AN88 AL94:AN94">
    <cfRule type="expression" dxfId="3630" priority="76">
      <formula>AL$9&gt;=20/24</formula>
    </cfRule>
    <cfRule type="expression" dxfId="3629" priority="77">
      <formula>AND(AL$9&gt;=14/24,AL$9&lt;20/24)</formula>
    </cfRule>
    <cfRule type="expression" dxfId="3628" priority="78">
      <formula>AND(AL$9&gt;=8/24,AL$9&lt;14/24)</formula>
    </cfRule>
    <cfRule type="expression" dxfId="3627" priority="79">
      <formula>AL$9&lt;8/24</formula>
    </cfRule>
  </conditionalFormatting>
  <conditionalFormatting sqref="AN89:AN92">
    <cfRule type="expression" dxfId="3626" priority="72">
      <formula>AN$9&gt;=20/24</formula>
    </cfRule>
    <cfRule type="expression" dxfId="3625" priority="73">
      <formula>AND(AN$9&gt;=14/24,AN$9&lt;20/24)</formula>
    </cfRule>
    <cfRule type="expression" dxfId="3624" priority="74">
      <formula>AND(AN$9&gt;=8/24,AN$9&lt;14/24)</formula>
    </cfRule>
    <cfRule type="expression" dxfId="3623" priority="75">
      <formula>AN$9&lt;8/24</formula>
    </cfRule>
  </conditionalFormatting>
  <pageMargins left="0.7" right="0.7" top="0.75" bottom="0.75" header="0.3" footer="0.3"/>
  <drawing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F95AB-31AC-41A5-88DE-D398254471AD}">
  <sheetPr codeName="Sheet27"/>
  <dimension ref="A1:CJ293"/>
  <sheetViews>
    <sheetView zoomScaleNormal="100" workbookViewId="0">
      <pane xSplit="1" ySplit="10" topLeftCell="B109" activePane="bottomRight" state="frozen"/>
      <selection activeCell="Z63" sqref="Z63"/>
      <selection pane="topRight" activeCell="Z63" sqref="Z63"/>
      <selection pane="bottomLeft" activeCell="Z63" sqref="Z63"/>
      <selection pane="bottomRight" activeCell="J85" sqref="J85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2" width="6" style="1" bestFit="1" customWidth="1"/>
    <col min="13" max="15" width="6.57031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hidden="1" customHeight="1" thickBot="1" x14ac:dyDescent="0.3">
      <c r="A1" s="275" t="s">
        <v>0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  <c r="AD1" s="275"/>
      <c r="AE1" s="275"/>
      <c r="AF1" s="275"/>
      <c r="AG1" s="276" t="s">
        <v>1</v>
      </c>
      <c r="AH1" s="276"/>
      <c r="AI1" s="276"/>
      <c r="AL1" s="2"/>
    </row>
    <row r="2" spans="1:88" ht="20.25" hidden="1" x14ac:dyDescent="0.25">
      <c r="A2" s="3"/>
      <c r="B2" s="277" t="s">
        <v>2</v>
      </c>
      <c r="C2" s="4"/>
      <c r="D2" s="279" t="s">
        <v>3</v>
      </c>
      <c r="E2" s="4"/>
      <c r="F2" s="279" t="s">
        <v>4</v>
      </c>
      <c r="G2" s="4"/>
      <c r="H2" s="279" t="s">
        <v>5</v>
      </c>
      <c r="I2" s="5"/>
      <c r="J2" s="281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78"/>
      <c r="C3" s="16"/>
      <c r="D3" s="280"/>
      <c r="E3" s="16"/>
      <c r="F3" s="280"/>
      <c r="G3" s="16"/>
      <c r="H3" s="280"/>
      <c r="I3" s="17"/>
      <c r="J3" s="281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70" t="str">
        <f ca="1">"2080/"&amp;"10/"&amp;INT(MID(CELL("filename",D6),FIND("]",CELL("filename",D6))+1,200))</f>
        <v>2080/10/27</v>
      </c>
      <c r="C4" s="270"/>
      <c r="D4" s="270"/>
      <c r="E4" s="271" t="str">
        <f ca="1">"2080/"&amp;"10/"&amp;INT(MID(CELL("filename",G6),FIND("]",CELL("filename",G6))+1,200))</f>
        <v>2080/10/27</v>
      </c>
      <c r="F4" s="271"/>
      <c r="G4" s="271"/>
      <c r="H4" s="271" t="str">
        <f ca="1">TEXT(E4,"dddd")</f>
        <v>Sunday</v>
      </c>
      <c r="I4" s="271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C92</f>
        <v>546.9</v>
      </c>
      <c r="C5" s="30">
        <f t="shared" si="0"/>
        <v>546.9</v>
      </c>
      <c r="D5" s="30">
        <f t="shared" si="0"/>
        <v>525.20000000000005</v>
      </c>
      <c r="E5" s="30">
        <f t="shared" si="0"/>
        <v>544.1</v>
      </c>
      <c r="F5" s="30">
        <f t="shared" si="0"/>
        <v>547.20000000000005</v>
      </c>
      <c r="G5" s="30">
        <f t="shared" si="0"/>
        <v>514.1</v>
      </c>
      <c r="H5" s="30">
        <f t="shared" si="0"/>
        <v>565</v>
      </c>
      <c r="I5" s="30">
        <f t="shared" si="0"/>
        <v>576.6</v>
      </c>
      <c r="J5" s="30">
        <f t="shared" si="0"/>
        <v>283.7</v>
      </c>
      <c r="K5" s="30">
        <f t="shared" si="0"/>
        <v>188.2</v>
      </c>
      <c r="L5" s="30">
        <f t="shared" si="0"/>
        <v>150.4</v>
      </c>
      <c r="M5" s="30">
        <f t="shared" si="0"/>
        <v>274</v>
      </c>
      <c r="N5" s="30">
        <f t="shared" si="0"/>
        <v>326.5</v>
      </c>
      <c r="O5" s="30">
        <f t="shared" si="0"/>
        <v>573.70000000000005</v>
      </c>
      <c r="P5" s="30">
        <f t="shared" si="0"/>
        <v>595.20000000000005</v>
      </c>
      <c r="Q5" s="30">
        <f t="shared" si="0"/>
        <v>596</v>
      </c>
      <c r="R5" s="30">
        <f t="shared" si="0"/>
        <v>634.20000000000005</v>
      </c>
      <c r="S5" s="30">
        <f t="shared" si="0"/>
        <v>671.83999999999992</v>
      </c>
      <c r="T5" s="30">
        <f t="shared" si="0"/>
        <v>674.89999999999986</v>
      </c>
      <c r="U5" s="30">
        <f t="shared" si="0"/>
        <v>513.80000000000007</v>
      </c>
      <c r="V5" s="30">
        <f t="shared" si="0"/>
        <v>466.79999999999995</v>
      </c>
      <c r="W5" s="30">
        <f t="shared" si="0"/>
        <v>276</v>
      </c>
      <c r="X5" s="30">
        <f t="shared" si="0"/>
        <v>259.3</v>
      </c>
      <c r="Y5" s="30">
        <f t="shared" si="0"/>
        <v>187.6</v>
      </c>
      <c r="Z5" s="30">
        <f t="shared" si="0"/>
        <v>276.5</v>
      </c>
      <c r="AA5" s="30">
        <f t="shared" si="0"/>
        <v>404.9</v>
      </c>
      <c r="AB5" s="30">
        <f t="shared" si="0"/>
        <v>404.9</v>
      </c>
      <c r="AC5" s="30">
        <f t="shared" si="0"/>
        <v>514.29999999999995</v>
      </c>
      <c r="AD5" s="30">
        <f t="shared" si="0"/>
        <v>543.6</v>
      </c>
      <c r="AE5" s="30">
        <f t="shared" si="0"/>
        <v>546.29999999999995</v>
      </c>
      <c r="AF5" s="30">
        <f>B92</f>
        <v>604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1794MW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Load=1152</v>
      </c>
      <c r="B7" s="35">
        <f>B100</f>
        <v>1227.2400000000002</v>
      </c>
      <c r="C7" s="35">
        <f t="shared" ref="C7:AF7" si="1">C100</f>
        <v>1169.6400000000001</v>
      </c>
      <c r="D7" s="35">
        <f t="shared" si="1"/>
        <v>1168.3400000000001</v>
      </c>
      <c r="E7" s="35">
        <f t="shared" si="1"/>
        <v>1161.74</v>
      </c>
      <c r="F7" s="35">
        <f t="shared" si="1"/>
        <v>1165.6399999999999</v>
      </c>
      <c r="G7" s="35">
        <f t="shared" si="1"/>
        <v>1192.74</v>
      </c>
      <c r="H7" s="35">
        <f t="shared" si="1"/>
        <v>1245.3400000000001</v>
      </c>
      <c r="I7" s="35">
        <f t="shared" si="1"/>
        <v>1349.24</v>
      </c>
      <c r="J7" s="35">
        <f t="shared" si="1"/>
        <v>1417.3400000000001</v>
      </c>
      <c r="K7" s="35">
        <f t="shared" si="1"/>
        <v>1625.5400000000002</v>
      </c>
      <c r="L7" s="35">
        <f t="shared" si="1"/>
        <v>1630.64</v>
      </c>
      <c r="M7" s="35">
        <f t="shared" si="1"/>
        <v>1656.64</v>
      </c>
      <c r="N7" s="35">
        <f t="shared" si="1"/>
        <v>1794.24</v>
      </c>
      <c r="O7" s="35">
        <f t="shared" si="1"/>
        <v>1510.04</v>
      </c>
      <c r="P7" s="35">
        <f t="shared" si="1"/>
        <v>1372.7400000000002</v>
      </c>
      <c r="Q7" s="35">
        <f t="shared" si="1"/>
        <v>1426.14</v>
      </c>
      <c r="R7" s="35">
        <f t="shared" si="1"/>
        <v>1322.8400000000001</v>
      </c>
      <c r="S7" s="35">
        <f t="shared" si="1"/>
        <v>1286.6400000000001</v>
      </c>
      <c r="T7" s="35">
        <f t="shared" si="1"/>
        <v>1320.08</v>
      </c>
      <c r="U7" s="35">
        <f t="shared" si="1"/>
        <v>1318.34</v>
      </c>
      <c r="V7" s="35">
        <f t="shared" si="1"/>
        <v>1151.6400000000001</v>
      </c>
      <c r="W7" s="35">
        <f t="shared" si="1"/>
        <v>1477.74</v>
      </c>
      <c r="X7" s="35">
        <f t="shared" si="1"/>
        <v>1565.94</v>
      </c>
      <c r="Y7" s="35">
        <f t="shared" si="1"/>
        <v>1780.64</v>
      </c>
      <c r="Z7" s="35">
        <f t="shared" si="1"/>
        <v>1770.04</v>
      </c>
      <c r="AA7" s="35">
        <f t="shared" si="1"/>
        <v>1689.44</v>
      </c>
      <c r="AB7" s="35">
        <f t="shared" si="1"/>
        <v>1613.24</v>
      </c>
      <c r="AC7" s="35">
        <f t="shared" si="1"/>
        <v>1513.6399999999999</v>
      </c>
      <c r="AD7" s="35">
        <f t="shared" si="1"/>
        <v>1487.74</v>
      </c>
      <c r="AE7" s="35">
        <f t="shared" si="1"/>
        <v>1355.2400000000002</v>
      </c>
      <c r="AF7" s="35">
        <f t="shared" si="1"/>
        <v>1200.6399999999999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72" t="s">
        <v>14</v>
      </c>
      <c r="C8" s="273"/>
      <c r="D8" s="273"/>
      <c r="E8" s="273"/>
      <c r="F8" s="273"/>
      <c r="G8" s="273"/>
      <c r="H8" s="273"/>
      <c r="I8" s="273"/>
      <c r="J8" s="273"/>
      <c r="K8" s="273"/>
      <c r="L8" s="274"/>
      <c r="M8" s="265" t="s">
        <v>15</v>
      </c>
      <c r="N8" s="266"/>
      <c r="O8" s="266"/>
      <c r="P8" s="266"/>
      <c r="Q8" s="266"/>
      <c r="R8" s="267"/>
      <c r="S8" s="265" t="s">
        <v>16</v>
      </c>
      <c r="T8" s="266"/>
      <c r="U8" s="266"/>
      <c r="V8" s="266"/>
      <c r="W8" s="266"/>
      <c r="X8" s="266"/>
      <c r="Y8" s="266"/>
      <c r="Z8" s="266"/>
      <c r="AA8" s="267"/>
      <c r="AB8" s="265" t="s">
        <v>17</v>
      </c>
      <c r="AC8" s="266"/>
      <c r="AD8" s="266"/>
      <c r="AE8" s="266"/>
      <c r="AF8" s="267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68" t="s">
        <v>18</v>
      </c>
      <c r="B9" s="264">
        <v>0</v>
      </c>
      <c r="C9" s="264">
        <v>4.1666666666666664E-2</v>
      </c>
      <c r="D9" s="264">
        <v>8.3333333333333301E-2</v>
      </c>
      <c r="E9" s="264">
        <v>0.125</v>
      </c>
      <c r="F9" s="264">
        <v>0.16666666666666699</v>
      </c>
      <c r="G9" s="264">
        <v>0.20833333333333301</v>
      </c>
      <c r="H9" s="264">
        <v>0.22916666666666666</v>
      </c>
      <c r="I9" s="264">
        <v>0.25</v>
      </c>
      <c r="J9" s="264">
        <v>0.27083333333333331</v>
      </c>
      <c r="K9" s="264">
        <v>0.29166666666666669</v>
      </c>
      <c r="L9" s="264">
        <v>0.3125</v>
      </c>
      <c r="M9" s="262">
        <v>0.33333333333333331</v>
      </c>
      <c r="N9" s="262">
        <v>0.375</v>
      </c>
      <c r="O9" s="262">
        <v>0.41666666666666702</v>
      </c>
      <c r="P9" s="262">
        <v>0.45833333333333298</v>
      </c>
      <c r="Q9" s="262">
        <v>0.5</v>
      </c>
      <c r="R9" s="262">
        <v>0.54166666666666696</v>
      </c>
      <c r="S9" s="258">
        <v>0.58333333333333304</v>
      </c>
      <c r="T9" s="258">
        <v>0.625</v>
      </c>
      <c r="U9" s="258">
        <v>0.66666666666666696</v>
      </c>
      <c r="V9" s="258">
        <v>0.70833333333333304</v>
      </c>
      <c r="W9" s="258">
        <v>0.72916666666666663</v>
      </c>
      <c r="X9" s="258">
        <v>0.75</v>
      </c>
      <c r="Y9" s="258">
        <v>0.77083333333333337</v>
      </c>
      <c r="Z9" s="258">
        <v>0.79166666666666663</v>
      </c>
      <c r="AA9" s="258">
        <v>0.8125</v>
      </c>
      <c r="AB9" s="258">
        <v>0.83333333333333337</v>
      </c>
      <c r="AC9" s="258">
        <v>0.85416666666666663</v>
      </c>
      <c r="AD9" s="258">
        <v>0.875</v>
      </c>
      <c r="AE9" s="258">
        <v>0.91666666666666696</v>
      </c>
      <c r="AF9" s="258">
        <v>0.95833333333333304</v>
      </c>
      <c r="AG9" s="260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69"/>
      <c r="B10" s="259"/>
      <c r="C10" s="259"/>
      <c r="D10" s="259"/>
      <c r="E10" s="259"/>
      <c r="F10" s="259"/>
      <c r="G10" s="259"/>
      <c r="H10" s="259"/>
      <c r="I10" s="259"/>
      <c r="J10" s="259"/>
      <c r="K10" s="259"/>
      <c r="L10" s="259"/>
      <c r="M10" s="263"/>
      <c r="N10" s="263"/>
      <c r="O10" s="263"/>
      <c r="P10" s="263"/>
      <c r="Q10" s="263"/>
      <c r="R10" s="263"/>
      <c r="S10" s="259"/>
      <c r="T10" s="259"/>
      <c r="U10" s="259"/>
      <c r="V10" s="259"/>
      <c r="W10" s="259"/>
      <c r="X10" s="259"/>
      <c r="Y10" s="259"/>
      <c r="Z10" s="259"/>
      <c r="AA10" s="259"/>
      <c r="AB10" s="259"/>
      <c r="AC10" s="259"/>
      <c r="AD10" s="259"/>
      <c r="AE10" s="259"/>
      <c r="AF10" s="259"/>
      <c r="AG10" s="261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29.5</v>
      </c>
      <c r="C11" s="45">
        <v>29.5</v>
      </c>
      <c r="D11" s="45">
        <v>30.5</v>
      </c>
      <c r="E11" s="45">
        <v>30.6</v>
      </c>
      <c r="F11" s="45">
        <v>30.6</v>
      </c>
      <c r="G11" s="45">
        <v>30.6</v>
      </c>
      <c r="H11" s="45">
        <v>30.6</v>
      </c>
      <c r="I11" s="45">
        <v>30.6</v>
      </c>
      <c r="J11" s="45">
        <v>30.6</v>
      </c>
      <c r="K11" s="45">
        <v>30.2</v>
      </c>
      <c r="L11" s="45">
        <v>30.2</v>
      </c>
      <c r="M11" s="45">
        <v>30.2</v>
      </c>
      <c r="N11" s="45">
        <v>30.2</v>
      </c>
      <c r="O11" s="45">
        <v>30.2</v>
      </c>
      <c r="P11" s="45">
        <v>30.2</v>
      </c>
      <c r="Q11" s="45">
        <v>30.2</v>
      </c>
      <c r="R11" s="45">
        <v>30.2</v>
      </c>
      <c r="S11" s="45">
        <v>30.2</v>
      </c>
      <c r="T11" s="45">
        <v>30.2</v>
      </c>
      <c r="U11" s="45">
        <v>30.2</v>
      </c>
      <c r="V11" s="45">
        <v>30.2</v>
      </c>
      <c r="W11" s="45">
        <v>30.2</v>
      </c>
      <c r="X11" s="45">
        <v>30.2</v>
      </c>
      <c r="Y11" s="45">
        <v>30.2</v>
      </c>
      <c r="Z11" s="45">
        <v>30.2</v>
      </c>
      <c r="AA11" s="45">
        <v>30.2</v>
      </c>
      <c r="AB11" s="45">
        <v>30.2</v>
      </c>
      <c r="AC11" s="45">
        <v>30.2</v>
      </c>
      <c r="AD11" s="45">
        <v>30.2</v>
      </c>
      <c r="AE11" s="45">
        <v>30.2</v>
      </c>
      <c r="AF11" s="45">
        <v>30.2</v>
      </c>
      <c r="AG11" s="46">
        <v>86</v>
      </c>
      <c r="AH11" s="47">
        <f t="shared" ref="AH11:AH84" si="2">MAX(B11:AF11)</f>
        <v>30.6</v>
      </c>
      <c r="AI11" s="48">
        <f t="shared" ref="AI11:AI84" si="3">MIN(B11:AF11)</f>
        <v>29.5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262</v>
      </c>
      <c r="B12" s="45">
        <v>9.8000000000000007</v>
      </c>
      <c r="C12" s="45">
        <v>9.8000000000000007</v>
      </c>
      <c r="D12" s="45">
        <v>9.8000000000000007</v>
      </c>
      <c r="E12" s="45">
        <v>9.8000000000000007</v>
      </c>
      <c r="F12" s="45">
        <v>9.8000000000000007</v>
      </c>
      <c r="G12" s="45">
        <v>9.8000000000000007</v>
      </c>
      <c r="H12" s="45">
        <v>9.8000000000000007</v>
      </c>
      <c r="I12" s="45">
        <v>9.8000000000000007</v>
      </c>
      <c r="J12" s="45">
        <v>9.8000000000000007</v>
      </c>
      <c r="K12" s="45">
        <v>9.8000000000000007</v>
      </c>
      <c r="L12" s="45">
        <v>9.8000000000000007</v>
      </c>
      <c r="M12" s="45">
        <v>9.8000000000000007</v>
      </c>
      <c r="N12" s="45">
        <v>9.8000000000000007</v>
      </c>
      <c r="O12" s="45">
        <v>9.8000000000000007</v>
      </c>
      <c r="P12" s="45">
        <v>9.8000000000000007</v>
      </c>
      <c r="Q12" s="45">
        <v>9.8000000000000007</v>
      </c>
      <c r="R12" s="45">
        <v>9.8000000000000007</v>
      </c>
      <c r="S12" s="45">
        <v>9.8000000000000007</v>
      </c>
      <c r="T12" s="45">
        <v>9.8000000000000007</v>
      </c>
      <c r="U12" s="45">
        <v>9.8000000000000007</v>
      </c>
      <c r="V12" s="45">
        <v>9.8000000000000007</v>
      </c>
      <c r="W12" s="45">
        <v>9.8000000000000007</v>
      </c>
      <c r="X12" s="45">
        <v>9.8000000000000007</v>
      </c>
      <c r="Y12" s="45">
        <v>9.8000000000000007</v>
      </c>
      <c r="Z12" s="45">
        <v>9.8000000000000007</v>
      </c>
      <c r="AA12" s="45">
        <v>9.8000000000000007</v>
      </c>
      <c r="AB12" s="45">
        <v>9.8000000000000007</v>
      </c>
      <c r="AC12" s="45">
        <v>9.8000000000000007</v>
      </c>
      <c r="AD12" s="45">
        <v>9.8000000000000007</v>
      </c>
      <c r="AE12" s="45">
        <v>9.8000000000000007</v>
      </c>
      <c r="AF12" s="45">
        <v>9.8000000000000007</v>
      </c>
      <c r="AG12" s="49">
        <v>54</v>
      </c>
      <c r="AH12" s="47">
        <f t="shared" si="2"/>
        <v>9.8000000000000007</v>
      </c>
      <c r="AI12" s="48">
        <f t="shared" si="3"/>
        <v>9.8000000000000007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11.9</v>
      </c>
      <c r="C13" s="45">
        <v>11.9</v>
      </c>
      <c r="D13" s="45">
        <v>12</v>
      </c>
      <c r="E13" s="45">
        <v>12</v>
      </c>
      <c r="F13" s="45">
        <v>12</v>
      </c>
      <c r="G13" s="45">
        <v>12</v>
      </c>
      <c r="H13" s="45">
        <v>12</v>
      </c>
      <c r="I13" s="45">
        <v>12</v>
      </c>
      <c r="J13" s="45">
        <v>12</v>
      </c>
      <c r="K13" s="45">
        <v>12</v>
      </c>
      <c r="L13" s="45">
        <v>12</v>
      </c>
      <c r="M13" s="45">
        <v>12</v>
      </c>
      <c r="N13" s="45">
        <v>12</v>
      </c>
      <c r="O13" s="45">
        <v>12</v>
      </c>
      <c r="P13" s="45">
        <v>12</v>
      </c>
      <c r="Q13" s="45">
        <v>12</v>
      </c>
      <c r="R13" s="45">
        <v>12</v>
      </c>
      <c r="S13" s="45">
        <v>12</v>
      </c>
      <c r="T13" s="45">
        <v>12</v>
      </c>
      <c r="U13" s="45">
        <v>12</v>
      </c>
      <c r="V13" s="45">
        <v>12</v>
      </c>
      <c r="W13" s="45">
        <v>12</v>
      </c>
      <c r="X13" s="45">
        <v>12</v>
      </c>
      <c r="Y13" s="45">
        <v>12</v>
      </c>
      <c r="Z13" s="45">
        <v>12</v>
      </c>
      <c r="AA13" s="45">
        <v>12</v>
      </c>
      <c r="AB13" s="45">
        <v>12</v>
      </c>
      <c r="AC13" s="45">
        <v>12</v>
      </c>
      <c r="AD13" s="45">
        <v>12</v>
      </c>
      <c r="AE13" s="45">
        <v>12</v>
      </c>
      <c r="AF13" s="45">
        <v>12</v>
      </c>
      <c r="AG13" s="49">
        <v>54</v>
      </c>
      <c r="AH13" s="47">
        <f t="shared" si="2"/>
        <v>12</v>
      </c>
      <c r="AI13" s="48">
        <f t="shared" si="3"/>
        <v>11.9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13.8</v>
      </c>
      <c r="C14" s="45">
        <v>13.8</v>
      </c>
      <c r="D14" s="45">
        <v>13.9</v>
      </c>
      <c r="E14" s="45">
        <v>13.9</v>
      </c>
      <c r="F14" s="45">
        <v>13.9</v>
      </c>
      <c r="G14" s="45">
        <v>13.9</v>
      </c>
      <c r="H14" s="45">
        <v>13.9</v>
      </c>
      <c r="I14" s="45">
        <v>13.9</v>
      </c>
      <c r="J14" s="45">
        <v>13.9</v>
      </c>
      <c r="K14" s="45">
        <v>13.9</v>
      </c>
      <c r="L14" s="45">
        <v>13.9</v>
      </c>
      <c r="M14" s="45">
        <v>13.9</v>
      </c>
      <c r="N14" s="45">
        <v>13.9</v>
      </c>
      <c r="O14" s="45">
        <v>13.9</v>
      </c>
      <c r="P14" s="45">
        <v>13.9</v>
      </c>
      <c r="Q14" s="45">
        <v>13.9</v>
      </c>
      <c r="R14" s="45">
        <v>13.9</v>
      </c>
      <c r="S14" s="45">
        <v>13.9</v>
      </c>
      <c r="T14" s="45">
        <v>13.9</v>
      </c>
      <c r="U14" s="45">
        <v>13.9</v>
      </c>
      <c r="V14" s="45">
        <v>13.9</v>
      </c>
      <c r="W14" s="45">
        <v>13.9</v>
      </c>
      <c r="X14" s="45">
        <v>13.9</v>
      </c>
      <c r="Y14" s="45">
        <v>13.9</v>
      </c>
      <c r="Z14" s="45">
        <v>13.9</v>
      </c>
      <c r="AA14" s="45">
        <v>13.9</v>
      </c>
      <c r="AB14" s="45">
        <v>13.9</v>
      </c>
      <c r="AC14" s="45">
        <v>13.9</v>
      </c>
      <c r="AD14" s="45">
        <v>13.9</v>
      </c>
      <c r="AE14" s="45">
        <v>13.9</v>
      </c>
      <c r="AF14" s="45">
        <v>13.9</v>
      </c>
      <c r="AG14" s="46">
        <v>52.4</v>
      </c>
      <c r="AH14" s="47">
        <f t="shared" si="2"/>
        <v>13.9</v>
      </c>
      <c r="AI14" s="48">
        <f t="shared" si="3"/>
        <v>13.8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29.4</v>
      </c>
      <c r="C15" s="45">
        <v>29.4</v>
      </c>
      <c r="D15" s="45">
        <v>29.8</v>
      </c>
      <c r="E15" s="45">
        <v>29.8</v>
      </c>
      <c r="F15" s="45">
        <v>29.8</v>
      </c>
      <c r="G15" s="45">
        <v>29.8</v>
      </c>
      <c r="H15" s="45">
        <v>29.8</v>
      </c>
      <c r="I15" s="45">
        <v>29.8</v>
      </c>
      <c r="J15" s="45">
        <v>29.8</v>
      </c>
      <c r="K15" s="45">
        <v>29.8</v>
      </c>
      <c r="L15" s="45">
        <v>29.8</v>
      </c>
      <c r="M15" s="45">
        <v>29.8</v>
      </c>
      <c r="N15" s="45">
        <v>29.8</v>
      </c>
      <c r="O15" s="45">
        <v>29.8</v>
      </c>
      <c r="P15" s="45">
        <v>29.8</v>
      </c>
      <c r="Q15" s="45">
        <v>29.8</v>
      </c>
      <c r="R15" s="45">
        <v>29.8</v>
      </c>
      <c r="S15" s="45">
        <v>29.8</v>
      </c>
      <c r="T15" s="45">
        <v>29.8</v>
      </c>
      <c r="U15" s="45">
        <v>29.8</v>
      </c>
      <c r="V15" s="45">
        <v>29.8</v>
      </c>
      <c r="W15" s="45">
        <v>29.8</v>
      </c>
      <c r="X15" s="45">
        <v>29.8</v>
      </c>
      <c r="Y15" s="45">
        <v>29.8</v>
      </c>
      <c r="Z15" s="45">
        <v>29.8</v>
      </c>
      <c r="AA15" s="45">
        <v>29.8</v>
      </c>
      <c r="AB15" s="45">
        <v>29.8</v>
      </c>
      <c r="AC15" s="45">
        <v>29.8</v>
      </c>
      <c r="AD15" s="45">
        <v>29.8</v>
      </c>
      <c r="AE15" s="45">
        <v>29.8</v>
      </c>
      <c r="AF15" s="45">
        <v>29.8</v>
      </c>
      <c r="AG15" s="49">
        <v>50</v>
      </c>
      <c r="AH15" s="47">
        <f t="shared" si="2"/>
        <v>29.8</v>
      </c>
      <c r="AI15" s="48">
        <f t="shared" si="3"/>
        <v>29.4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17.7</v>
      </c>
      <c r="C16" s="45">
        <v>17.7</v>
      </c>
      <c r="D16" s="45">
        <v>16.600000000000001</v>
      </c>
      <c r="E16" s="45">
        <v>16.600000000000001</v>
      </c>
      <c r="F16" s="45">
        <v>16.600000000000001</v>
      </c>
      <c r="G16" s="45">
        <v>16.600000000000001</v>
      </c>
      <c r="H16" s="45">
        <v>16.600000000000001</v>
      </c>
      <c r="I16" s="45">
        <v>16.600000000000001</v>
      </c>
      <c r="J16" s="45">
        <v>16.600000000000001</v>
      </c>
      <c r="K16" s="45">
        <v>16.600000000000001</v>
      </c>
      <c r="L16" s="45">
        <v>16.600000000000001</v>
      </c>
      <c r="M16" s="45">
        <v>16.600000000000001</v>
      </c>
      <c r="N16" s="45">
        <v>16.600000000000001</v>
      </c>
      <c r="O16" s="45">
        <v>16.600000000000001</v>
      </c>
      <c r="P16" s="45">
        <v>16.600000000000001</v>
      </c>
      <c r="Q16" s="45">
        <v>16.600000000000001</v>
      </c>
      <c r="R16" s="45">
        <v>16.600000000000001</v>
      </c>
      <c r="S16" s="45">
        <v>16.600000000000001</v>
      </c>
      <c r="T16" s="45">
        <v>16.600000000000001</v>
      </c>
      <c r="U16" s="45">
        <v>16.600000000000001</v>
      </c>
      <c r="V16" s="45">
        <v>16.600000000000001</v>
      </c>
      <c r="W16" s="45">
        <v>16.600000000000001</v>
      </c>
      <c r="X16" s="45">
        <v>16.600000000000001</v>
      </c>
      <c r="Y16" s="45">
        <v>16.600000000000001</v>
      </c>
      <c r="Z16" s="45">
        <v>16.600000000000001</v>
      </c>
      <c r="AA16" s="45">
        <v>16.600000000000001</v>
      </c>
      <c r="AB16" s="45">
        <v>16.600000000000001</v>
      </c>
      <c r="AC16" s="45">
        <v>16.600000000000001</v>
      </c>
      <c r="AD16" s="45">
        <v>16.600000000000001</v>
      </c>
      <c r="AE16" s="45">
        <v>16.600000000000001</v>
      </c>
      <c r="AF16" s="45">
        <v>16.600000000000001</v>
      </c>
      <c r="AG16" s="49">
        <v>45</v>
      </c>
      <c r="AH16" s="47">
        <f t="shared" si="2"/>
        <v>17.7</v>
      </c>
      <c r="AI16" s="48">
        <f t="shared" si="3"/>
        <v>16.600000000000001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14</v>
      </c>
      <c r="C17" s="45">
        <v>14</v>
      </c>
      <c r="D17" s="45">
        <v>14</v>
      </c>
      <c r="E17" s="45">
        <v>14</v>
      </c>
      <c r="F17" s="45">
        <v>14</v>
      </c>
      <c r="G17" s="45">
        <v>14</v>
      </c>
      <c r="H17" s="45">
        <v>14</v>
      </c>
      <c r="I17" s="45">
        <v>14</v>
      </c>
      <c r="J17" s="45">
        <v>14</v>
      </c>
      <c r="K17" s="45">
        <v>14</v>
      </c>
      <c r="L17" s="45">
        <v>14</v>
      </c>
      <c r="M17" s="45">
        <v>14</v>
      </c>
      <c r="N17" s="45">
        <v>14</v>
      </c>
      <c r="O17" s="45">
        <v>14</v>
      </c>
      <c r="P17" s="45">
        <v>14</v>
      </c>
      <c r="Q17" s="45">
        <v>14</v>
      </c>
      <c r="R17" s="45">
        <v>14</v>
      </c>
      <c r="S17" s="45">
        <v>14</v>
      </c>
      <c r="T17" s="45">
        <v>14</v>
      </c>
      <c r="U17" s="45">
        <v>14</v>
      </c>
      <c r="V17" s="45">
        <v>14</v>
      </c>
      <c r="W17" s="45">
        <v>14</v>
      </c>
      <c r="X17" s="45">
        <v>14</v>
      </c>
      <c r="Y17" s="45">
        <v>14</v>
      </c>
      <c r="Z17" s="45">
        <v>14</v>
      </c>
      <c r="AA17" s="45">
        <v>14</v>
      </c>
      <c r="AB17" s="45">
        <v>14</v>
      </c>
      <c r="AC17" s="45">
        <v>14</v>
      </c>
      <c r="AD17" s="45">
        <v>14</v>
      </c>
      <c r="AE17" s="45">
        <v>14</v>
      </c>
      <c r="AF17" s="45">
        <v>14</v>
      </c>
      <c r="AG17" s="49">
        <v>44</v>
      </c>
      <c r="AH17" s="47">
        <f>MAX(B17:AG17)</f>
        <v>44</v>
      </c>
      <c r="AI17" s="48">
        <f>MIN(B17:AG17)</f>
        <v>14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8.5</v>
      </c>
      <c r="C18" s="45">
        <v>8.5</v>
      </c>
      <c r="D18" s="45">
        <v>8.5</v>
      </c>
      <c r="E18" s="45">
        <v>8.5</v>
      </c>
      <c r="F18" s="45">
        <v>8.5</v>
      </c>
      <c r="G18" s="45">
        <v>8.5</v>
      </c>
      <c r="H18" s="45">
        <v>8.5</v>
      </c>
      <c r="I18" s="45">
        <v>8.5</v>
      </c>
      <c r="J18" s="45">
        <v>8.5</v>
      </c>
      <c r="K18" s="45">
        <v>8.5</v>
      </c>
      <c r="L18" s="45">
        <v>8.5</v>
      </c>
      <c r="M18" s="45">
        <v>8.5</v>
      </c>
      <c r="N18" s="45">
        <v>8.5</v>
      </c>
      <c r="O18" s="45">
        <v>8.5</v>
      </c>
      <c r="P18" s="45">
        <v>8.5</v>
      </c>
      <c r="Q18" s="45">
        <v>8.5</v>
      </c>
      <c r="R18" s="45">
        <v>8.5</v>
      </c>
      <c r="S18" s="45">
        <v>8.5</v>
      </c>
      <c r="T18" s="45">
        <v>8.5</v>
      </c>
      <c r="U18" s="45">
        <v>8.5</v>
      </c>
      <c r="V18" s="45">
        <v>8.5</v>
      </c>
      <c r="W18" s="45">
        <v>8.5</v>
      </c>
      <c r="X18" s="45">
        <v>8.5</v>
      </c>
      <c r="Y18" s="45">
        <v>8.5</v>
      </c>
      <c r="Z18" s="45">
        <v>8.5</v>
      </c>
      <c r="AA18" s="45">
        <v>8.5</v>
      </c>
      <c r="AB18" s="45">
        <v>8.5</v>
      </c>
      <c r="AC18" s="45">
        <v>8.5</v>
      </c>
      <c r="AD18" s="45">
        <v>8.5</v>
      </c>
      <c r="AE18" s="45">
        <v>8.5</v>
      </c>
      <c r="AF18" s="45">
        <v>8.5</v>
      </c>
      <c r="AG18" s="49">
        <v>42</v>
      </c>
      <c r="AH18" s="47">
        <f t="shared" si="2"/>
        <v>8.5</v>
      </c>
      <c r="AI18" s="48">
        <f t="shared" si="3"/>
        <v>8.5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263</v>
      </c>
      <c r="B19" s="45">
        <v>15</v>
      </c>
      <c r="C19" s="45">
        <v>15</v>
      </c>
      <c r="D19" s="45">
        <v>15</v>
      </c>
      <c r="E19" s="45">
        <v>15</v>
      </c>
      <c r="F19" s="45">
        <v>15</v>
      </c>
      <c r="G19" s="45">
        <v>15</v>
      </c>
      <c r="H19" s="45">
        <v>15</v>
      </c>
      <c r="I19" s="45">
        <v>15</v>
      </c>
      <c r="J19" s="45">
        <v>15</v>
      </c>
      <c r="K19" s="45">
        <v>15</v>
      </c>
      <c r="L19" s="45">
        <v>15</v>
      </c>
      <c r="M19" s="45">
        <v>15</v>
      </c>
      <c r="N19" s="45">
        <v>15</v>
      </c>
      <c r="O19" s="45">
        <v>15</v>
      </c>
      <c r="P19" s="45">
        <v>15</v>
      </c>
      <c r="Q19" s="45">
        <v>15</v>
      </c>
      <c r="R19" s="45">
        <v>15</v>
      </c>
      <c r="S19" s="45">
        <v>15</v>
      </c>
      <c r="T19" s="45">
        <v>15</v>
      </c>
      <c r="U19" s="45">
        <v>15</v>
      </c>
      <c r="V19" s="45">
        <v>15</v>
      </c>
      <c r="W19" s="45">
        <v>15</v>
      </c>
      <c r="X19" s="45">
        <v>15</v>
      </c>
      <c r="Y19" s="45">
        <v>15</v>
      </c>
      <c r="Z19" s="45">
        <v>15</v>
      </c>
      <c r="AA19" s="45">
        <v>15</v>
      </c>
      <c r="AB19" s="45">
        <v>15</v>
      </c>
      <c r="AC19" s="45">
        <v>15</v>
      </c>
      <c r="AD19" s="45">
        <v>15</v>
      </c>
      <c r="AE19" s="45">
        <v>15</v>
      </c>
      <c r="AF19" s="45">
        <v>15</v>
      </c>
      <c r="AG19" s="49">
        <v>38.46</v>
      </c>
      <c r="AH19" s="47">
        <f t="shared" si="2"/>
        <v>15</v>
      </c>
      <c r="AI19" s="48">
        <f t="shared" si="3"/>
        <v>15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10</v>
      </c>
      <c r="C20" s="45">
        <v>10</v>
      </c>
      <c r="D20" s="45">
        <v>10</v>
      </c>
      <c r="E20" s="45">
        <v>10</v>
      </c>
      <c r="F20" s="45">
        <v>10</v>
      </c>
      <c r="G20" s="45">
        <v>10</v>
      </c>
      <c r="H20" s="45">
        <v>10</v>
      </c>
      <c r="I20" s="45">
        <v>10</v>
      </c>
      <c r="J20" s="45">
        <v>10</v>
      </c>
      <c r="K20" s="45">
        <v>10</v>
      </c>
      <c r="L20" s="45">
        <v>10</v>
      </c>
      <c r="M20" s="45">
        <v>10</v>
      </c>
      <c r="N20" s="45">
        <v>10</v>
      </c>
      <c r="O20" s="45">
        <v>10</v>
      </c>
      <c r="P20" s="45">
        <v>10</v>
      </c>
      <c r="Q20" s="45">
        <v>10</v>
      </c>
      <c r="R20" s="45">
        <v>10</v>
      </c>
      <c r="S20" s="45">
        <v>10</v>
      </c>
      <c r="T20" s="45">
        <v>10</v>
      </c>
      <c r="U20" s="45">
        <v>10</v>
      </c>
      <c r="V20" s="45">
        <v>10</v>
      </c>
      <c r="W20" s="45">
        <v>10</v>
      </c>
      <c r="X20" s="45">
        <v>10</v>
      </c>
      <c r="Y20" s="45">
        <v>10</v>
      </c>
      <c r="Z20" s="45">
        <v>10</v>
      </c>
      <c r="AA20" s="45">
        <v>10</v>
      </c>
      <c r="AB20" s="45">
        <v>10</v>
      </c>
      <c r="AC20" s="45">
        <v>10</v>
      </c>
      <c r="AD20" s="45">
        <v>10</v>
      </c>
      <c r="AE20" s="45">
        <v>10</v>
      </c>
      <c r="AF20" s="45">
        <v>10</v>
      </c>
      <c r="AG20" s="49">
        <v>38.46</v>
      </c>
      <c r="AH20" s="47">
        <f t="shared" si="2"/>
        <v>10</v>
      </c>
      <c r="AI20" s="48">
        <f t="shared" si="3"/>
        <v>10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</v>
      </c>
      <c r="C21" s="45">
        <v>13</v>
      </c>
      <c r="D21" s="45">
        <v>13</v>
      </c>
      <c r="E21" s="45">
        <v>13</v>
      </c>
      <c r="F21" s="45">
        <v>13</v>
      </c>
      <c r="G21" s="45">
        <v>13</v>
      </c>
      <c r="H21" s="45">
        <v>13</v>
      </c>
      <c r="I21" s="45">
        <v>13</v>
      </c>
      <c r="J21" s="45">
        <v>13</v>
      </c>
      <c r="K21" s="45">
        <v>13</v>
      </c>
      <c r="L21" s="45">
        <v>13</v>
      </c>
      <c r="M21" s="45">
        <v>13</v>
      </c>
      <c r="N21" s="45">
        <v>13</v>
      </c>
      <c r="O21" s="45">
        <v>13</v>
      </c>
      <c r="P21" s="45">
        <v>13</v>
      </c>
      <c r="Q21" s="45">
        <v>13</v>
      </c>
      <c r="R21" s="45">
        <v>13</v>
      </c>
      <c r="S21" s="45">
        <v>13</v>
      </c>
      <c r="T21" s="45">
        <v>13</v>
      </c>
      <c r="U21" s="45">
        <v>13</v>
      </c>
      <c r="V21" s="45">
        <v>13</v>
      </c>
      <c r="W21" s="45">
        <v>13</v>
      </c>
      <c r="X21" s="45">
        <v>13</v>
      </c>
      <c r="Y21" s="45">
        <v>13</v>
      </c>
      <c r="Z21" s="45">
        <v>13</v>
      </c>
      <c r="AA21" s="45">
        <v>13</v>
      </c>
      <c r="AB21" s="45">
        <v>13</v>
      </c>
      <c r="AC21" s="45">
        <v>13</v>
      </c>
      <c r="AD21" s="45">
        <v>13</v>
      </c>
      <c r="AE21" s="45">
        <v>13</v>
      </c>
      <c r="AF21" s="45">
        <v>13</v>
      </c>
      <c r="AG21" s="49">
        <v>36</v>
      </c>
      <c r="AH21" s="47">
        <f t="shared" si="2"/>
        <v>13</v>
      </c>
      <c r="AI21" s="48">
        <f t="shared" si="3"/>
        <v>13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8.4</v>
      </c>
      <c r="C22" s="45">
        <v>8.4</v>
      </c>
      <c r="D22" s="45">
        <v>8.4</v>
      </c>
      <c r="E22" s="45">
        <v>8.4</v>
      </c>
      <c r="F22" s="45">
        <v>8.4</v>
      </c>
      <c r="G22" s="45">
        <v>8.4</v>
      </c>
      <c r="H22" s="45">
        <v>8.4</v>
      </c>
      <c r="I22" s="45">
        <v>8.4</v>
      </c>
      <c r="J22" s="45">
        <v>8.4</v>
      </c>
      <c r="K22" s="45">
        <v>8.4</v>
      </c>
      <c r="L22" s="45">
        <v>8.4</v>
      </c>
      <c r="M22" s="45">
        <v>8.4</v>
      </c>
      <c r="N22" s="45">
        <v>8.4</v>
      </c>
      <c r="O22" s="45">
        <v>8.4</v>
      </c>
      <c r="P22" s="45">
        <v>8.4</v>
      </c>
      <c r="Q22" s="45">
        <v>8.4</v>
      </c>
      <c r="R22" s="45">
        <v>8.4</v>
      </c>
      <c r="S22" s="45">
        <v>8.4</v>
      </c>
      <c r="T22" s="45">
        <v>8.4</v>
      </c>
      <c r="U22" s="45">
        <v>8.4</v>
      </c>
      <c r="V22" s="45">
        <v>8.4</v>
      </c>
      <c r="W22" s="45">
        <v>8.4</v>
      </c>
      <c r="X22" s="45">
        <v>8.4</v>
      </c>
      <c r="Y22" s="45">
        <v>8.4</v>
      </c>
      <c r="Z22" s="45">
        <v>8.4</v>
      </c>
      <c r="AA22" s="45">
        <v>8.4</v>
      </c>
      <c r="AB22" s="45">
        <v>8.4</v>
      </c>
      <c r="AC22" s="45">
        <v>8.4</v>
      </c>
      <c r="AD22" s="45">
        <v>8.4</v>
      </c>
      <c r="AE22" s="45">
        <v>8.4</v>
      </c>
      <c r="AF22" s="45">
        <v>8.4</v>
      </c>
      <c r="AG22" s="52">
        <v>30</v>
      </c>
      <c r="AH22" s="47">
        <f t="shared" si="2"/>
        <v>8.4</v>
      </c>
      <c r="AI22" s="48">
        <f t="shared" si="3"/>
        <v>8.4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9</v>
      </c>
      <c r="C23" s="45">
        <v>9</v>
      </c>
      <c r="D23" s="45">
        <v>9</v>
      </c>
      <c r="E23" s="45">
        <v>9</v>
      </c>
      <c r="F23" s="45">
        <v>9</v>
      </c>
      <c r="G23" s="45">
        <v>9</v>
      </c>
      <c r="H23" s="45">
        <v>9</v>
      </c>
      <c r="I23" s="45">
        <v>9</v>
      </c>
      <c r="J23" s="45">
        <v>9</v>
      </c>
      <c r="K23" s="45">
        <v>9</v>
      </c>
      <c r="L23" s="45">
        <v>9</v>
      </c>
      <c r="M23" s="45">
        <v>9</v>
      </c>
      <c r="N23" s="45">
        <v>9</v>
      </c>
      <c r="O23" s="45">
        <v>9</v>
      </c>
      <c r="P23" s="45">
        <v>9</v>
      </c>
      <c r="Q23" s="45">
        <v>9</v>
      </c>
      <c r="R23" s="45">
        <v>9</v>
      </c>
      <c r="S23" s="45">
        <v>9</v>
      </c>
      <c r="T23" s="45">
        <v>9</v>
      </c>
      <c r="U23" s="45">
        <v>9</v>
      </c>
      <c r="V23" s="45">
        <v>9</v>
      </c>
      <c r="W23" s="45">
        <v>9</v>
      </c>
      <c r="X23" s="45">
        <v>9</v>
      </c>
      <c r="Y23" s="45">
        <v>9</v>
      </c>
      <c r="Z23" s="45">
        <v>9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9</v>
      </c>
      <c r="AG23" s="49">
        <v>24.2</v>
      </c>
      <c r="AH23" s="47">
        <f t="shared" si="2"/>
        <v>9</v>
      </c>
      <c r="AI23" s="48">
        <f t="shared" si="3"/>
        <v>9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9.1</v>
      </c>
      <c r="C24" s="45">
        <v>9.1</v>
      </c>
      <c r="D24" s="45">
        <v>8.6</v>
      </c>
      <c r="E24" s="45">
        <v>8.6</v>
      </c>
      <c r="F24" s="45">
        <v>8.6</v>
      </c>
      <c r="G24" s="45">
        <v>8.6</v>
      </c>
      <c r="H24" s="45">
        <v>8.6</v>
      </c>
      <c r="I24" s="45">
        <v>8.6</v>
      </c>
      <c r="J24" s="45">
        <v>8.6</v>
      </c>
      <c r="K24" s="45">
        <v>8.6</v>
      </c>
      <c r="L24" s="45">
        <v>8.6</v>
      </c>
      <c r="M24" s="45">
        <v>8.6</v>
      </c>
      <c r="N24" s="45">
        <v>8.6</v>
      </c>
      <c r="O24" s="45">
        <v>8.6</v>
      </c>
      <c r="P24" s="45">
        <v>8.6</v>
      </c>
      <c r="Q24" s="45">
        <v>8.6</v>
      </c>
      <c r="R24" s="45">
        <v>8.6</v>
      </c>
      <c r="S24" s="45">
        <v>8.6</v>
      </c>
      <c r="T24" s="45">
        <v>8.6</v>
      </c>
      <c r="U24" s="45">
        <v>8.6</v>
      </c>
      <c r="V24" s="45">
        <v>8.6</v>
      </c>
      <c r="W24" s="45">
        <v>8.6</v>
      </c>
      <c r="X24" s="45">
        <v>8.6</v>
      </c>
      <c r="Y24" s="45">
        <v>8.6</v>
      </c>
      <c r="Z24" s="45">
        <v>8.6</v>
      </c>
      <c r="AA24" s="45">
        <v>8.6</v>
      </c>
      <c r="AB24" s="45">
        <v>8.6</v>
      </c>
      <c r="AC24" s="45">
        <v>8.6</v>
      </c>
      <c r="AD24" s="45">
        <v>8.6</v>
      </c>
      <c r="AE24" s="45">
        <v>8.6</v>
      </c>
      <c r="AF24" s="45">
        <v>8.6</v>
      </c>
      <c r="AG24" s="49">
        <v>28</v>
      </c>
      <c r="AH24" s="47">
        <f t="shared" si="2"/>
        <v>9.1</v>
      </c>
      <c r="AI24" s="48">
        <f t="shared" si="3"/>
        <v>8.6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7.3</v>
      </c>
      <c r="C25" s="45">
        <v>7.3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>
        <v>7</v>
      </c>
      <c r="AB25" s="45">
        <v>7</v>
      </c>
      <c r="AC25" s="45">
        <v>7</v>
      </c>
      <c r="AD25" s="45">
        <v>7</v>
      </c>
      <c r="AE25" s="45">
        <v>7</v>
      </c>
      <c r="AF25" s="45">
        <v>7</v>
      </c>
      <c r="AG25" s="52">
        <v>30</v>
      </c>
      <c r="AH25" s="47">
        <f t="shared" si="2"/>
        <v>7.3</v>
      </c>
      <c r="AI25" s="48">
        <f t="shared" si="3"/>
        <v>7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9.1</v>
      </c>
      <c r="C26" s="45">
        <v>9.1</v>
      </c>
      <c r="D26" s="45">
        <v>8.9</v>
      </c>
      <c r="E26" s="45">
        <v>8.9</v>
      </c>
      <c r="F26" s="45">
        <v>8.9</v>
      </c>
      <c r="G26" s="45">
        <v>8.9</v>
      </c>
      <c r="H26" s="45">
        <v>8.9</v>
      </c>
      <c r="I26" s="45">
        <v>8.9</v>
      </c>
      <c r="J26" s="45">
        <v>8.9</v>
      </c>
      <c r="K26" s="45">
        <v>8.9</v>
      </c>
      <c r="L26" s="45">
        <v>8.9</v>
      </c>
      <c r="M26" s="45">
        <v>8.9</v>
      </c>
      <c r="N26" s="45">
        <v>8.9</v>
      </c>
      <c r="O26" s="45">
        <v>8.9</v>
      </c>
      <c r="P26" s="45">
        <v>8.9</v>
      </c>
      <c r="Q26" s="45">
        <v>8.9</v>
      </c>
      <c r="R26" s="45">
        <v>8.9</v>
      </c>
      <c r="S26" s="45">
        <v>8.9</v>
      </c>
      <c r="T26" s="45">
        <v>8.9</v>
      </c>
      <c r="U26" s="45">
        <v>8.9</v>
      </c>
      <c r="V26" s="45">
        <v>8.9</v>
      </c>
      <c r="W26" s="45">
        <v>8.9</v>
      </c>
      <c r="X26" s="45">
        <v>8.9</v>
      </c>
      <c r="Y26" s="45">
        <v>8.9</v>
      </c>
      <c r="Z26" s="45">
        <v>8.9</v>
      </c>
      <c r="AA26" s="45">
        <v>8.9</v>
      </c>
      <c r="AB26" s="45">
        <v>8.9</v>
      </c>
      <c r="AC26" s="45">
        <v>8.9</v>
      </c>
      <c r="AD26" s="45">
        <v>8.9</v>
      </c>
      <c r="AE26" s="45">
        <v>8.9</v>
      </c>
      <c r="AF26" s="45">
        <v>8.9</v>
      </c>
      <c r="AG26" s="49">
        <v>25</v>
      </c>
      <c r="AH26" s="47">
        <f t="shared" si="2"/>
        <v>9.1</v>
      </c>
      <c r="AI26" s="48">
        <f t="shared" si="3"/>
        <v>8.9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5</v>
      </c>
      <c r="C27" s="45">
        <v>5</v>
      </c>
      <c r="D27" s="45">
        <v>5</v>
      </c>
      <c r="E27" s="45">
        <v>5</v>
      </c>
      <c r="F27" s="45">
        <v>5</v>
      </c>
      <c r="G27" s="45">
        <v>5</v>
      </c>
      <c r="H27" s="45">
        <v>5</v>
      </c>
      <c r="I27" s="45">
        <v>5</v>
      </c>
      <c r="J27" s="45">
        <v>5</v>
      </c>
      <c r="K27" s="45">
        <v>5</v>
      </c>
      <c r="L27" s="45">
        <v>5</v>
      </c>
      <c r="M27" s="45">
        <v>5</v>
      </c>
      <c r="N27" s="45">
        <v>5</v>
      </c>
      <c r="O27" s="45">
        <v>5</v>
      </c>
      <c r="P27" s="45">
        <v>5</v>
      </c>
      <c r="Q27" s="45">
        <v>5</v>
      </c>
      <c r="R27" s="45">
        <v>5</v>
      </c>
      <c r="S27" s="45">
        <v>5</v>
      </c>
      <c r="T27" s="45">
        <v>5</v>
      </c>
      <c r="U27" s="45">
        <v>5</v>
      </c>
      <c r="V27" s="45">
        <v>5</v>
      </c>
      <c r="W27" s="45">
        <v>5</v>
      </c>
      <c r="X27" s="45">
        <v>5</v>
      </c>
      <c r="Y27" s="45">
        <v>5</v>
      </c>
      <c r="Z27" s="45">
        <v>5</v>
      </c>
      <c r="AA27" s="45">
        <v>5</v>
      </c>
      <c r="AB27" s="45">
        <v>5</v>
      </c>
      <c r="AC27" s="45">
        <v>5</v>
      </c>
      <c r="AD27" s="45">
        <v>5</v>
      </c>
      <c r="AE27" s="45">
        <v>5</v>
      </c>
      <c r="AF27" s="45">
        <v>5</v>
      </c>
      <c r="AG27" s="49">
        <v>25</v>
      </c>
      <c r="AH27" s="47">
        <f t="shared" si="2"/>
        <v>5</v>
      </c>
      <c r="AI27" s="48">
        <f t="shared" si="3"/>
        <v>5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6</v>
      </c>
      <c r="C28" s="45">
        <v>6</v>
      </c>
      <c r="D28" s="45">
        <v>6</v>
      </c>
      <c r="E28" s="45">
        <v>6</v>
      </c>
      <c r="F28" s="45">
        <v>6</v>
      </c>
      <c r="G28" s="45">
        <v>6</v>
      </c>
      <c r="H28" s="45">
        <v>6</v>
      </c>
      <c r="I28" s="45">
        <v>6</v>
      </c>
      <c r="J28" s="45">
        <v>6</v>
      </c>
      <c r="K28" s="45">
        <v>6</v>
      </c>
      <c r="L28" s="45">
        <v>6</v>
      </c>
      <c r="M28" s="45">
        <v>6</v>
      </c>
      <c r="N28" s="45">
        <v>6</v>
      </c>
      <c r="O28" s="45">
        <v>6</v>
      </c>
      <c r="P28" s="45">
        <v>6</v>
      </c>
      <c r="Q28" s="45">
        <v>6</v>
      </c>
      <c r="R28" s="45">
        <v>6</v>
      </c>
      <c r="S28" s="45">
        <v>6</v>
      </c>
      <c r="T28" s="45">
        <v>6</v>
      </c>
      <c r="U28" s="45">
        <v>6</v>
      </c>
      <c r="V28" s="45">
        <v>6</v>
      </c>
      <c r="W28" s="45">
        <v>6</v>
      </c>
      <c r="X28" s="45">
        <v>6</v>
      </c>
      <c r="Y28" s="45">
        <v>6</v>
      </c>
      <c r="Z28" s="45">
        <v>6</v>
      </c>
      <c r="AA28" s="45">
        <v>6</v>
      </c>
      <c r="AB28" s="45">
        <v>6</v>
      </c>
      <c r="AC28" s="45">
        <v>6</v>
      </c>
      <c r="AD28" s="45">
        <v>6</v>
      </c>
      <c r="AE28" s="45">
        <v>6</v>
      </c>
      <c r="AF28" s="45">
        <v>6</v>
      </c>
      <c r="AG28" s="49">
        <v>25</v>
      </c>
      <c r="AH28" s="47">
        <f t="shared" si="2"/>
        <v>6</v>
      </c>
      <c r="AI28" s="48">
        <f t="shared" si="3"/>
        <v>6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8.1999999999999993</v>
      </c>
      <c r="C29" s="45">
        <v>8.1999999999999993</v>
      </c>
      <c r="D29" s="45">
        <v>8.1</v>
      </c>
      <c r="E29" s="45">
        <v>8.1</v>
      </c>
      <c r="F29" s="45">
        <v>8.1</v>
      </c>
      <c r="G29" s="45">
        <v>8.1</v>
      </c>
      <c r="H29" s="45">
        <v>8.1</v>
      </c>
      <c r="I29" s="45">
        <v>8.1</v>
      </c>
      <c r="J29" s="45">
        <v>8.1</v>
      </c>
      <c r="K29" s="45">
        <v>8.1</v>
      </c>
      <c r="L29" s="45">
        <v>8.1</v>
      </c>
      <c r="M29" s="45">
        <v>8.1</v>
      </c>
      <c r="N29" s="45">
        <v>8.1</v>
      </c>
      <c r="O29" s="45">
        <v>8.1</v>
      </c>
      <c r="P29" s="45">
        <v>8.1</v>
      </c>
      <c r="Q29" s="45">
        <v>8.1</v>
      </c>
      <c r="R29" s="45">
        <v>8.1</v>
      </c>
      <c r="S29" s="45">
        <v>8.1</v>
      </c>
      <c r="T29" s="45">
        <v>8.1</v>
      </c>
      <c r="U29" s="45">
        <v>8.1</v>
      </c>
      <c r="V29" s="45">
        <v>8.1</v>
      </c>
      <c r="W29" s="45">
        <v>8.1</v>
      </c>
      <c r="X29" s="45">
        <v>8.1</v>
      </c>
      <c r="Y29" s="45">
        <v>8.1</v>
      </c>
      <c r="Z29" s="45">
        <v>8.1</v>
      </c>
      <c r="AA29" s="45">
        <v>8.1</v>
      </c>
      <c r="AB29" s="45">
        <v>8.1</v>
      </c>
      <c r="AC29" s="45">
        <v>8.1</v>
      </c>
      <c r="AD29" s="45">
        <v>8.1</v>
      </c>
      <c r="AE29" s="45">
        <v>8.1</v>
      </c>
      <c r="AF29" s="45">
        <v>8.1</v>
      </c>
      <c r="AG29" s="49">
        <v>25</v>
      </c>
      <c r="AH29" s="47">
        <f t="shared" si="2"/>
        <v>8.1999999999999993</v>
      </c>
      <c r="AI29" s="48">
        <f t="shared" si="3"/>
        <v>8.1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7.3</v>
      </c>
      <c r="C30" s="45">
        <v>7.3</v>
      </c>
      <c r="D30" s="45">
        <v>8.1</v>
      </c>
      <c r="E30" s="45">
        <v>8.1</v>
      </c>
      <c r="F30" s="45">
        <v>8.1</v>
      </c>
      <c r="G30" s="45">
        <v>8.1</v>
      </c>
      <c r="H30" s="45">
        <v>8.1</v>
      </c>
      <c r="I30" s="45">
        <v>8.1</v>
      </c>
      <c r="J30" s="45">
        <v>8.1</v>
      </c>
      <c r="K30" s="45">
        <v>8.1</v>
      </c>
      <c r="L30" s="45">
        <v>8.1</v>
      </c>
      <c r="M30" s="45">
        <v>8.1</v>
      </c>
      <c r="N30" s="45">
        <v>8.1</v>
      </c>
      <c r="O30" s="45">
        <v>8.1</v>
      </c>
      <c r="P30" s="45">
        <v>8.1</v>
      </c>
      <c r="Q30" s="45">
        <v>8.1</v>
      </c>
      <c r="R30" s="45">
        <v>8.1</v>
      </c>
      <c r="S30" s="45">
        <v>8.1</v>
      </c>
      <c r="T30" s="45">
        <v>8.1</v>
      </c>
      <c r="U30" s="45">
        <v>8.1</v>
      </c>
      <c r="V30" s="45">
        <v>8.1</v>
      </c>
      <c r="W30" s="45">
        <v>8.1</v>
      </c>
      <c r="X30" s="45">
        <v>8.1</v>
      </c>
      <c r="Y30" s="45">
        <v>8.1</v>
      </c>
      <c r="Z30" s="45">
        <v>8.1</v>
      </c>
      <c r="AA30" s="45">
        <v>8.1</v>
      </c>
      <c r="AB30" s="45">
        <v>8.1</v>
      </c>
      <c r="AC30" s="45">
        <v>8.1</v>
      </c>
      <c r="AD30" s="45">
        <v>8.1</v>
      </c>
      <c r="AE30" s="45">
        <v>8.1</v>
      </c>
      <c r="AF30" s="45">
        <v>8.1</v>
      </c>
      <c r="AG30" s="49">
        <v>23.5</v>
      </c>
      <c r="AH30" s="47">
        <f t="shared" si="2"/>
        <v>8.1</v>
      </c>
      <c r="AI30" s="48">
        <f t="shared" si="3"/>
        <v>7.3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4.5</v>
      </c>
      <c r="C31" s="45">
        <v>4.5</v>
      </c>
      <c r="D31" s="45">
        <v>4.5</v>
      </c>
      <c r="E31" s="45">
        <v>4.5</v>
      </c>
      <c r="F31" s="45">
        <v>4.5</v>
      </c>
      <c r="G31" s="45">
        <v>4.5</v>
      </c>
      <c r="H31" s="45">
        <v>4.5</v>
      </c>
      <c r="I31" s="45">
        <v>4.5</v>
      </c>
      <c r="J31" s="45">
        <v>4.5</v>
      </c>
      <c r="K31" s="45">
        <v>4.5</v>
      </c>
      <c r="L31" s="45">
        <v>4.5</v>
      </c>
      <c r="M31" s="45">
        <v>4.5</v>
      </c>
      <c r="N31" s="45">
        <v>4.5</v>
      </c>
      <c r="O31" s="45">
        <v>4.5</v>
      </c>
      <c r="P31" s="45">
        <v>4.5</v>
      </c>
      <c r="Q31" s="45">
        <v>4.5</v>
      </c>
      <c r="R31" s="45">
        <v>4.5</v>
      </c>
      <c r="S31" s="45">
        <v>4.5</v>
      </c>
      <c r="T31" s="45">
        <v>4.5</v>
      </c>
      <c r="U31" s="45">
        <v>4.5</v>
      </c>
      <c r="V31" s="45">
        <v>4.5</v>
      </c>
      <c r="W31" s="45">
        <v>4.5</v>
      </c>
      <c r="X31" s="45">
        <v>4.5</v>
      </c>
      <c r="Y31" s="45">
        <v>4.5</v>
      </c>
      <c r="Z31" s="45">
        <v>4.5</v>
      </c>
      <c r="AA31" s="45">
        <v>4.5</v>
      </c>
      <c r="AB31" s="45">
        <v>4.5</v>
      </c>
      <c r="AC31" s="45">
        <v>4.5</v>
      </c>
      <c r="AD31" s="45">
        <v>4.5</v>
      </c>
      <c r="AE31" s="45">
        <v>4.5</v>
      </c>
      <c r="AF31" s="45">
        <v>4.5</v>
      </c>
      <c r="AG31" s="49">
        <v>22.2</v>
      </c>
      <c r="AH31" s="47">
        <f t="shared" si="2"/>
        <v>4.5</v>
      </c>
      <c r="AI31" s="48">
        <f t="shared" si="3"/>
        <v>4.5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>
        <v>5.5</v>
      </c>
      <c r="N32" s="45">
        <v>5.5</v>
      </c>
      <c r="O32" s="45">
        <v>5.5</v>
      </c>
      <c r="P32" s="45">
        <v>5.5</v>
      </c>
      <c r="Q32" s="45">
        <v>5.5</v>
      </c>
      <c r="R32" s="45">
        <v>5.5</v>
      </c>
      <c r="S32" s="45">
        <v>5.5</v>
      </c>
      <c r="T32" s="45">
        <v>5.5</v>
      </c>
      <c r="U32" s="45">
        <v>5.5</v>
      </c>
      <c r="V32" s="45">
        <v>5.5</v>
      </c>
      <c r="W32" s="45">
        <v>5.5</v>
      </c>
      <c r="X32" s="45">
        <v>5.5</v>
      </c>
      <c r="Y32" s="45">
        <v>5.5</v>
      </c>
      <c r="Z32" s="45">
        <v>5.5</v>
      </c>
      <c r="AA32" s="45">
        <v>5.5</v>
      </c>
      <c r="AB32" s="45">
        <v>5.5</v>
      </c>
      <c r="AC32" s="45">
        <v>5.5</v>
      </c>
      <c r="AD32" s="45">
        <v>5.5</v>
      </c>
      <c r="AE32" s="45">
        <v>5.5</v>
      </c>
      <c r="AF32" s="45">
        <v>5.5</v>
      </c>
      <c r="AG32" s="49">
        <v>22.1</v>
      </c>
      <c r="AH32" s="47">
        <f t="shared" si="2"/>
        <v>5.5</v>
      </c>
      <c r="AI32" s="48">
        <f t="shared" si="3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22</v>
      </c>
      <c r="AH33" s="47">
        <f t="shared" si="2"/>
        <v>6</v>
      </c>
      <c r="AI33" s="48">
        <f t="shared" si="3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11.1</v>
      </c>
      <c r="C34" s="45">
        <v>11.1</v>
      </c>
      <c r="D34" s="45">
        <v>11.5</v>
      </c>
      <c r="E34" s="45">
        <v>11.5</v>
      </c>
      <c r="F34" s="45">
        <v>11.5</v>
      </c>
      <c r="G34" s="45">
        <v>11.5</v>
      </c>
      <c r="H34" s="45">
        <v>11.5</v>
      </c>
      <c r="I34" s="45">
        <v>11.5</v>
      </c>
      <c r="J34" s="45">
        <v>11.5</v>
      </c>
      <c r="K34" s="45">
        <v>11.5</v>
      </c>
      <c r="L34" s="45">
        <v>11.5</v>
      </c>
      <c r="M34" s="45">
        <v>11.5</v>
      </c>
      <c r="N34" s="45">
        <v>11.5</v>
      </c>
      <c r="O34" s="45">
        <v>11.5</v>
      </c>
      <c r="P34" s="45">
        <v>11.5</v>
      </c>
      <c r="Q34" s="45">
        <v>11.5</v>
      </c>
      <c r="R34" s="45">
        <v>11.5</v>
      </c>
      <c r="S34" s="45">
        <v>11.5</v>
      </c>
      <c r="T34" s="45">
        <v>11.5</v>
      </c>
      <c r="U34" s="45">
        <v>11.5</v>
      </c>
      <c r="V34" s="45">
        <v>11.5</v>
      </c>
      <c r="W34" s="45">
        <v>11.5</v>
      </c>
      <c r="X34" s="45">
        <v>11.5</v>
      </c>
      <c r="Y34" s="45">
        <v>11.5</v>
      </c>
      <c r="Z34" s="45">
        <v>11.5</v>
      </c>
      <c r="AA34" s="45">
        <v>11.5</v>
      </c>
      <c r="AB34" s="45">
        <v>11.5</v>
      </c>
      <c r="AC34" s="45">
        <v>11.5</v>
      </c>
      <c r="AD34" s="45">
        <v>11.5</v>
      </c>
      <c r="AE34" s="45">
        <v>11.5</v>
      </c>
      <c r="AF34" s="45">
        <v>11.5</v>
      </c>
      <c r="AG34" s="49">
        <v>22</v>
      </c>
      <c r="AH34" s="47">
        <f t="shared" si="2"/>
        <v>11.5</v>
      </c>
      <c r="AI34" s="48">
        <f t="shared" si="3"/>
        <v>11.1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6.5</v>
      </c>
      <c r="C35" s="45">
        <v>6.5</v>
      </c>
      <c r="D35" s="45">
        <v>6.5</v>
      </c>
      <c r="E35" s="45">
        <v>6.5</v>
      </c>
      <c r="F35" s="45">
        <v>6.5</v>
      </c>
      <c r="G35" s="45">
        <v>6.5</v>
      </c>
      <c r="H35" s="45">
        <v>6.5</v>
      </c>
      <c r="I35" s="45">
        <v>6.5</v>
      </c>
      <c r="J35" s="45">
        <v>6.5</v>
      </c>
      <c r="K35" s="45">
        <v>6.5</v>
      </c>
      <c r="L35" s="45">
        <v>6.5</v>
      </c>
      <c r="M35" s="45">
        <v>6.5</v>
      </c>
      <c r="N35" s="45">
        <v>6.5</v>
      </c>
      <c r="O35" s="45">
        <v>6.5</v>
      </c>
      <c r="P35" s="45">
        <v>6.5</v>
      </c>
      <c r="Q35" s="45">
        <v>6.5</v>
      </c>
      <c r="R35" s="45">
        <v>6.5</v>
      </c>
      <c r="S35" s="45">
        <v>6.5</v>
      </c>
      <c r="T35" s="45">
        <v>6.5</v>
      </c>
      <c r="U35" s="45">
        <v>6.5</v>
      </c>
      <c r="V35" s="45">
        <v>6.5</v>
      </c>
      <c r="W35" s="45">
        <v>6.5</v>
      </c>
      <c r="X35" s="45">
        <v>6.5</v>
      </c>
      <c r="Y35" s="45">
        <v>6.5</v>
      </c>
      <c r="Z35" s="45">
        <v>6.5</v>
      </c>
      <c r="AA35" s="45">
        <v>6.5</v>
      </c>
      <c r="AB35" s="45">
        <v>6.5</v>
      </c>
      <c r="AC35" s="45">
        <v>6.5</v>
      </c>
      <c r="AD35" s="45">
        <v>6.5</v>
      </c>
      <c r="AE35" s="45">
        <v>6.5</v>
      </c>
      <c r="AF35" s="45">
        <v>6.5</v>
      </c>
      <c r="AG35" s="49">
        <v>20</v>
      </c>
      <c r="AH35" s="47">
        <f t="shared" si="2"/>
        <v>6.5</v>
      </c>
      <c r="AI35" s="48">
        <f t="shared" si="3"/>
        <v>6.5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264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2"/>
        <v>4</v>
      </c>
      <c r="AI36" s="48">
        <f t="shared" si="3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5.5</v>
      </c>
      <c r="C37" s="45">
        <v>5.5</v>
      </c>
      <c r="D37" s="45">
        <v>5.5</v>
      </c>
      <c r="E37" s="45">
        <v>5.5</v>
      </c>
      <c r="F37" s="45">
        <v>5.5</v>
      </c>
      <c r="G37" s="45">
        <v>5.5</v>
      </c>
      <c r="H37" s="45">
        <v>5.5</v>
      </c>
      <c r="I37" s="45">
        <v>5.5</v>
      </c>
      <c r="J37" s="45">
        <v>5.5</v>
      </c>
      <c r="K37" s="45">
        <v>5.5</v>
      </c>
      <c r="L37" s="45">
        <v>5.5</v>
      </c>
      <c r="M37" s="45">
        <v>5.5</v>
      </c>
      <c r="N37" s="45">
        <v>5.5</v>
      </c>
      <c r="O37" s="45">
        <v>5.5</v>
      </c>
      <c r="P37" s="45">
        <v>5.5</v>
      </c>
      <c r="Q37" s="45">
        <v>5.5</v>
      </c>
      <c r="R37" s="45">
        <v>5.5</v>
      </c>
      <c r="S37" s="45">
        <v>5.5</v>
      </c>
      <c r="T37" s="45">
        <v>5.5</v>
      </c>
      <c r="U37" s="45">
        <v>5.5</v>
      </c>
      <c r="V37" s="45">
        <v>5.5</v>
      </c>
      <c r="W37" s="45">
        <v>5.5</v>
      </c>
      <c r="X37" s="45">
        <v>5.5</v>
      </c>
      <c r="Y37" s="45">
        <v>5.5</v>
      </c>
      <c r="Z37" s="45">
        <v>5.5</v>
      </c>
      <c r="AA37" s="45">
        <v>5.5</v>
      </c>
      <c r="AB37" s="45">
        <v>5.5</v>
      </c>
      <c r="AC37" s="45">
        <v>5.5</v>
      </c>
      <c r="AD37" s="45">
        <v>5.5</v>
      </c>
      <c r="AE37" s="45">
        <v>5.5</v>
      </c>
      <c r="AF37" s="45">
        <v>5.5</v>
      </c>
      <c r="AG37" s="49">
        <v>18</v>
      </c>
      <c r="AH37" s="47">
        <f t="shared" si="2"/>
        <v>5.5</v>
      </c>
      <c r="AI37" s="48">
        <f t="shared" si="3"/>
        <v>5.5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>
        <v>7.2</v>
      </c>
      <c r="N38" s="45">
        <v>7.2</v>
      </c>
      <c r="O38" s="45">
        <v>7.2</v>
      </c>
      <c r="P38" s="45">
        <v>7.2</v>
      </c>
      <c r="Q38" s="45">
        <v>7.2</v>
      </c>
      <c r="R38" s="45">
        <v>7.2</v>
      </c>
      <c r="S38" s="45">
        <v>7.2</v>
      </c>
      <c r="T38" s="45">
        <v>7.2</v>
      </c>
      <c r="U38" s="45">
        <v>7.2</v>
      </c>
      <c r="V38" s="45">
        <v>7.2</v>
      </c>
      <c r="W38" s="45">
        <v>7.2</v>
      </c>
      <c r="X38" s="45">
        <v>7.2</v>
      </c>
      <c r="Y38" s="45">
        <v>7.2</v>
      </c>
      <c r="Z38" s="45">
        <v>7.2</v>
      </c>
      <c r="AA38" s="45">
        <v>7.2</v>
      </c>
      <c r="AB38" s="45">
        <v>7.2</v>
      </c>
      <c r="AC38" s="45">
        <v>7.2</v>
      </c>
      <c r="AD38" s="45">
        <v>7.2</v>
      </c>
      <c r="AE38" s="45">
        <v>7.2</v>
      </c>
      <c r="AF38" s="45">
        <v>7.2</v>
      </c>
      <c r="AG38" s="49">
        <v>14.9</v>
      </c>
      <c r="AH38" s="47">
        <f t="shared" si="2"/>
        <v>7.2</v>
      </c>
      <c r="AI38" s="48">
        <f t="shared" si="3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265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2"/>
        <v>5</v>
      </c>
      <c r="AI40" s="48">
        <f t="shared" si="3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266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>
        <v>4</v>
      </c>
      <c r="N41" s="45">
        <v>4</v>
      </c>
      <c r="O41" s="45">
        <v>4</v>
      </c>
      <c r="P41" s="45">
        <v>4</v>
      </c>
      <c r="Q41" s="45">
        <v>4</v>
      </c>
      <c r="R41" s="45">
        <v>4</v>
      </c>
      <c r="S41" s="45">
        <v>4</v>
      </c>
      <c r="T41" s="45">
        <v>4</v>
      </c>
      <c r="U41" s="45">
        <v>4</v>
      </c>
      <c r="V41" s="45">
        <v>4</v>
      </c>
      <c r="W41" s="45">
        <v>4</v>
      </c>
      <c r="X41" s="45">
        <v>4</v>
      </c>
      <c r="Y41" s="45">
        <v>4</v>
      </c>
      <c r="Z41" s="45">
        <v>4</v>
      </c>
      <c r="AA41" s="45">
        <v>4</v>
      </c>
      <c r="AB41" s="45">
        <v>4</v>
      </c>
      <c r="AC41" s="45">
        <v>4</v>
      </c>
      <c r="AD41" s="45">
        <v>4</v>
      </c>
      <c r="AE41" s="45">
        <v>4</v>
      </c>
      <c r="AF41" s="45">
        <v>4</v>
      </c>
      <c r="AG41" s="49">
        <v>14.9</v>
      </c>
      <c r="AH41" s="47">
        <f t="shared" si="2"/>
        <v>4</v>
      </c>
      <c r="AI41" s="48">
        <f t="shared" si="3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2"/>
        <v>1.8</v>
      </c>
      <c r="AI42" s="48">
        <f t="shared" si="3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2"/>
        <v>3.8</v>
      </c>
      <c r="AI43" s="48">
        <f t="shared" si="3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4</v>
      </c>
      <c r="C44" s="45">
        <v>4</v>
      </c>
      <c r="D44" s="45">
        <v>4</v>
      </c>
      <c r="E44" s="45">
        <v>4</v>
      </c>
      <c r="F44" s="45">
        <v>4</v>
      </c>
      <c r="G44" s="45">
        <v>4</v>
      </c>
      <c r="H44" s="45">
        <v>4</v>
      </c>
      <c r="I44" s="45">
        <v>4</v>
      </c>
      <c r="J44" s="45">
        <v>4</v>
      </c>
      <c r="K44" s="45">
        <v>4</v>
      </c>
      <c r="L44" s="45">
        <v>4</v>
      </c>
      <c r="M44" s="45">
        <v>4</v>
      </c>
      <c r="N44" s="45">
        <v>4</v>
      </c>
      <c r="O44" s="45">
        <v>4</v>
      </c>
      <c r="P44" s="45">
        <v>4</v>
      </c>
      <c r="Q44" s="45">
        <v>4</v>
      </c>
      <c r="R44" s="45">
        <v>4</v>
      </c>
      <c r="S44" s="45">
        <v>4</v>
      </c>
      <c r="T44" s="45">
        <v>4</v>
      </c>
      <c r="U44" s="45">
        <v>4</v>
      </c>
      <c r="V44" s="45">
        <v>4</v>
      </c>
      <c r="W44" s="45">
        <v>4</v>
      </c>
      <c r="X44" s="45">
        <v>4</v>
      </c>
      <c r="Y44" s="45">
        <v>4</v>
      </c>
      <c r="Z44" s="45">
        <v>4</v>
      </c>
      <c r="AA44" s="45">
        <v>4</v>
      </c>
      <c r="AB44" s="45">
        <v>4</v>
      </c>
      <c r="AC44" s="45">
        <v>4</v>
      </c>
      <c r="AD44" s="45">
        <v>4</v>
      </c>
      <c r="AE44" s="45">
        <v>4</v>
      </c>
      <c r="AF44" s="45">
        <v>4</v>
      </c>
      <c r="AG44" s="49">
        <v>12</v>
      </c>
      <c r="AH44" s="47">
        <f t="shared" si="2"/>
        <v>4</v>
      </c>
      <c r="AI44" s="48">
        <f t="shared" si="3"/>
        <v>4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49">
        <v>12</v>
      </c>
      <c r="AH45" s="47">
        <f t="shared" si="2"/>
        <v>9</v>
      </c>
      <c r="AI45" s="48">
        <f t="shared" si="3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2"/>
        <v>3</v>
      </c>
      <c r="AI46" s="48">
        <f t="shared" si="3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2"/>
        <v>3.5</v>
      </c>
      <c r="AI47" s="48">
        <f t="shared" si="3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>
        <v>5</v>
      </c>
      <c r="N48" s="45">
        <v>5</v>
      </c>
      <c r="O48" s="45">
        <v>5</v>
      </c>
      <c r="P48" s="45">
        <v>5</v>
      </c>
      <c r="Q48" s="45">
        <v>5</v>
      </c>
      <c r="R48" s="45">
        <v>5</v>
      </c>
      <c r="S48" s="45">
        <v>5</v>
      </c>
      <c r="T48" s="45">
        <v>5</v>
      </c>
      <c r="U48" s="45">
        <v>5</v>
      </c>
      <c r="V48" s="45">
        <v>5</v>
      </c>
      <c r="W48" s="45">
        <v>5</v>
      </c>
      <c r="X48" s="45">
        <v>5</v>
      </c>
      <c r="Y48" s="45">
        <v>5</v>
      </c>
      <c r="Z48" s="45">
        <v>5</v>
      </c>
      <c r="AA48" s="45">
        <v>5</v>
      </c>
      <c r="AB48" s="45">
        <v>5</v>
      </c>
      <c r="AC48" s="45">
        <v>5</v>
      </c>
      <c r="AD48" s="45">
        <v>5</v>
      </c>
      <c r="AE48" s="45">
        <v>5</v>
      </c>
      <c r="AF48" s="45">
        <v>5</v>
      </c>
      <c r="AG48" s="52">
        <v>11.88</v>
      </c>
      <c r="AH48" s="47">
        <f t="shared" si="2"/>
        <v>5</v>
      </c>
      <c r="AI48" s="48">
        <f t="shared" si="3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>
        <v>3</v>
      </c>
      <c r="N49" s="45">
        <v>3</v>
      </c>
      <c r="O49" s="45">
        <v>3</v>
      </c>
      <c r="P49" s="45">
        <v>3</v>
      </c>
      <c r="Q49" s="45">
        <v>3</v>
      </c>
      <c r="R49" s="45">
        <v>3</v>
      </c>
      <c r="S49" s="45">
        <v>3</v>
      </c>
      <c r="T49" s="45">
        <v>3</v>
      </c>
      <c r="U49" s="45">
        <v>3</v>
      </c>
      <c r="V49" s="45">
        <v>3</v>
      </c>
      <c r="W49" s="45">
        <v>3</v>
      </c>
      <c r="X49" s="45">
        <v>3</v>
      </c>
      <c r="Y49" s="45">
        <v>3</v>
      </c>
      <c r="Z49" s="45">
        <v>3</v>
      </c>
      <c r="AA49" s="45">
        <v>3</v>
      </c>
      <c r="AB49" s="45">
        <v>3</v>
      </c>
      <c r="AC49" s="45">
        <v>3</v>
      </c>
      <c r="AD49" s="45">
        <v>3</v>
      </c>
      <c r="AE49" s="45">
        <v>3</v>
      </c>
      <c r="AF49" s="45">
        <v>3</v>
      </c>
      <c r="AG49" s="55">
        <v>11</v>
      </c>
      <c r="AH49" s="47">
        <f t="shared" si="2"/>
        <v>3</v>
      </c>
      <c r="AI49" s="48">
        <f t="shared" si="3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267</v>
      </c>
      <c r="B50" s="45">
        <v>3.3</v>
      </c>
      <c r="C50" s="45">
        <v>3.3</v>
      </c>
      <c r="D50" s="45">
        <v>3.3</v>
      </c>
      <c r="E50" s="45">
        <v>3.3</v>
      </c>
      <c r="F50" s="45">
        <v>3.3</v>
      </c>
      <c r="G50" s="45">
        <v>3.3</v>
      </c>
      <c r="H50" s="45">
        <v>3.3</v>
      </c>
      <c r="I50" s="45">
        <v>3.3</v>
      </c>
      <c r="J50" s="45">
        <v>3.3</v>
      </c>
      <c r="K50" s="45">
        <v>3.3</v>
      </c>
      <c r="L50" s="45">
        <v>3.3</v>
      </c>
      <c r="M50" s="45">
        <v>3.3</v>
      </c>
      <c r="N50" s="45">
        <v>3.3</v>
      </c>
      <c r="O50" s="45">
        <v>3.3</v>
      </c>
      <c r="P50" s="45">
        <v>3.3</v>
      </c>
      <c r="Q50" s="45">
        <v>3.3</v>
      </c>
      <c r="R50" s="45">
        <v>3.3</v>
      </c>
      <c r="S50" s="45">
        <v>3.3</v>
      </c>
      <c r="T50" s="45">
        <v>3.3</v>
      </c>
      <c r="U50" s="45">
        <v>3.3</v>
      </c>
      <c r="V50" s="45">
        <v>3.3</v>
      </c>
      <c r="W50" s="45">
        <v>3.3</v>
      </c>
      <c r="X50" s="45">
        <v>3.3</v>
      </c>
      <c r="Y50" s="45">
        <v>3.3</v>
      </c>
      <c r="Z50" s="45">
        <v>3.3</v>
      </c>
      <c r="AA50" s="45">
        <v>3.3</v>
      </c>
      <c r="AB50" s="45">
        <v>3.3</v>
      </c>
      <c r="AC50" s="45">
        <v>3.3</v>
      </c>
      <c r="AD50" s="45">
        <v>3.3</v>
      </c>
      <c r="AE50" s="45">
        <v>3.3</v>
      </c>
      <c r="AF50" s="45">
        <v>3.3</v>
      </c>
      <c r="AG50" s="55">
        <v>11</v>
      </c>
      <c r="AH50" s="47">
        <f t="shared" si="2"/>
        <v>3.3</v>
      </c>
      <c r="AI50" s="48">
        <f t="shared" si="3"/>
        <v>3.3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268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"/>
        <v>3</v>
      </c>
      <c r="AI51" s="48">
        <f t="shared" si="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2"/>
        <v>4</v>
      </c>
      <c r="AI52" s="48">
        <f t="shared" si="3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"/>
        <v>4.5</v>
      </c>
      <c r="AI53" s="48">
        <f t="shared" si="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269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"/>
        <v>0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150</v>
      </c>
      <c r="C56" s="57">
        <v>150</v>
      </c>
      <c r="D56" s="57">
        <v>150</v>
      </c>
      <c r="E56" s="57">
        <v>150</v>
      </c>
      <c r="F56" s="57">
        <v>150</v>
      </c>
      <c r="G56" s="57">
        <v>150</v>
      </c>
      <c r="H56" s="57">
        <v>150</v>
      </c>
      <c r="I56" s="57">
        <v>150</v>
      </c>
      <c r="J56" s="57">
        <v>150</v>
      </c>
      <c r="K56" s="57">
        <v>150</v>
      </c>
      <c r="L56" s="57">
        <v>150</v>
      </c>
      <c r="M56" s="57">
        <v>150</v>
      </c>
      <c r="N56" s="57">
        <v>150</v>
      </c>
      <c r="O56" s="57">
        <v>150</v>
      </c>
      <c r="P56" s="57">
        <v>150</v>
      </c>
      <c r="Q56" s="57">
        <v>150</v>
      </c>
      <c r="R56" s="57">
        <v>150</v>
      </c>
      <c r="S56" s="57">
        <v>150</v>
      </c>
      <c r="T56" s="57">
        <v>150</v>
      </c>
      <c r="U56" s="57">
        <v>150</v>
      </c>
      <c r="V56" s="57">
        <v>150</v>
      </c>
      <c r="W56" s="57">
        <v>150</v>
      </c>
      <c r="X56" s="57">
        <v>150</v>
      </c>
      <c r="Y56" s="57">
        <v>150</v>
      </c>
      <c r="Z56" s="57">
        <v>150</v>
      </c>
      <c r="AA56" s="57">
        <v>150</v>
      </c>
      <c r="AB56" s="57">
        <v>150</v>
      </c>
      <c r="AC56" s="57">
        <v>150</v>
      </c>
      <c r="AD56" s="57">
        <v>150</v>
      </c>
      <c r="AE56" s="57">
        <v>150</v>
      </c>
      <c r="AF56" s="57">
        <v>150</v>
      </c>
      <c r="AG56" s="55">
        <v>85</v>
      </c>
      <c r="AH56" s="47">
        <f t="shared" si="2"/>
        <v>150</v>
      </c>
      <c r="AI56" s="48">
        <f t="shared" si="3"/>
        <v>150</v>
      </c>
      <c r="AK56" s="50"/>
    </row>
    <row r="57" spans="1:88" ht="15.75" thickBot="1" x14ac:dyDescent="0.3">
      <c r="A57" s="58" t="s">
        <v>57</v>
      </c>
      <c r="B57" s="57">
        <f>8.5+19.9</f>
        <v>28.4</v>
      </c>
      <c r="C57" s="57">
        <f t="shared" ref="C57" si="4">8.5+19.9</f>
        <v>28.4</v>
      </c>
      <c r="D57" s="57">
        <f>8.9+20.9</f>
        <v>29.799999999999997</v>
      </c>
      <c r="E57" s="57">
        <f>29.2</f>
        <v>29.2</v>
      </c>
      <c r="F57" s="57">
        <f>19.8+8.7</f>
        <v>28.5</v>
      </c>
      <c r="G57" s="57">
        <f>19.3+8.6</f>
        <v>27.9</v>
      </c>
      <c r="H57" s="57">
        <f>18.3+8.3</f>
        <v>26.6</v>
      </c>
      <c r="I57" s="57">
        <f>18.3+8.2</f>
        <v>26.5</v>
      </c>
      <c r="J57" s="57">
        <f>18.5+8</f>
        <v>26.5</v>
      </c>
      <c r="K57" s="51">
        <f>7.8+18.5</f>
        <v>26.3</v>
      </c>
      <c r="L57" s="51">
        <f>17.2+7.1</f>
        <v>24.299999999999997</v>
      </c>
      <c r="M57" s="51">
        <v>23.5</v>
      </c>
      <c r="N57" s="51">
        <v>23.5</v>
      </c>
      <c r="O57" s="51">
        <v>23.5</v>
      </c>
      <c r="P57" s="51">
        <v>23.5</v>
      </c>
      <c r="Q57" s="51">
        <v>23.5</v>
      </c>
      <c r="R57" s="51">
        <v>23.5</v>
      </c>
      <c r="S57" s="51">
        <v>23.5</v>
      </c>
      <c r="T57" s="51">
        <v>23.5</v>
      </c>
      <c r="U57" s="51">
        <v>23.5</v>
      </c>
      <c r="V57" s="51">
        <v>23.5</v>
      </c>
      <c r="W57" s="51">
        <v>23.5</v>
      </c>
      <c r="X57" s="51">
        <v>23.5</v>
      </c>
      <c r="Y57" s="51">
        <v>23.5</v>
      </c>
      <c r="Z57" s="51">
        <v>23.5</v>
      </c>
      <c r="AA57" s="51">
        <v>23.5</v>
      </c>
      <c r="AB57" s="51">
        <v>23.5</v>
      </c>
      <c r="AC57" s="51">
        <v>23.5</v>
      </c>
      <c r="AD57" s="51">
        <v>22</v>
      </c>
      <c r="AE57" s="51">
        <v>22.4</v>
      </c>
      <c r="AF57" s="51">
        <v>22.4</v>
      </c>
      <c r="AG57" s="55">
        <v>240</v>
      </c>
      <c r="AH57" s="47">
        <f t="shared" si="2"/>
        <v>29.799999999999997</v>
      </c>
      <c r="AI57" s="48">
        <f t="shared" si="3"/>
        <v>22</v>
      </c>
      <c r="AK57" s="50"/>
    </row>
    <row r="58" spans="1:88" ht="15.75" thickBot="1" x14ac:dyDescent="0.3">
      <c r="A58" s="59" t="s">
        <v>58</v>
      </c>
      <c r="B58" s="60">
        <f t="shared" ref="B58:D58" si="5">SUM(B11:B56)</f>
        <v>499.20000000000005</v>
      </c>
      <c r="C58" s="60">
        <f t="shared" si="5"/>
        <v>499.20000000000005</v>
      </c>
      <c r="D58" s="60">
        <f t="shared" si="5"/>
        <v>499.8</v>
      </c>
      <c r="E58" s="60">
        <f t="shared" ref="E58:AF58" si="6">SUM(E11:E56)</f>
        <v>499.90000000000003</v>
      </c>
      <c r="F58" s="60">
        <f t="shared" si="6"/>
        <v>499.90000000000003</v>
      </c>
      <c r="G58" s="60">
        <f t="shared" si="6"/>
        <v>499.90000000000003</v>
      </c>
      <c r="H58" s="60">
        <f t="shared" si="6"/>
        <v>499.90000000000003</v>
      </c>
      <c r="I58" s="60">
        <f t="shared" si="6"/>
        <v>499.90000000000003</v>
      </c>
      <c r="J58" s="60">
        <f t="shared" si="6"/>
        <v>499.90000000000003</v>
      </c>
      <c r="K58" s="60">
        <f t="shared" si="6"/>
        <v>499.5</v>
      </c>
      <c r="L58" s="60">
        <f t="shared" si="6"/>
        <v>499.5</v>
      </c>
      <c r="M58" s="60">
        <f t="shared" ref="M58:N58" si="7">SUM(M11:M56)</f>
        <v>499.5</v>
      </c>
      <c r="N58" s="60">
        <f t="shared" si="7"/>
        <v>499.5</v>
      </c>
      <c r="O58" s="60">
        <f t="shared" si="6"/>
        <v>499.5</v>
      </c>
      <c r="P58" s="60">
        <f t="shared" si="6"/>
        <v>499.5</v>
      </c>
      <c r="Q58" s="60">
        <f t="shared" si="6"/>
        <v>499.5</v>
      </c>
      <c r="R58" s="60">
        <f t="shared" si="6"/>
        <v>499.5</v>
      </c>
      <c r="S58" s="60">
        <f t="shared" ref="S58:T58" si="8">SUM(S11:S56)</f>
        <v>499.5</v>
      </c>
      <c r="T58" s="60">
        <f t="shared" si="8"/>
        <v>499.5</v>
      </c>
      <c r="U58" s="60">
        <f t="shared" ref="U58:V58" si="9">SUM(U11:U56)</f>
        <v>499.5</v>
      </c>
      <c r="V58" s="60">
        <f t="shared" si="9"/>
        <v>499.5</v>
      </c>
      <c r="W58" s="60">
        <f t="shared" ref="W58:X58" si="10">SUM(W11:W56)</f>
        <v>499.5</v>
      </c>
      <c r="X58" s="60">
        <f t="shared" si="10"/>
        <v>499.5</v>
      </c>
      <c r="Y58" s="60">
        <f t="shared" ref="Y58:Z58" si="11">SUM(Y11:Y56)</f>
        <v>499.5</v>
      </c>
      <c r="Z58" s="60">
        <f t="shared" si="11"/>
        <v>499.5</v>
      </c>
      <c r="AA58" s="60">
        <f t="shared" ref="AA58" si="12">SUM(AA11:AA56)</f>
        <v>499.5</v>
      </c>
      <c r="AB58" s="60">
        <f t="shared" si="6"/>
        <v>499.5</v>
      </c>
      <c r="AC58" s="60">
        <f t="shared" si="6"/>
        <v>499.5</v>
      </c>
      <c r="AD58" s="60">
        <f t="shared" si="6"/>
        <v>499.5</v>
      </c>
      <c r="AE58" s="60">
        <f t="shared" si="6"/>
        <v>499.5</v>
      </c>
      <c r="AF58" s="60">
        <f t="shared" si="6"/>
        <v>499.5</v>
      </c>
      <c r="AG58" s="61">
        <f>SUM(AG14:AG56)</f>
        <v>1042.4000000000001</v>
      </c>
      <c r="AH58" s="47">
        <f t="shared" si="2"/>
        <v>499.90000000000003</v>
      </c>
      <c r="AI58" s="48">
        <f t="shared" si="3"/>
        <v>499.20000000000005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45</v>
      </c>
      <c r="K59" s="45">
        <v>280</v>
      </c>
      <c r="L59" s="45">
        <v>360</v>
      </c>
      <c r="M59" s="45">
        <v>400</v>
      </c>
      <c r="N59" s="45">
        <v>400</v>
      </c>
      <c r="O59" s="63">
        <v>70</v>
      </c>
      <c r="P59" s="63">
        <v>0</v>
      </c>
      <c r="Q59" s="63">
        <v>0</v>
      </c>
      <c r="R59" s="63">
        <v>0</v>
      </c>
      <c r="S59" s="63">
        <v>0</v>
      </c>
      <c r="T59" s="63">
        <v>0</v>
      </c>
      <c r="U59" s="63">
        <v>0</v>
      </c>
      <c r="V59" s="63">
        <v>15</v>
      </c>
      <c r="W59" s="63">
        <v>90</v>
      </c>
      <c r="X59" s="63">
        <v>220</v>
      </c>
      <c r="Y59" s="63">
        <v>404</v>
      </c>
      <c r="Z59" s="63">
        <v>425</v>
      </c>
      <c r="AA59" s="63">
        <v>250</v>
      </c>
      <c r="AB59" s="63">
        <v>80</v>
      </c>
      <c r="AC59" s="63">
        <v>15</v>
      </c>
      <c r="AD59" s="63">
        <v>30</v>
      </c>
      <c r="AE59" s="63">
        <v>30</v>
      </c>
      <c r="AF59" s="63">
        <v>0</v>
      </c>
      <c r="AG59" s="52">
        <v>456</v>
      </c>
      <c r="AH59" s="47">
        <f t="shared" si="2"/>
        <v>425</v>
      </c>
      <c r="AI59" s="48">
        <f t="shared" si="3"/>
        <v>0</v>
      </c>
      <c r="AK59" s="50"/>
    </row>
    <row r="60" spans="1:88" x14ac:dyDescent="0.25">
      <c r="A60" s="64" t="s">
        <v>60</v>
      </c>
      <c r="B60" s="65">
        <v>30</v>
      </c>
      <c r="C60" s="65">
        <v>30</v>
      </c>
      <c r="D60" s="65">
        <v>30</v>
      </c>
      <c r="E60" s="65">
        <v>30</v>
      </c>
      <c r="F60" s="65">
        <v>30</v>
      </c>
      <c r="G60" s="65">
        <v>30</v>
      </c>
      <c r="H60" s="65">
        <v>30</v>
      </c>
      <c r="I60" s="65">
        <v>30</v>
      </c>
      <c r="J60" s="65">
        <v>30</v>
      </c>
      <c r="K60" s="65">
        <v>30</v>
      </c>
      <c r="L60" s="65">
        <v>30</v>
      </c>
      <c r="M60" s="65">
        <v>30</v>
      </c>
      <c r="N60" s="65">
        <v>30</v>
      </c>
      <c r="O60" s="65">
        <v>30</v>
      </c>
      <c r="P60" s="65">
        <v>30</v>
      </c>
      <c r="Q60" s="65">
        <v>30</v>
      </c>
      <c r="R60" s="65">
        <v>30</v>
      </c>
      <c r="S60" s="65">
        <v>30</v>
      </c>
      <c r="T60" s="65">
        <v>30</v>
      </c>
      <c r="U60" s="65">
        <v>30</v>
      </c>
      <c r="V60" s="65">
        <v>30</v>
      </c>
      <c r="W60" s="65">
        <v>30</v>
      </c>
      <c r="X60" s="65">
        <v>30</v>
      </c>
      <c r="Y60" s="65">
        <v>30</v>
      </c>
      <c r="Z60" s="65">
        <v>30</v>
      </c>
      <c r="AA60" s="65">
        <v>30</v>
      </c>
      <c r="AB60" s="65">
        <v>30</v>
      </c>
      <c r="AC60" s="65">
        <v>30</v>
      </c>
      <c r="AD60" s="65">
        <v>30</v>
      </c>
      <c r="AE60" s="65">
        <v>30</v>
      </c>
      <c r="AF60" s="65">
        <v>30</v>
      </c>
      <c r="AG60" s="55">
        <v>60</v>
      </c>
      <c r="AH60" s="47">
        <f t="shared" si="2"/>
        <v>30</v>
      </c>
      <c r="AI60" s="48">
        <f t="shared" si="3"/>
        <v>30</v>
      </c>
      <c r="AK60" s="50"/>
    </row>
    <row r="61" spans="1:88" ht="15.75" thickBot="1" x14ac:dyDescent="0.3">
      <c r="A61" s="66" t="s">
        <v>61</v>
      </c>
      <c r="B61" s="67">
        <v>10.199999999999999</v>
      </c>
      <c r="C61" s="67">
        <v>10.199999999999999</v>
      </c>
      <c r="D61" s="67">
        <v>10.199999999999999</v>
      </c>
      <c r="E61" s="67">
        <v>10.199999999999999</v>
      </c>
      <c r="F61" s="67">
        <v>10.199999999999999</v>
      </c>
      <c r="G61" s="67">
        <v>10.199999999999999</v>
      </c>
      <c r="H61" s="67">
        <v>10.199999999999999</v>
      </c>
      <c r="I61" s="67">
        <v>10.199999999999999</v>
      </c>
      <c r="J61" s="67">
        <v>10.199999999999999</v>
      </c>
      <c r="K61" s="67">
        <v>10.199999999999999</v>
      </c>
      <c r="L61" s="67">
        <v>10.199999999999999</v>
      </c>
      <c r="M61" s="67">
        <v>10.199999999999999</v>
      </c>
      <c r="N61" s="67">
        <v>10.199999999999999</v>
      </c>
      <c r="O61" s="67">
        <v>10.199999999999999</v>
      </c>
      <c r="P61" s="67">
        <v>10.199999999999999</v>
      </c>
      <c r="Q61" s="67">
        <v>10.199999999999999</v>
      </c>
      <c r="R61" s="67">
        <v>10.199999999999999</v>
      </c>
      <c r="S61" s="67">
        <v>10.199999999999999</v>
      </c>
      <c r="T61" s="67">
        <v>10.199999999999999</v>
      </c>
      <c r="U61" s="67">
        <v>10.199999999999999</v>
      </c>
      <c r="V61" s="67">
        <v>10.199999999999999</v>
      </c>
      <c r="W61" s="67">
        <v>10.199999999999999</v>
      </c>
      <c r="X61" s="67">
        <v>10.199999999999999</v>
      </c>
      <c r="Y61" s="67">
        <v>16</v>
      </c>
      <c r="Z61" s="67">
        <v>16</v>
      </c>
      <c r="AA61" s="67">
        <v>16</v>
      </c>
      <c r="AB61" s="67">
        <v>16</v>
      </c>
      <c r="AC61" s="67">
        <v>16</v>
      </c>
      <c r="AD61" s="67">
        <v>16</v>
      </c>
      <c r="AE61" s="67">
        <v>10.199999999999999</v>
      </c>
      <c r="AF61" s="67">
        <v>10.199999999999999</v>
      </c>
      <c r="AG61" s="68">
        <v>22.1</v>
      </c>
      <c r="AH61" s="47">
        <f t="shared" si="2"/>
        <v>16</v>
      </c>
      <c r="AI61" s="48">
        <f t="shared" si="3"/>
        <v>10.199999999999999</v>
      </c>
      <c r="AK61" s="50"/>
    </row>
    <row r="62" spans="1:88" ht="15.75" thickBot="1" x14ac:dyDescent="0.3">
      <c r="A62" s="69" t="s">
        <v>62</v>
      </c>
      <c r="B62" s="60">
        <f t="shared" ref="B62:D62" si="13">SUM(B59:B61)</f>
        <v>40.200000000000003</v>
      </c>
      <c r="C62" s="60">
        <f t="shared" si="13"/>
        <v>40.200000000000003</v>
      </c>
      <c r="D62" s="60">
        <f t="shared" si="13"/>
        <v>40.200000000000003</v>
      </c>
      <c r="E62" s="60">
        <f t="shared" ref="E62:AG62" si="14">SUM(E59:E61)</f>
        <v>40.200000000000003</v>
      </c>
      <c r="F62" s="60">
        <f t="shared" si="14"/>
        <v>40.200000000000003</v>
      </c>
      <c r="G62" s="60">
        <f t="shared" si="14"/>
        <v>40.200000000000003</v>
      </c>
      <c r="H62" s="60">
        <f t="shared" si="14"/>
        <v>40.200000000000003</v>
      </c>
      <c r="I62" s="60">
        <f t="shared" si="14"/>
        <v>40.200000000000003</v>
      </c>
      <c r="J62" s="60">
        <f t="shared" si="14"/>
        <v>85.2</v>
      </c>
      <c r="K62" s="60">
        <f t="shared" si="14"/>
        <v>320.2</v>
      </c>
      <c r="L62" s="60">
        <f t="shared" si="14"/>
        <v>400.2</v>
      </c>
      <c r="M62" s="60">
        <f t="shared" ref="M62:N62" si="15">SUM(M59:M61)</f>
        <v>440.2</v>
      </c>
      <c r="N62" s="60">
        <f t="shared" si="15"/>
        <v>440.2</v>
      </c>
      <c r="O62" s="60">
        <f t="shared" si="14"/>
        <v>110.2</v>
      </c>
      <c r="P62" s="60">
        <f t="shared" si="14"/>
        <v>40.200000000000003</v>
      </c>
      <c r="Q62" s="60">
        <f t="shared" si="14"/>
        <v>40.200000000000003</v>
      </c>
      <c r="R62" s="60">
        <f t="shared" si="14"/>
        <v>40.200000000000003</v>
      </c>
      <c r="S62" s="60">
        <f t="shared" ref="S62:T62" si="16">SUM(S59:S61)</f>
        <v>40.200000000000003</v>
      </c>
      <c r="T62" s="60">
        <f t="shared" si="16"/>
        <v>40.200000000000003</v>
      </c>
      <c r="U62" s="60">
        <f t="shared" ref="U62:V62" si="17">SUM(U59:U61)</f>
        <v>40.200000000000003</v>
      </c>
      <c r="V62" s="60">
        <f t="shared" si="17"/>
        <v>55.2</v>
      </c>
      <c r="W62" s="60">
        <f t="shared" ref="W62:X62" si="18">SUM(W59:W61)</f>
        <v>130.19999999999999</v>
      </c>
      <c r="X62" s="60">
        <f t="shared" si="18"/>
        <v>260.2</v>
      </c>
      <c r="Y62" s="60">
        <f t="shared" ref="Y62:Z62" si="19">SUM(Y59:Y61)</f>
        <v>450</v>
      </c>
      <c r="Z62" s="60">
        <f t="shared" si="19"/>
        <v>471</v>
      </c>
      <c r="AA62" s="60">
        <f t="shared" ref="AA62" si="20">SUM(AA59:AA61)</f>
        <v>296</v>
      </c>
      <c r="AB62" s="60">
        <f t="shared" si="14"/>
        <v>126</v>
      </c>
      <c r="AC62" s="60">
        <f t="shared" si="14"/>
        <v>61</v>
      </c>
      <c r="AD62" s="60">
        <f t="shared" si="14"/>
        <v>76</v>
      </c>
      <c r="AE62" s="60">
        <f t="shared" si="14"/>
        <v>70.2</v>
      </c>
      <c r="AF62" s="60">
        <f t="shared" si="14"/>
        <v>40.200000000000003</v>
      </c>
      <c r="AG62" s="61">
        <f t="shared" si="14"/>
        <v>538.1</v>
      </c>
      <c r="AH62" s="47">
        <f t="shared" si="2"/>
        <v>471</v>
      </c>
      <c r="AI62" s="48">
        <f t="shared" si="3"/>
        <v>40.200000000000003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40</v>
      </c>
      <c r="I63" s="45">
        <v>60</v>
      </c>
      <c r="J63" s="45">
        <v>60</v>
      </c>
      <c r="K63" s="45">
        <v>90</v>
      </c>
      <c r="L63" s="45">
        <v>90</v>
      </c>
      <c r="M63" s="45">
        <v>111.2</v>
      </c>
      <c r="N63" s="45">
        <v>111.2</v>
      </c>
      <c r="O63" s="45">
        <v>100.5</v>
      </c>
      <c r="P63" s="45">
        <v>52.5</v>
      </c>
      <c r="Q63" s="45">
        <v>81.3</v>
      </c>
      <c r="R63" s="45">
        <v>31.2</v>
      </c>
      <c r="S63" s="45">
        <v>0</v>
      </c>
      <c r="T63" s="45">
        <v>0</v>
      </c>
      <c r="U63" s="45">
        <v>0</v>
      </c>
      <c r="V63" s="45">
        <v>0</v>
      </c>
      <c r="W63" s="45">
        <v>32.4</v>
      </c>
      <c r="X63" s="45">
        <v>94.2</v>
      </c>
      <c r="Y63" s="45">
        <v>136.4</v>
      </c>
      <c r="Z63" s="45">
        <v>136.4</v>
      </c>
      <c r="AA63" s="45">
        <v>144.69999999999999</v>
      </c>
      <c r="AB63" s="45">
        <v>120</v>
      </c>
      <c r="AC63" s="45">
        <v>96</v>
      </c>
      <c r="AD63" s="45">
        <v>72</v>
      </c>
      <c r="AE63" s="45">
        <v>71</v>
      </c>
      <c r="AF63" s="45">
        <v>0</v>
      </c>
      <c r="AG63" s="52">
        <v>144</v>
      </c>
      <c r="AH63" s="47">
        <f t="shared" si="2"/>
        <v>144.69999999999999</v>
      </c>
      <c r="AI63" s="48">
        <f t="shared" si="3"/>
        <v>0</v>
      </c>
      <c r="AK63" s="50"/>
    </row>
    <row r="64" spans="1:88" x14ac:dyDescent="0.25">
      <c r="A64" s="54" t="s">
        <v>64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25</v>
      </c>
      <c r="I64" s="65">
        <v>47</v>
      </c>
      <c r="J64" s="65">
        <v>60</v>
      </c>
      <c r="K64" s="65">
        <v>60</v>
      </c>
      <c r="L64" s="65">
        <v>60</v>
      </c>
      <c r="M64" s="65">
        <v>60</v>
      </c>
      <c r="N64" s="65">
        <v>60</v>
      </c>
      <c r="O64" s="65">
        <v>60</v>
      </c>
      <c r="P64" s="65">
        <v>25</v>
      </c>
      <c r="Q64" s="65">
        <v>25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35</v>
      </c>
      <c r="Y64" s="65">
        <v>35</v>
      </c>
      <c r="Z64" s="65">
        <v>68.900000000000006</v>
      </c>
      <c r="AA64" s="65">
        <v>68.900000000000006</v>
      </c>
      <c r="AB64" s="65">
        <v>60</v>
      </c>
      <c r="AC64" s="45">
        <v>60</v>
      </c>
      <c r="AD64" s="45">
        <v>35</v>
      </c>
      <c r="AE64" s="45">
        <v>35</v>
      </c>
      <c r="AF64" s="45">
        <v>0</v>
      </c>
      <c r="AG64" s="55">
        <v>70</v>
      </c>
      <c r="AH64" s="47">
        <f t="shared" si="2"/>
        <v>68.900000000000006</v>
      </c>
      <c r="AI64" s="48">
        <f t="shared" si="3"/>
        <v>0</v>
      </c>
      <c r="AK64" s="50"/>
    </row>
    <row r="65" spans="1:41" x14ac:dyDescent="0.25">
      <c r="A65" s="54" t="s">
        <v>65</v>
      </c>
      <c r="B65" s="65">
        <v>0</v>
      </c>
      <c r="C65" s="65">
        <v>0</v>
      </c>
      <c r="D65" s="65">
        <v>0</v>
      </c>
      <c r="E65" s="65">
        <v>15</v>
      </c>
      <c r="F65" s="65">
        <v>0</v>
      </c>
      <c r="G65" s="65">
        <v>24</v>
      </c>
      <c r="H65" s="65">
        <v>37</v>
      </c>
      <c r="I65" s="65">
        <v>48</v>
      </c>
      <c r="J65" s="65">
        <v>46.5</v>
      </c>
      <c r="K65" s="65">
        <v>46.5</v>
      </c>
      <c r="L65" s="65">
        <v>47.1</v>
      </c>
      <c r="M65" s="65">
        <v>46.4</v>
      </c>
      <c r="N65" s="65">
        <v>46.4</v>
      </c>
      <c r="O65" s="65">
        <v>46.4</v>
      </c>
      <c r="P65" s="65">
        <v>44.3</v>
      </c>
      <c r="Q65" s="65">
        <v>46</v>
      </c>
      <c r="R65" s="65">
        <v>17</v>
      </c>
      <c r="S65" s="65">
        <v>17.2</v>
      </c>
      <c r="T65" s="65">
        <v>17.2</v>
      </c>
      <c r="U65" s="65">
        <v>17.2</v>
      </c>
      <c r="V65" s="65">
        <v>0</v>
      </c>
      <c r="W65" s="65">
        <v>17.2</v>
      </c>
      <c r="X65" s="65">
        <v>46.4</v>
      </c>
      <c r="Y65" s="65">
        <v>45.8</v>
      </c>
      <c r="Z65" s="65">
        <v>46</v>
      </c>
      <c r="AA65" s="65">
        <v>45.9</v>
      </c>
      <c r="AB65" s="65">
        <v>45.9</v>
      </c>
      <c r="AC65" s="45">
        <v>45.3</v>
      </c>
      <c r="AD65" s="45">
        <v>45.3</v>
      </c>
      <c r="AE65" s="45">
        <v>45.3</v>
      </c>
      <c r="AF65" s="45">
        <v>34</v>
      </c>
      <c r="AG65" s="55">
        <v>69</v>
      </c>
      <c r="AH65" s="47">
        <f t="shared" si="2"/>
        <v>48</v>
      </c>
      <c r="AI65" s="48">
        <f t="shared" si="3"/>
        <v>0</v>
      </c>
      <c r="AK65" s="50"/>
    </row>
    <row r="66" spans="1:41" x14ac:dyDescent="0.25">
      <c r="A66" s="54" t="s">
        <v>66</v>
      </c>
      <c r="B66" s="65">
        <v>42</v>
      </c>
      <c r="C66" s="65">
        <v>41.5</v>
      </c>
      <c r="D66" s="65">
        <v>39.799999999999997</v>
      </c>
      <c r="E66" s="65">
        <v>39.799999999999997</v>
      </c>
      <c r="F66" s="65">
        <v>39.799999999999997</v>
      </c>
      <c r="G66" s="65">
        <v>39.799999999999997</v>
      </c>
      <c r="H66" s="65">
        <v>37.5</v>
      </c>
      <c r="I66" s="65">
        <v>37.5</v>
      </c>
      <c r="J66" s="65">
        <v>37.5</v>
      </c>
      <c r="K66" s="57">
        <v>39</v>
      </c>
      <c r="L66" s="57">
        <v>39</v>
      </c>
      <c r="M66" s="57">
        <v>40.299999999999997</v>
      </c>
      <c r="N66" s="57">
        <v>40.299999999999997</v>
      </c>
      <c r="O66" s="57">
        <v>40.299999999999997</v>
      </c>
      <c r="P66" s="65">
        <v>40</v>
      </c>
      <c r="Q66" s="65">
        <v>40</v>
      </c>
      <c r="R66" s="65">
        <v>40</v>
      </c>
      <c r="S66" s="65">
        <v>40</v>
      </c>
      <c r="T66" s="65">
        <v>40</v>
      </c>
      <c r="U66" s="65">
        <v>40</v>
      </c>
      <c r="V66" s="65">
        <v>40</v>
      </c>
      <c r="W66" s="65">
        <v>40</v>
      </c>
      <c r="X66" s="65">
        <v>40</v>
      </c>
      <c r="Y66" s="65">
        <v>40</v>
      </c>
      <c r="Z66" s="65">
        <v>40</v>
      </c>
      <c r="AA66" s="65">
        <v>37.299999999999997</v>
      </c>
      <c r="AB66" s="65">
        <v>37.299999999999997</v>
      </c>
      <c r="AC66" s="45">
        <v>40.299999999999997</v>
      </c>
      <c r="AD66" s="45">
        <v>40.299999999999997</v>
      </c>
      <c r="AE66" s="45">
        <v>40.299999999999997</v>
      </c>
      <c r="AF66" s="45">
        <v>40.299999999999997</v>
      </c>
      <c r="AG66" s="55">
        <v>60</v>
      </c>
      <c r="AH66" s="47">
        <f t="shared" si="2"/>
        <v>42</v>
      </c>
      <c r="AI66" s="48">
        <f t="shared" si="3"/>
        <v>37.299999999999997</v>
      </c>
      <c r="AK66" s="50"/>
    </row>
    <row r="67" spans="1:41" x14ac:dyDescent="0.25">
      <c r="A67" s="54" t="s">
        <v>67</v>
      </c>
      <c r="B67" s="65">
        <v>0</v>
      </c>
      <c r="C67" s="65">
        <v>0</v>
      </c>
      <c r="D67" s="65">
        <v>0</v>
      </c>
      <c r="E67" s="65">
        <v>0</v>
      </c>
      <c r="F67" s="65">
        <v>0</v>
      </c>
      <c r="G67" s="65">
        <v>0</v>
      </c>
      <c r="H67" s="65">
        <v>10</v>
      </c>
      <c r="I67" s="65">
        <v>10</v>
      </c>
      <c r="J67" s="65">
        <v>10</v>
      </c>
      <c r="K67" s="57">
        <v>15</v>
      </c>
      <c r="L67" s="57">
        <v>15</v>
      </c>
      <c r="M67" s="57">
        <v>15</v>
      </c>
      <c r="N67" s="57">
        <v>23</v>
      </c>
      <c r="O67" s="57">
        <v>23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23</v>
      </c>
      <c r="Y67" s="65">
        <v>23</v>
      </c>
      <c r="Z67" s="65">
        <v>29</v>
      </c>
      <c r="AA67" s="65">
        <v>29</v>
      </c>
      <c r="AB67" s="65">
        <v>28</v>
      </c>
      <c r="AC67" s="45">
        <v>15</v>
      </c>
      <c r="AD67" s="45">
        <v>15</v>
      </c>
      <c r="AE67" s="45">
        <v>10</v>
      </c>
      <c r="AF67" s="45">
        <v>0</v>
      </c>
      <c r="AG67" s="55">
        <v>30</v>
      </c>
      <c r="AH67" s="47">
        <f t="shared" si="2"/>
        <v>29</v>
      </c>
      <c r="AI67" s="48">
        <f t="shared" si="3"/>
        <v>0</v>
      </c>
      <c r="AK67" s="50"/>
    </row>
    <row r="68" spans="1:41" x14ac:dyDescent="0.25">
      <c r="A68" s="54" t="s">
        <v>68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2</v>
      </c>
      <c r="N68" s="65">
        <v>8</v>
      </c>
      <c r="O68" s="65">
        <v>12</v>
      </c>
      <c r="P68" s="65">
        <v>15.9</v>
      </c>
      <c r="Q68" s="65">
        <v>17.3</v>
      </c>
      <c r="R68" s="65">
        <v>17.3</v>
      </c>
      <c r="S68" s="65">
        <v>13.9</v>
      </c>
      <c r="T68" s="65">
        <v>9.6999999999999993</v>
      </c>
      <c r="U68" s="65">
        <v>4.9000000000000004</v>
      </c>
      <c r="V68" s="65">
        <v>1.5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5">
        <v>25</v>
      </c>
      <c r="AH68" s="47">
        <f t="shared" si="2"/>
        <v>17.3</v>
      </c>
      <c r="AI68" s="48">
        <f t="shared" si="3"/>
        <v>0</v>
      </c>
      <c r="AK68" s="50"/>
    </row>
    <row r="69" spans="1:41" x14ac:dyDescent="0.25">
      <c r="A69" s="54" t="s">
        <v>69</v>
      </c>
      <c r="B69" s="65">
        <v>15</v>
      </c>
      <c r="C69" s="65">
        <v>15</v>
      </c>
      <c r="D69" s="65">
        <v>15</v>
      </c>
      <c r="E69" s="65">
        <v>15</v>
      </c>
      <c r="F69" s="65">
        <v>15</v>
      </c>
      <c r="G69" s="65">
        <v>15</v>
      </c>
      <c r="H69" s="65">
        <v>15</v>
      </c>
      <c r="I69" s="65">
        <v>15</v>
      </c>
      <c r="J69" s="65">
        <v>15</v>
      </c>
      <c r="K69" s="65">
        <v>15</v>
      </c>
      <c r="L69" s="65">
        <v>15</v>
      </c>
      <c r="M69" s="65">
        <v>15</v>
      </c>
      <c r="N69" s="65">
        <v>15</v>
      </c>
      <c r="O69" s="65">
        <v>15</v>
      </c>
      <c r="P69" s="65">
        <v>15</v>
      </c>
      <c r="Q69" s="65">
        <v>15</v>
      </c>
      <c r="R69" s="65">
        <v>15</v>
      </c>
      <c r="S69" s="65">
        <v>15</v>
      </c>
      <c r="T69" s="65">
        <v>15</v>
      </c>
      <c r="U69" s="65">
        <v>15</v>
      </c>
      <c r="V69" s="65">
        <v>15</v>
      </c>
      <c r="W69" s="65">
        <v>15</v>
      </c>
      <c r="X69" s="65">
        <v>15</v>
      </c>
      <c r="Y69" s="65">
        <v>15</v>
      </c>
      <c r="Z69" s="65">
        <v>15</v>
      </c>
      <c r="AA69" s="65">
        <v>15</v>
      </c>
      <c r="AB69" s="65">
        <v>15</v>
      </c>
      <c r="AC69" s="65">
        <v>15</v>
      </c>
      <c r="AD69" s="65">
        <v>15</v>
      </c>
      <c r="AE69" s="65">
        <v>15</v>
      </c>
      <c r="AF69" s="65">
        <v>15</v>
      </c>
      <c r="AG69" s="55">
        <v>24</v>
      </c>
      <c r="AH69" s="47">
        <f t="shared" si="2"/>
        <v>15</v>
      </c>
      <c r="AI69" s="48">
        <f t="shared" si="3"/>
        <v>15</v>
      </c>
      <c r="AK69" s="50"/>
    </row>
    <row r="70" spans="1:41" x14ac:dyDescent="0.25">
      <c r="A70" s="54" t="s">
        <v>70</v>
      </c>
      <c r="B70" s="65">
        <v>4</v>
      </c>
      <c r="C70" s="65">
        <v>4</v>
      </c>
      <c r="D70" s="65">
        <v>4</v>
      </c>
      <c r="E70" s="65">
        <v>4</v>
      </c>
      <c r="F70" s="65">
        <v>4</v>
      </c>
      <c r="G70" s="65">
        <v>4</v>
      </c>
      <c r="H70" s="65">
        <v>4</v>
      </c>
      <c r="I70" s="65">
        <v>4</v>
      </c>
      <c r="J70" s="65">
        <v>4</v>
      </c>
      <c r="K70" s="65">
        <v>4</v>
      </c>
      <c r="L70" s="65">
        <v>4</v>
      </c>
      <c r="M70" s="65">
        <v>4</v>
      </c>
      <c r="N70" s="65">
        <v>4</v>
      </c>
      <c r="O70" s="65">
        <v>4</v>
      </c>
      <c r="P70" s="65">
        <v>4</v>
      </c>
      <c r="Q70" s="65">
        <v>4</v>
      </c>
      <c r="R70" s="65">
        <v>4</v>
      </c>
      <c r="S70" s="65">
        <v>4</v>
      </c>
      <c r="T70" s="65">
        <v>4</v>
      </c>
      <c r="U70" s="65">
        <v>4</v>
      </c>
      <c r="V70" s="65">
        <v>4</v>
      </c>
      <c r="W70" s="65">
        <v>4</v>
      </c>
      <c r="X70" s="65">
        <v>4</v>
      </c>
      <c r="Y70" s="65">
        <v>4</v>
      </c>
      <c r="Z70" s="65">
        <v>4</v>
      </c>
      <c r="AA70" s="65">
        <v>4</v>
      </c>
      <c r="AB70" s="65">
        <v>4</v>
      </c>
      <c r="AC70" s="65">
        <v>4</v>
      </c>
      <c r="AD70" s="65">
        <v>4</v>
      </c>
      <c r="AE70" s="65">
        <v>4</v>
      </c>
      <c r="AF70" s="65">
        <v>4</v>
      </c>
      <c r="AG70" s="55">
        <v>15</v>
      </c>
      <c r="AH70" s="47">
        <f t="shared" si="2"/>
        <v>4</v>
      </c>
      <c r="AI70" s="48">
        <f t="shared" si="3"/>
        <v>4</v>
      </c>
      <c r="AK70" s="50"/>
      <c r="AL70" s="70"/>
      <c r="AO70" s="70"/>
    </row>
    <row r="71" spans="1:41" s="70" customFormat="1" x14ac:dyDescent="0.25">
      <c r="A71" s="54" t="s">
        <v>71</v>
      </c>
      <c r="B71" s="65">
        <v>9.8000000000000007</v>
      </c>
      <c r="C71" s="65">
        <v>9.8000000000000007</v>
      </c>
      <c r="D71" s="65">
        <v>9.8000000000000007</v>
      </c>
      <c r="E71" s="65">
        <v>9.8000000000000007</v>
      </c>
      <c r="F71" s="65">
        <v>9.8000000000000007</v>
      </c>
      <c r="G71" s="65">
        <v>9.8000000000000007</v>
      </c>
      <c r="H71" s="65">
        <v>9.8000000000000007</v>
      </c>
      <c r="I71" s="65">
        <v>9.8000000000000007</v>
      </c>
      <c r="J71" s="65">
        <v>9.8000000000000007</v>
      </c>
      <c r="K71" s="65">
        <v>9.8000000000000007</v>
      </c>
      <c r="L71" s="65">
        <v>9.8000000000000007</v>
      </c>
      <c r="M71" s="65">
        <v>9.8000000000000007</v>
      </c>
      <c r="N71" s="65">
        <v>9.8000000000000007</v>
      </c>
      <c r="O71" s="65">
        <v>9.8000000000000007</v>
      </c>
      <c r="P71" s="65">
        <v>9.8000000000000007</v>
      </c>
      <c r="Q71" s="65">
        <v>9.8000000000000007</v>
      </c>
      <c r="R71" s="65">
        <v>9.8000000000000007</v>
      </c>
      <c r="S71" s="65">
        <v>9.8000000000000007</v>
      </c>
      <c r="T71" s="65">
        <v>9.8000000000000007</v>
      </c>
      <c r="U71" s="65">
        <v>9.8000000000000007</v>
      </c>
      <c r="V71" s="65">
        <v>9.8000000000000007</v>
      </c>
      <c r="W71" s="65">
        <v>9.8000000000000007</v>
      </c>
      <c r="X71" s="65">
        <v>9.8000000000000007</v>
      </c>
      <c r="Y71" s="65">
        <v>9.8000000000000007</v>
      </c>
      <c r="Z71" s="65">
        <v>9.8000000000000007</v>
      </c>
      <c r="AA71" s="65">
        <v>9.8000000000000007</v>
      </c>
      <c r="AB71" s="65">
        <v>9.8000000000000007</v>
      </c>
      <c r="AC71" s="65">
        <v>9.8000000000000007</v>
      </c>
      <c r="AD71" s="65">
        <v>9.8000000000000007</v>
      </c>
      <c r="AE71" s="65">
        <v>9.8000000000000007</v>
      </c>
      <c r="AF71" s="65">
        <v>9.8000000000000007</v>
      </c>
      <c r="AG71" s="55">
        <v>14.1</v>
      </c>
      <c r="AH71" s="47">
        <f t="shared" si="2"/>
        <v>9.8000000000000007</v>
      </c>
      <c r="AI71" s="48">
        <f t="shared" si="3"/>
        <v>9.8000000000000007</v>
      </c>
      <c r="AJ71" s="1"/>
      <c r="AK71" s="50"/>
      <c r="AL71" s="1"/>
      <c r="AM71" s="1"/>
      <c r="AN71" s="1"/>
      <c r="AO71" s="1"/>
    </row>
    <row r="72" spans="1:41" x14ac:dyDescent="0.25">
      <c r="A72" s="71" t="s">
        <v>72</v>
      </c>
      <c r="B72" s="65">
        <v>5</v>
      </c>
      <c r="C72" s="65">
        <v>5</v>
      </c>
      <c r="D72" s="65">
        <v>4.8</v>
      </c>
      <c r="E72" s="65">
        <v>4.8</v>
      </c>
      <c r="F72" s="65">
        <v>4.8</v>
      </c>
      <c r="G72" s="65">
        <v>4.8</v>
      </c>
      <c r="H72" s="65">
        <v>4.8</v>
      </c>
      <c r="I72" s="65">
        <v>4.8</v>
      </c>
      <c r="J72" s="65">
        <v>4.8</v>
      </c>
      <c r="K72" s="65">
        <v>4.8</v>
      </c>
      <c r="L72" s="65">
        <v>4.8</v>
      </c>
      <c r="M72" s="65">
        <v>4.8</v>
      </c>
      <c r="N72" s="65">
        <v>4.8</v>
      </c>
      <c r="O72" s="65">
        <v>4.8</v>
      </c>
      <c r="P72" s="65">
        <v>4.8</v>
      </c>
      <c r="Q72" s="65">
        <v>4.8</v>
      </c>
      <c r="R72" s="65">
        <v>4.8</v>
      </c>
      <c r="S72" s="65">
        <v>4.8</v>
      </c>
      <c r="T72" s="65">
        <v>4.8</v>
      </c>
      <c r="U72" s="65">
        <v>4.8</v>
      </c>
      <c r="V72" s="65">
        <v>4.8</v>
      </c>
      <c r="W72" s="65">
        <v>4.8</v>
      </c>
      <c r="X72" s="65">
        <v>4.8</v>
      </c>
      <c r="Y72" s="65">
        <v>4.8</v>
      </c>
      <c r="Z72" s="65">
        <v>4.8</v>
      </c>
      <c r="AA72" s="65">
        <v>4.8</v>
      </c>
      <c r="AB72" s="65">
        <v>4.8</v>
      </c>
      <c r="AC72" s="65">
        <v>4.8</v>
      </c>
      <c r="AD72" s="65">
        <v>3.5</v>
      </c>
      <c r="AE72" s="65">
        <v>3.5</v>
      </c>
      <c r="AF72" s="65">
        <v>3.5</v>
      </c>
      <c r="AG72" s="55">
        <v>14</v>
      </c>
      <c r="AH72" s="47">
        <f t="shared" si="2"/>
        <v>5</v>
      </c>
      <c r="AI72" s="48">
        <f t="shared" si="3"/>
        <v>3.5</v>
      </c>
      <c r="AK72" s="50"/>
    </row>
    <row r="73" spans="1:41" x14ac:dyDescent="0.25">
      <c r="A73" s="54" t="s">
        <v>73</v>
      </c>
      <c r="B73" s="65">
        <v>2.5</v>
      </c>
      <c r="C73" s="65">
        <v>2.5</v>
      </c>
      <c r="D73" s="65">
        <v>2.5</v>
      </c>
      <c r="E73" s="65">
        <v>2.5</v>
      </c>
      <c r="F73" s="65">
        <v>2.5</v>
      </c>
      <c r="G73" s="65">
        <v>2.5</v>
      </c>
      <c r="H73" s="65">
        <v>2.5</v>
      </c>
      <c r="I73" s="65">
        <v>2.5</v>
      </c>
      <c r="J73" s="65">
        <v>2.5</v>
      </c>
      <c r="K73" s="65">
        <v>2.5</v>
      </c>
      <c r="L73" s="65">
        <v>2.5</v>
      </c>
      <c r="M73" s="65">
        <v>2.5</v>
      </c>
      <c r="N73" s="65">
        <v>2.5</v>
      </c>
      <c r="O73" s="65">
        <v>2.5</v>
      </c>
      <c r="P73" s="65">
        <v>2.5</v>
      </c>
      <c r="Q73" s="65">
        <v>2.5</v>
      </c>
      <c r="R73" s="65">
        <v>2.5</v>
      </c>
      <c r="S73" s="65">
        <v>2.5</v>
      </c>
      <c r="T73" s="65">
        <v>2.5</v>
      </c>
      <c r="U73" s="65">
        <v>2.5</v>
      </c>
      <c r="V73" s="65">
        <v>2.5</v>
      </c>
      <c r="W73" s="65">
        <v>2.5</v>
      </c>
      <c r="X73" s="65">
        <v>2.5</v>
      </c>
      <c r="Y73" s="65">
        <v>2.5</v>
      </c>
      <c r="Z73" s="65">
        <v>2.5</v>
      </c>
      <c r="AA73" s="65">
        <v>2.5</v>
      </c>
      <c r="AB73" s="65">
        <v>2.5</v>
      </c>
      <c r="AC73" s="65">
        <v>2.5</v>
      </c>
      <c r="AD73" s="65">
        <v>2.5</v>
      </c>
      <c r="AE73" s="65">
        <v>2.5</v>
      </c>
      <c r="AF73" s="65">
        <v>2.5</v>
      </c>
      <c r="AG73" s="55">
        <v>10.050000000000001</v>
      </c>
      <c r="AH73" s="47">
        <f t="shared" si="2"/>
        <v>2.5</v>
      </c>
      <c r="AI73" s="48">
        <f t="shared" si="3"/>
        <v>2.5</v>
      </c>
      <c r="AK73" s="50"/>
    </row>
    <row r="74" spans="1:41" x14ac:dyDescent="0.25">
      <c r="A74" s="54" t="s">
        <v>74</v>
      </c>
      <c r="B74" s="65">
        <v>2</v>
      </c>
      <c r="C74" s="65">
        <v>2</v>
      </c>
      <c r="D74" s="65">
        <v>2</v>
      </c>
      <c r="E74" s="65">
        <v>2</v>
      </c>
      <c r="F74" s="65">
        <v>2</v>
      </c>
      <c r="G74" s="65">
        <v>2</v>
      </c>
      <c r="H74" s="65">
        <v>2</v>
      </c>
      <c r="I74" s="65">
        <v>2</v>
      </c>
      <c r="J74" s="65">
        <v>2</v>
      </c>
      <c r="K74" s="65">
        <v>2</v>
      </c>
      <c r="L74" s="65">
        <v>2</v>
      </c>
      <c r="M74" s="65">
        <v>2</v>
      </c>
      <c r="N74" s="65">
        <v>2</v>
      </c>
      <c r="O74" s="65">
        <v>2</v>
      </c>
      <c r="P74" s="65">
        <v>2</v>
      </c>
      <c r="Q74" s="65">
        <v>2</v>
      </c>
      <c r="R74" s="65">
        <v>2</v>
      </c>
      <c r="S74" s="65">
        <v>2</v>
      </c>
      <c r="T74" s="65">
        <v>2</v>
      </c>
      <c r="U74" s="65">
        <v>2</v>
      </c>
      <c r="V74" s="65">
        <v>2</v>
      </c>
      <c r="W74" s="65">
        <v>2</v>
      </c>
      <c r="X74" s="65">
        <v>2</v>
      </c>
      <c r="Y74" s="65">
        <v>2</v>
      </c>
      <c r="Z74" s="65">
        <v>2</v>
      </c>
      <c r="AA74" s="65">
        <v>2</v>
      </c>
      <c r="AB74" s="65">
        <v>2</v>
      </c>
      <c r="AC74" s="65">
        <v>2</v>
      </c>
      <c r="AD74" s="65">
        <v>2</v>
      </c>
      <c r="AE74" s="65">
        <v>2</v>
      </c>
      <c r="AF74" s="65">
        <v>2</v>
      </c>
      <c r="AG74" s="55">
        <v>6.2</v>
      </c>
      <c r="AH74" s="47">
        <f t="shared" si="2"/>
        <v>2</v>
      </c>
      <c r="AI74" s="48">
        <f t="shared" si="3"/>
        <v>2</v>
      </c>
      <c r="AK74" s="50"/>
    </row>
    <row r="75" spans="1:41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3.54</v>
      </c>
      <c r="Z75" s="72">
        <v>3.54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2"/>
        <v>3.54</v>
      </c>
      <c r="AI75" s="48">
        <f t="shared" si="3"/>
        <v>3.54</v>
      </c>
      <c r="AK75" s="50"/>
    </row>
    <row r="76" spans="1:41" ht="15.75" thickBot="1" x14ac:dyDescent="0.3">
      <c r="A76" s="74" t="s">
        <v>76</v>
      </c>
      <c r="B76" s="60">
        <f t="shared" ref="B76:D76" si="21">SUM(B63:B75)</f>
        <v>83.84</v>
      </c>
      <c r="C76" s="60">
        <f t="shared" si="21"/>
        <v>83.34</v>
      </c>
      <c r="D76" s="60">
        <f t="shared" si="21"/>
        <v>81.44</v>
      </c>
      <c r="E76" s="60">
        <f t="shared" ref="E76:AG76" si="22">SUM(E63:E75)</f>
        <v>96.44</v>
      </c>
      <c r="F76" s="60">
        <f t="shared" si="22"/>
        <v>81.44</v>
      </c>
      <c r="G76" s="60">
        <f t="shared" si="22"/>
        <v>105.44</v>
      </c>
      <c r="H76" s="60">
        <f t="shared" si="22"/>
        <v>191.14000000000001</v>
      </c>
      <c r="I76" s="60">
        <f t="shared" si="22"/>
        <v>244.14000000000001</v>
      </c>
      <c r="J76" s="60">
        <f t="shared" si="22"/>
        <v>255.64000000000001</v>
      </c>
      <c r="K76" s="60">
        <f t="shared" si="22"/>
        <v>292.14000000000004</v>
      </c>
      <c r="L76" s="60">
        <f t="shared" si="22"/>
        <v>292.74000000000007</v>
      </c>
      <c r="M76" s="60">
        <f t="shared" si="22"/>
        <v>316.54000000000002</v>
      </c>
      <c r="N76" s="60">
        <f t="shared" si="22"/>
        <v>330.54</v>
      </c>
      <c r="O76" s="60">
        <f t="shared" si="22"/>
        <v>323.84000000000003</v>
      </c>
      <c r="P76" s="60">
        <f t="shared" si="22"/>
        <v>219.34000000000003</v>
      </c>
      <c r="Q76" s="60">
        <f t="shared" si="22"/>
        <v>251.24000000000004</v>
      </c>
      <c r="R76" s="60">
        <f t="shared" si="22"/>
        <v>147.14000000000001</v>
      </c>
      <c r="S76" s="60">
        <f t="shared" ref="S76:T76" si="23">SUM(S63:S75)</f>
        <v>112.74000000000001</v>
      </c>
      <c r="T76" s="60">
        <f t="shared" si="23"/>
        <v>108.54</v>
      </c>
      <c r="U76" s="60">
        <f t="shared" ref="U76:V76" si="24">SUM(U63:U75)</f>
        <v>103.74</v>
      </c>
      <c r="V76" s="60">
        <f t="shared" si="24"/>
        <v>83.14</v>
      </c>
      <c r="W76" s="60">
        <f t="shared" ref="W76:X76" si="25">SUM(W63:W75)</f>
        <v>131.23999999999998</v>
      </c>
      <c r="X76" s="60">
        <f t="shared" si="25"/>
        <v>280.24000000000007</v>
      </c>
      <c r="Y76" s="60">
        <f t="shared" ref="Y76:Z76" si="26">SUM(Y63:Y75)</f>
        <v>321.84000000000003</v>
      </c>
      <c r="Z76" s="60">
        <f t="shared" si="26"/>
        <v>361.94000000000005</v>
      </c>
      <c r="AA76" s="60">
        <f t="shared" ref="AA76" si="27">SUM(AA63:AA75)</f>
        <v>367.44000000000005</v>
      </c>
      <c r="AB76" s="60">
        <f t="shared" si="22"/>
        <v>332.84000000000003</v>
      </c>
      <c r="AC76" s="60">
        <f t="shared" si="22"/>
        <v>298.24000000000007</v>
      </c>
      <c r="AD76" s="60">
        <f t="shared" si="22"/>
        <v>247.94000000000003</v>
      </c>
      <c r="AE76" s="60">
        <f t="shared" si="22"/>
        <v>241.94000000000003</v>
      </c>
      <c r="AF76" s="60">
        <f t="shared" si="22"/>
        <v>114.64</v>
      </c>
      <c r="AG76" s="61">
        <f t="shared" si="22"/>
        <v>489.91</v>
      </c>
      <c r="AH76" s="47">
        <f t="shared" si="2"/>
        <v>367.44000000000005</v>
      </c>
      <c r="AI76" s="48">
        <f t="shared" si="3"/>
        <v>81.44</v>
      </c>
      <c r="AK76" s="50"/>
    </row>
    <row r="77" spans="1:41" x14ac:dyDescent="0.25">
      <c r="A77" s="44" t="s">
        <v>77</v>
      </c>
      <c r="B77" s="45">
        <v>0</v>
      </c>
      <c r="C77" s="45">
        <v>0</v>
      </c>
      <c r="D77" s="45">
        <v>0</v>
      </c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52">
        <v>60</v>
      </c>
      <c r="AH77" s="47">
        <f t="shared" si="2"/>
        <v>0</v>
      </c>
      <c r="AI77" s="48">
        <f t="shared" si="3"/>
        <v>0</v>
      </c>
      <c r="AK77" s="50"/>
    </row>
    <row r="78" spans="1:41" x14ac:dyDescent="0.25">
      <c r="A78" s="54" t="s">
        <v>78</v>
      </c>
      <c r="B78" s="65">
        <v>0</v>
      </c>
      <c r="C78" s="65">
        <v>0</v>
      </c>
      <c r="D78" s="65">
        <v>0</v>
      </c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55">
        <v>32</v>
      </c>
      <c r="AH78" s="47">
        <f t="shared" si="2"/>
        <v>0</v>
      </c>
      <c r="AI78" s="48">
        <f t="shared" si="3"/>
        <v>0</v>
      </c>
      <c r="AK78" s="50"/>
    </row>
    <row r="79" spans="1:41" ht="15.75" thickBot="1" x14ac:dyDescent="0.3">
      <c r="A79" s="71" t="s">
        <v>79</v>
      </c>
      <c r="B79" s="67">
        <v>0</v>
      </c>
      <c r="C79" s="67">
        <v>0</v>
      </c>
      <c r="D79" s="67">
        <v>0</v>
      </c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8">
        <v>14</v>
      </c>
      <c r="AH79" s="47">
        <f t="shared" si="2"/>
        <v>0</v>
      </c>
      <c r="AI79" s="48">
        <f t="shared" si="3"/>
        <v>0</v>
      </c>
      <c r="AK79" s="50"/>
    </row>
    <row r="80" spans="1:41" ht="15.75" thickBot="1" x14ac:dyDescent="0.3">
      <c r="A80" s="74" t="s">
        <v>80</v>
      </c>
      <c r="B80" s="60">
        <f t="shared" ref="B80:D80" si="28">B77+B78+B79</f>
        <v>0</v>
      </c>
      <c r="C80" s="60">
        <f t="shared" si="28"/>
        <v>0</v>
      </c>
      <c r="D80" s="60">
        <f t="shared" si="28"/>
        <v>0</v>
      </c>
      <c r="E80" s="60">
        <f t="shared" ref="E80:AF80" si="29">E77+E78+E79</f>
        <v>0</v>
      </c>
      <c r="F80" s="60">
        <f t="shared" si="29"/>
        <v>0</v>
      </c>
      <c r="G80" s="60">
        <f t="shared" si="29"/>
        <v>0</v>
      </c>
      <c r="H80" s="60">
        <f t="shared" si="29"/>
        <v>0</v>
      </c>
      <c r="I80" s="60">
        <f t="shared" si="29"/>
        <v>0</v>
      </c>
      <c r="J80" s="60">
        <f t="shared" si="29"/>
        <v>0</v>
      </c>
      <c r="K80" s="60">
        <f t="shared" si="29"/>
        <v>0</v>
      </c>
      <c r="L80" s="60">
        <f t="shared" si="29"/>
        <v>0</v>
      </c>
      <c r="M80" s="60">
        <f t="shared" si="29"/>
        <v>0</v>
      </c>
      <c r="N80" s="60">
        <f t="shared" si="29"/>
        <v>0</v>
      </c>
      <c r="O80" s="60">
        <f t="shared" si="29"/>
        <v>0</v>
      </c>
      <c r="P80" s="60">
        <f t="shared" si="29"/>
        <v>0</v>
      </c>
      <c r="Q80" s="60">
        <f t="shared" si="29"/>
        <v>0</v>
      </c>
      <c r="R80" s="60">
        <f t="shared" si="29"/>
        <v>0</v>
      </c>
      <c r="S80" s="60">
        <f t="shared" ref="S80:T80" si="30">S77+S78+S79</f>
        <v>0</v>
      </c>
      <c r="T80" s="60">
        <f t="shared" si="30"/>
        <v>0</v>
      </c>
      <c r="U80" s="60">
        <f t="shared" ref="U80:V80" si="31">U77+U78+U79</f>
        <v>0</v>
      </c>
      <c r="V80" s="60">
        <f t="shared" si="31"/>
        <v>0</v>
      </c>
      <c r="W80" s="60">
        <f t="shared" ref="W80:X80" si="32">W77+W78+W79</f>
        <v>0</v>
      </c>
      <c r="X80" s="60">
        <f t="shared" si="32"/>
        <v>0</v>
      </c>
      <c r="Y80" s="60">
        <f t="shared" ref="Y80:Z80" si="33">Y77+Y78+Y79</f>
        <v>0</v>
      </c>
      <c r="Z80" s="60">
        <f t="shared" si="33"/>
        <v>0</v>
      </c>
      <c r="AA80" s="60">
        <f t="shared" ref="AA80" si="34">AA77+AA78+AA79</f>
        <v>0</v>
      </c>
      <c r="AB80" s="60">
        <f t="shared" si="29"/>
        <v>0</v>
      </c>
      <c r="AC80" s="60">
        <f t="shared" si="29"/>
        <v>0</v>
      </c>
      <c r="AD80" s="60">
        <f t="shared" si="29"/>
        <v>0</v>
      </c>
      <c r="AE80" s="60">
        <f t="shared" si="29"/>
        <v>0</v>
      </c>
      <c r="AF80" s="60">
        <f t="shared" si="29"/>
        <v>0</v>
      </c>
      <c r="AG80" s="61">
        <f>SUM(AG77:AG79)</f>
        <v>106</v>
      </c>
      <c r="AH80" s="47">
        <f t="shared" si="2"/>
        <v>0</v>
      </c>
      <c r="AI80" s="48">
        <f t="shared" si="3"/>
        <v>0</v>
      </c>
      <c r="AK80" s="50"/>
    </row>
    <row r="81" spans="1:40" x14ac:dyDescent="0.25">
      <c r="A81" s="44" t="s">
        <v>81</v>
      </c>
      <c r="B81" s="45">
        <v>61.5</v>
      </c>
      <c r="C81" s="45">
        <v>62.1</v>
      </c>
      <c r="D81" s="45">
        <v>61.8</v>
      </c>
      <c r="E81" s="45">
        <v>63.2</v>
      </c>
      <c r="F81" s="45">
        <v>65</v>
      </c>
      <c r="G81" s="45">
        <v>61</v>
      </c>
      <c r="H81" s="45">
        <v>55</v>
      </c>
      <c r="I81" s="45">
        <v>67</v>
      </c>
      <c r="J81" s="45">
        <v>70</v>
      </c>
      <c r="K81" s="45">
        <v>67</v>
      </c>
      <c r="L81" s="45">
        <v>58</v>
      </c>
      <c r="M81" s="45">
        <v>34.5</v>
      </c>
      <c r="N81" s="45">
        <v>47</v>
      </c>
      <c r="O81" s="45">
        <v>48.5</v>
      </c>
      <c r="P81" s="45">
        <v>62</v>
      </c>
      <c r="Q81" s="45">
        <v>66</v>
      </c>
      <c r="R81" s="45">
        <v>58</v>
      </c>
      <c r="S81" s="45">
        <v>60.3</v>
      </c>
      <c r="T81" s="45">
        <v>67.2</v>
      </c>
      <c r="U81" s="45">
        <v>71.900000000000006</v>
      </c>
      <c r="V81" s="45">
        <v>62.1</v>
      </c>
      <c r="W81" s="45">
        <v>56.5</v>
      </c>
      <c r="X81" s="45">
        <v>53.1</v>
      </c>
      <c r="Y81" s="45">
        <v>43.5</v>
      </c>
      <c r="Z81" s="45">
        <v>38.200000000000003</v>
      </c>
      <c r="AA81" s="45">
        <v>36.5</v>
      </c>
      <c r="AB81" s="45">
        <v>45.1</v>
      </c>
      <c r="AC81" s="45">
        <v>45.1</v>
      </c>
      <c r="AD81" s="45">
        <v>45.1</v>
      </c>
      <c r="AE81" s="45">
        <v>61.6</v>
      </c>
      <c r="AF81" s="45">
        <v>64.3</v>
      </c>
      <c r="AG81" s="52"/>
      <c r="AH81" s="47">
        <f t="shared" si="2"/>
        <v>71.900000000000006</v>
      </c>
      <c r="AI81" s="48">
        <f t="shared" si="3"/>
        <v>34.5</v>
      </c>
      <c r="AK81" s="50"/>
    </row>
    <row r="82" spans="1:40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55"/>
      <c r="AH82" s="47">
        <f t="shared" si="2"/>
        <v>0</v>
      </c>
      <c r="AI82" s="48">
        <f t="shared" si="3"/>
        <v>0</v>
      </c>
      <c r="AK82" s="50"/>
    </row>
    <row r="83" spans="1:40" x14ac:dyDescent="0.25">
      <c r="A83" s="54" t="s">
        <v>83</v>
      </c>
      <c r="B83" s="65">
        <v>399</v>
      </c>
      <c r="C83" s="65">
        <v>410</v>
      </c>
      <c r="D83" s="65">
        <v>412</v>
      </c>
      <c r="E83" s="65">
        <v>390</v>
      </c>
      <c r="F83" s="65">
        <v>402.6</v>
      </c>
      <c r="G83" s="65">
        <v>409.2</v>
      </c>
      <c r="H83" s="65">
        <v>407</v>
      </c>
      <c r="I83" s="65">
        <v>450</v>
      </c>
      <c r="J83" s="65">
        <v>390</v>
      </c>
      <c r="K83" s="65">
        <v>140</v>
      </c>
      <c r="L83" s="65">
        <v>57</v>
      </c>
      <c r="M83" s="65">
        <v>47</v>
      </c>
      <c r="N83" s="65">
        <v>145</v>
      </c>
      <c r="O83" s="65">
        <v>202</v>
      </c>
      <c r="P83" s="65">
        <v>428</v>
      </c>
      <c r="Q83" s="65">
        <v>400</v>
      </c>
      <c r="R83" s="65">
        <v>380</v>
      </c>
      <c r="S83" s="65">
        <v>391.9</v>
      </c>
      <c r="T83" s="65">
        <v>439.1</v>
      </c>
      <c r="U83" s="65">
        <v>438</v>
      </c>
      <c r="V83" s="65">
        <v>368</v>
      </c>
      <c r="W83" s="65">
        <v>318.39999999999998</v>
      </c>
      <c r="X83" s="65">
        <v>131</v>
      </c>
      <c r="Y83" s="65">
        <v>126.6</v>
      </c>
      <c r="Z83" s="65">
        <v>62.8</v>
      </c>
      <c r="AA83" s="65">
        <v>160.30000000000001</v>
      </c>
      <c r="AB83" s="65">
        <v>272</v>
      </c>
      <c r="AC83" s="65">
        <v>272</v>
      </c>
      <c r="AD83" s="65">
        <v>380</v>
      </c>
      <c r="AE83" s="65">
        <v>392</v>
      </c>
      <c r="AF83" s="65">
        <v>392</v>
      </c>
      <c r="AG83" s="75"/>
      <c r="AH83" s="47">
        <f t="shared" si="2"/>
        <v>450</v>
      </c>
      <c r="AI83" s="48">
        <f t="shared" si="3"/>
        <v>47</v>
      </c>
      <c r="AK83" s="50"/>
    </row>
    <row r="84" spans="1:40" x14ac:dyDescent="0.25">
      <c r="A84" s="54" t="s">
        <v>84</v>
      </c>
      <c r="B84" s="65">
        <v>48</v>
      </c>
      <c r="C84" s="65">
        <v>50</v>
      </c>
      <c r="D84" s="65">
        <v>50</v>
      </c>
      <c r="E84" s="76">
        <v>50</v>
      </c>
      <c r="F84" s="76">
        <v>55</v>
      </c>
      <c r="G84" s="76">
        <v>55</v>
      </c>
      <c r="H84" s="76">
        <v>52.1</v>
      </c>
      <c r="I84" s="76">
        <v>48</v>
      </c>
      <c r="J84" s="76">
        <v>50</v>
      </c>
      <c r="K84" s="76">
        <v>18</v>
      </c>
      <c r="L84" s="76">
        <v>5</v>
      </c>
      <c r="M84" s="76">
        <v>5</v>
      </c>
      <c r="N84" s="76">
        <v>5</v>
      </c>
      <c r="O84" s="76">
        <v>5</v>
      </c>
      <c r="P84" s="76">
        <v>5</v>
      </c>
      <c r="Q84" s="76">
        <v>56.5</v>
      </c>
      <c r="R84" s="76">
        <v>17</v>
      </c>
      <c r="S84" s="76">
        <v>11</v>
      </c>
      <c r="T84" s="76">
        <v>11</v>
      </c>
      <c r="U84" s="76">
        <v>11.8</v>
      </c>
      <c r="V84" s="76">
        <v>15.1</v>
      </c>
      <c r="W84" s="76">
        <v>15.6</v>
      </c>
      <c r="X84" s="76">
        <v>15.6</v>
      </c>
      <c r="Y84" s="76">
        <v>17</v>
      </c>
      <c r="Z84" s="76">
        <v>16.5</v>
      </c>
      <c r="AA84" s="76">
        <v>11.8</v>
      </c>
      <c r="AB84" s="76">
        <v>15.2</v>
      </c>
      <c r="AC84" s="76">
        <v>15.2</v>
      </c>
      <c r="AD84" s="76">
        <v>15.2</v>
      </c>
      <c r="AE84" s="76">
        <v>14</v>
      </c>
      <c r="AF84" s="76">
        <v>14</v>
      </c>
      <c r="AG84" s="75"/>
      <c r="AH84" s="47">
        <f t="shared" si="2"/>
        <v>56.5</v>
      </c>
      <c r="AI84" s="48">
        <f t="shared" si="3"/>
        <v>5</v>
      </c>
      <c r="AK84" s="50"/>
    </row>
    <row r="85" spans="1:40" x14ac:dyDescent="0.25">
      <c r="A85" s="54" t="s">
        <v>85</v>
      </c>
      <c r="B85" s="45">
        <v>25.6</v>
      </c>
      <c r="C85" s="45">
        <v>24.8</v>
      </c>
      <c r="D85" s="45">
        <v>23.1</v>
      </c>
      <c r="E85" s="45">
        <v>22</v>
      </c>
      <c r="F85" s="45">
        <v>21.5</v>
      </c>
      <c r="G85" s="45">
        <v>22</v>
      </c>
      <c r="H85" s="45">
        <v>0</v>
      </c>
      <c r="I85" s="45">
        <v>0</v>
      </c>
      <c r="J85" s="45"/>
      <c r="K85" s="45">
        <v>0</v>
      </c>
      <c r="L85" s="45">
        <v>0</v>
      </c>
      <c r="M85" s="45">
        <v>0</v>
      </c>
      <c r="N85" s="45">
        <v>0</v>
      </c>
      <c r="O85" s="45">
        <v>0</v>
      </c>
      <c r="P85" s="45">
        <v>0</v>
      </c>
      <c r="Q85" s="45">
        <v>0</v>
      </c>
      <c r="R85" s="45">
        <v>72</v>
      </c>
      <c r="S85" s="45">
        <v>103</v>
      </c>
      <c r="T85" s="45">
        <v>91</v>
      </c>
      <c r="U85" s="45">
        <v>90.8</v>
      </c>
      <c r="V85" s="45">
        <v>6</v>
      </c>
      <c r="W85" s="45">
        <v>16.399999999999999</v>
      </c>
      <c r="X85" s="45">
        <v>16.399999999999999</v>
      </c>
      <c r="Y85" s="45">
        <v>0</v>
      </c>
      <c r="Z85" s="45">
        <v>0</v>
      </c>
      <c r="AA85" s="45">
        <v>0</v>
      </c>
      <c r="AB85" s="45"/>
      <c r="AC85" s="45"/>
      <c r="AD85" s="45"/>
      <c r="AE85" s="45"/>
      <c r="AF85" s="45"/>
      <c r="AG85" s="75"/>
      <c r="AH85" s="47">
        <f t="shared" ref="AH85:AH130" si="35">MAX(B85:AF85)</f>
        <v>103</v>
      </c>
      <c r="AI85" s="48">
        <f t="shared" ref="AI85:AI130" si="36">MIN(B85:AF85)</f>
        <v>0</v>
      </c>
      <c r="AK85" s="50"/>
    </row>
    <row r="86" spans="1:40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5"/>
      <c r="AH86" s="47">
        <f t="shared" si="35"/>
        <v>0</v>
      </c>
      <c r="AI86" s="48">
        <f t="shared" si="36"/>
        <v>0</v>
      </c>
      <c r="AK86" s="50"/>
    </row>
    <row r="87" spans="1:40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5"/>
      <c r="AH87" s="47">
        <f t="shared" si="35"/>
        <v>0</v>
      </c>
      <c r="AI87" s="48">
        <f t="shared" si="36"/>
        <v>0</v>
      </c>
      <c r="AK87" s="50"/>
      <c r="AL87" s="78" t="s">
        <v>88</v>
      </c>
      <c r="AM87" s="78"/>
    </row>
    <row r="88" spans="1:40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5"/>
      <c r="AH88" s="47">
        <f t="shared" si="35"/>
        <v>0</v>
      </c>
      <c r="AI88" s="48">
        <f t="shared" si="36"/>
        <v>0</v>
      </c>
      <c r="AK88" s="79"/>
      <c r="AL88" s="80"/>
      <c r="AM88" s="80"/>
      <c r="AN88" s="81"/>
    </row>
    <row r="89" spans="1:40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5"/>
      <c r="AH89" s="47">
        <f t="shared" si="35"/>
        <v>0</v>
      </c>
      <c r="AI89" s="48">
        <f t="shared" si="36"/>
        <v>0</v>
      </c>
      <c r="AK89" s="82" t="s">
        <v>91</v>
      </c>
      <c r="AL89" s="65"/>
      <c r="AM89" s="76"/>
      <c r="AN89" s="83"/>
    </row>
    <row r="90" spans="1:40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85"/>
      <c r="AH90" s="47">
        <f t="shared" si="35"/>
        <v>0</v>
      </c>
      <c r="AI90" s="48">
        <f t="shared" si="36"/>
        <v>0</v>
      </c>
      <c r="AK90" s="82" t="s">
        <v>93</v>
      </c>
      <c r="AL90" s="76"/>
      <c r="AM90" s="76"/>
      <c r="AN90" s="83"/>
    </row>
    <row r="91" spans="1:40" ht="15.75" thickBot="1" x14ac:dyDescent="0.3">
      <c r="A91" s="84" t="s">
        <v>421</v>
      </c>
      <c r="B91" s="77">
        <v>69.900000000000006</v>
      </c>
      <c r="C91" s="77">
        <v>0</v>
      </c>
      <c r="D91" s="77">
        <v>0</v>
      </c>
      <c r="E91" s="77"/>
      <c r="F91" s="77"/>
      <c r="G91" s="77"/>
      <c r="H91" s="77"/>
      <c r="I91" s="77"/>
      <c r="J91" s="77">
        <v>66.599999999999994</v>
      </c>
      <c r="K91" s="77">
        <v>58.7</v>
      </c>
      <c r="L91" s="77">
        <v>68.2</v>
      </c>
      <c r="M91" s="77">
        <v>63.9</v>
      </c>
      <c r="N91" s="77">
        <v>77</v>
      </c>
      <c r="O91" s="77">
        <v>71</v>
      </c>
      <c r="P91" s="77">
        <v>78.7</v>
      </c>
      <c r="Q91" s="77">
        <v>72.7</v>
      </c>
      <c r="R91" s="77">
        <v>69</v>
      </c>
      <c r="S91" s="77">
        <v>68</v>
      </c>
      <c r="T91" s="77">
        <v>63.54</v>
      </c>
      <c r="U91" s="77">
        <v>62.4</v>
      </c>
      <c r="V91" s="77">
        <v>62.6</v>
      </c>
      <c r="W91" s="77">
        <v>59.9</v>
      </c>
      <c r="X91" s="77">
        <v>59.9</v>
      </c>
      <c r="Y91" s="77">
        <v>72.2</v>
      </c>
      <c r="Z91" s="77">
        <v>70.099999999999994</v>
      </c>
      <c r="AA91" s="77">
        <v>67.900000000000006</v>
      </c>
      <c r="AB91" s="77">
        <v>72.599999999999994</v>
      </c>
      <c r="AC91" s="77">
        <v>72.599999999999994</v>
      </c>
      <c r="AD91" s="77">
        <v>74</v>
      </c>
      <c r="AE91" s="77">
        <v>76</v>
      </c>
      <c r="AF91" s="77">
        <v>76</v>
      </c>
      <c r="AG91" s="85"/>
      <c r="AH91" s="47">
        <f t="shared" si="35"/>
        <v>78.7</v>
      </c>
      <c r="AI91" s="48">
        <f t="shared" si="36"/>
        <v>0</v>
      </c>
      <c r="AK91" s="86"/>
      <c r="AL91" s="45"/>
      <c r="AM91" s="45"/>
      <c r="AN91" s="87"/>
    </row>
    <row r="92" spans="1:40" ht="15.75" thickBot="1" x14ac:dyDescent="0.3">
      <c r="A92" s="74" t="s">
        <v>95</v>
      </c>
      <c r="B92" s="60">
        <f t="shared" ref="B92:D92" si="37">SUMIF(B81:B91,"&gt;0")</f>
        <v>604</v>
      </c>
      <c r="C92" s="60">
        <f t="shared" si="37"/>
        <v>546.9</v>
      </c>
      <c r="D92" s="60">
        <f t="shared" si="37"/>
        <v>546.9</v>
      </c>
      <c r="E92" s="60">
        <f t="shared" ref="E92:AF92" si="38">SUMIF(E81:E91,"&gt;0")</f>
        <v>525.20000000000005</v>
      </c>
      <c r="F92" s="60">
        <f t="shared" si="38"/>
        <v>544.1</v>
      </c>
      <c r="G92" s="60">
        <f t="shared" si="38"/>
        <v>547.20000000000005</v>
      </c>
      <c r="H92" s="60">
        <f t="shared" si="38"/>
        <v>514.1</v>
      </c>
      <c r="I92" s="60">
        <f t="shared" si="38"/>
        <v>565</v>
      </c>
      <c r="J92" s="60">
        <f t="shared" si="38"/>
        <v>576.6</v>
      </c>
      <c r="K92" s="60">
        <f t="shared" si="38"/>
        <v>283.7</v>
      </c>
      <c r="L92" s="60">
        <f t="shared" si="38"/>
        <v>188.2</v>
      </c>
      <c r="M92" s="60">
        <f t="shared" si="38"/>
        <v>150.4</v>
      </c>
      <c r="N92" s="60">
        <f t="shared" si="38"/>
        <v>274</v>
      </c>
      <c r="O92" s="60">
        <f t="shared" si="38"/>
        <v>326.5</v>
      </c>
      <c r="P92" s="60">
        <f t="shared" si="38"/>
        <v>573.70000000000005</v>
      </c>
      <c r="Q92" s="60">
        <f t="shared" si="38"/>
        <v>595.20000000000005</v>
      </c>
      <c r="R92" s="60">
        <f t="shared" si="38"/>
        <v>596</v>
      </c>
      <c r="S92" s="60">
        <f t="shared" ref="S92:T92" si="39">SUMIF(S81:S91,"&gt;0")</f>
        <v>634.20000000000005</v>
      </c>
      <c r="T92" s="60">
        <f t="shared" si="39"/>
        <v>671.83999999999992</v>
      </c>
      <c r="U92" s="60">
        <f t="shared" ref="U92:V92" si="40">SUMIF(U81:U91,"&gt;0")</f>
        <v>674.89999999999986</v>
      </c>
      <c r="V92" s="60">
        <f t="shared" si="40"/>
        <v>513.80000000000007</v>
      </c>
      <c r="W92" s="60">
        <f t="shared" ref="W92:X92" si="41">SUMIF(W81:W91,"&gt;0")</f>
        <v>466.79999999999995</v>
      </c>
      <c r="X92" s="60">
        <f t="shared" si="41"/>
        <v>276</v>
      </c>
      <c r="Y92" s="60">
        <f t="shared" ref="Y92:Z92" si="42">SUMIF(Y81:Y91,"&gt;0")</f>
        <v>259.3</v>
      </c>
      <c r="Z92" s="60">
        <f t="shared" si="42"/>
        <v>187.6</v>
      </c>
      <c r="AA92" s="60">
        <f t="shared" ref="AA92" si="43">SUMIF(AA81:AA91,"&gt;0")</f>
        <v>276.5</v>
      </c>
      <c r="AB92" s="60">
        <f t="shared" si="38"/>
        <v>404.9</v>
      </c>
      <c r="AC92" s="60">
        <f t="shared" si="38"/>
        <v>404.9</v>
      </c>
      <c r="AD92" s="60">
        <f t="shared" si="38"/>
        <v>514.29999999999995</v>
      </c>
      <c r="AE92" s="60">
        <f t="shared" si="38"/>
        <v>543.6</v>
      </c>
      <c r="AF92" s="60">
        <f t="shared" si="38"/>
        <v>546.29999999999995</v>
      </c>
      <c r="AG92" s="88">
        <f>SUM(AG81:AG91)</f>
        <v>0</v>
      </c>
      <c r="AH92" s="47">
        <f t="shared" si="35"/>
        <v>674.89999999999986</v>
      </c>
      <c r="AI92" s="48">
        <f t="shared" si="36"/>
        <v>150.4</v>
      </c>
      <c r="AK92" s="86"/>
      <c r="AL92" s="77"/>
      <c r="AM92" s="89"/>
      <c r="AN92" s="255"/>
    </row>
    <row r="93" spans="1:40" x14ac:dyDescent="0.25">
      <c r="A93" s="44" t="s">
        <v>96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35"/>
        <v>0</v>
      </c>
      <c r="AI93" s="48">
        <f t="shared" si="36"/>
        <v>0</v>
      </c>
      <c r="AK93" s="86"/>
      <c r="AL93" s="77"/>
      <c r="AM93" s="77"/>
      <c r="AN93" s="256"/>
    </row>
    <row r="94" spans="1:40" ht="15.75" thickBot="1" x14ac:dyDescent="0.3">
      <c r="A94" s="54" t="s">
        <v>97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35"/>
        <v>0</v>
      </c>
      <c r="AI94" s="48">
        <f t="shared" si="36"/>
        <v>0</v>
      </c>
      <c r="AK94" s="91"/>
      <c r="AL94" s="92"/>
      <c r="AM94" s="92"/>
      <c r="AN94" s="93"/>
    </row>
    <row r="95" spans="1:40" ht="15.75" thickBot="1" x14ac:dyDescent="0.3">
      <c r="A95" s="84" t="s">
        <v>98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35"/>
        <v>0</v>
      </c>
      <c r="AI95" s="48">
        <f t="shared" si="36"/>
        <v>0</v>
      </c>
    </row>
    <row r="96" spans="1:40" ht="15.75" thickBot="1" x14ac:dyDescent="0.3">
      <c r="A96" s="74" t="s">
        <v>99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35"/>
        <v>0</v>
      </c>
      <c r="AI96" s="48">
        <f t="shared" si="36"/>
        <v>0</v>
      </c>
    </row>
    <row r="97" spans="1:37" ht="15.75" thickBot="1" x14ac:dyDescent="0.3">
      <c r="A97" s="74" t="s">
        <v>100</v>
      </c>
      <c r="B97" s="95">
        <f t="shared" ref="B97:D97" si="44">B58+B62+B80+B76+B92+B96</f>
        <v>1227.2400000000002</v>
      </c>
      <c r="C97" s="95">
        <f t="shared" si="44"/>
        <v>1169.6400000000001</v>
      </c>
      <c r="D97" s="95">
        <f t="shared" si="44"/>
        <v>1168.3400000000001</v>
      </c>
      <c r="E97" s="95">
        <f t="shared" ref="E97:AG97" si="45">E58+E62+E80+E76+E92+E96</f>
        <v>1161.74</v>
      </c>
      <c r="F97" s="95">
        <f t="shared" si="45"/>
        <v>1165.6399999999999</v>
      </c>
      <c r="G97" s="95">
        <f t="shared" si="45"/>
        <v>1192.74</v>
      </c>
      <c r="H97" s="95">
        <f t="shared" si="45"/>
        <v>1245.3400000000001</v>
      </c>
      <c r="I97" s="95">
        <f t="shared" si="45"/>
        <v>1349.24</v>
      </c>
      <c r="J97" s="95">
        <f t="shared" si="45"/>
        <v>1417.3400000000001</v>
      </c>
      <c r="K97" s="95">
        <f>K58+K62+K80+K76+K92+K96</f>
        <v>1395.5400000000002</v>
      </c>
      <c r="L97" s="95">
        <f>L58+L62+L80+L76+L92+L96</f>
        <v>1380.64</v>
      </c>
      <c r="M97" s="95">
        <f t="shared" si="45"/>
        <v>1406.64</v>
      </c>
      <c r="N97" s="95">
        <f t="shared" si="45"/>
        <v>1544.24</v>
      </c>
      <c r="O97" s="95">
        <f t="shared" si="45"/>
        <v>1260.04</v>
      </c>
      <c r="P97" s="95">
        <f t="shared" si="45"/>
        <v>1332.7400000000002</v>
      </c>
      <c r="Q97" s="95">
        <f t="shared" si="45"/>
        <v>1386.14</v>
      </c>
      <c r="R97" s="95">
        <f t="shared" si="45"/>
        <v>1282.8400000000001</v>
      </c>
      <c r="S97" s="95">
        <f t="shared" ref="S97:T97" si="46">S58+S62+S80+S76+S92+S96</f>
        <v>1286.6400000000001</v>
      </c>
      <c r="T97" s="95">
        <f t="shared" si="46"/>
        <v>1320.08</v>
      </c>
      <c r="U97" s="95">
        <f t="shared" ref="U97:V97" si="47">U58+U62+U80+U76+U92+U96</f>
        <v>1318.34</v>
      </c>
      <c r="V97" s="95">
        <f t="shared" si="47"/>
        <v>1151.6400000000001</v>
      </c>
      <c r="W97" s="95">
        <f t="shared" ref="W97:X97" si="48">W58+W62+W80+W76+W92+W96</f>
        <v>1227.74</v>
      </c>
      <c r="X97" s="95">
        <f t="shared" si="48"/>
        <v>1315.94</v>
      </c>
      <c r="Y97" s="95">
        <f t="shared" ref="Y97:Z97" si="49">Y58+Y62+Y80+Y76+Y92+Y96</f>
        <v>1530.64</v>
      </c>
      <c r="Z97" s="95">
        <f t="shared" si="49"/>
        <v>1520.04</v>
      </c>
      <c r="AA97" s="95">
        <f t="shared" ref="AA97" si="50">AA58+AA62+AA80+AA76+AA92+AA96</f>
        <v>1439.44</v>
      </c>
      <c r="AB97" s="95">
        <f t="shared" si="45"/>
        <v>1363.24</v>
      </c>
      <c r="AC97" s="95">
        <f t="shared" si="45"/>
        <v>1263.6399999999999</v>
      </c>
      <c r="AD97" s="95">
        <f t="shared" si="45"/>
        <v>1337.74</v>
      </c>
      <c r="AE97" s="95">
        <f t="shared" si="45"/>
        <v>1355.2400000000002</v>
      </c>
      <c r="AF97" s="95">
        <f t="shared" si="45"/>
        <v>1200.6399999999999</v>
      </c>
      <c r="AG97" s="61">
        <f t="shared" si="45"/>
        <v>2231.81</v>
      </c>
      <c r="AH97" s="47">
        <f t="shared" si="35"/>
        <v>1544.24</v>
      </c>
      <c r="AI97" s="48">
        <f t="shared" si="36"/>
        <v>1151.6400000000001</v>
      </c>
    </row>
    <row r="98" spans="1:37" ht="15.75" thickBot="1" x14ac:dyDescent="0.3">
      <c r="A98" s="96" t="s">
        <v>101</v>
      </c>
      <c r="B98" s="97">
        <v>0</v>
      </c>
      <c r="C98" s="97">
        <v>0</v>
      </c>
      <c r="D98" s="97">
        <v>0</v>
      </c>
      <c r="E98" s="97"/>
      <c r="F98" s="97"/>
      <c r="G98" s="97"/>
      <c r="H98" s="97"/>
      <c r="I98" s="97"/>
      <c r="J98" s="97"/>
      <c r="K98" s="97">
        <v>230</v>
      </c>
      <c r="L98" s="97">
        <v>250</v>
      </c>
      <c r="M98" s="97">
        <v>250</v>
      </c>
      <c r="N98" s="97">
        <v>250</v>
      </c>
      <c r="O98" s="97">
        <v>250</v>
      </c>
      <c r="P98" s="97">
        <v>40</v>
      </c>
      <c r="Q98" s="97">
        <v>40</v>
      </c>
      <c r="R98" s="97">
        <v>40</v>
      </c>
      <c r="S98" s="97">
        <v>0</v>
      </c>
      <c r="T98" s="97">
        <v>0</v>
      </c>
      <c r="U98" s="97">
        <v>0</v>
      </c>
      <c r="V98" s="97">
        <v>0</v>
      </c>
      <c r="W98" s="97">
        <v>250</v>
      </c>
      <c r="X98" s="97">
        <v>250</v>
      </c>
      <c r="Y98" s="97">
        <v>250</v>
      </c>
      <c r="Z98" s="97">
        <v>250</v>
      </c>
      <c r="AA98" s="97">
        <v>250</v>
      </c>
      <c r="AB98" s="97">
        <v>250</v>
      </c>
      <c r="AC98" s="97">
        <v>250</v>
      </c>
      <c r="AD98" s="97">
        <v>150</v>
      </c>
      <c r="AE98" s="97"/>
      <c r="AF98" s="97"/>
      <c r="AG98" s="88"/>
      <c r="AH98" s="47">
        <f t="shared" si="35"/>
        <v>250</v>
      </c>
      <c r="AI98" s="48">
        <f t="shared" si="36"/>
        <v>0</v>
      </c>
    </row>
    <row r="99" spans="1:37" ht="15.75" thickBot="1" x14ac:dyDescent="0.3">
      <c r="A99" s="74" t="s">
        <v>102</v>
      </c>
      <c r="B99" s="95">
        <f t="shared" ref="B99:D99" si="51">B97+B98</f>
        <v>1227.2400000000002</v>
      </c>
      <c r="C99" s="95">
        <f t="shared" si="51"/>
        <v>1169.6400000000001</v>
      </c>
      <c r="D99" s="95">
        <f t="shared" si="51"/>
        <v>1168.3400000000001</v>
      </c>
      <c r="E99" s="95">
        <f t="shared" ref="E99:AF99" si="52">E97+E98</f>
        <v>1161.74</v>
      </c>
      <c r="F99" s="95">
        <f t="shared" si="52"/>
        <v>1165.6399999999999</v>
      </c>
      <c r="G99" s="95">
        <f t="shared" si="52"/>
        <v>1192.74</v>
      </c>
      <c r="H99" s="95">
        <f t="shared" si="52"/>
        <v>1245.3400000000001</v>
      </c>
      <c r="I99" s="95">
        <f t="shared" si="52"/>
        <v>1349.24</v>
      </c>
      <c r="J99" s="95">
        <f t="shared" si="52"/>
        <v>1417.3400000000001</v>
      </c>
      <c r="K99" s="95">
        <f>K97+K98</f>
        <v>1625.5400000000002</v>
      </c>
      <c r="L99" s="95">
        <f>L97+L98</f>
        <v>1630.64</v>
      </c>
      <c r="M99" s="95">
        <f t="shared" si="52"/>
        <v>1656.64</v>
      </c>
      <c r="N99" s="95">
        <f t="shared" si="52"/>
        <v>1794.24</v>
      </c>
      <c r="O99" s="95">
        <f t="shared" si="52"/>
        <v>1510.04</v>
      </c>
      <c r="P99" s="95">
        <f t="shared" si="52"/>
        <v>1372.7400000000002</v>
      </c>
      <c r="Q99" s="95">
        <f t="shared" si="52"/>
        <v>1426.14</v>
      </c>
      <c r="R99" s="95">
        <f t="shared" si="52"/>
        <v>1322.8400000000001</v>
      </c>
      <c r="S99" s="95">
        <f t="shared" ref="S99:T99" si="53">S97+S98</f>
        <v>1286.6400000000001</v>
      </c>
      <c r="T99" s="95">
        <f t="shared" si="53"/>
        <v>1320.08</v>
      </c>
      <c r="U99" s="95">
        <f t="shared" ref="U99:V99" si="54">U97+U98</f>
        <v>1318.34</v>
      </c>
      <c r="V99" s="95">
        <f t="shared" si="54"/>
        <v>1151.6400000000001</v>
      </c>
      <c r="W99" s="95">
        <f t="shared" ref="W99:X99" si="55">W97+W98</f>
        <v>1477.74</v>
      </c>
      <c r="X99" s="95">
        <f t="shared" si="55"/>
        <v>1565.94</v>
      </c>
      <c r="Y99" s="95">
        <f t="shared" ref="Y99:Z99" si="56">Y97+Y98</f>
        <v>1780.64</v>
      </c>
      <c r="Z99" s="95">
        <f t="shared" si="56"/>
        <v>1770.04</v>
      </c>
      <c r="AA99" s="95">
        <f t="shared" ref="AA99" si="57">AA97+AA98</f>
        <v>1689.44</v>
      </c>
      <c r="AB99" s="95">
        <f t="shared" si="52"/>
        <v>1613.24</v>
      </c>
      <c r="AC99" s="95">
        <f t="shared" si="52"/>
        <v>1513.6399999999999</v>
      </c>
      <c r="AD99" s="95">
        <f t="shared" si="52"/>
        <v>1487.74</v>
      </c>
      <c r="AE99" s="95">
        <f t="shared" si="52"/>
        <v>1355.2400000000002</v>
      </c>
      <c r="AF99" s="95">
        <f t="shared" si="52"/>
        <v>1200.6399999999999</v>
      </c>
      <c r="AG99" s="88">
        <f>AG96+AG92+AG80+AG76+AG58+AG98</f>
        <v>1693.71</v>
      </c>
      <c r="AH99" s="47">
        <f t="shared" si="35"/>
        <v>1794.24</v>
      </c>
      <c r="AI99" s="48">
        <f t="shared" si="36"/>
        <v>1151.6400000000001</v>
      </c>
    </row>
    <row r="100" spans="1:37" ht="15.75" thickBot="1" x14ac:dyDescent="0.3">
      <c r="A100" s="74" t="s">
        <v>103</v>
      </c>
      <c r="B100" s="95">
        <f t="shared" ref="B100:D100" si="58">B99-(B107)</f>
        <v>1227.2400000000002</v>
      </c>
      <c r="C100" s="95">
        <f t="shared" si="58"/>
        <v>1169.6400000000001</v>
      </c>
      <c r="D100" s="95">
        <f t="shared" si="58"/>
        <v>1168.3400000000001</v>
      </c>
      <c r="E100" s="95">
        <f t="shared" ref="E100:M100" si="59">E99-(E107)</f>
        <v>1161.74</v>
      </c>
      <c r="F100" s="95">
        <f t="shared" si="59"/>
        <v>1165.6399999999999</v>
      </c>
      <c r="G100" s="95">
        <f t="shared" si="59"/>
        <v>1192.74</v>
      </c>
      <c r="H100" s="95">
        <f t="shared" si="59"/>
        <v>1245.3400000000001</v>
      </c>
      <c r="I100" s="95">
        <f t="shared" si="59"/>
        <v>1349.24</v>
      </c>
      <c r="J100" s="95">
        <f t="shared" si="59"/>
        <v>1417.3400000000001</v>
      </c>
      <c r="K100" s="95">
        <f t="shared" si="59"/>
        <v>1625.5400000000002</v>
      </c>
      <c r="L100" s="95">
        <f t="shared" si="59"/>
        <v>1630.64</v>
      </c>
      <c r="M100" s="95">
        <f t="shared" si="59"/>
        <v>1656.64</v>
      </c>
      <c r="N100" s="95">
        <f>N99-(N107)</f>
        <v>1794.24</v>
      </c>
      <c r="O100" s="95">
        <f t="shared" ref="O100:AF100" si="60">O99-(O107)</f>
        <v>1510.04</v>
      </c>
      <c r="P100" s="95">
        <f t="shared" si="60"/>
        <v>1372.7400000000002</v>
      </c>
      <c r="Q100" s="95">
        <f t="shared" si="60"/>
        <v>1426.14</v>
      </c>
      <c r="R100" s="95">
        <f t="shared" si="60"/>
        <v>1322.8400000000001</v>
      </c>
      <c r="S100" s="95">
        <f t="shared" ref="S100:T100" si="61">S99-(S107)</f>
        <v>1286.6400000000001</v>
      </c>
      <c r="T100" s="95">
        <f t="shared" si="61"/>
        <v>1320.08</v>
      </c>
      <c r="U100" s="95">
        <f t="shared" ref="U100:V100" si="62">U99-(U107)</f>
        <v>1318.34</v>
      </c>
      <c r="V100" s="95">
        <f t="shared" si="62"/>
        <v>1151.6400000000001</v>
      </c>
      <c r="W100" s="95">
        <f t="shared" ref="W100:X100" si="63">W99-(W107)</f>
        <v>1477.74</v>
      </c>
      <c r="X100" s="95">
        <f t="shared" si="63"/>
        <v>1565.94</v>
      </c>
      <c r="Y100" s="95">
        <f t="shared" ref="Y100:Z100" si="64">Y99-(Y107)</f>
        <v>1780.64</v>
      </c>
      <c r="Z100" s="95">
        <f t="shared" si="64"/>
        <v>1770.04</v>
      </c>
      <c r="AA100" s="95">
        <f t="shared" ref="AA100" si="65">AA99-(AA107)</f>
        <v>1689.44</v>
      </c>
      <c r="AB100" s="95">
        <f t="shared" si="60"/>
        <v>1613.24</v>
      </c>
      <c r="AC100" s="95">
        <f t="shared" si="60"/>
        <v>1513.6399999999999</v>
      </c>
      <c r="AD100" s="95">
        <f t="shared" si="60"/>
        <v>1487.74</v>
      </c>
      <c r="AE100" s="95">
        <f t="shared" si="60"/>
        <v>1355.2400000000002</v>
      </c>
      <c r="AF100" s="95">
        <f t="shared" si="60"/>
        <v>1200.6399999999999</v>
      </c>
      <c r="AG100" s="88"/>
      <c r="AH100" s="47">
        <f t="shared" si="35"/>
        <v>1794.24</v>
      </c>
      <c r="AI100" s="48">
        <f t="shared" si="36"/>
        <v>1151.6400000000001</v>
      </c>
    </row>
    <row r="101" spans="1:37" x14ac:dyDescent="0.25">
      <c r="A101" s="44" t="s">
        <v>84</v>
      </c>
      <c r="B101" s="76">
        <f t="shared" ref="B101:D101" si="66">IF(B84&lt;0,B84*-1,0)</f>
        <v>0</v>
      </c>
      <c r="C101" s="76">
        <f t="shared" si="66"/>
        <v>0</v>
      </c>
      <c r="D101" s="76">
        <f t="shared" si="66"/>
        <v>0</v>
      </c>
      <c r="E101" s="76">
        <f t="shared" ref="E101:AF101" si="67">IF(E84&lt;0,E84*-1,0)</f>
        <v>0</v>
      </c>
      <c r="F101" s="76">
        <f t="shared" si="67"/>
        <v>0</v>
      </c>
      <c r="G101" s="76">
        <f t="shared" si="67"/>
        <v>0</v>
      </c>
      <c r="H101" s="76">
        <f t="shared" si="67"/>
        <v>0</v>
      </c>
      <c r="I101" s="76">
        <f t="shared" si="67"/>
        <v>0</v>
      </c>
      <c r="J101" s="76">
        <f t="shared" si="67"/>
        <v>0</v>
      </c>
      <c r="K101" s="76">
        <f t="shared" si="67"/>
        <v>0</v>
      </c>
      <c r="L101" s="76">
        <f t="shared" si="67"/>
        <v>0</v>
      </c>
      <c r="M101" s="76">
        <f t="shared" si="67"/>
        <v>0</v>
      </c>
      <c r="N101" s="76">
        <f t="shared" si="67"/>
        <v>0</v>
      </c>
      <c r="O101" s="76">
        <f t="shared" si="67"/>
        <v>0</v>
      </c>
      <c r="P101" s="76">
        <f t="shared" si="67"/>
        <v>0</v>
      </c>
      <c r="Q101" s="76">
        <f t="shared" si="67"/>
        <v>0</v>
      </c>
      <c r="R101" s="76">
        <f t="shared" si="67"/>
        <v>0</v>
      </c>
      <c r="S101" s="76">
        <f t="shared" ref="S101:T101" si="68">IF(S84&lt;0,S84*-1,0)</f>
        <v>0</v>
      </c>
      <c r="T101" s="76">
        <f t="shared" si="68"/>
        <v>0</v>
      </c>
      <c r="U101" s="76">
        <f t="shared" ref="U101:V101" si="69">IF(U84&lt;0,U84*-1,0)</f>
        <v>0</v>
      </c>
      <c r="V101" s="76">
        <f t="shared" si="69"/>
        <v>0</v>
      </c>
      <c r="W101" s="76">
        <f t="shared" ref="W101:X101" si="70">IF(W84&lt;0,W84*-1,0)</f>
        <v>0</v>
      </c>
      <c r="X101" s="76">
        <f t="shared" si="70"/>
        <v>0</v>
      </c>
      <c r="Y101" s="76">
        <f t="shared" ref="Y101:Z101" si="71">IF(Y84&lt;0,Y84*-1,0)</f>
        <v>0</v>
      </c>
      <c r="Z101" s="76">
        <f t="shared" si="71"/>
        <v>0</v>
      </c>
      <c r="AA101" s="76">
        <f t="shared" ref="AA101" si="72">IF(AA84&lt;0,AA84*-1,0)</f>
        <v>0</v>
      </c>
      <c r="AB101" s="76">
        <f t="shared" si="67"/>
        <v>0</v>
      </c>
      <c r="AC101" s="76">
        <f t="shared" si="67"/>
        <v>0</v>
      </c>
      <c r="AD101" s="76">
        <f t="shared" si="67"/>
        <v>0</v>
      </c>
      <c r="AE101" s="76">
        <f t="shared" si="67"/>
        <v>0</v>
      </c>
      <c r="AF101" s="76">
        <f t="shared" si="67"/>
        <v>0</v>
      </c>
      <c r="AG101" s="52"/>
      <c r="AH101" s="47">
        <f t="shared" si="35"/>
        <v>0</v>
      </c>
      <c r="AI101" s="48">
        <f t="shared" si="36"/>
        <v>0</v>
      </c>
    </row>
    <row r="102" spans="1:37" x14ac:dyDescent="0.25">
      <c r="A102" s="54" t="s">
        <v>82</v>
      </c>
      <c r="B102" s="76">
        <f t="shared" ref="B102:D102" si="73">IF(B82&lt;0,B82*-1,0)</f>
        <v>0</v>
      </c>
      <c r="C102" s="76">
        <f t="shared" si="73"/>
        <v>0</v>
      </c>
      <c r="D102" s="76">
        <f t="shared" si="73"/>
        <v>0</v>
      </c>
      <c r="E102" s="76">
        <f t="shared" ref="E102:AF102" si="74">IF(E82&lt;0,E82*-1,0)</f>
        <v>0</v>
      </c>
      <c r="F102" s="76">
        <f t="shared" si="74"/>
        <v>0</v>
      </c>
      <c r="G102" s="76">
        <f t="shared" si="74"/>
        <v>0</v>
      </c>
      <c r="H102" s="76">
        <f t="shared" si="74"/>
        <v>0</v>
      </c>
      <c r="I102" s="76">
        <f t="shared" si="74"/>
        <v>0</v>
      </c>
      <c r="J102" s="76">
        <f t="shared" si="74"/>
        <v>0</v>
      </c>
      <c r="K102" s="76">
        <f t="shared" si="74"/>
        <v>0</v>
      </c>
      <c r="L102" s="76">
        <f t="shared" si="74"/>
        <v>0</v>
      </c>
      <c r="M102" s="76">
        <f t="shared" si="74"/>
        <v>0</v>
      </c>
      <c r="N102" s="76">
        <f t="shared" si="74"/>
        <v>0</v>
      </c>
      <c r="O102" s="76">
        <f t="shared" si="74"/>
        <v>0</v>
      </c>
      <c r="P102" s="76">
        <f t="shared" si="74"/>
        <v>0</v>
      </c>
      <c r="Q102" s="76">
        <f t="shared" si="74"/>
        <v>0</v>
      </c>
      <c r="R102" s="76">
        <f t="shared" si="74"/>
        <v>0</v>
      </c>
      <c r="S102" s="76">
        <f t="shared" ref="S102:T102" si="75">IF(S82&lt;0,S82*-1,0)</f>
        <v>0</v>
      </c>
      <c r="T102" s="76">
        <f t="shared" si="75"/>
        <v>0</v>
      </c>
      <c r="U102" s="76">
        <f t="shared" ref="U102:V102" si="76">IF(U82&lt;0,U82*-1,0)</f>
        <v>0</v>
      </c>
      <c r="V102" s="76">
        <f t="shared" si="76"/>
        <v>0</v>
      </c>
      <c r="W102" s="76">
        <f t="shared" ref="W102:X102" si="77">IF(W82&lt;0,W82*-1,0)</f>
        <v>0</v>
      </c>
      <c r="X102" s="76">
        <f t="shared" si="77"/>
        <v>0</v>
      </c>
      <c r="Y102" s="76">
        <f t="shared" ref="Y102:Z102" si="78">IF(Y82&lt;0,Y82*-1,0)</f>
        <v>0</v>
      </c>
      <c r="Z102" s="76">
        <f t="shared" si="78"/>
        <v>0</v>
      </c>
      <c r="AA102" s="76">
        <f t="shared" ref="AA102" si="79">IF(AA82&lt;0,AA82*-1,0)</f>
        <v>0</v>
      </c>
      <c r="AB102" s="76">
        <f t="shared" si="74"/>
        <v>0</v>
      </c>
      <c r="AC102" s="76">
        <f t="shared" si="74"/>
        <v>0</v>
      </c>
      <c r="AD102" s="76">
        <f t="shared" si="74"/>
        <v>0</v>
      </c>
      <c r="AE102" s="76">
        <f t="shared" si="74"/>
        <v>0</v>
      </c>
      <c r="AF102" s="76">
        <f t="shared" si="74"/>
        <v>0</v>
      </c>
      <c r="AG102" s="55"/>
      <c r="AH102" s="47">
        <f t="shared" si="35"/>
        <v>0</v>
      </c>
      <c r="AI102" s="48">
        <f t="shared" si="36"/>
        <v>0</v>
      </c>
    </row>
    <row r="103" spans="1:37" x14ac:dyDescent="0.25">
      <c r="A103" s="84" t="s">
        <v>104</v>
      </c>
      <c r="B103" s="76">
        <f t="shared" ref="B103:D103" si="80">IF(B85&lt;0,B85*-1,0)</f>
        <v>0</v>
      </c>
      <c r="C103" s="76">
        <f t="shared" si="80"/>
        <v>0</v>
      </c>
      <c r="D103" s="76">
        <f t="shared" si="80"/>
        <v>0</v>
      </c>
      <c r="E103" s="76">
        <f t="shared" ref="E103:AF103" si="81">IF(E85&lt;0,E85*-1,0)</f>
        <v>0</v>
      </c>
      <c r="F103" s="76">
        <f t="shared" si="81"/>
        <v>0</v>
      </c>
      <c r="G103" s="76">
        <f t="shared" si="81"/>
        <v>0</v>
      </c>
      <c r="H103" s="76">
        <f t="shared" si="81"/>
        <v>0</v>
      </c>
      <c r="I103" s="76">
        <f t="shared" si="81"/>
        <v>0</v>
      </c>
      <c r="J103" s="76">
        <f t="shared" si="81"/>
        <v>0</v>
      </c>
      <c r="K103" s="76">
        <f t="shared" si="81"/>
        <v>0</v>
      </c>
      <c r="L103" s="76">
        <f t="shared" si="81"/>
        <v>0</v>
      </c>
      <c r="M103" s="76">
        <f t="shared" si="81"/>
        <v>0</v>
      </c>
      <c r="N103" s="76">
        <f t="shared" si="81"/>
        <v>0</v>
      </c>
      <c r="O103" s="76">
        <f t="shared" si="81"/>
        <v>0</v>
      </c>
      <c r="P103" s="76">
        <f t="shared" si="81"/>
        <v>0</v>
      </c>
      <c r="Q103" s="76">
        <f t="shared" si="81"/>
        <v>0</v>
      </c>
      <c r="R103" s="76">
        <f t="shared" si="81"/>
        <v>0</v>
      </c>
      <c r="S103" s="76">
        <f t="shared" ref="S103:T103" si="82">IF(S85&lt;0,S85*-1,0)</f>
        <v>0</v>
      </c>
      <c r="T103" s="76">
        <f t="shared" si="82"/>
        <v>0</v>
      </c>
      <c r="U103" s="76">
        <f t="shared" ref="U103:V103" si="83">IF(U85&lt;0,U85*-1,0)</f>
        <v>0</v>
      </c>
      <c r="V103" s="76">
        <f t="shared" si="83"/>
        <v>0</v>
      </c>
      <c r="W103" s="76">
        <f t="shared" ref="W103:X103" si="84">IF(W85&lt;0,W85*-1,0)</f>
        <v>0</v>
      </c>
      <c r="X103" s="76">
        <f t="shared" si="84"/>
        <v>0</v>
      </c>
      <c r="Y103" s="76">
        <f t="shared" ref="Y103:Z103" si="85">IF(Y85&lt;0,Y85*-1,0)</f>
        <v>0</v>
      </c>
      <c r="Z103" s="76">
        <f t="shared" si="85"/>
        <v>0</v>
      </c>
      <c r="AA103" s="76">
        <f t="shared" ref="AA103" si="86">IF(AA85&lt;0,AA85*-1,0)</f>
        <v>0</v>
      </c>
      <c r="AB103" s="76">
        <f t="shared" si="81"/>
        <v>0</v>
      </c>
      <c r="AC103" s="76">
        <f t="shared" si="81"/>
        <v>0</v>
      </c>
      <c r="AD103" s="76">
        <f t="shared" si="81"/>
        <v>0</v>
      </c>
      <c r="AE103" s="76">
        <f t="shared" si="81"/>
        <v>0</v>
      </c>
      <c r="AF103" s="76">
        <f t="shared" si="81"/>
        <v>0</v>
      </c>
      <c r="AG103" s="98"/>
      <c r="AH103" s="47">
        <f t="shared" si="35"/>
        <v>0</v>
      </c>
      <c r="AI103" s="48">
        <f t="shared" si="36"/>
        <v>0</v>
      </c>
    </row>
    <row r="104" spans="1:37" x14ac:dyDescent="0.25">
      <c r="A104" s="84" t="s">
        <v>105</v>
      </c>
      <c r="B104" s="76">
        <f t="shared" ref="B104:D104" si="87">IF(B83&lt;0,B83*-1,0)</f>
        <v>0</v>
      </c>
      <c r="C104" s="76">
        <f t="shared" si="87"/>
        <v>0</v>
      </c>
      <c r="D104" s="76">
        <f t="shared" si="87"/>
        <v>0</v>
      </c>
      <c r="E104" s="76">
        <f t="shared" ref="E104:AF104" si="88">IF(E83&lt;0,E83*-1,0)</f>
        <v>0</v>
      </c>
      <c r="F104" s="76">
        <f t="shared" si="88"/>
        <v>0</v>
      </c>
      <c r="G104" s="76">
        <f t="shared" si="88"/>
        <v>0</v>
      </c>
      <c r="H104" s="76">
        <f t="shared" si="88"/>
        <v>0</v>
      </c>
      <c r="I104" s="76">
        <f t="shared" si="88"/>
        <v>0</v>
      </c>
      <c r="J104" s="76">
        <f t="shared" si="88"/>
        <v>0</v>
      </c>
      <c r="K104" s="76">
        <f t="shared" si="88"/>
        <v>0</v>
      </c>
      <c r="L104" s="76">
        <f t="shared" si="88"/>
        <v>0</v>
      </c>
      <c r="M104" s="76">
        <f t="shared" si="88"/>
        <v>0</v>
      </c>
      <c r="N104" s="76">
        <f t="shared" si="88"/>
        <v>0</v>
      </c>
      <c r="O104" s="76">
        <f t="shared" si="88"/>
        <v>0</v>
      </c>
      <c r="P104" s="76">
        <f t="shared" si="88"/>
        <v>0</v>
      </c>
      <c r="Q104" s="76">
        <f t="shared" si="88"/>
        <v>0</v>
      </c>
      <c r="R104" s="76">
        <f t="shared" si="88"/>
        <v>0</v>
      </c>
      <c r="S104" s="76">
        <f t="shared" ref="S104:T104" si="89">IF(S83&lt;0,S83*-1,0)</f>
        <v>0</v>
      </c>
      <c r="T104" s="76">
        <f t="shared" si="89"/>
        <v>0</v>
      </c>
      <c r="U104" s="76">
        <f t="shared" ref="U104:V104" si="90">IF(U83&lt;0,U83*-1,0)</f>
        <v>0</v>
      </c>
      <c r="V104" s="76">
        <f t="shared" si="90"/>
        <v>0</v>
      </c>
      <c r="W104" s="76">
        <f t="shared" ref="W104:X104" si="91">IF(W83&lt;0,W83*-1,0)</f>
        <v>0</v>
      </c>
      <c r="X104" s="76">
        <f t="shared" si="91"/>
        <v>0</v>
      </c>
      <c r="Y104" s="76">
        <f t="shared" ref="Y104:Z104" si="92">IF(Y83&lt;0,Y83*-1,0)</f>
        <v>0</v>
      </c>
      <c r="Z104" s="76">
        <f t="shared" si="92"/>
        <v>0</v>
      </c>
      <c r="AA104" s="76">
        <f t="shared" ref="AA104" si="93">IF(AA83&lt;0,AA83*-1,0)</f>
        <v>0</v>
      </c>
      <c r="AB104" s="76">
        <f t="shared" si="88"/>
        <v>0</v>
      </c>
      <c r="AC104" s="76">
        <f t="shared" si="88"/>
        <v>0</v>
      </c>
      <c r="AD104" s="76">
        <f t="shared" si="88"/>
        <v>0</v>
      </c>
      <c r="AE104" s="76">
        <f t="shared" si="88"/>
        <v>0</v>
      </c>
      <c r="AF104" s="76">
        <f t="shared" si="88"/>
        <v>0</v>
      </c>
      <c r="AG104" s="98"/>
      <c r="AH104" s="47">
        <f t="shared" si="35"/>
        <v>0</v>
      </c>
      <c r="AI104" s="48">
        <f t="shared" si="36"/>
        <v>0</v>
      </c>
    </row>
    <row r="105" spans="1:37" x14ac:dyDescent="0.25">
      <c r="A105" s="84" t="s">
        <v>81</v>
      </c>
      <c r="B105" s="76">
        <f t="shared" ref="B105:D105" si="94">IF(B81&lt;0,B81*-1,0)</f>
        <v>0</v>
      </c>
      <c r="C105" s="76">
        <f t="shared" si="94"/>
        <v>0</v>
      </c>
      <c r="D105" s="76">
        <f t="shared" si="94"/>
        <v>0</v>
      </c>
      <c r="E105" s="76">
        <f t="shared" ref="E105:AF105" si="95">IF(E81&lt;0,E81*-1,0)</f>
        <v>0</v>
      </c>
      <c r="F105" s="76">
        <f t="shared" si="95"/>
        <v>0</v>
      </c>
      <c r="G105" s="76">
        <f t="shared" si="95"/>
        <v>0</v>
      </c>
      <c r="H105" s="76">
        <f t="shared" si="95"/>
        <v>0</v>
      </c>
      <c r="I105" s="76">
        <f t="shared" si="95"/>
        <v>0</v>
      </c>
      <c r="J105" s="76">
        <f t="shared" si="95"/>
        <v>0</v>
      </c>
      <c r="K105" s="76">
        <f t="shared" si="95"/>
        <v>0</v>
      </c>
      <c r="L105" s="76">
        <f t="shared" si="95"/>
        <v>0</v>
      </c>
      <c r="M105" s="76">
        <f t="shared" si="95"/>
        <v>0</v>
      </c>
      <c r="N105" s="76">
        <f t="shared" si="95"/>
        <v>0</v>
      </c>
      <c r="O105" s="76">
        <f t="shared" si="95"/>
        <v>0</v>
      </c>
      <c r="P105" s="76">
        <f t="shared" si="95"/>
        <v>0</v>
      </c>
      <c r="Q105" s="76">
        <f t="shared" si="95"/>
        <v>0</v>
      </c>
      <c r="R105" s="76">
        <f t="shared" si="95"/>
        <v>0</v>
      </c>
      <c r="S105" s="76">
        <f t="shared" ref="S105:T105" si="96">IF(S81&lt;0,S81*-1,0)</f>
        <v>0</v>
      </c>
      <c r="T105" s="76">
        <f t="shared" si="96"/>
        <v>0</v>
      </c>
      <c r="U105" s="76">
        <f t="shared" ref="U105:V105" si="97">IF(U81&lt;0,U81*-1,0)</f>
        <v>0</v>
      </c>
      <c r="V105" s="76">
        <f t="shared" si="97"/>
        <v>0</v>
      </c>
      <c r="W105" s="76">
        <f t="shared" ref="W105:X105" si="98">IF(W81&lt;0,W81*-1,0)</f>
        <v>0</v>
      </c>
      <c r="X105" s="76">
        <f t="shared" si="98"/>
        <v>0</v>
      </c>
      <c r="Y105" s="76">
        <f t="shared" ref="Y105:Z105" si="99">IF(Y81&lt;0,Y81*-1,0)</f>
        <v>0</v>
      </c>
      <c r="Z105" s="76">
        <f t="shared" si="99"/>
        <v>0</v>
      </c>
      <c r="AA105" s="76">
        <f t="shared" ref="AA105" si="100">IF(AA81&lt;0,AA81*-1,0)</f>
        <v>0</v>
      </c>
      <c r="AB105" s="76">
        <f t="shared" si="95"/>
        <v>0</v>
      </c>
      <c r="AC105" s="76">
        <f t="shared" si="95"/>
        <v>0</v>
      </c>
      <c r="AD105" s="76">
        <f t="shared" si="95"/>
        <v>0</v>
      </c>
      <c r="AE105" s="76">
        <f t="shared" si="95"/>
        <v>0</v>
      </c>
      <c r="AF105" s="76">
        <f t="shared" si="95"/>
        <v>0</v>
      </c>
      <c r="AG105" s="98"/>
      <c r="AH105" s="47">
        <f t="shared" si="35"/>
        <v>0</v>
      </c>
      <c r="AI105" s="48">
        <f t="shared" si="36"/>
        <v>0</v>
      </c>
    </row>
    <row r="106" spans="1:37" ht="15.75" thickBot="1" x14ac:dyDescent="0.3">
      <c r="A106" s="84" t="s">
        <v>106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0</v>
      </c>
      <c r="AB106" s="94">
        <v>0</v>
      </c>
      <c r="AC106" s="94">
        <v>0</v>
      </c>
      <c r="AD106" s="94">
        <v>0</v>
      </c>
      <c r="AE106" s="94">
        <v>0</v>
      </c>
      <c r="AF106" s="94">
        <v>0</v>
      </c>
      <c r="AG106" s="85"/>
      <c r="AH106" s="47">
        <f t="shared" si="35"/>
        <v>0</v>
      </c>
      <c r="AI106" s="48">
        <f t="shared" si="36"/>
        <v>0</v>
      </c>
    </row>
    <row r="107" spans="1:37" ht="15.75" thickBot="1" x14ac:dyDescent="0.3">
      <c r="A107" s="99" t="s">
        <v>107</v>
      </c>
      <c r="B107" s="60">
        <f t="shared" ref="B107:D107" si="101">SUM(B101:B106)</f>
        <v>0</v>
      </c>
      <c r="C107" s="60">
        <f t="shared" si="101"/>
        <v>0</v>
      </c>
      <c r="D107" s="60">
        <f t="shared" si="101"/>
        <v>0</v>
      </c>
      <c r="E107" s="60">
        <f t="shared" ref="E107:AF107" si="102">SUM(E101:E106)</f>
        <v>0</v>
      </c>
      <c r="F107" s="60">
        <f t="shared" si="102"/>
        <v>0</v>
      </c>
      <c r="G107" s="60">
        <f t="shared" si="102"/>
        <v>0</v>
      </c>
      <c r="H107" s="60">
        <f t="shared" si="102"/>
        <v>0</v>
      </c>
      <c r="I107" s="60">
        <f t="shared" si="102"/>
        <v>0</v>
      </c>
      <c r="J107" s="60">
        <f t="shared" si="102"/>
        <v>0</v>
      </c>
      <c r="K107" s="60">
        <f t="shared" si="102"/>
        <v>0</v>
      </c>
      <c r="L107" s="60">
        <f t="shared" si="102"/>
        <v>0</v>
      </c>
      <c r="M107" s="60">
        <f t="shared" si="102"/>
        <v>0</v>
      </c>
      <c r="N107" s="60">
        <f t="shared" si="102"/>
        <v>0</v>
      </c>
      <c r="O107" s="60">
        <f t="shared" si="102"/>
        <v>0</v>
      </c>
      <c r="P107" s="60">
        <f t="shared" si="102"/>
        <v>0</v>
      </c>
      <c r="Q107" s="60">
        <f t="shared" si="102"/>
        <v>0</v>
      </c>
      <c r="R107" s="60">
        <f t="shared" si="102"/>
        <v>0</v>
      </c>
      <c r="S107" s="60">
        <f t="shared" ref="S107:T107" si="103">SUM(S101:S106)</f>
        <v>0</v>
      </c>
      <c r="T107" s="60">
        <f t="shared" si="103"/>
        <v>0</v>
      </c>
      <c r="U107" s="60">
        <v>0</v>
      </c>
      <c r="V107" s="60">
        <v>0</v>
      </c>
      <c r="W107" s="60">
        <v>0</v>
      </c>
      <c r="X107" s="60">
        <v>0</v>
      </c>
      <c r="Y107" s="60">
        <v>0</v>
      </c>
      <c r="Z107" s="60">
        <v>0</v>
      </c>
      <c r="AA107" s="60">
        <v>0</v>
      </c>
      <c r="AB107" s="60">
        <f t="shared" si="102"/>
        <v>0</v>
      </c>
      <c r="AC107" s="60">
        <f t="shared" si="102"/>
        <v>0</v>
      </c>
      <c r="AD107" s="60">
        <f t="shared" si="102"/>
        <v>0</v>
      </c>
      <c r="AE107" s="60">
        <f t="shared" si="102"/>
        <v>0</v>
      </c>
      <c r="AF107" s="60">
        <f t="shared" si="102"/>
        <v>0</v>
      </c>
      <c r="AG107" s="88"/>
      <c r="AH107" s="47">
        <f t="shared" si="35"/>
        <v>0</v>
      </c>
      <c r="AI107" s="48">
        <f t="shared" si="36"/>
        <v>0</v>
      </c>
      <c r="AK107" s="50"/>
    </row>
    <row r="108" spans="1:37" ht="15.75" thickBot="1" x14ac:dyDescent="0.3">
      <c r="A108" s="74" t="s">
        <v>108</v>
      </c>
      <c r="B108" s="60">
        <f t="shared" ref="B108:D108" si="104">B92-B107</f>
        <v>604</v>
      </c>
      <c r="C108" s="60">
        <f t="shared" si="104"/>
        <v>546.9</v>
      </c>
      <c r="D108" s="60">
        <f t="shared" si="104"/>
        <v>546.9</v>
      </c>
      <c r="E108" s="60">
        <f t="shared" ref="E108:AF108" si="105">E92-E107</f>
        <v>525.20000000000005</v>
      </c>
      <c r="F108" s="60">
        <f t="shared" si="105"/>
        <v>544.1</v>
      </c>
      <c r="G108" s="60">
        <f t="shared" si="105"/>
        <v>547.20000000000005</v>
      </c>
      <c r="H108" s="60">
        <f t="shared" si="105"/>
        <v>514.1</v>
      </c>
      <c r="I108" s="60">
        <f t="shared" si="105"/>
        <v>565</v>
      </c>
      <c r="J108" s="60">
        <f t="shared" si="105"/>
        <v>576.6</v>
      </c>
      <c r="K108" s="60">
        <f t="shared" si="105"/>
        <v>283.7</v>
      </c>
      <c r="L108" s="60">
        <f t="shared" si="105"/>
        <v>188.2</v>
      </c>
      <c r="M108" s="60">
        <f t="shared" si="105"/>
        <v>150.4</v>
      </c>
      <c r="N108" s="60">
        <f t="shared" si="105"/>
        <v>274</v>
      </c>
      <c r="O108" s="60">
        <f t="shared" si="105"/>
        <v>326.5</v>
      </c>
      <c r="P108" s="60">
        <f t="shared" si="105"/>
        <v>573.70000000000005</v>
      </c>
      <c r="Q108" s="60">
        <f t="shared" si="105"/>
        <v>595.20000000000005</v>
      </c>
      <c r="R108" s="60">
        <f t="shared" si="105"/>
        <v>596</v>
      </c>
      <c r="S108" s="60">
        <f t="shared" ref="S108:T108" si="106">S92-S107</f>
        <v>634.20000000000005</v>
      </c>
      <c r="T108" s="60">
        <f t="shared" si="106"/>
        <v>671.83999999999992</v>
      </c>
      <c r="U108" s="60">
        <f t="shared" ref="U108:V108" si="107">U92-U107</f>
        <v>674.89999999999986</v>
      </c>
      <c r="V108" s="60">
        <f t="shared" si="107"/>
        <v>513.80000000000007</v>
      </c>
      <c r="W108" s="60">
        <f t="shared" ref="W108:X108" si="108">W92-W107</f>
        <v>466.79999999999995</v>
      </c>
      <c r="X108" s="60">
        <f t="shared" si="108"/>
        <v>276</v>
      </c>
      <c r="Y108" s="60">
        <f t="shared" ref="Y108:Z108" si="109">Y92-Y107</f>
        <v>259.3</v>
      </c>
      <c r="Z108" s="60">
        <f t="shared" si="109"/>
        <v>187.6</v>
      </c>
      <c r="AA108" s="60">
        <f t="shared" ref="AA108" si="110">AA92-AA107</f>
        <v>276.5</v>
      </c>
      <c r="AB108" s="60">
        <f t="shared" si="105"/>
        <v>404.9</v>
      </c>
      <c r="AC108" s="60">
        <f t="shared" si="105"/>
        <v>404.9</v>
      </c>
      <c r="AD108" s="60">
        <f t="shared" si="105"/>
        <v>514.29999999999995</v>
      </c>
      <c r="AE108" s="60">
        <f t="shared" si="105"/>
        <v>543.6</v>
      </c>
      <c r="AF108" s="60">
        <f t="shared" si="105"/>
        <v>546.29999999999995</v>
      </c>
      <c r="AG108" s="88"/>
      <c r="AH108" s="47">
        <f t="shared" si="35"/>
        <v>674.89999999999986</v>
      </c>
      <c r="AI108" s="48">
        <f t="shared" si="36"/>
        <v>150.4</v>
      </c>
    </row>
    <row r="109" spans="1:37" x14ac:dyDescent="0.25">
      <c r="A109" s="100" t="s">
        <v>109</v>
      </c>
      <c r="B109" s="101">
        <v>50.058999999999997</v>
      </c>
      <c r="C109" s="101">
        <v>50.058999999999997</v>
      </c>
      <c r="D109" s="101">
        <v>50.01</v>
      </c>
      <c r="E109" s="101">
        <v>50.009</v>
      </c>
      <c r="F109" s="101">
        <v>50.07</v>
      </c>
      <c r="G109" s="101">
        <v>49.923000000000002</v>
      </c>
      <c r="H109" s="101">
        <v>50.034999999999997</v>
      </c>
      <c r="I109" s="101">
        <v>49.993000000000002</v>
      </c>
      <c r="J109" s="101">
        <v>49.994</v>
      </c>
      <c r="K109" s="101">
        <v>49.99</v>
      </c>
      <c r="L109" s="101">
        <v>50.02</v>
      </c>
      <c r="M109" s="101">
        <v>50.052999999999997</v>
      </c>
      <c r="N109" s="101">
        <v>50.057000000000002</v>
      </c>
      <c r="O109" s="101">
        <v>50.070999999999998</v>
      </c>
      <c r="P109" s="101">
        <v>50.072000000000003</v>
      </c>
      <c r="Q109" s="101">
        <v>49.956000000000003</v>
      </c>
      <c r="R109" s="101">
        <v>50.087000000000003</v>
      </c>
      <c r="S109" s="101">
        <v>50.03</v>
      </c>
      <c r="T109" s="101">
        <v>49.98</v>
      </c>
      <c r="U109" s="101">
        <v>49.97</v>
      </c>
      <c r="V109" s="101">
        <v>50.11</v>
      </c>
      <c r="W109" s="101">
        <v>49.93</v>
      </c>
      <c r="X109" s="101">
        <v>50.03</v>
      </c>
      <c r="Y109" s="101">
        <v>49.99</v>
      </c>
      <c r="Z109" s="101">
        <v>49.9</v>
      </c>
      <c r="AA109" s="101">
        <v>50.05</v>
      </c>
      <c r="AB109" s="101">
        <v>50.037999999999997</v>
      </c>
      <c r="AC109" s="101">
        <v>50.051000000000002</v>
      </c>
      <c r="AD109" s="101">
        <v>50.05</v>
      </c>
      <c r="AE109" s="101">
        <v>50.03</v>
      </c>
      <c r="AF109" s="101">
        <v>50.03</v>
      </c>
      <c r="AG109" s="102"/>
      <c r="AH109" s="47">
        <f t="shared" si="35"/>
        <v>50.11</v>
      </c>
      <c r="AI109" s="48">
        <f t="shared" si="36"/>
        <v>49.9</v>
      </c>
    </row>
    <row r="110" spans="1:37" x14ac:dyDescent="0.25">
      <c r="A110" s="103" t="s">
        <v>110</v>
      </c>
      <c r="B110" s="65">
        <v>127.5</v>
      </c>
      <c r="C110" s="65">
        <v>127.5</v>
      </c>
      <c r="D110" s="65">
        <v>127.7</v>
      </c>
      <c r="E110" s="65">
        <v>129.80000000000001</v>
      </c>
      <c r="F110" s="65">
        <v>128.19999999999999</v>
      </c>
      <c r="G110" s="65">
        <v>125.6</v>
      </c>
      <c r="H110" s="65">
        <v>126.9</v>
      </c>
      <c r="I110" s="65">
        <v>125.4</v>
      </c>
      <c r="J110" s="65">
        <v>124.4</v>
      </c>
      <c r="K110" s="65">
        <v>128.19999999999999</v>
      </c>
      <c r="L110" s="65">
        <v>127.3</v>
      </c>
      <c r="M110" s="65">
        <v>125.4</v>
      </c>
      <c r="N110" s="65">
        <v>127.1</v>
      </c>
      <c r="O110" s="65">
        <v>126.3</v>
      </c>
      <c r="P110" s="65">
        <v>126.3</v>
      </c>
      <c r="Q110" s="65">
        <v>123.7</v>
      </c>
      <c r="R110" s="65">
        <v>125.6</v>
      </c>
      <c r="S110" s="65">
        <v>124.6</v>
      </c>
      <c r="T110" s="65">
        <v>124.7</v>
      </c>
      <c r="U110" s="65">
        <v>125.4</v>
      </c>
      <c r="V110" s="65">
        <v>124.9</v>
      </c>
      <c r="W110" s="65">
        <v>124.9</v>
      </c>
      <c r="X110" s="65">
        <v>124.9</v>
      </c>
      <c r="Y110" s="65">
        <v>124.9</v>
      </c>
      <c r="Z110" s="65">
        <v>124.6</v>
      </c>
      <c r="AA110" s="65">
        <v>124.6</v>
      </c>
      <c r="AB110" s="65">
        <v>128.9</v>
      </c>
      <c r="AC110" s="65">
        <v>128.80000000000001</v>
      </c>
      <c r="AD110" s="65">
        <v>126.8</v>
      </c>
      <c r="AE110" s="65">
        <v>127.1</v>
      </c>
      <c r="AF110" s="65">
        <v>127.1</v>
      </c>
      <c r="AG110" s="104"/>
      <c r="AH110" s="47">
        <f t="shared" si="35"/>
        <v>129.80000000000001</v>
      </c>
      <c r="AI110" s="48">
        <f t="shared" si="36"/>
        <v>123.7</v>
      </c>
    </row>
    <row r="111" spans="1:37" x14ac:dyDescent="0.25">
      <c r="A111" s="103" t="s">
        <v>111</v>
      </c>
      <c r="B111" s="65">
        <v>132.19999999999999</v>
      </c>
      <c r="C111" s="65">
        <v>132.19999999999999</v>
      </c>
      <c r="D111" s="65">
        <v>132.1</v>
      </c>
      <c r="E111" s="65">
        <v>133.9</v>
      </c>
      <c r="F111" s="65">
        <v>132.4</v>
      </c>
      <c r="G111" s="65">
        <v>130.80000000000001</v>
      </c>
      <c r="H111" s="65">
        <v>131.30000000000001</v>
      </c>
      <c r="I111" s="65">
        <v>130</v>
      </c>
      <c r="J111" s="65">
        <v>128.6</v>
      </c>
      <c r="K111" s="65">
        <v>130</v>
      </c>
      <c r="L111" s="65">
        <v>128.9</v>
      </c>
      <c r="M111" s="65">
        <v>126.9</v>
      </c>
      <c r="N111" s="65">
        <v>128.30000000000001</v>
      </c>
      <c r="O111" s="65">
        <v>128.5</v>
      </c>
      <c r="P111" s="65">
        <v>128.5</v>
      </c>
      <c r="Q111" s="65">
        <v>127.4</v>
      </c>
      <c r="R111" s="65">
        <v>128.80000000000001</v>
      </c>
      <c r="S111" s="65">
        <v>128.5</v>
      </c>
      <c r="T111" s="65">
        <v>128.5</v>
      </c>
      <c r="U111" s="65">
        <v>129.1</v>
      </c>
      <c r="V111" s="65">
        <v>127.5</v>
      </c>
      <c r="W111" s="65">
        <v>127.5</v>
      </c>
      <c r="X111" s="65">
        <v>127.5</v>
      </c>
      <c r="Y111" s="65">
        <v>126.7</v>
      </c>
      <c r="Z111" s="65">
        <v>126.7</v>
      </c>
      <c r="AA111" s="65">
        <v>126.7</v>
      </c>
      <c r="AB111" s="65">
        <v>130.69999999999999</v>
      </c>
      <c r="AC111" s="65">
        <v>130.6</v>
      </c>
      <c r="AD111" s="65">
        <v>129.4</v>
      </c>
      <c r="AE111" s="65">
        <v>130.6</v>
      </c>
      <c r="AF111" s="65">
        <v>130.6</v>
      </c>
      <c r="AG111" s="104"/>
      <c r="AH111" s="47">
        <f t="shared" si="35"/>
        <v>133.9</v>
      </c>
      <c r="AI111" s="48">
        <f t="shared" si="36"/>
        <v>126.7</v>
      </c>
    </row>
    <row r="112" spans="1:37" x14ac:dyDescent="0.25">
      <c r="A112" s="103" t="s">
        <v>112</v>
      </c>
      <c r="B112" s="65">
        <v>130</v>
      </c>
      <c r="C112" s="65">
        <v>130</v>
      </c>
      <c r="D112" s="65">
        <v>130.6</v>
      </c>
      <c r="E112" s="65">
        <v>132.30000000000001</v>
      </c>
      <c r="F112" s="65">
        <v>129.4</v>
      </c>
      <c r="G112" s="65">
        <v>126.7</v>
      </c>
      <c r="H112" s="65">
        <v>127</v>
      </c>
      <c r="I112" s="65">
        <v>129.4</v>
      </c>
      <c r="J112" s="65">
        <v>123.7</v>
      </c>
      <c r="K112" s="65">
        <v>129.69999999999999</v>
      </c>
      <c r="L112" s="65">
        <v>129.6</v>
      </c>
      <c r="M112" s="65">
        <v>129.30000000000001</v>
      </c>
      <c r="N112" s="65">
        <v>130.4</v>
      </c>
      <c r="O112" s="65">
        <v>132.1</v>
      </c>
      <c r="P112" s="65">
        <v>132.1</v>
      </c>
      <c r="Q112" s="65">
        <v>131.4</v>
      </c>
      <c r="R112" s="65">
        <v>132.30000000000001</v>
      </c>
      <c r="S112" s="65">
        <v>128.80000000000001</v>
      </c>
      <c r="T112" s="65">
        <v>128.80000000000001</v>
      </c>
      <c r="U112" s="65">
        <v>125.6</v>
      </c>
      <c r="V112" s="65">
        <v>133.80000000000001</v>
      </c>
      <c r="W112" s="65">
        <v>133.80000000000001</v>
      </c>
      <c r="X112" s="65">
        <v>133.80000000000001</v>
      </c>
      <c r="Y112" s="65">
        <v>128.5</v>
      </c>
      <c r="Z112" s="65">
        <v>128.5</v>
      </c>
      <c r="AA112" s="65">
        <v>128.5</v>
      </c>
      <c r="AB112" s="65">
        <v>131.6</v>
      </c>
      <c r="AC112" s="65">
        <v>131.30000000000001</v>
      </c>
      <c r="AD112" s="65">
        <v>130</v>
      </c>
      <c r="AE112" s="65">
        <v>131.6</v>
      </c>
      <c r="AF112" s="65">
        <v>131.6</v>
      </c>
      <c r="AG112" s="104"/>
      <c r="AH112" s="47">
        <f t="shared" si="35"/>
        <v>133.80000000000001</v>
      </c>
      <c r="AI112" s="48">
        <f t="shared" si="36"/>
        <v>123.7</v>
      </c>
    </row>
    <row r="113" spans="1:35" x14ac:dyDescent="0.25">
      <c r="A113" s="105" t="s">
        <v>113</v>
      </c>
      <c r="B113" s="65">
        <v>133.9</v>
      </c>
      <c r="C113" s="65">
        <v>133.9</v>
      </c>
      <c r="D113" s="65">
        <v>132.69999999999999</v>
      </c>
      <c r="E113" s="65">
        <v>133.69999999999999</v>
      </c>
      <c r="F113" s="65">
        <v>131.6</v>
      </c>
      <c r="G113" s="65">
        <v>129</v>
      </c>
      <c r="H113" s="65">
        <v>128</v>
      </c>
      <c r="I113" s="65">
        <v>132.30000000000001</v>
      </c>
      <c r="J113" s="65">
        <v>126.5</v>
      </c>
      <c r="K113" s="65">
        <v>130.19999999999999</v>
      </c>
      <c r="L113" s="65">
        <v>130.69999999999999</v>
      </c>
      <c r="M113" s="65">
        <v>131</v>
      </c>
      <c r="N113" s="65">
        <v>131.4</v>
      </c>
      <c r="O113" s="65">
        <v>133.9</v>
      </c>
      <c r="P113" s="65">
        <v>133.9</v>
      </c>
      <c r="Q113" s="65">
        <v>133.6</v>
      </c>
      <c r="R113" s="65">
        <v>134.19999999999999</v>
      </c>
      <c r="S113" s="65">
        <v>129.30000000000001</v>
      </c>
      <c r="T113" s="65">
        <v>129.30000000000001</v>
      </c>
      <c r="U113" s="65">
        <v>127.9</v>
      </c>
      <c r="V113" s="65">
        <v>135.30000000000001</v>
      </c>
      <c r="W113" s="65">
        <v>135.30000000000001</v>
      </c>
      <c r="X113" s="65">
        <v>135.30000000000001</v>
      </c>
      <c r="Y113" s="65">
        <v>129.19999999999999</v>
      </c>
      <c r="Z113" s="65">
        <v>129.19999999999999</v>
      </c>
      <c r="AA113" s="65">
        <v>129.19999999999999</v>
      </c>
      <c r="AB113" s="65">
        <v>131.80000000000001</v>
      </c>
      <c r="AC113" s="65">
        <v>131.69999999999999</v>
      </c>
      <c r="AD113" s="65">
        <v>131.19999999999999</v>
      </c>
      <c r="AE113" s="65">
        <v>133.30000000000001</v>
      </c>
      <c r="AF113" s="65">
        <v>133.30000000000001</v>
      </c>
      <c r="AG113" s="104"/>
      <c r="AH113" s="47">
        <f t="shared" si="35"/>
        <v>135.30000000000001</v>
      </c>
      <c r="AI113" s="48">
        <f t="shared" si="36"/>
        <v>126.5</v>
      </c>
    </row>
    <row r="114" spans="1:35" x14ac:dyDescent="0.25">
      <c r="A114" s="105" t="s">
        <v>114</v>
      </c>
      <c r="B114" s="106">
        <v>136.5</v>
      </c>
      <c r="C114" s="106">
        <v>136.5</v>
      </c>
      <c r="D114" s="106">
        <v>131.30000000000001</v>
      </c>
      <c r="E114" s="106">
        <v>135</v>
      </c>
      <c r="F114" s="106">
        <v>132.5</v>
      </c>
      <c r="G114" s="106">
        <v>131.30000000000001</v>
      </c>
      <c r="H114" s="106">
        <v>132.69999999999999</v>
      </c>
      <c r="I114" s="106">
        <v>134.30000000000001</v>
      </c>
      <c r="J114" s="106">
        <v>134.30000000000001</v>
      </c>
      <c r="K114" s="106">
        <v>136.5</v>
      </c>
      <c r="L114" s="106">
        <v>136</v>
      </c>
      <c r="M114" s="106">
        <v>13.5</v>
      </c>
      <c r="N114" s="106">
        <v>134.9</v>
      </c>
      <c r="O114" s="106">
        <v>133.5</v>
      </c>
      <c r="P114" s="106">
        <v>133.5</v>
      </c>
      <c r="Q114" s="106">
        <v>132.5</v>
      </c>
      <c r="R114" s="106">
        <v>132.5</v>
      </c>
      <c r="S114" s="106">
        <v>131.9</v>
      </c>
      <c r="T114" s="106">
        <v>131.9</v>
      </c>
      <c r="U114" s="106">
        <v>132</v>
      </c>
      <c r="V114" s="106">
        <v>128.80000000000001</v>
      </c>
      <c r="W114" s="106">
        <v>128.80000000000001</v>
      </c>
      <c r="X114" s="106">
        <v>128.80000000000001</v>
      </c>
      <c r="Y114" s="106">
        <v>134.80000000000001</v>
      </c>
      <c r="Z114" s="106">
        <v>134.80000000000001</v>
      </c>
      <c r="AA114" s="106">
        <v>134.80000000000001</v>
      </c>
      <c r="AB114" s="106">
        <v>137.6</v>
      </c>
      <c r="AC114" s="106">
        <v>135.19999999999999</v>
      </c>
      <c r="AD114" s="106">
        <v>134.5</v>
      </c>
      <c r="AE114" s="106">
        <v>131.9</v>
      </c>
      <c r="AF114" s="106">
        <v>131.9</v>
      </c>
      <c r="AG114" s="107"/>
      <c r="AH114" s="47">
        <f t="shared" si="35"/>
        <v>137.6</v>
      </c>
      <c r="AI114" s="48">
        <f t="shared" si="36"/>
        <v>13.5</v>
      </c>
    </row>
    <row r="115" spans="1:35" x14ac:dyDescent="0.25">
      <c r="A115" s="103" t="s">
        <v>115</v>
      </c>
      <c r="B115" s="65">
        <v>133.80000000000001</v>
      </c>
      <c r="C115" s="65">
        <v>133.80000000000001</v>
      </c>
      <c r="D115" s="65">
        <v>133.30000000000001</v>
      </c>
      <c r="E115" s="65">
        <v>130.69999999999999</v>
      </c>
      <c r="F115" s="65">
        <v>129.30000000000001</v>
      </c>
      <c r="G115" s="65">
        <v>134.5</v>
      </c>
      <c r="H115" s="65">
        <v>131.19999999999999</v>
      </c>
      <c r="I115" s="65">
        <v>130.1</v>
      </c>
      <c r="J115" s="65">
        <v>130.6</v>
      </c>
      <c r="K115" s="65">
        <v>131.1</v>
      </c>
      <c r="L115" s="65">
        <v>129.19999999999999</v>
      </c>
      <c r="M115" s="65">
        <v>129.6</v>
      </c>
      <c r="N115" s="65">
        <v>129.1</v>
      </c>
      <c r="O115" s="65">
        <v>132.6</v>
      </c>
      <c r="P115" s="65">
        <v>132.6</v>
      </c>
      <c r="Q115" s="65">
        <v>131.6</v>
      </c>
      <c r="R115" s="65">
        <v>132.69999999999999</v>
      </c>
      <c r="S115" s="65">
        <v>131.5</v>
      </c>
      <c r="T115" s="65">
        <v>131.5</v>
      </c>
      <c r="U115" s="65">
        <v>130.19999999999999</v>
      </c>
      <c r="V115" s="65">
        <v>136.1</v>
      </c>
      <c r="W115" s="65">
        <v>136.1</v>
      </c>
      <c r="X115" s="65">
        <v>136.1</v>
      </c>
      <c r="Y115" s="65">
        <v>122.8</v>
      </c>
      <c r="Z115" s="65">
        <v>122.8</v>
      </c>
      <c r="AA115" s="65">
        <v>122.8</v>
      </c>
      <c r="AB115" s="65">
        <v>133.6</v>
      </c>
      <c r="AC115" s="65">
        <v>134.30000000000001</v>
      </c>
      <c r="AD115" s="65">
        <v>134</v>
      </c>
      <c r="AE115" s="65">
        <v>133.6</v>
      </c>
      <c r="AF115" s="65">
        <v>133.6</v>
      </c>
      <c r="AG115" s="104"/>
      <c r="AH115" s="47">
        <f t="shared" si="35"/>
        <v>136.1</v>
      </c>
      <c r="AI115" s="48">
        <f t="shared" si="36"/>
        <v>122.8</v>
      </c>
    </row>
    <row r="116" spans="1:35" ht="15.75" thickBot="1" x14ac:dyDescent="0.3">
      <c r="A116" s="103" t="s">
        <v>116</v>
      </c>
      <c r="B116" s="92">
        <v>66.7</v>
      </c>
      <c r="C116" s="92">
        <v>66.7</v>
      </c>
      <c r="D116" s="92">
        <v>66.2</v>
      </c>
      <c r="E116" s="92">
        <v>67.400000000000006</v>
      </c>
      <c r="F116" s="92">
        <v>66.8</v>
      </c>
      <c r="G116" s="92">
        <v>65.7</v>
      </c>
      <c r="H116" s="92">
        <v>65.8</v>
      </c>
      <c r="I116" s="92">
        <v>65.099999999999994</v>
      </c>
      <c r="J116" s="92">
        <v>64.3</v>
      </c>
      <c r="K116" s="92">
        <v>65</v>
      </c>
      <c r="L116" s="92">
        <v>64.5</v>
      </c>
      <c r="M116" s="92">
        <v>63.5</v>
      </c>
      <c r="N116" s="92">
        <v>64.599999999999994</v>
      </c>
      <c r="O116" s="92">
        <v>64.5</v>
      </c>
      <c r="P116" s="92">
        <v>64.5</v>
      </c>
      <c r="Q116" s="92">
        <v>64</v>
      </c>
      <c r="R116" s="92">
        <v>64.8</v>
      </c>
      <c r="S116" s="92">
        <v>64.8</v>
      </c>
      <c r="T116" s="92">
        <v>64.8</v>
      </c>
      <c r="U116" s="92">
        <v>65</v>
      </c>
      <c r="V116" s="92">
        <v>64.099999999999994</v>
      </c>
      <c r="W116" s="92">
        <v>64.099999999999994</v>
      </c>
      <c r="X116" s="92">
        <v>64.099999999999994</v>
      </c>
      <c r="Y116" s="92">
        <v>63.6</v>
      </c>
      <c r="Z116" s="92">
        <v>63.6</v>
      </c>
      <c r="AA116" s="92">
        <v>63.6</v>
      </c>
      <c r="AB116" s="92">
        <v>65.5</v>
      </c>
      <c r="AC116" s="92">
        <v>65.5</v>
      </c>
      <c r="AD116" s="92">
        <v>64.599999999999994</v>
      </c>
      <c r="AE116" s="92">
        <v>65.5</v>
      </c>
      <c r="AF116" s="92">
        <v>65.5</v>
      </c>
      <c r="AG116" s="108"/>
      <c r="AH116" s="47">
        <f t="shared" si="35"/>
        <v>67.400000000000006</v>
      </c>
      <c r="AI116" s="48">
        <f t="shared" si="36"/>
        <v>63.5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35"/>
        <v>0</v>
      </c>
      <c r="AI117" s="48">
        <f t="shared" si="36"/>
        <v>0</v>
      </c>
    </row>
    <row r="118" spans="1:35" ht="15.75" thickBot="1" x14ac:dyDescent="0.3">
      <c r="A118" s="110" t="s">
        <v>118</v>
      </c>
      <c r="B118" s="111">
        <f t="shared" ref="B118" si="111">SUM(B22,B28,B31:B32,B66,B68:B69,B71,B73,B119:B123,B155,B161,B167,B176,B178,B190,B197,B200:B201,B208,B210,B212,B216:B218,B220:B222,B227,B233:B234,B236:B238,B246,B251)</f>
        <v>174.64000000000001</v>
      </c>
      <c r="C118" s="111">
        <f t="shared" ref="C118:O118" si="112">SUM(C22,C28,C31:C32,C66,C68:C69,C71,C73,C119:C123,C155,C161,C167,C176,C178,C190,C197,C200:C201,C208,C210,C212,C216:C218,C220:C222,C227,C233:C234,C236:C238,C246,C251)</f>
        <v>179.34</v>
      </c>
      <c r="D118" s="111">
        <f t="shared" si="112"/>
        <v>181.44</v>
      </c>
      <c r="E118" s="111">
        <f t="shared" si="112"/>
        <v>147.44</v>
      </c>
      <c r="F118" s="111">
        <f t="shared" si="112"/>
        <v>155.392</v>
      </c>
      <c r="G118" s="111">
        <f t="shared" si="112"/>
        <v>175.23999999999998</v>
      </c>
      <c r="H118" s="111">
        <f t="shared" si="112"/>
        <v>208.74</v>
      </c>
      <c r="I118" s="111">
        <f t="shared" si="112"/>
        <v>240.68</v>
      </c>
      <c r="J118" s="111">
        <f t="shared" si="112"/>
        <v>289.28000000000003</v>
      </c>
      <c r="K118" s="111">
        <f t="shared" si="112"/>
        <v>342.04</v>
      </c>
      <c r="L118" s="111">
        <f t="shared" si="112"/>
        <v>349.16</v>
      </c>
      <c r="M118" s="111">
        <f t="shared" si="112"/>
        <v>389.94</v>
      </c>
      <c r="N118" s="111">
        <f t="shared" si="112"/>
        <v>416.73999999999995</v>
      </c>
      <c r="O118" s="111">
        <f t="shared" si="112"/>
        <v>355.64</v>
      </c>
      <c r="P118" s="111">
        <v>42</v>
      </c>
      <c r="Q118" s="111">
        <f t="shared" ref="Q118:AD118" si="113">SUM(Q22,Q28,Q31:Q32,Q66,Q68:Q69,Q71,Q73,Q119:Q123,Q155,Q161,Q167,Q176,Q178,Q190,Q197,Q200:Q201,Q208,Q210,Q212,Q216:Q218,Q220:Q222,Q227,Q233:Q234,Q236:Q238,Q246,Q251)</f>
        <v>306.04000000000002</v>
      </c>
      <c r="R118" s="111">
        <f t="shared" si="113"/>
        <v>267.44</v>
      </c>
      <c r="S118" s="111">
        <f t="shared" ref="S118:T118" si="114">SUM(S22,S28,S31:S32,S66,S68:S69,S71,S73,S119:S123,S155,S161,S167,S176,S178,S190,S197,S200:S201,S208,S210,S212,S216:S218,S220:S222,S227,S233:S234,S236:S238,S246,S251)</f>
        <v>255.66</v>
      </c>
      <c r="T118" s="111">
        <f t="shared" si="114"/>
        <v>249.46</v>
      </c>
      <c r="U118" s="111">
        <f t="shared" ref="U118:V118" si="115">SUM(U22,U28,U31:U32,U66,U68:U69,U71,U73,U119:U123,U155,U161,U167,U176,U178,U190,U197,U200:U201,U208,U210,U212,U216:U218,U220:U222,U227,U233:U234,U236:U238,U246,U251)</f>
        <v>249.54000000000002</v>
      </c>
      <c r="V118" s="111">
        <f t="shared" si="115"/>
        <v>275.08</v>
      </c>
      <c r="W118" s="111">
        <f t="shared" ref="W118:X118" si="116">SUM(W22,W28,W31:W32,W66,W68:W69,W71,W73,W119:W123,W155,W161,W167,W176,W178,W190,W197,W200:W201,W208,W210,W212,W216:W218,W220:W222,W227,W233:W234,W236:W238,W246,W251)</f>
        <v>301.62</v>
      </c>
      <c r="X118" s="111">
        <f t="shared" si="116"/>
        <v>350.84</v>
      </c>
      <c r="Y118" s="111">
        <f t="shared" ref="Y118:Z118" si="117">SUM(Y22,Y28,Y31:Y32,Y66,Y68:Y69,Y71,Y73,Y119:Y123,Y155,Y161,Y167,Y176,Y178,Y190,Y197,Y200:Y201,Y208,Y210,Y212,Y216:Y218,Y220:Y222,Y227,Y233:Y234,Y236:Y238,Y246,Y251)</f>
        <v>422.14000000000004</v>
      </c>
      <c r="Z118" s="111">
        <f t="shared" si="117"/>
        <v>424.98</v>
      </c>
      <c r="AA118" s="111">
        <f t="shared" ref="AA118" si="118">SUM(AA22,AA28,AA31:AA32,AA66,AA68:AA69,AA71,AA73,AA119:AA123,AA155,AA161,AA167,AA176,AA178,AA190,AA197,AA200:AA201,AA208,AA210,AA212,AA216:AA218,AA220:AA222,AA227,AA233:AA234,AA236:AA238,AA246,AA251)</f>
        <v>407.92</v>
      </c>
      <c r="AB118" s="111">
        <f t="shared" si="113"/>
        <v>381.43999999999994</v>
      </c>
      <c r="AC118" s="111">
        <f t="shared" si="113"/>
        <v>377.54</v>
      </c>
      <c r="AD118" s="111">
        <f t="shared" si="113"/>
        <v>353.54</v>
      </c>
      <c r="AE118" s="111">
        <f>SUM(AE22,AE28,AE31:AE32,AE66,AE68:AE69,AE71,AE73,AE119:AE123,AE155,AE161,AE167,AE176,AE178,AE190,AE197,AE200:AE201,AE208,AE210,AE212,AE216:AE218,AE220:AE222,AE227,AE233:AE234,AE236:AE238,AE246,AE251)</f>
        <v>261.64</v>
      </c>
      <c r="AF118" s="111">
        <f>SUM(AF22,AF28,AF31:AF32,AF66,AF68:AF69,AF71,AF73,AF119:AF123,AF155,AF161,AF167,AF176,AF178,AF190,AF197,AF200:AF201,AF208,AF210,AF212,AF216:AF218,AF220:AF222,AF227,AF233:AF234,AF236:AF238,AF246,AF251)</f>
        <v>261.64</v>
      </c>
      <c r="AG118" s="112"/>
      <c r="AH118" s="47">
        <f t="shared" si="35"/>
        <v>424.98</v>
      </c>
      <c r="AI118" s="48">
        <f t="shared" si="36"/>
        <v>42</v>
      </c>
    </row>
    <row r="119" spans="1:35" x14ac:dyDescent="0.25">
      <c r="A119" s="172" t="s">
        <v>119</v>
      </c>
      <c r="B119" s="113">
        <v>13.2</v>
      </c>
      <c r="C119" s="113">
        <v>3.2</v>
      </c>
      <c r="D119" s="113">
        <v>-11.1</v>
      </c>
      <c r="E119" s="113">
        <v>3.4</v>
      </c>
      <c r="F119" s="113">
        <v>-13.2</v>
      </c>
      <c r="G119" s="113">
        <v>5.4</v>
      </c>
      <c r="H119" s="113">
        <v>27.1</v>
      </c>
      <c r="I119" s="113">
        <v>29.4</v>
      </c>
      <c r="J119" s="113">
        <v>53.2</v>
      </c>
      <c r="K119" s="113">
        <v>42.1</v>
      </c>
      <c r="L119" s="113">
        <v>42.6</v>
      </c>
      <c r="M119" s="113">
        <v>49.4</v>
      </c>
      <c r="N119" s="113">
        <v>48.8</v>
      </c>
      <c r="O119" s="113">
        <v>48.7</v>
      </c>
      <c r="P119" s="113">
        <v>29.4</v>
      </c>
      <c r="Q119" s="113">
        <v>35.1</v>
      </c>
      <c r="R119" s="113">
        <v>5</v>
      </c>
      <c r="S119" s="113">
        <v>-0.3</v>
      </c>
      <c r="T119" s="113">
        <v>-0.9</v>
      </c>
      <c r="U119" s="113">
        <v>2.5</v>
      </c>
      <c r="V119" s="113">
        <v>-2.7</v>
      </c>
      <c r="W119" s="113">
        <v>12.2</v>
      </c>
      <c r="X119" s="113">
        <v>38.4</v>
      </c>
      <c r="Y119" s="113">
        <v>33.6</v>
      </c>
      <c r="Z119" s="113">
        <v>45.3</v>
      </c>
      <c r="AA119" s="113">
        <v>53.1</v>
      </c>
      <c r="AB119" s="113">
        <v>52.3</v>
      </c>
      <c r="AC119" s="113">
        <v>50.3</v>
      </c>
      <c r="AD119" s="113">
        <v>41</v>
      </c>
      <c r="AE119" s="113">
        <v>36.200000000000003</v>
      </c>
      <c r="AF119" s="113">
        <v>36.200000000000003</v>
      </c>
      <c r="AG119" s="114">
        <v>75</v>
      </c>
      <c r="AH119" s="47">
        <f t="shared" si="35"/>
        <v>53.2</v>
      </c>
      <c r="AI119" s="48">
        <f t="shared" si="36"/>
        <v>-13.2</v>
      </c>
    </row>
    <row r="120" spans="1:35" x14ac:dyDescent="0.25">
      <c r="A120" s="173" t="s">
        <v>120</v>
      </c>
      <c r="B120" s="115">
        <v>15.3</v>
      </c>
      <c r="C120" s="115">
        <v>3.8</v>
      </c>
      <c r="D120" s="115">
        <v>17.5</v>
      </c>
      <c r="E120" s="115">
        <v>1.5</v>
      </c>
      <c r="F120" s="115">
        <v>-19.899999999999999</v>
      </c>
      <c r="G120" s="115">
        <v>3.5</v>
      </c>
      <c r="H120" s="115">
        <v>34.4</v>
      </c>
      <c r="I120" s="115">
        <v>37.200000000000003</v>
      </c>
      <c r="J120" s="115">
        <v>68.400000000000006</v>
      </c>
      <c r="K120" s="115">
        <v>58</v>
      </c>
      <c r="L120" s="115">
        <v>58.4</v>
      </c>
      <c r="M120" s="115">
        <v>67.400000000000006</v>
      </c>
      <c r="N120" s="115">
        <v>68</v>
      </c>
      <c r="O120" s="115">
        <v>67</v>
      </c>
      <c r="P120" s="115">
        <v>41.2</v>
      </c>
      <c r="Q120" s="115">
        <v>45.4</v>
      </c>
      <c r="R120" s="115">
        <v>4</v>
      </c>
      <c r="S120" s="115">
        <v>-5.9</v>
      </c>
      <c r="T120" s="115">
        <v>-5.5</v>
      </c>
      <c r="U120" s="115">
        <v>-0.4</v>
      </c>
      <c r="V120" s="115">
        <v>-1.5</v>
      </c>
      <c r="W120" s="115">
        <v>17</v>
      </c>
      <c r="X120" s="115">
        <v>52.8</v>
      </c>
      <c r="Y120" s="115">
        <v>45.5</v>
      </c>
      <c r="Z120" s="115">
        <v>63.2</v>
      </c>
      <c r="AA120" s="115">
        <v>75</v>
      </c>
      <c r="AB120" s="115">
        <v>73</v>
      </c>
      <c r="AC120" s="115">
        <v>70.7</v>
      </c>
      <c r="AD120" s="115">
        <v>52</v>
      </c>
      <c r="AE120" s="115">
        <v>48.5</v>
      </c>
      <c r="AF120" s="115">
        <v>48.5</v>
      </c>
      <c r="AG120" s="114">
        <v>240</v>
      </c>
      <c r="AH120" s="47">
        <f t="shared" si="35"/>
        <v>75</v>
      </c>
      <c r="AI120" s="48">
        <f t="shared" si="36"/>
        <v>-19.899999999999999</v>
      </c>
    </row>
    <row r="121" spans="1:35" x14ac:dyDescent="0.25">
      <c r="A121" s="173" t="s">
        <v>121</v>
      </c>
      <c r="B121" s="115">
        <f>-17.1-20.4</f>
        <v>-37.5</v>
      </c>
      <c r="C121" s="115">
        <v>-29.8</v>
      </c>
      <c r="D121" s="115">
        <f>-11.2-13</f>
        <v>-24.2</v>
      </c>
      <c r="E121" s="115">
        <f>-17-20</f>
        <v>-37</v>
      </c>
      <c r="F121" s="115">
        <f>-7-10</f>
        <v>-17</v>
      </c>
      <c r="G121" s="115">
        <f>-14-16</f>
        <v>-30</v>
      </c>
      <c r="H121" s="115">
        <f>-19.8-23</f>
        <v>-42.8</v>
      </c>
      <c r="I121" s="115">
        <f>-17-20</f>
        <v>-37</v>
      </c>
      <c r="J121" s="115">
        <f>-20-25</f>
        <v>-45</v>
      </c>
      <c r="K121" s="115">
        <f>0.7</f>
        <v>0.7</v>
      </c>
      <c r="L121" s="115">
        <f>-3.8-4.8</f>
        <v>-8.6</v>
      </c>
      <c r="M121" s="115">
        <v>10.8</v>
      </c>
      <c r="N121" s="115">
        <v>26</v>
      </c>
      <c r="O121" s="115">
        <v>24</v>
      </c>
      <c r="P121" s="115">
        <v>12.6</v>
      </c>
      <c r="Q121" s="115">
        <v>-5.7</v>
      </c>
      <c r="R121" s="115">
        <v>14</v>
      </c>
      <c r="S121" s="115">
        <v>11</v>
      </c>
      <c r="T121" s="115">
        <v>11</v>
      </c>
      <c r="U121" s="115">
        <v>12.9</v>
      </c>
      <c r="V121" s="115">
        <v>31</v>
      </c>
      <c r="W121" s="115">
        <v>29</v>
      </c>
      <c r="X121" s="115">
        <v>25</v>
      </c>
      <c r="Y121" s="115">
        <v>48</v>
      </c>
      <c r="Z121" s="115">
        <v>39.5</v>
      </c>
      <c r="AA121" s="115">
        <v>36</v>
      </c>
      <c r="AB121" s="115">
        <v>38</v>
      </c>
      <c r="AC121" s="115">
        <v>37</v>
      </c>
      <c r="AD121" s="115">
        <v>26</v>
      </c>
      <c r="AE121" s="115">
        <v>-17</v>
      </c>
      <c r="AF121" s="115">
        <v>-17</v>
      </c>
      <c r="AG121" s="114">
        <v>240</v>
      </c>
      <c r="AH121" s="47">
        <f t="shared" si="35"/>
        <v>48</v>
      </c>
      <c r="AI121" s="48">
        <f t="shared" si="36"/>
        <v>-45</v>
      </c>
    </row>
    <row r="122" spans="1:35" ht="15.75" thickBot="1" x14ac:dyDescent="0.3">
      <c r="A122" s="173" t="s">
        <v>122</v>
      </c>
      <c r="B122" s="115">
        <v>-8.6</v>
      </c>
      <c r="C122" s="115">
        <v>-10.4</v>
      </c>
      <c r="D122" s="115">
        <v>-12.4</v>
      </c>
      <c r="E122" s="115">
        <v>-11.3</v>
      </c>
      <c r="F122" s="115">
        <v>-5.0999999999999996</v>
      </c>
      <c r="G122" s="115">
        <v>-10.9</v>
      </c>
      <c r="H122" s="115">
        <v>-6.7</v>
      </c>
      <c r="I122" s="115">
        <v>-3.7</v>
      </c>
      <c r="J122" s="115">
        <v>-2.1</v>
      </c>
      <c r="K122" s="115">
        <v>18.399999999999999</v>
      </c>
      <c r="L122" s="115">
        <v>20.8</v>
      </c>
      <c r="M122" s="115">
        <v>22.4</v>
      </c>
      <c r="N122" s="115">
        <v>23</v>
      </c>
      <c r="O122" s="115">
        <v>21</v>
      </c>
      <c r="P122" s="115">
        <v>7.9</v>
      </c>
      <c r="Q122" s="115">
        <v>6.3</v>
      </c>
      <c r="R122" s="115">
        <v>4.5</v>
      </c>
      <c r="S122" s="115">
        <v>1.6</v>
      </c>
      <c r="T122" s="115">
        <v>0.6</v>
      </c>
      <c r="U122" s="115">
        <v>2.6</v>
      </c>
      <c r="V122" s="115">
        <v>17.5</v>
      </c>
      <c r="W122" s="115">
        <v>20.7</v>
      </c>
      <c r="X122" s="115">
        <v>22.8</v>
      </c>
      <c r="Y122" s="115">
        <v>36</v>
      </c>
      <c r="Z122" s="115">
        <v>28.5</v>
      </c>
      <c r="AA122" s="115">
        <v>28.6</v>
      </c>
      <c r="AB122" s="115">
        <v>29</v>
      </c>
      <c r="AC122" s="115">
        <v>29</v>
      </c>
      <c r="AD122" s="115">
        <v>20</v>
      </c>
      <c r="AE122" s="115">
        <v>3.4</v>
      </c>
      <c r="AF122" s="115">
        <v>3.4</v>
      </c>
      <c r="AG122" s="114">
        <v>60</v>
      </c>
      <c r="AH122" s="47">
        <f t="shared" si="35"/>
        <v>36</v>
      </c>
      <c r="AI122" s="48">
        <f t="shared" si="36"/>
        <v>-12.4</v>
      </c>
    </row>
    <row r="123" spans="1:35" x14ac:dyDescent="0.25">
      <c r="A123" s="172" t="s">
        <v>260</v>
      </c>
      <c r="B123" s="117">
        <f>61*1.6</f>
        <v>97.600000000000009</v>
      </c>
      <c r="C123" s="117">
        <v>118.4</v>
      </c>
      <c r="D123" s="117">
        <f>74.5*1.6</f>
        <v>119.2</v>
      </c>
      <c r="E123" s="117">
        <f>60*1.64</f>
        <v>98.399999999999991</v>
      </c>
      <c r="F123" s="117">
        <f>72*1.641</f>
        <v>118.152</v>
      </c>
      <c r="G123" s="117">
        <f>70*1.64</f>
        <v>114.8</v>
      </c>
      <c r="H123" s="117">
        <f>65*1.64</f>
        <v>106.6</v>
      </c>
      <c r="I123" s="117">
        <f>76*1.64</f>
        <v>124.63999999999999</v>
      </c>
      <c r="J123" s="117">
        <f>76*1.64</f>
        <v>124.63999999999999</v>
      </c>
      <c r="K123" s="117">
        <f>80*1.64</f>
        <v>131.19999999999999</v>
      </c>
      <c r="L123" s="117">
        <f>88*1.64</f>
        <v>144.32</v>
      </c>
      <c r="M123" s="117">
        <v>145</v>
      </c>
      <c r="N123" s="117">
        <v>150</v>
      </c>
      <c r="O123" s="117">
        <v>90</v>
      </c>
      <c r="P123" s="117">
        <v>135</v>
      </c>
      <c r="Q123" s="117">
        <v>115</v>
      </c>
      <c r="R123" s="117">
        <v>130</v>
      </c>
      <c r="S123" s="117">
        <f>89.2*1.6</f>
        <v>142.72</v>
      </c>
      <c r="T123" s="117">
        <f>88.7*1.6</f>
        <v>141.92000000000002</v>
      </c>
      <c r="U123" s="117">
        <f>84*1.6</f>
        <v>134.4</v>
      </c>
      <c r="V123" s="117">
        <f>85.4*1.6</f>
        <v>136.64000000000001</v>
      </c>
      <c r="W123" s="117">
        <f>81.3*1.6</f>
        <v>130.08000000000001</v>
      </c>
      <c r="X123" s="117">
        <f>74.5*1.6</f>
        <v>119.2</v>
      </c>
      <c r="Y123" s="117">
        <f>104*1.6</f>
        <v>166.4</v>
      </c>
      <c r="Z123" s="117">
        <f>97.4*1.6</f>
        <v>155.84000000000003</v>
      </c>
      <c r="AA123" s="117">
        <f>78.3*1.6</f>
        <v>125.28</v>
      </c>
      <c r="AB123" s="117">
        <f>62*1.6</f>
        <v>99.2</v>
      </c>
      <c r="AC123" s="117">
        <f>61*1.6</f>
        <v>97.600000000000009</v>
      </c>
      <c r="AD123" s="117">
        <f>76*1.6</f>
        <v>121.60000000000001</v>
      </c>
      <c r="AE123" s="117">
        <f>61*1.6</f>
        <v>97.600000000000009</v>
      </c>
      <c r="AF123" s="117">
        <f>61*1.6</f>
        <v>97.600000000000009</v>
      </c>
      <c r="AG123" s="118">
        <v>120</v>
      </c>
      <c r="AH123" s="47">
        <f t="shared" si="35"/>
        <v>166.4</v>
      </c>
      <c r="AI123" s="48">
        <f t="shared" si="36"/>
        <v>90</v>
      </c>
    </row>
    <row r="124" spans="1:35" x14ac:dyDescent="0.25">
      <c r="A124" s="173" t="s">
        <v>259</v>
      </c>
      <c r="B124" s="117">
        <v>76.099999999999994</v>
      </c>
      <c r="C124" s="117">
        <v>87.6</v>
      </c>
      <c r="D124" s="117">
        <v>86.9</v>
      </c>
      <c r="E124" s="117">
        <v>74</v>
      </c>
      <c r="F124" s="117">
        <v>82.9</v>
      </c>
      <c r="G124" s="117">
        <v>82.4</v>
      </c>
      <c r="H124" s="117">
        <v>75.3</v>
      </c>
      <c r="I124" s="117">
        <v>86</v>
      </c>
      <c r="J124" s="117">
        <v>86</v>
      </c>
      <c r="K124" s="117">
        <v>88.6</v>
      </c>
      <c r="L124" s="117">
        <v>94.6</v>
      </c>
      <c r="M124" s="117">
        <v>100.8</v>
      </c>
      <c r="N124" s="117">
        <v>85</v>
      </c>
      <c r="O124" s="117">
        <v>74</v>
      </c>
      <c r="P124" s="117">
        <v>93.3</v>
      </c>
      <c r="Q124" s="117">
        <v>83</v>
      </c>
      <c r="R124" s="117">
        <v>93</v>
      </c>
      <c r="S124" s="117">
        <v>94.3</v>
      </c>
      <c r="T124" s="117">
        <v>94.4</v>
      </c>
      <c r="U124" s="117">
        <v>91.1</v>
      </c>
      <c r="V124" s="117">
        <v>92.5</v>
      </c>
      <c r="W124" s="117">
        <v>88.8</v>
      </c>
      <c r="X124" s="117">
        <v>83.5</v>
      </c>
      <c r="Y124" s="117">
        <v>107.4</v>
      </c>
      <c r="Z124" s="117">
        <v>102.5</v>
      </c>
      <c r="AA124" s="117">
        <v>87.5</v>
      </c>
      <c r="AB124" s="117">
        <v>74</v>
      </c>
      <c r="AC124" s="117">
        <v>74.099999999999994</v>
      </c>
      <c r="AD124" s="117">
        <v>87</v>
      </c>
      <c r="AE124" s="117">
        <v>76</v>
      </c>
      <c r="AF124" s="117">
        <v>76</v>
      </c>
      <c r="AG124" s="118"/>
      <c r="AH124" s="47"/>
      <c r="AI124" s="48"/>
    </row>
    <row r="125" spans="1:35" x14ac:dyDescent="0.25">
      <c r="A125" s="173" t="s">
        <v>256</v>
      </c>
      <c r="B125" s="117">
        <v>33.5</v>
      </c>
      <c r="C125" s="117">
        <v>61.5</v>
      </c>
      <c r="D125" s="117">
        <v>72.400000000000006</v>
      </c>
      <c r="E125" s="117">
        <v>53</v>
      </c>
      <c r="F125" s="117">
        <v>63.4</v>
      </c>
      <c r="G125" s="117">
        <v>48.4</v>
      </c>
      <c r="H125" s="117">
        <v>32.299999999999997</v>
      </c>
      <c r="I125" s="117">
        <v>36.4</v>
      </c>
      <c r="J125" s="117">
        <v>7.8</v>
      </c>
      <c r="K125" s="117">
        <v>-11.9</v>
      </c>
      <c r="L125" s="117">
        <v>-14.4</v>
      </c>
      <c r="M125" s="117">
        <v>-20.5</v>
      </c>
      <c r="N125" s="117">
        <v>-55</v>
      </c>
      <c r="O125" s="117">
        <v>-62.3</v>
      </c>
      <c r="P125" s="117">
        <v>-2.4</v>
      </c>
      <c r="Q125" s="117">
        <v>-0.4</v>
      </c>
      <c r="R125" s="117">
        <v>34</v>
      </c>
      <c r="S125" s="117">
        <v>54.6</v>
      </c>
      <c r="T125" s="117">
        <v>50.9</v>
      </c>
      <c r="U125" s="117">
        <v>40.4</v>
      </c>
      <c r="V125" s="117">
        <v>31.6</v>
      </c>
      <c r="W125" s="117">
        <v>9.4</v>
      </c>
      <c r="X125" s="117">
        <v>-27.3</v>
      </c>
      <c r="Y125" s="117">
        <v>-23.7</v>
      </c>
      <c r="Z125" s="117">
        <v>-33.799999999999997</v>
      </c>
      <c r="AA125" s="117">
        <v>-52.6</v>
      </c>
      <c r="AB125" s="117">
        <v>-60.3</v>
      </c>
      <c r="AC125" s="117">
        <v>-57</v>
      </c>
      <c r="AD125" s="117">
        <v>-22</v>
      </c>
      <c r="AE125" s="117">
        <v>2</v>
      </c>
      <c r="AF125" s="117">
        <v>2</v>
      </c>
      <c r="AG125" s="118"/>
      <c r="AH125" s="47"/>
      <c r="AI125" s="48"/>
    </row>
    <row r="126" spans="1:35" ht="15.75" thickBot="1" x14ac:dyDescent="0.3">
      <c r="A126" s="173" t="s">
        <v>255</v>
      </c>
      <c r="B126" s="117">
        <v>91.5</v>
      </c>
      <c r="C126" s="117">
        <v>101.5</v>
      </c>
      <c r="D126" s="117">
        <v>104.9</v>
      </c>
      <c r="E126" s="117">
        <v>95</v>
      </c>
      <c r="F126" s="117">
        <v>97</v>
      </c>
      <c r="G126" s="117">
        <v>92.5</v>
      </c>
      <c r="H126" s="117">
        <v>92.1</v>
      </c>
      <c r="I126" s="117">
        <v>104.5</v>
      </c>
      <c r="J126" s="117">
        <v>102.6</v>
      </c>
      <c r="K126" s="117">
        <v>82.4</v>
      </c>
      <c r="L126" s="117">
        <v>80</v>
      </c>
      <c r="M126" s="117">
        <v>85.7</v>
      </c>
      <c r="N126" s="117">
        <v>66</v>
      </c>
      <c r="O126" s="117">
        <v>59</v>
      </c>
      <c r="P126" s="117">
        <v>104</v>
      </c>
      <c r="Q126" s="117">
        <v>97.6</v>
      </c>
      <c r="R126" s="117">
        <v>86</v>
      </c>
      <c r="S126" s="117">
        <v>88.8</v>
      </c>
      <c r="T126" s="117">
        <v>89.9</v>
      </c>
      <c r="U126" s="117">
        <v>82</v>
      </c>
      <c r="V126" s="117">
        <v>88.5</v>
      </c>
      <c r="W126" s="117">
        <v>76.5</v>
      </c>
      <c r="X126" s="117">
        <v>62.3</v>
      </c>
      <c r="Y126" s="117">
        <v>83.8</v>
      </c>
      <c r="Z126" s="117">
        <v>76.599999999999994</v>
      </c>
      <c r="AA126" s="117">
        <v>66</v>
      </c>
      <c r="AB126" s="117">
        <v>59</v>
      </c>
      <c r="AC126" s="117">
        <v>59</v>
      </c>
      <c r="AD126" s="117">
        <v>88</v>
      </c>
      <c r="AE126" s="117">
        <v>86</v>
      </c>
      <c r="AF126" s="117">
        <v>86</v>
      </c>
      <c r="AG126" s="114"/>
      <c r="AH126" s="47">
        <f t="shared" si="35"/>
        <v>104.9</v>
      </c>
      <c r="AI126" s="48">
        <f t="shared" si="36"/>
        <v>59</v>
      </c>
    </row>
    <row r="127" spans="1:35" x14ac:dyDescent="0.25">
      <c r="A127" s="172" t="s">
        <v>257</v>
      </c>
      <c r="B127" s="117">
        <v>0</v>
      </c>
      <c r="C127" s="117">
        <v>0</v>
      </c>
      <c r="D127" s="117">
        <v>0</v>
      </c>
      <c r="E127" s="117">
        <v>0</v>
      </c>
      <c r="F127" s="117">
        <v>0</v>
      </c>
      <c r="G127" s="117">
        <v>0</v>
      </c>
      <c r="H127" s="117">
        <v>0</v>
      </c>
      <c r="I127" s="117">
        <v>0</v>
      </c>
      <c r="J127" s="117">
        <v>0</v>
      </c>
      <c r="K127" s="117">
        <v>0</v>
      </c>
      <c r="L127" s="117">
        <v>0</v>
      </c>
      <c r="M127" s="117">
        <v>0</v>
      </c>
      <c r="N127" s="117">
        <v>0</v>
      </c>
      <c r="O127" s="117">
        <v>0</v>
      </c>
      <c r="P127" s="117">
        <v>0</v>
      </c>
      <c r="Q127" s="117">
        <v>0</v>
      </c>
      <c r="R127" s="117">
        <v>0</v>
      </c>
      <c r="S127" s="117">
        <v>0</v>
      </c>
      <c r="T127" s="117">
        <v>0</v>
      </c>
      <c r="U127" s="117">
        <v>0</v>
      </c>
      <c r="V127" s="117">
        <v>0</v>
      </c>
      <c r="W127" s="117">
        <v>0</v>
      </c>
      <c r="X127" s="117">
        <v>0</v>
      </c>
      <c r="Y127" s="117">
        <v>0</v>
      </c>
      <c r="Z127" s="117">
        <v>0</v>
      </c>
      <c r="AA127" s="117">
        <v>0</v>
      </c>
      <c r="AB127" s="117">
        <v>0</v>
      </c>
      <c r="AC127" s="117">
        <v>0</v>
      </c>
      <c r="AD127" s="117">
        <v>0</v>
      </c>
      <c r="AE127" s="117">
        <v>0</v>
      </c>
      <c r="AF127" s="117">
        <v>0</v>
      </c>
      <c r="AG127" s="114"/>
      <c r="AH127" s="47">
        <f t="shared" si="35"/>
        <v>0</v>
      </c>
      <c r="AI127" s="48">
        <f t="shared" si="36"/>
        <v>0</v>
      </c>
    </row>
    <row r="128" spans="1:35" x14ac:dyDescent="0.25">
      <c r="A128" s="173" t="s">
        <v>124</v>
      </c>
      <c r="B128" s="106">
        <v>-3.8</v>
      </c>
      <c r="C128" s="106">
        <v>-1.1000000000000001</v>
      </c>
      <c r="D128" s="106">
        <v>0</v>
      </c>
      <c r="E128" s="106">
        <v>0</v>
      </c>
      <c r="F128" s="106">
        <v>-1.4</v>
      </c>
      <c r="G128" s="106">
        <v>-4.3</v>
      </c>
      <c r="H128" s="106">
        <v>-9</v>
      </c>
      <c r="I128" s="106">
        <v>-15.8</v>
      </c>
      <c r="J128" s="106">
        <v>-23.9</v>
      </c>
      <c r="K128" s="106">
        <v>-31.2</v>
      </c>
      <c r="L128" s="106">
        <v>-34.299999999999997</v>
      </c>
      <c r="M128" s="106">
        <v>-26</v>
      </c>
      <c r="N128" s="106">
        <v>-22</v>
      </c>
      <c r="O128" s="106">
        <v>-18</v>
      </c>
      <c r="P128" s="106">
        <v>-15.9</v>
      </c>
      <c r="Q128" s="106">
        <v>-10.199999999999999</v>
      </c>
      <c r="R128" s="106">
        <v>-7</v>
      </c>
      <c r="S128" s="106">
        <v>-7.3</v>
      </c>
      <c r="T128" s="106">
        <v>-8.6</v>
      </c>
      <c r="U128" s="106">
        <v>-12.6</v>
      </c>
      <c r="V128" s="106">
        <v>-22.6</v>
      </c>
      <c r="W128" s="106">
        <v>-35.9</v>
      </c>
      <c r="X128" s="106">
        <v>-44.1</v>
      </c>
      <c r="Y128" s="106">
        <v>-46.1</v>
      </c>
      <c r="Z128" s="106">
        <v>-39.6</v>
      </c>
      <c r="AA128" s="106">
        <v>-35.700000000000003</v>
      </c>
      <c r="AB128" s="106">
        <v>-26.3</v>
      </c>
      <c r="AC128" s="106">
        <v>-24.3</v>
      </c>
      <c r="AD128" s="106">
        <v>-20</v>
      </c>
      <c r="AE128" s="106">
        <v>-13</v>
      </c>
      <c r="AF128" s="106">
        <v>-13</v>
      </c>
      <c r="AG128" s="114"/>
      <c r="AH128" s="47">
        <f t="shared" si="35"/>
        <v>0</v>
      </c>
      <c r="AI128" s="48">
        <f t="shared" si="36"/>
        <v>-46.1</v>
      </c>
    </row>
    <row r="129" spans="1:37" x14ac:dyDescent="0.25">
      <c r="A129" s="173" t="s">
        <v>261</v>
      </c>
      <c r="B129" s="106">
        <v>25.9</v>
      </c>
      <c r="C129" s="106">
        <v>24.5</v>
      </c>
      <c r="D129" s="106">
        <v>24.4</v>
      </c>
      <c r="E129" s="106">
        <v>24</v>
      </c>
      <c r="F129" s="106">
        <v>24</v>
      </c>
      <c r="G129" s="106">
        <v>27.1</v>
      </c>
      <c r="H129" s="106">
        <v>27.9</v>
      </c>
      <c r="I129" s="106">
        <v>29.2</v>
      </c>
      <c r="J129" s="106">
        <v>27.7</v>
      </c>
      <c r="K129" s="106">
        <v>9.6999999999999993</v>
      </c>
      <c r="L129" s="106">
        <v>9.4</v>
      </c>
      <c r="M129" s="106">
        <v>9.3000000000000007</v>
      </c>
      <c r="N129" s="106">
        <v>8.9</v>
      </c>
      <c r="O129" s="106">
        <v>8.6</v>
      </c>
      <c r="P129" s="106">
        <v>14.4</v>
      </c>
      <c r="Q129" s="106">
        <v>27.1</v>
      </c>
      <c r="R129" s="106">
        <v>24</v>
      </c>
      <c r="S129" s="106">
        <v>26.7</v>
      </c>
      <c r="T129" s="106">
        <v>27.3</v>
      </c>
      <c r="U129" s="106">
        <v>22.9</v>
      </c>
      <c r="V129" s="106">
        <v>7.6</v>
      </c>
      <c r="W129" s="106">
        <v>7.8</v>
      </c>
      <c r="X129" s="106">
        <v>7</v>
      </c>
      <c r="Y129" s="106">
        <v>8.1</v>
      </c>
      <c r="Z129" s="106">
        <v>9.1999999999999993</v>
      </c>
      <c r="AA129" s="106">
        <v>8.8000000000000007</v>
      </c>
      <c r="AB129" s="106">
        <v>8.1999999999999993</v>
      </c>
      <c r="AC129" s="106">
        <v>8.1</v>
      </c>
      <c r="AD129" s="106">
        <v>9</v>
      </c>
      <c r="AE129" s="106">
        <v>15</v>
      </c>
      <c r="AF129" s="106">
        <v>15</v>
      </c>
      <c r="AG129" s="114"/>
      <c r="AH129" s="47">
        <f t="shared" si="35"/>
        <v>29.2</v>
      </c>
      <c r="AI129" s="48">
        <f t="shared" si="36"/>
        <v>7</v>
      </c>
    </row>
    <row r="130" spans="1:37" ht="15.75" thickBot="1" x14ac:dyDescent="0.3">
      <c r="A130" s="173" t="s">
        <v>258</v>
      </c>
      <c r="B130" s="106">
        <v>92.1</v>
      </c>
      <c r="C130" s="106">
        <v>87.5</v>
      </c>
      <c r="D130" s="106">
        <v>85.9</v>
      </c>
      <c r="E130" s="106">
        <v>81.400000000000006</v>
      </c>
      <c r="F130" s="106">
        <v>80.8</v>
      </c>
      <c r="G130" s="106">
        <v>85.8</v>
      </c>
      <c r="H130" s="106">
        <v>90.1</v>
      </c>
      <c r="I130" s="106">
        <v>87.7</v>
      </c>
      <c r="J130" s="106">
        <v>96.3</v>
      </c>
      <c r="K130" s="106">
        <v>85.1</v>
      </c>
      <c r="L130" s="106">
        <v>83.4</v>
      </c>
      <c r="M130" s="106">
        <v>78.5</v>
      </c>
      <c r="N130" s="106">
        <v>66</v>
      </c>
      <c r="O130" s="106">
        <v>59</v>
      </c>
      <c r="P130" s="106">
        <v>76.8</v>
      </c>
      <c r="Q130" s="106">
        <v>66</v>
      </c>
      <c r="R130" s="106">
        <v>60</v>
      </c>
      <c r="S130" s="106">
        <v>64.8</v>
      </c>
      <c r="T130" s="106">
        <v>86.2</v>
      </c>
      <c r="U130" s="106">
        <v>92.4</v>
      </c>
      <c r="V130" s="106">
        <v>73.3</v>
      </c>
      <c r="W130" s="106">
        <v>80.7</v>
      </c>
      <c r="X130" s="106">
        <v>96.3</v>
      </c>
      <c r="Y130" s="106">
        <v>112.2</v>
      </c>
      <c r="Z130" s="106">
        <v>103.5</v>
      </c>
      <c r="AA130" s="106">
        <v>98.2</v>
      </c>
      <c r="AB130" s="106">
        <v>93.6</v>
      </c>
      <c r="AC130" s="106">
        <v>92.4</v>
      </c>
      <c r="AD130" s="106">
        <v>90</v>
      </c>
      <c r="AE130" s="106">
        <v>93</v>
      </c>
      <c r="AF130" s="106">
        <v>93</v>
      </c>
      <c r="AG130" s="114"/>
      <c r="AH130" s="47">
        <f t="shared" si="35"/>
        <v>112.2</v>
      </c>
      <c r="AI130" s="48">
        <f t="shared" si="36"/>
        <v>59</v>
      </c>
    </row>
    <row r="131" spans="1:37" x14ac:dyDescent="0.25">
      <c r="A131" s="144" t="s">
        <v>238</v>
      </c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6"/>
      <c r="AG131" s="43"/>
      <c r="AH131" s="47"/>
      <c r="AI131" s="48"/>
    </row>
    <row r="132" spans="1:37" x14ac:dyDescent="0.25">
      <c r="A132" s="189" t="s">
        <v>368</v>
      </c>
      <c r="B132" s="147">
        <v>1983.64</v>
      </c>
      <c r="C132" s="147">
        <v>1983.9</v>
      </c>
      <c r="D132" s="147">
        <v>1984.17</v>
      </c>
      <c r="E132" s="147">
        <v>1984.42</v>
      </c>
      <c r="F132" s="147">
        <v>1984.65</v>
      </c>
      <c r="G132" s="147">
        <v>1984.9</v>
      </c>
      <c r="H132" s="147"/>
      <c r="I132" s="147">
        <v>1985.12</v>
      </c>
      <c r="J132" s="147"/>
      <c r="K132" s="147">
        <v>1985.1</v>
      </c>
      <c r="L132" s="147"/>
      <c r="M132" s="191">
        <v>1984.05</v>
      </c>
      <c r="N132" s="191">
        <v>1983.21</v>
      </c>
      <c r="O132" s="191">
        <v>1982.75</v>
      </c>
      <c r="P132" s="191">
        <v>1982.99</v>
      </c>
      <c r="Q132" s="191">
        <v>1983.3</v>
      </c>
      <c r="R132" s="191">
        <v>1983.55</v>
      </c>
      <c r="S132" s="147">
        <v>1983.8</v>
      </c>
      <c r="T132" s="147">
        <v>1984.02</v>
      </c>
      <c r="U132" s="147">
        <v>1984.25</v>
      </c>
      <c r="V132" s="147">
        <v>1984.45</v>
      </c>
      <c r="W132" s="147"/>
      <c r="X132" s="147">
        <v>1984.45</v>
      </c>
      <c r="Y132" s="147">
        <v>1984.1</v>
      </c>
      <c r="Z132" s="147">
        <v>1983.5</v>
      </c>
      <c r="AA132" s="147"/>
      <c r="AB132" s="106">
        <v>1982.65</v>
      </c>
      <c r="AC132" s="106">
        <v>1982.6</v>
      </c>
      <c r="AD132" s="106">
        <v>1982.75</v>
      </c>
      <c r="AE132" s="106">
        <v>1982.85</v>
      </c>
      <c r="AF132" s="106">
        <v>1983.3</v>
      </c>
      <c r="AG132" s="149"/>
      <c r="AH132" s="47"/>
      <c r="AI132" s="48"/>
    </row>
    <row r="133" spans="1:37" x14ac:dyDescent="0.25">
      <c r="A133" s="189" t="s">
        <v>239</v>
      </c>
      <c r="B133" s="150">
        <v>520.4</v>
      </c>
      <c r="C133" s="150">
        <v>520.78</v>
      </c>
      <c r="D133" s="150">
        <v>521.14</v>
      </c>
      <c r="E133" s="150">
        <v>521.46</v>
      </c>
      <c r="F133" s="150">
        <v>521.79999999999995</v>
      </c>
      <c r="G133" s="150">
        <v>522.1</v>
      </c>
      <c r="H133" s="150"/>
      <c r="I133" s="150">
        <v>522.17999999999995</v>
      </c>
      <c r="J133" s="150"/>
      <c r="K133" s="150">
        <v>522.12</v>
      </c>
      <c r="L133" s="150"/>
      <c r="M133" s="192">
        <v>521.9</v>
      </c>
      <c r="N133" s="192">
        <v>521.6</v>
      </c>
      <c r="O133" s="192">
        <v>521.28</v>
      </c>
      <c r="P133" s="192">
        <v>521.16</v>
      </c>
      <c r="Q133" s="192">
        <v>521.11</v>
      </c>
      <c r="R133" s="192">
        <v>521.22</v>
      </c>
      <c r="S133" s="150">
        <v>521.52</v>
      </c>
      <c r="T133" s="150">
        <v>521.88</v>
      </c>
      <c r="U133" s="150">
        <v>522.17999999999995</v>
      </c>
      <c r="V133" s="150">
        <v>522.52</v>
      </c>
      <c r="W133" s="150"/>
      <c r="X133" s="150">
        <v>522.67999999999995</v>
      </c>
      <c r="Y133" s="150"/>
      <c r="Z133" s="150">
        <v>522.29999999999995</v>
      </c>
      <c r="AA133" s="150"/>
      <c r="AB133" s="106">
        <v>521.78</v>
      </c>
      <c r="AC133" s="106">
        <v>521.5</v>
      </c>
      <c r="AD133" s="106">
        <v>521.44000000000005</v>
      </c>
      <c r="AE133" s="106">
        <v>521.29</v>
      </c>
      <c r="AF133" s="106">
        <v>521.41999999999996</v>
      </c>
      <c r="AG133" s="149"/>
      <c r="AH133" s="47"/>
      <c r="AI133" s="48"/>
    </row>
    <row r="134" spans="1:37" x14ac:dyDescent="0.25">
      <c r="A134" s="189" t="s">
        <v>240</v>
      </c>
      <c r="B134" s="150">
        <v>622.42999999999995</v>
      </c>
      <c r="C134" s="150">
        <v>622.92999999999995</v>
      </c>
      <c r="D134" s="150">
        <v>623.1</v>
      </c>
      <c r="E134" s="150">
        <v>623.77</v>
      </c>
      <c r="F134" s="150">
        <v>624.27</v>
      </c>
      <c r="G134" s="150">
        <v>624.5</v>
      </c>
      <c r="H134" s="150"/>
      <c r="I134" s="150">
        <v>624.38</v>
      </c>
      <c r="J134" s="150"/>
      <c r="K134" s="150">
        <v>624.07000000000005</v>
      </c>
      <c r="L134" s="150"/>
      <c r="M134" s="192">
        <v>623.70000000000005</v>
      </c>
      <c r="N134" s="192">
        <v>623.26</v>
      </c>
      <c r="O134" s="192">
        <v>622.80999999999995</v>
      </c>
      <c r="P134" s="192">
        <v>622.76</v>
      </c>
      <c r="Q134" s="192">
        <v>622.84</v>
      </c>
      <c r="R134" s="192">
        <v>623.25</v>
      </c>
      <c r="S134" s="150">
        <v>623.66999999999996</v>
      </c>
      <c r="T134" s="150">
        <v>623.96</v>
      </c>
      <c r="U134" s="150">
        <v>524.17999999999995</v>
      </c>
      <c r="V134" s="150">
        <v>524.36</v>
      </c>
      <c r="W134" s="150"/>
      <c r="X134" s="150">
        <v>524.91</v>
      </c>
      <c r="Y134" s="150"/>
      <c r="Z134" s="150">
        <v>524.75</v>
      </c>
      <c r="AA134" s="150"/>
      <c r="AB134" s="106">
        <v>624.19000000000005</v>
      </c>
      <c r="AC134" s="106">
        <v>623.9</v>
      </c>
      <c r="AD134" s="106">
        <v>623.79999999999995</v>
      </c>
      <c r="AE134" s="106">
        <v>623.79999999999995</v>
      </c>
      <c r="AF134" s="106">
        <v>623.88</v>
      </c>
      <c r="AG134" s="149"/>
      <c r="AH134" s="47"/>
      <c r="AI134" s="48"/>
    </row>
    <row r="135" spans="1:37" x14ac:dyDescent="0.25">
      <c r="A135" s="189" t="s">
        <v>241</v>
      </c>
      <c r="B135" s="150"/>
      <c r="C135" s="150">
        <v>335.78</v>
      </c>
      <c r="D135" s="150">
        <v>336.23</v>
      </c>
      <c r="E135" s="150">
        <v>336.57</v>
      </c>
      <c r="F135" s="150">
        <v>336.77</v>
      </c>
      <c r="G135" s="150">
        <v>336.97</v>
      </c>
      <c r="H135" s="150"/>
      <c r="I135" s="150">
        <v>336.91</v>
      </c>
      <c r="J135" s="150"/>
      <c r="K135" s="150">
        <v>336.71</v>
      </c>
      <c r="L135" s="150"/>
      <c r="M135" s="192">
        <v>336.46</v>
      </c>
      <c r="N135" s="192">
        <v>336.16</v>
      </c>
      <c r="O135" s="192">
        <v>335.82</v>
      </c>
      <c r="P135" s="192">
        <v>335.53</v>
      </c>
      <c r="Q135" s="192">
        <v>335.25</v>
      </c>
      <c r="R135" s="192">
        <v>335.55</v>
      </c>
      <c r="S135" s="150">
        <v>335.99</v>
      </c>
      <c r="T135" s="150">
        <v>336.36</v>
      </c>
      <c r="U135" s="150">
        <v>336.61</v>
      </c>
      <c r="V135" s="150">
        <v>336.86</v>
      </c>
      <c r="W135" s="150"/>
      <c r="X135" s="150">
        <v>336.9</v>
      </c>
      <c r="Y135" s="150"/>
      <c r="Z135" s="150">
        <v>336.77</v>
      </c>
      <c r="AA135" s="150"/>
      <c r="AB135" s="106">
        <v>336.54</v>
      </c>
      <c r="AC135" s="106">
        <v>336.4</v>
      </c>
      <c r="AD135" s="106">
        <v>336.32</v>
      </c>
      <c r="AE135" s="106">
        <v>336.03</v>
      </c>
      <c r="AF135" s="106">
        <v>335.8</v>
      </c>
      <c r="AG135" s="149"/>
      <c r="AH135" s="47"/>
      <c r="AI135" s="48"/>
    </row>
    <row r="136" spans="1:37" x14ac:dyDescent="0.25">
      <c r="A136" s="189" t="s">
        <v>407</v>
      </c>
      <c r="B136" s="150">
        <v>884.2</v>
      </c>
      <c r="C136" s="150">
        <v>884.9</v>
      </c>
      <c r="D136" s="150">
        <v>885.5</v>
      </c>
      <c r="E136" s="150">
        <v>886.1</v>
      </c>
      <c r="F136" s="150">
        <v>886.7</v>
      </c>
      <c r="G136" s="150">
        <v>887.1</v>
      </c>
      <c r="H136" s="150"/>
      <c r="I136" s="150">
        <v>887.3</v>
      </c>
      <c r="J136" s="150"/>
      <c r="K136" s="150">
        <v>887.1</v>
      </c>
      <c r="L136" s="150"/>
      <c r="M136" s="192">
        <v>886.8</v>
      </c>
      <c r="N136" s="192">
        <v>886.1</v>
      </c>
      <c r="O136" s="192">
        <v>885.1</v>
      </c>
      <c r="P136" s="192">
        <v>885</v>
      </c>
      <c r="Q136" s="192">
        <v>885.6</v>
      </c>
      <c r="R136" s="192">
        <v>886.2</v>
      </c>
      <c r="S136" s="150">
        <v>886.7</v>
      </c>
      <c r="T136" s="150">
        <v>886.8</v>
      </c>
      <c r="U136" s="150">
        <v>887.2</v>
      </c>
      <c r="V136" s="150">
        <v>887.7</v>
      </c>
      <c r="W136" s="150"/>
      <c r="X136" s="150">
        <v>887.7</v>
      </c>
      <c r="Y136" s="150"/>
      <c r="Z136" s="150">
        <v>886.7</v>
      </c>
      <c r="AA136" s="150"/>
      <c r="AB136" s="106">
        <v>885.4</v>
      </c>
      <c r="AC136" s="106">
        <v>884.6</v>
      </c>
      <c r="AD136" s="106">
        <v>884.6</v>
      </c>
      <c r="AE136" s="106">
        <v>884.5</v>
      </c>
      <c r="AF136" s="106">
        <v>884.9</v>
      </c>
      <c r="AG136" s="149"/>
      <c r="AH136" s="47"/>
      <c r="AI136" s="48"/>
    </row>
    <row r="137" spans="1:37" ht="15.75" thickBot="1" x14ac:dyDescent="0.3">
      <c r="A137" s="189" t="s">
        <v>242</v>
      </c>
      <c r="B137" s="152">
        <v>1518.78</v>
      </c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93"/>
      <c r="N137" s="193"/>
      <c r="O137" s="193"/>
      <c r="P137" s="193"/>
      <c r="Q137" s="193"/>
      <c r="R137" s="193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  <c r="AC137" s="152"/>
      <c r="AD137" s="152"/>
      <c r="AE137" s="152"/>
      <c r="AF137" s="153"/>
      <c r="AG137" s="149"/>
      <c r="AH137" s="47"/>
      <c r="AI137" s="48"/>
    </row>
    <row r="138" spans="1:37" ht="15.75" thickBot="1" x14ac:dyDescent="0.3">
      <c r="A138" s="120" t="s">
        <v>125</v>
      </c>
      <c r="B138" s="121"/>
      <c r="C138" s="121"/>
      <c r="D138" s="121"/>
      <c r="E138" s="121"/>
      <c r="F138" s="170" t="s">
        <v>254</v>
      </c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74"/>
      <c r="AH138" s="47"/>
      <c r="AI138" s="48"/>
      <c r="AK138" s="50"/>
    </row>
    <row r="139" spans="1:37" x14ac:dyDescent="0.25">
      <c r="A139" s="122" t="s">
        <v>126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5">
        <v>9.94</v>
      </c>
      <c r="AH139" s="47"/>
      <c r="AI139" s="48"/>
      <c r="AK139" s="50"/>
    </row>
    <row r="140" spans="1:37" x14ac:dyDescent="0.25">
      <c r="A140" s="103" t="s">
        <v>127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5"/>
      <c r="AH140" s="47"/>
      <c r="AI140" s="48"/>
      <c r="AK140" s="50"/>
    </row>
    <row r="141" spans="1:37" x14ac:dyDescent="0.25">
      <c r="A141" s="103" t="s">
        <v>128</v>
      </c>
      <c r="B141" s="123"/>
      <c r="C141" s="124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5"/>
      <c r="AH141" s="47"/>
      <c r="AI141" s="48"/>
      <c r="AK141" s="50"/>
    </row>
    <row r="142" spans="1:37" x14ac:dyDescent="0.25">
      <c r="A142" s="103" t="s">
        <v>129</v>
      </c>
      <c r="B142" s="123"/>
      <c r="C142" s="124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5"/>
      <c r="AH142" s="47"/>
      <c r="AI142" s="48"/>
      <c r="AK142" s="50"/>
    </row>
    <row r="143" spans="1:37" x14ac:dyDescent="0.25">
      <c r="A143" s="103" t="s">
        <v>130</v>
      </c>
      <c r="B143" s="123"/>
      <c r="C143" s="124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5"/>
      <c r="AH143" s="47"/>
      <c r="AI143" s="48"/>
      <c r="AK143" s="50"/>
    </row>
    <row r="144" spans="1:37" x14ac:dyDescent="0.25">
      <c r="A144" s="103" t="s">
        <v>131</v>
      </c>
      <c r="B144" s="123"/>
      <c r="C144" s="124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5"/>
      <c r="AH144" s="47"/>
      <c r="AI144" s="48"/>
      <c r="AK144" s="50"/>
    </row>
    <row r="145" spans="1:37" x14ac:dyDescent="0.25">
      <c r="A145" s="103" t="s">
        <v>132</v>
      </c>
      <c r="B145" s="123"/>
      <c r="C145" s="124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5"/>
      <c r="AH145" s="47"/>
      <c r="AI145" s="48"/>
      <c r="AK145" s="50"/>
    </row>
    <row r="146" spans="1:37" x14ac:dyDescent="0.25">
      <c r="A146" s="103" t="s">
        <v>133</v>
      </c>
      <c r="B146" s="123"/>
      <c r="C146" s="124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5"/>
      <c r="AH146" s="47"/>
      <c r="AI146" s="48"/>
      <c r="AK146" s="50"/>
    </row>
    <row r="147" spans="1:37" x14ac:dyDescent="0.25">
      <c r="A147" s="103" t="s">
        <v>134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5"/>
      <c r="AH147" s="47"/>
      <c r="AI147" s="48"/>
      <c r="AK147" s="50"/>
    </row>
    <row r="148" spans="1:37" x14ac:dyDescent="0.25">
      <c r="A148" s="103" t="s">
        <v>135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5"/>
      <c r="AH148" s="47"/>
      <c r="AI148" s="48"/>
      <c r="AK148" s="50"/>
    </row>
    <row r="149" spans="1:37" x14ac:dyDescent="0.25">
      <c r="A149" s="103" t="s">
        <v>136</v>
      </c>
      <c r="B149" s="123"/>
      <c r="C149" s="124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5"/>
      <c r="AH149" s="47"/>
      <c r="AI149" s="48"/>
      <c r="AK149" s="50"/>
    </row>
    <row r="150" spans="1:37" x14ac:dyDescent="0.25">
      <c r="A150" s="103" t="s">
        <v>137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5"/>
      <c r="AH150" s="47"/>
      <c r="AI150" s="48"/>
      <c r="AK150" s="50"/>
    </row>
    <row r="151" spans="1:37" x14ac:dyDescent="0.25">
      <c r="A151" s="103" t="s">
        <v>138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5"/>
      <c r="AH151" s="47"/>
      <c r="AI151" s="48"/>
      <c r="AK151" s="50"/>
    </row>
    <row r="152" spans="1:37" x14ac:dyDescent="0.25">
      <c r="A152" s="103" t="s">
        <v>139</v>
      </c>
      <c r="B152" s="123"/>
      <c r="C152" s="124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5"/>
      <c r="AH152" s="47"/>
      <c r="AI152" s="48"/>
      <c r="AK152" s="50"/>
    </row>
    <row r="153" spans="1:37" x14ac:dyDescent="0.25">
      <c r="A153" s="103" t="s">
        <v>140</v>
      </c>
      <c r="B153" s="123"/>
      <c r="C153" s="124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5"/>
      <c r="AH153" s="47"/>
      <c r="AI153" s="48"/>
      <c r="AK153" s="50"/>
    </row>
    <row r="154" spans="1:37" x14ac:dyDescent="0.25">
      <c r="A154" s="103" t="s">
        <v>141</v>
      </c>
      <c r="B154" s="123"/>
      <c r="C154" s="124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5"/>
      <c r="AH154" s="47"/>
      <c r="AI154" s="48"/>
      <c r="AK154" s="50"/>
    </row>
    <row r="155" spans="1:37" x14ac:dyDescent="0.25">
      <c r="A155" s="103" t="s">
        <v>142</v>
      </c>
      <c r="B155" s="126"/>
      <c r="C155" s="127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8">
        <v>9.9</v>
      </c>
      <c r="AH155" s="47"/>
      <c r="AI155" s="48"/>
      <c r="AK155" s="50"/>
    </row>
    <row r="156" spans="1:37" x14ac:dyDescent="0.25">
      <c r="A156" s="116" t="s">
        <v>143</v>
      </c>
      <c r="B156" s="126"/>
      <c r="C156" s="127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9">
        <v>9.6579999999999995</v>
      </c>
      <c r="AH156" s="47"/>
      <c r="AI156" s="48"/>
      <c r="AK156" s="50"/>
    </row>
    <row r="157" spans="1:37" x14ac:dyDescent="0.25">
      <c r="A157" s="116" t="s">
        <v>144</v>
      </c>
      <c r="B157" s="126"/>
      <c r="C157" s="127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9">
        <v>9.6</v>
      </c>
      <c r="AH157" s="47"/>
      <c r="AI157" s="48"/>
      <c r="AK157" s="50"/>
    </row>
    <row r="158" spans="1:37" x14ac:dyDescent="0.25">
      <c r="A158" s="116" t="s">
        <v>145</v>
      </c>
      <c r="B158" s="126"/>
      <c r="C158" s="127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9">
        <v>9.51</v>
      </c>
      <c r="AH158" s="47"/>
      <c r="AI158" s="48"/>
      <c r="AK158" s="50"/>
    </row>
    <row r="159" spans="1:37" x14ac:dyDescent="0.25">
      <c r="A159" s="116" t="s">
        <v>146</v>
      </c>
      <c r="B159" s="126"/>
      <c r="C159" s="127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9">
        <v>9.4</v>
      </c>
      <c r="AH159" s="47"/>
      <c r="AI159" s="48"/>
      <c r="AK159" s="50"/>
    </row>
    <row r="160" spans="1:37" x14ac:dyDescent="0.25">
      <c r="A160" s="116" t="s">
        <v>147</v>
      </c>
      <c r="B160" s="126"/>
      <c r="C160" s="127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9">
        <v>8.8000000000000007</v>
      </c>
      <c r="AH160" s="47"/>
      <c r="AI160" s="48"/>
      <c r="AK160" s="50"/>
    </row>
    <row r="161" spans="1:37" x14ac:dyDescent="0.25">
      <c r="A161" s="116" t="s">
        <v>148</v>
      </c>
      <c r="B161" s="126"/>
      <c r="C161" s="127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9">
        <v>8.5</v>
      </c>
      <c r="AH161" s="47"/>
      <c r="AI161" s="48"/>
      <c r="AK161" s="50"/>
    </row>
    <row r="162" spans="1:37" x14ac:dyDescent="0.25">
      <c r="A162" s="116" t="s">
        <v>149</v>
      </c>
      <c r="B162" s="126"/>
      <c r="C162" s="127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9">
        <v>8.5</v>
      </c>
      <c r="AH162" s="47"/>
      <c r="AI162" s="48"/>
      <c r="AK162" s="50"/>
    </row>
    <row r="163" spans="1:37" x14ac:dyDescent="0.25">
      <c r="A163" s="116" t="s">
        <v>150</v>
      </c>
      <c r="B163" s="126"/>
      <c r="C163" s="127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9">
        <v>8.4</v>
      </c>
      <c r="AH163" s="47"/>
      <c r="AI163" s="48"/>
      <c r="AK163" s="50"/>
    </row>
    <row r="164" spans="1:37" ht="13.5" customHeight="1" x14ac:dyDescent="0.25">
      <c r="A164" s="116" t="s">
        <v>151</v>
      </c>
      <c r="B164" s="126"/>
      <c r="C164" s="127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9">
        <v>8</v>
      </c>
      <c r="AH164" s="47"/>
      <c r="AI164" s="48"/>
      <c r="AK164" s="50"/>
    </row>
    <row r="165" spans="1:37" x14ac:dyDescent="0.25">
      <c r="A165" s="116" t="s">
        <v>152</v>
      </c>
      <c r="B165" s="126"/>
      <c r="C165" s="127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9">
        <v>8</v>
      </c>
      <c r="AH165" s="47"/>
      <c r="AI165" s="48"/>
      <c r="AK165" s="50"/>
    </row>
    <row r="166" spans="1:37" x14ac:dyDescent="0.25">
      <c r="A166" s="116" t="s">
        <v>153</v>
      </c>
      <c r="B166" s="126"/>
      <c r="C166" s="127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9">
        <v>8</v>
      </c>
      <c r="AH166" s="47"/>
      <c r="AI166" s="48"/>
      <c r="AK166" s="50"/>
    </row>
    <row r="167" spans="1:37" x14ac:dyDescent="0.25">
      <c r="A167" s="116" t="s">
        <v>154</v>
      </c>
      <c r="B167" s="126"/>
      <c r="C167" s="127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9">
        <v>7.8</v>
      </c>
      <c r="AH167" s="47"/>
      <c r="AI167" s="48"/>
      <c r="AK167" s="50"/>
    </row>
    <row r="168" spans="1:37" x14ac:dyDescent="0.25">
      <c r="A168" s="116" t="s">
        <v>155</v>
      </c>
      <c r="B168" s="126"/>
      <c r="C168" s="127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9">
        <v>7.6</v>
      </c>
      <c r="AH168" s="47"/>
      <c r="AI168" s="48"/>
      <c r="AK168" s="50"/>
    </row>
    <row r="169" spans="1:37" x14ac:dyDescent="0.25">
      <c r="A169" s="116" t="s">
        <v>156</v>
      </c>
      <c r="B169" s="126"/>
      <c r="C169" s="127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9">
        <v>7.5</v>
      </c>
      <c r="AH169" s="47"/>
      <c r="AI169" s="48"/>
      <c r="AK169" s="50"/>
    </row>
    <row r="170" spans="1:37" x14ac:dyDescent="0.25">
      <c r="A170" s="116" t="s">
        <v>157</v>
      </c>
      <c r="B170" s="126"/>
      <c r="C170" s="127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9">
        <v>7.5</v>
      </c>
      <c r="AH170" s="47"/>
      <c r="AI170" s="48"/>
      <c r="AK170" s="50"/>
    </row>
    <row r="171" spans="1:37" x14ac:dyDescent="0.25">
      <c r="A171" s="116" t="s">
        <v>158</v>
      </c>
      <c r="B171" s="126"/>
      <c r="C171" s="127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9">
        <v>7</v>
      </c>
      <c r="AH171" s="47"/>
      <c r="AI171" s="48"/>
      <c r="AK171" s="50"/>
    </row>
    <row r="172" spans="1:37" x14ac:dyDescent="0.25">
      <c r="A172" s="116" t="s">
        <v>159</v>
      </c>
      <c r="B172" s="126"/>
      <c r="C172" s="127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9">
        <v>7</v>
      </c>
      <c r="AH172" s="47"/>
      <c r="AI172" s="48"/>
      <c r="AK172" s="50"/>
    </row>
    <row r="173" spans="1:37" x14ac:dyDescent="0.25">
      <c r="A173" s="116" t="s">
        <v>160</v>
      </c>
      <c r="B173" s="126"/>
      <c r="C173" s="127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9">
        <v>7</v>
      </c>
      <c r="AH173" s="47"/>
      <c r="AI173" s="48"/>
      <c r="AK173" s="50"/>
    </row>
    <row r="174" spans="1:37" x14ac:dyDescent="0.25">
      <c r="A174" s="116" t="s">
        <v>161</v>
      </c>
      <c r="B174" s="126"/>
      <c r="C174" s="127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9">
        <v>7</v>
      </c>
      <c r="AH174" s="47"/>
      <c r="AI174" s="48"/>
      <c r="AK174" s="50"/>
    </row>
    <row r="175" spans="1:37" x14ac:dyDescent="0.25">
      <c r="A175" s="116" t="s">
        <v>162</v>
      </c>
      <c r="B175" s="126"/>
      <c r="C175" s="127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9">
        <v>6.6</v>
      </c>
      <c r="AH175" s="47"/>
      <c r="AI175" s="48"/>
      <c r="AK175" s="50"/>
    </row>
    <row r="176" spans="1:37" x14ac:dyDescent="0.25">
      <c r="A176" s="116" t="s">
        <v>163</v>
      </c>
      <c r="B176" s="126"/>
      <c r="C176" s="127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9">
        <v>6.6</v>
      </c>
      <c r="AH176" s="47"/>
      <c r="AI176" s="48"/>
      <c r="AK176" s="50"/>
    </row>
    <row r="177" spans="1:37" x14ac:dyDescent="0.25">
      <c r="A177" s="116" t="s">
        <v>164</v>
      </c>
      <c r="B177" s="126"/>
      <c r="C177" s="127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9">
        <v>6.4</v>
      </c>
      <c r="AH177" s="47"/>
      <c r="AI177" s="48"/>
      <c r="AK177" s="50"/>
    </row>
    <row r="178" spans="1:37" x14ac:dyDescent="0.25">
      <c r="A178" s="116" t="s">
        <v>165</v>
      </c>
      <c r="B178" s="126"/>
      <c r="C178" s="127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9">
        <v>6</v>
      </c>
      <c r="AH178" s="47"/>
      <c r="AI178" s="48"/>
      <c r="AK178" s="50"/>
    </row>
    <row r="179" spans="1:37" x14ac:dyDescent="0.25">
      <c r="A179" s="116" t="s">
        <v>166</v>
      </c>
      <c r="B179" s="126"/>
      <c r="C179" s="127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9">
        <v>5.0999999999999996</v>
      </c>
      <c r="AH179" s="47"/>
      <c r="AI179" s="48"/>
      <c r="AK179" s="50"/>
    </row>
    <row r="180" spans="1:37" x14ac:dyDescent="0.25">
      <c r="A180" s="116" t="s">
        <v>167</v>
      </c>
      <c r="B180" s="126"/>
      <c r="C180" s="127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9">
        <v>5</v>
      </c>
      <c r="AH180" s="47"/>
      <c r="AI180" s="48"/>
      <c r="AK180" s="50"/>
    </row>
    <row r="181" spans="1:37" x14ac:dyDescent="0.25">
      <c r="A181" s="103" t="s">
        <v>168</v>
      </c>
      <c r="B181" s="126"/>
      <c r="C181" s="127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8">
        <v>5</v>
      </c>
      <c r="AH181" s="47"/>
      <c r="AI181" s="48"/>
      <c r="AK181" s="50"/>
    </row>
    <row r="182" spans="1:37" x14ac:dyDescent="0.25">
      <c r="A182" s="116" t="s">
        <v>169</v>
      </c>
      <c r="B182" s="126"/>
      <c r="C182" s="127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9">
        <v>5</v>
      </c>
      <c r="AH182" s="47"/>
      <c r="AI182" s="48"/>
      <c r="AK182" s="50"/>
    </row>
    <row r="183" spans="1:37" x14ac:dyDescent="0.25">
      <c r="A183" s="116" t="s">
        <v>170</v>
      </c>
      <c r="B183" s="126"/>
      <c r="C183" s="127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9">
        <v>5</v>
      </c>
      <c r="AH183" s="47"/>
      <c r="AI183" s="48"/>
      <c r="AK183" s="50"/>
    </row>
    <row r="184" spans="1:37" x14ac:dyDescent="0.25">
      <c r="A184" s="116" t="s">
        <v>171</v>
      </c>
      <c r="B184" s="126"/>
      <c r="C184" s="127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9">
        <v>5</v>
      </c>
      <c r="AH184" s="47"/>
      <c r="AI184" s="48"/>
      <c r="AK184" s="50"/>
    </row>
    <row r="185" spans="1:37" x14ac:dyDescent="0.25">
      <c r="A185" s="116" t="s">
        <v>172</v>
      </c>
      <c r="B185" s="126"/>
      <c r="C185" s="127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9">
        <v>5</v>
      </c>
      <c r="AH185" s="47"/>
      <c r="AI185" s="48"/>
      <c r="AK185" s="50"/>
    </row>
    <row r="186" spans="1:37" x14ac:dyDescent="0.25">
      <c r="A186" s="116" t="s">
        <v>173</v>
      </c>
      <c r="B186" s="126"/>
      <c r="C186" s="127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9">
        <v>5</v>
      </c>
      <c r="AH186" s="47"/>
      <c r="AI186" s="48"/>
      <c r="AK186" s="50"/>
    </row>
    <row r="187" spans="1:37" x14ac:dyDescent="0.25">
      <c r="A187" s="116" t="s">
        <v>174</v>
      </c>
      <c r="B187" s="126"/>
      <c r="C187" s="127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9">
        <v>4.9930000000000003</v>
      </c>
      <c r="AH187" s="47"/>
      <c r="AI187" s="48"/>
      <c r="AK187" s="50"/>
    </row>
    <row r="188" spans="1:37" x14ac:dyDescent="0.25">
      <c r="A188" s="116" t="s">
        <v>175</v>
      </c>
      <c r="B188" s="126"/>
      <c r="C188" s="127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9">
        <v>4.9800000000000004</v>
      </c>
      <c r="AH188" s="47"/>
      <c r="AI188" s="48"/>
      <c r="AK188" s="50"/>
    </row>
    <row r="189" spans="1:37" x14ac:dyDescent="0.25">
      <c r="A189" s="116" t="s">
        <v>176</v>
      </c>
      <c r="B189" s="126"/>
      <c r="C189" s="127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9">
        <v>4.95</v>
      </c>
      <c r="AH189" s="47"/>
      <c r="AI189" s="48"/>
      <c r="AK189" s="50"/>
    </row>
    <row r="190" spans="1:37" x14ac:dyDescent="0.25">
      <c r="A190" s="116" t="s">
        <v>177</v>
      </c>
      <c r="B190" s="126"/>
      <c r="C190" s="127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9">
        <v>4.95</v>
      </c>
      <c r="AH190" s="47"/>
      <c r="AI190" s="48"/>
      <c r="AK190" s="50"/>
    </row>
    <row r="191" spans="1:37" x14ac:dyDescent="0.25">
      <c r="A191" s="116" t="s">
        <v>178</v>
      </c>
      <c r="B191" s="126"/>
      <c r="C191" s="127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9">
        <v>4.8</v>
      </c>
      <c r="AH191" s="47"/>
      <c r="AI191" s="48"/>
      <c r="AK191" s="50"/>
    </row>
    <row r="192" spans="1:37" x14ac:dyDescent="0.25">
      <c r="A192" s="116" t="s">
        <v>179</v>
      </c>
      <c r="B192" s="126"/>
      <c r="C192" s="127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9">
        <v>4.8</v>
      </c>
      <c r="AH192" s="47"/>
      <c r="AI192" s="48"/>
      <c r="AK192" s="50"/>
    </row>
    <row r="193" spans="1:37" x14ac:dyDescent="0.25">
      <c r="A193" s="116" t="s">
        <v>180</v>
      </c>
      <c r="B193" s="126"/>
      <c r="C193" s="127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9">
        <v>4.8</v>
      </c>
      <c r="AH193" s="47"/>
      <c r="AI193" s="48"/>
      <c r="AK193" s="50"/>
    </row>
    <row r="194" spans="1:37" x14ac:dyDescent="0.25">
      <c r="A194" s="116" t="s">
        <v>181</v>
      </c>
      <c r="B194" s="126"/>
      <c r="C194" s="127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9">
        <v>4.5</v>
      </c>
      <c r="AH194" s="47"/>
      <c r="AI194" s="48"/>
      <c r="AK194" s="50"/>
    </row>
    <row r="195" spans="1:37" x14ac:dyDescent="0.25">
      <c r="A195" s="116" t="s">
        <v>182</v>
      </c>
      <c r="B195" s="126"/>
      <c r="C195" s="127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9">
        <v>4.5</v>
      </c>
      <c r="AH195" s="47"/>
      <c r="AI195" s="48"/>
      <c r="AK195" s="50"/>
    </row>
    <row r="196" spans="1:37" x14ac:dyDescent="0.25">
      <c r="A196" s="116" t="s">
        <v>183</v>
      </c>
      <c r="B196" s="126"/>
      <c r="C196" s="127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9">
        <v>4.4550000000000001</v>
      </c>
      <c r="AH196" s="47"/>
      <c r="AI196" s="48"/>
      <c r="AK196" s="50"/>
    </row>
    <row r="197" spans="1:37" x14ac:dyDescent="0.25">
      <c r="A197" s="116" t="s">
        <v>184</v>
      </c>
      <c r="B197" s="126"/>
      <c r="C197" s="127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9">
        <v>4.41</v>
      </c>
      <c r="AH197" s="47"/>
      <c r="AI197" s="48"/>
      <c r="AK197" s="50"/>
    </row>
    <row r="198" spans="1:37" x14ac:dyDescent="0.25">
      <c r="A198" s="116" t="s">
        <v>185</v>
      </c>
      <c r="B198" s="126"/>
      <c r="C198" s="127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9">
        <v>4.4000000000000004</v>
      </c>
      <c r="AH198" s="47"/>
      <c r="AI198" s="48"/>
      <c r="AK198" s="50"/>
    </row>
    <row r="199" spans="1:37" x14ac:dyDescent="0.25">
      <c r="A199" s="116" t="s">
        <v>186</v>
      </c>
      <c r="B199" s="126"/>
      <c r="C199" s="127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9">
        <v>4.3600000000000003</v>
      </c>
      <c r="AH199" s="47"/>
      <c r="AI199" s="48"/>
      <c r="AK199" s="50"/>
    </row>
    <row r="200" spans="1:37" x14ac:dyDescent="0.25">
      <c r="A200" s="116" t="s">
        <v>187</v>
      </c>
      <c r="B200" s="126"/>
      <c r="C200" s="127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9">
        <v>4.2</v>
      </c>
      <c r="AH200" s="47"/>
      <c r="AI200" s="48"/>
      <c r="AK200" s="50"/>
    </row>
    <row r="201" spans="1:37" x14ac:dyDescent="0.25">
      <c r="A201" s="116" t="s">
        <v>188</v>
      </c>
      <c r="B201" s="126"/>
      <c r="C201" s="127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9">
        <v>4</v>
      </c>
      <c r="AH201" s="47"/>
      <c r="AI201" s="48"/>
      <c r="AK201" s="50"/>
    </row>
    <row r="202" spans="1:37" x14ac:dyDescent="0.25">
      <c r="A202" s="116" t="s">
        <v>189</v>
      </c>
      <c r="B202" s="126"/>
      <c r="C202" s="127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9">
        <v>4</v>
      </c>
      <c r="AH202" s="47"/>
      <c r="AI202" s="48"/>
      <c r="AK202" s="50"/>
    </row>
    <row r="203" spans="1:37" x14ac:dyDescent="0.25">
      <c r="A203" s="116" t="s">
        <v>190</v>
      </c>
      <c r="B203" s="126"/>
      <c r="C203" s="127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9">
        <v>4</v>
      </c>
      <c r="AH203" s="47"/>
      <c r="AI203" s="48"/>
      <c r="AK203" s="50"/>
    </row>
    <row r="204" spans="1:37" x14ac:dyDescent="0.25">
      <c r="A204" s="116" t="s">
        <v>191</v>
      </c>
      <c r="B204" s="126"/>
      <c r="C204" s="127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9">
        <v>4</v>
      </c>
      <c r="AH204" s="47"/>
      <c r="AI204" s="48"/>
      <c r="AK204" s="50"/>
    </row>
    <row r="205" spans="1:37" x14ac:dyDescent="0.25">
      <c r="A205" s="116" t="s">
        <v>192</v>
      </c>
      <c r="B205" s="126"/>
      <c r="C205" s="127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9">
        <v>4</v>
      </c>
      <c r="AH205" s="47"/>
      <c r="AI205" s="48"/>
      <c r="AK205" s="50"/>
    </row>
    <row r="206" spans="1:37" x14ac:dyDescent="0.25">
      <c r="A206" s="116" t="s">
        <v>193</v>
      </c>
      <c r="B206" s="126"/>
      <c r="C206" s="127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9">
        <v>4</v>
      </c>
      <c r="AH206" s="47"/>
      <c r="AI206" s="48"/>
      <c r="AK206" s="50"/>
    </row>
    <row r="207" spans="1:37" x14ac:dyDescent="0.25">
      <c r="A207" s="116" t="s">
        <v>194</v>
      </c>
      <c r="B207" s="126"/>
      <c r="C207" s="127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9">
        <v>4</v>
      </c>
      <c r="AH207" s="47"/>
      <c r="AI207" s="48"/>
      <c r="AK207" s="50"/>
    </row>
    <row r="208" spans="1:37" x14ac:dyDescent="0.25">
      <c r="A208" s="116" t="s">
        <v>195</v>
      </c>
      <c r="B208" s="126"/>
      <c r="C208" s="127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9">
        <v>4</v>
      </c>
      <c r="AH208" s="47"/>
      <c r="AI208" s="48"/>
      <c r="AK208" s="50"/>
    </row>
    <row r="209" spans="1:37" x14ac:dyDescent="0.25">
      <c r="A209" s="116" t="s">
        <v>196</v>
      </c>
      <c r="B209" s="126"/>
      <c r="C209" s="127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9">
        <v>3.75</v>
      </c>
      <c r="AH209" s="47"/>
      <c r="AI209" s="48"/>
      <c r="AK209" s="50"/>
    </row>
    <row r="210" spans="1:37" x14ac:dyDescent="0.25">
      <c r="A210" s="116" t="s">
        <v>197</v>
      </c>
      <c r="B210" s="126"/>
      <c r="C210" s="127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9">
        <v>3.52</v>
      </c>
      <c r="AH210" s="47"/>
      <c r="AI210" s="48"/>
      <c r="AK210" s="50"/>
    </row>
    <row r="211" spans="1:37" x14ac:dyDescent="0.25">
      <c r="A211" s="116" t="s">
        <v>198</v>
      </c>
      <c r="B211" s="126"/>
      <c r="C211" s="127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9">
        <v>3.33</v>
      </c>
      <c r="AH211" s="47"/>
      <c r="AI211" s="48"/>
      <c r="AK211" s="50"/>
    </row>
    <row r="212" spans="1:37" x14ac:dyDescent="0.25">
      <c r="A212" s="116" t="s">
        <v>199</v>
      </c>
      <c r="B212" s="126"/>
      <c r="C212" s="127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9">
        <v>3.2</v>
      </c>
      <c r="AH212" s="47"/>
      <c r="AI212" s="48"/>
      <c r="AK212" s="50"/>
    </row>
    <row r="213" spans="1:37" x14ac:dyDescent="0.25">
      <c r="A213" s="116" t="s">
        <v>200</v>
      </c>
      <c r="B213" s="126"/>
      <c r="C213" s="127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9">
        <v>3</v>
      </c>
      <c r="AH213" s="47"/>
      <c r="AI213" s="48"/>
      <c r="AK213" s="50"/>
    </row>
    <row r="214" spans="1:37" x14ac:dyDescent="0.25">
      <c r="A214" s="116" t="s">
        <v>201</v>
      </c>
      <c r="B214" s="126"/>
      <c r="C214" s="127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9">
        <v>3</v>
      </c>
      <c r="AH214" s="47"/>
      <c r="AI214" s="48"/>
      <c r="AK214" s="50"/>
    </row>
    <row r="215" spans="1:37" x14ac:dyDescent="0.25">
      <c r="A215" s="116" t="s">
        <v>202</v>
      </c>
      <c r="B215" s="126"/>
      <c r="C215" s="127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9">
        <v>3</v>
      </c>
      <c r="AH215" s="47"/>
      <c r="AI215" s="48"/>
      <c r="AK215" s="50"/>
    </row>
    <row r="216" spans="1:37" x14ac:dyDescent="0.25">
      <c r="A216" s="116" t="s">
        <v>203</v>
      </c>
      <c r="B216" s="126"/>
      <c r="C216" s="127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9">
        <v>3</v>
      </c>
      <c r="AH216" s="47"/>
      <c r="AI216" s="48"/>
      <c r="AK216" s="50"/>
    </row>
    <row r="217" spans="1:37" x14ac:dyDescent="0.25">
      <c r="A217" s="116" t="s">
        <v>204</v>
      </c>
      <c r="B217" s="126"/>
      <c r="C217" s="127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9">
        <v>3</v>
      </c>
      <c r="AH217" s="47"/>
      <c r="AI217" s="48"/>
      <c r="AK217" s="50"/>
    </row>
    <row r="218" spans="1:37" x14ac:dyDescent="0.25">
      <c r="A218" s="116" t="s">
        <v>205</v>
      </c>
      <c r="B218" s="126"/>
      <c r="C218" s="127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9">
        <v>3</v>
      </c>
      <c r="AH218" s="47"/>
      <c r="AI218" s="48"/>
      <c r="AK218" s="50"/>
    </row>
    <row r="219" spans="1:37" x14ac:dyDescent="0.25">
      <c r="A219" s="116" t="s">
        <v>206</v>
      </c>
      <c r="B219" s="126"/>
      <c r="C219" s="127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9">
        <v>3</v>
      </c>
      <c r="AH219" s="47"/>
      <c r="AI219" s="48"/>
      <c r="AK219" s="50"/>
    </row>
    <row r="220" spans="1:37" x14ac:dyDescent="0.25">
      <c r="A220" s="116" t="s">
        <v>207</v>
      </c>
      <c r="B220" s="126"/>
      <c r="C220" s="127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9">
        <v>3</v>
      </c>
      <c r="AH220" s="47"/>
      <c r="AI220" s="48"/>
      <c r="AK220" s="50"/>
    </row>
    <row r="221" spans="1:37" x14ac:dyDescent="0.25">
      <c r="A221" s="116" t="s">
        <v>208</v>
      </c>
      <c r="B221" s="126"/>
      <c r="C221" s="127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9">
        <v>2.83</v>
      </c>
      <c r="AH221" s="47"/>
      <c r="AI221" s="48"/>
      <c r="AK221" s="50"/>
    </row>
    <row r="222" spans="1:37" x14ac:dyDescent="0.25">
      <c r="A222" s="116" t="s">
        <v>209</v>
      </c>
      <c r="B222" s="126"/>
      <c r="C222" s="127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9">
        <v>2.5</v>
      </c>
      <c r="AH222" s="47"/>
      <c r="AI222" s="48"/>
      <c r="AK222" s="50"/>
    </row>
    <row r="223" spans="1:37" x14ac:dyDescent="0.25">
      <c r="A223" s="116" t="s">
        <v>210</v>
      </c>
      <c r="B223" s="126"/>
      <c r="C223" s="127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9">
        <v>2.5</v>
      </c>
      <c r="AH223" s="47"/>
      <c r="AI223" s="48"/>
      <c r="AK223" s="50"/>
    </row>
    <row r="224" spans="1:37" x14ac:dyDescent="0.25">
      <c r="A224" s="116" t="s">
        <v>211</v>
      </c>
      <c r="B224" s="126"/>
      <c r="C224" s="127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9">
        <v>2.4</v>
      </c>
      <c r="AH224" s="47"/>
      <c r="AI224" s="48"/>
      <c r="AK224" s="50"/>
    </row>
    <row r="225" spans="1:37" x14ac:dyDescent="0.25">
      <c r="A225" s="116" t="s">
        <v>212</v>
      </c>
      <c r="B225" s="126"/>
      <c r="C225" s="127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9">
        <v>2.4</v>
      </c>
      <c r="AH225" s="47"/>
      <c r="AI225" s="48"/>
      <c r="AK225" s="50"/>
    </row>
    <row r="226" spans="1:37" x14ac:dyDescent="0.25">
      <c r="A226" s="116" t="s">
        <v>213</v>
      </c>
      <c r="B226" s="126"/>
      <c r="C226" s="127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9">
        <v>2.2000000000000002</v>
      </c>
      <c r="AH226" s="47"/>
      <c r="AI226" s="48"/>
      <c r="AK226" s="50"/>
    </row>
    <row r="227" spans="1:37" x14ac:dyDescent="0.25">
      <c r="A227" s="116" t="s">
        <v>214</v>
      </c>
      <c r="B227" s="126"/>
      <c r="C227" s="127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9">
        <v>2</v>
      </c>
      <c r="AH227" s="47"/>
      <c r="AI227" s="48"/>
      <c r="AK227" s="50"/>
    </row>
    <row r="228" spans="1:37" x14ac:dyDescent="0.25">
      <c r="A228" s="116" t="s">
        <v>215</v>
      </c>
      <c r="B228" s="126"/>
      <c r="C228" s="127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9">
        <v>2</v>
      </c>
      <c r="AH228" s="47"/>
      <c r="AI228" s="48"/>
      <c r="AK228" s="50"/>
    </row>
    <row r="229" spans="1:37" x14ac:dyDescent="0.25">
      <c r="A229" s="116" t="s">
        <v>216</v>
      </c>
      <c r="B229" s="126"/>
      <c r="C229" s="127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9">
        <v>2</v>
      </c>
      <c r="AH229" s="47"/>
      <c r="AI229" s="48"/>
      <c r="AK229" s="50"/>
    </row>
    <row r="230" spans="1:37" x14ac:dyDescent="0.25">
      <c r="A230" s="116" t="s">
        <v>217</v>
      </c>
      <c r="B230" s="126"/>
      <c r="C230" s="127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9">
        <v>1.8</v>
      </c>
      <c r="AH230" s="47"/>
      <c r="AI230" s="48"/>
      <c r="AK230" s="50"/>
    </row>
    <row r="231" spans="1:37" x14ac:dyDescent="0.25">
      <c r="A231" s="116" t="s">
        <v>218</v>
      </c>
      <c r="B231" s="126"/>
      <c r="C231" s="127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9">
        <v>1.8</v>
      </c>
      <c r="AH231" s="47"/>
      <c r="AI231" s="48"/>
      <c r="AK231" s="50"/>
    </row>
    <row r="232" spans="1:37" x14ac:dyDescent="0.25">
      <c r="A232" s="116" t="s">
        <v>219</v>
      </c>
      <c r="B232" s="126"/>
      <c r="C232" s="127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9">
        <v>1.65</v>
      </c>
      <c r="AH232" s="47"/>
      <c r="AI232" s="48"/>
      <c r="AK232" s="50"/>
    </row>
    <row r="233" spans="1:37" x14ac:dyDescent="0.25">
      <c r="A233" s="116" t="s">
        <v>220</v>
      </c>
      <c r="B233" s="126"/>
      <c r="C233" s="127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9">
        <v>1.5</v>
      </c>
      <c r="AH233" s="47"/>
      <c r="AI233" s="48"/>
      <c r="AK233" s="50"/>
    </row>
    <row r="234" spans="1:37" x14ac:dyDescent="0.25">
      <c r="A234" s="116" t="s">
        <v>221</v>
      </c>
      <c r="B234" s="126"/>
      <c r="C234" s="127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9">
        <v>0.998</v>
      </c>
      <c r="AH234" s="47"/>
      <c r="AI234" s="48"/>
      <c r="AK234" s="50"/>
    </row>
    <row r="235" spans="1:37" x14ac:dyDescent="0.25">
      <c r="A235" s="116" t="s">
        <v>222</v>
      </c>
      <c r="B235" s="126"/>
      <c r="C235" s="127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9">
        <v>0.997</v>
      </c>
      <c r="AH235" s="47"/>
      <c r="AI235" s="48"/>
      <c r="AK235" s="50"/>
    </row>
    <row r="236" spans="1:37" x14ac:dyDescent="0.25">
      <c r="A236" s="116" t="s">
        <v>223</v>
      </c>
      <c r="B236" s="126"/>
      <c r="C236" s="127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9">
        <v>0.997</v>
      </c>
      <c r="AH236" s="47"/>
      <c r="AI236" s="48"/>
      <c r="AK236" s="50"/>
    </row>
    <row r="237" spans="1:37" x14ac:dyDescent="0.25">
      <c r="A237" s="116" t="s">
        <v>224</v>
      </c>
      <c r="B237" s="126"/>
      <c r="C237" s="127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9">
        <v>0.996</v>
      </c>
      <c r="AH237" s="47"/>
      <c r="AI237" s="48"/>
      <c r="AK237" s="50"/>
    </row>
    <row r="238" spans="1:37" x14ac:dyDescent="0.25">
      <c r="A238" s="116" t="s">
        <v>225</v>
      </c>
      <c r="B238" s="126"/>
      <c r="C238" s="127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9">
        <v>0.996</v>
      </c>
      <c r="AH238" s="47"/>
      <c r="AI238" s="48"/>
      <c r="AK238" s="50"/>
    </row>
    <row r="239" spans="1:37" x14ac:dyDescent="0.25">
      <c r="A239" s="116" t="s">
        <v>226</v>
      </c>
      <c r="B239" s="126"/>
      <c r="C239" s="127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9">
        <v>0.996</v>
      </c>
      <c r="AH239" s="47"/>
      <c r="AI239" s="48"/>
      <c r="AK239" s="50"/>
    </row>
    <row r="240" spans="1:37" x14ac:dyDescent="0.25">
      <c r="A240" s="116" t="s">
        <v>227</v>
      </c>
      <c r="B240" s="126"/>
      <c r="C240" s="127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9">
        <v>0.995</v>
      </c>
      <c r="AH240" s="47"/>
      <c r="AI240" s="48"/>
      <c r="AK240" s="50"/>
    </row>
    <row r="241" spans="1:37" x14ac:dyDescent="0.25">
      <c r="A241" s="116" t="s">
        <v>228</v>
      </c>
      <c r="B241" s="126"/>
      <c r="C241" s="127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9">
        <v>0.99299999999999999</v>
      </c>
      <c r="AH241" s="47"/>
      <c r="AI241" s="48"/>
      <c r="AK241" s="50"/>
    </row>
    <row r="242" spans="1:37" x14ac:dyDescent="0.25">
      <c r="A242" s="116" t="s">
        <v>229</v>
      </c>
      <c r="B242" s="126"/>
      <c r="C242" s="124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9">
        <v>0.99</v>
      </c>
      <c r="AH242" s="47"/>
      <c r="AI242" s="48"/>
      <c r="AK242" s="50"/>
    </row>
    <row r="243" spans="1:37" ht="15.75" thickBot="1" x14ac:dyDescent="0.3">
      <c r="A243" s="116" t="s">
        <v>230</v>
      </c>
      <c r="B243" s="130"/>
      <c r="C243" s="131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29">
        <v>0.97899999999999998</v>
      </c>
      <c r="AH243" s="47"/>
      <c r="AI243" s="48"/>
      <c r="AK243" s="50"/>
    </row>
    <row r="244" spans="1:37" ht="15.75" thickBot="1" x14ac:dyDescent="0.3">
      <c r="A244" s="132" t="s">
        <v>231</v>
      </c>
      <c r="B244" s="133">
        <f t="shared" ref="B244:AG244" si="119">SUM(B139:B243)</f>
        <v>0</v>
      </c>
      <c r="C244" s="134">
        <f t="shared" si="119"/>
        <v>0</v>
      </c>
      <c r="D244" s="134">
        <f t="shared" si="119"/>
        <v>0</v>
      </c>
      <c r="E244" s="134">
        <f t="shared" si="119"/>
        <v>0</v>
      </c>
      <c r="F244" s="134">
        <f t="shared" si="119"/>
        <v>0</v>
      </c>
      <c r="G244" s="134">
        <f t="shared" si="119"/>
        <v>0</v>
      </c>
      <c r="H244" s="134">
        <f t="shared" si="119"/>
        <v>0</v>
      </c>
      <c r="I244" s="134">
        <f t="shared" si="119"/>
        <v>0</v>
      </c>
      <c r="J244" s="134">
        <f t="shared" si="119"/>
        <v>0</v>
      </c>
      <c r="K244" s="134">
        <f t="shared" si="119"/>
        <v>0</v>
      </c>
      <c r="L244" s="134">
        <f t="shared" si="119"/>
        <v>0</v>
      </c>
      <c r="M244" s="134">
        <f t="shared" si="119"/>
        <v>0</v>
      </c>
      <c r="N244" s="134">
        <f t="shared" si="119"/>
        <v>0</v>
      </c>
      <c r="O244" s="134">
        <f t="shared" si="119"/>
        <v>0</v>
      </c>
      <c r="P244" s="134">
        <f t="shared" si="119"/>
        <v>0</v>
      </c>
      <c r="Q244" s="134">
        <f t="shared" si="119"/>
        <v>0</v>
      </c>
      <c r="R244" s="134">
        <f t="shared" si="119"/>
        <v>0</v>
      </c>
      <c r="S244" s="134">
        <f t="shared" si="119"/>
        <v>0</v>
      </c>
      <c r="T244" s="134">
        <f t="shared" si="119"/>
        <v>0</v>
      </c>
      <c r="U244" s="134">
        <f t="shared" si="119"/>
        <v>0</v>
      </c>
      <c r="V244" s="134">
        <f t="shared" si="119"/>
        <v>0</v>
      </c>
      <c r="W244" s="134">
        <f t="shared" si="119"/>
        <v>0</v>
      </c>
      <c r="X244" s="134">
        <f t="shared" si="119"/>
        <v>0</v>
      </c>
      <c r="Y244" s="134">
        <f t="shared" si="119"/>
        <v>0</v>
      </c>
      <c r="Z244" s="134">
        <f t="shared" si="119"/>
        <v>0</v>
      </c>
      <c r="AA244" s="134">
        <f t="shared" si="119"/>
        <v>0</v>
      </c>
      <c r="AB244" s="134">
        <f t="shared" si="119"/>
        <v>0</v>
      </c>
      <c r="AC244" s="134">
        <f t="shared" si="119"/>
        <v>0</v>
      </c>
      <c r="AD244" s="134">
        <f t="shared" si="119"/>
        <v>0</v>
      </c>
      <c r="AE244" s="134">
        <f t="shared" si="119"/>
        <v>0</v>
      </c>
      <c r="AF244" s="135">
        <f t="shared" si="119"/>
        <v>0</v>
      </c>
      <c r="AG244" s="136">
        <f t="shared" si="119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19"/>
      <c r="AH245" s="47"/>
      <c r="AI245" s="48"/>
      <c r="AK245" s="50"/>
    </row>
    <row r="246" spans="1:37" x14ac:dyDescent="0.25">
      <c r="A246" s="100" t="s">
        <v>232</v>
      </c>
      <c r="B246" s="138">
        <f t="shared" ref="B246:B251" si="120">AF246</f>
        <v>0.3</v>
      </c>
      <c r="C246" s="138">
        <v>0.3</v>
      </c>
      <c r="D246" s="138">
        <f t="shared" ref="D246:S251" si="121">C246</f>
        <v>0.3</v>
      </c>
      <c r="E246" s="138">
        <f t="shared" si="121"/>
        <v>0.3</v>
      </c>
      <c r="F246" s="138">
        <f t="shared" si="121"/>
        <v>0.3</v>
      </c>
      <c r="G246" s="138">
        <f t="shared" si="121"/>
        <v>0.3</v>
      </c>
      <c r="H246" s="138">
        <f t="shared" si="121"/>
        <v>0.3</v>
      </c>
      <c r="I246" s="138">
        <f t="shared" si="121"/>
        <v>0.3</v>
      </c>
      <c r="J246" s="138">
        <f t="shared" si="121"/>
        <v>0.3</v>
      </c>
      <c r="K246" s="138">
        <f t="shared" si="121"/>
        <v>0.3</v>
      </c>
      <c r="L246" s="138">
        <f t="shared" si="121"/>
        <v>0.3</v>
      </c>
      <c r="M246" s="138">
        <f t="shared" si="121"/>
        <v>0.3</v>
      </c>
      <c r="N246" s="138">
        <f t="shared" si="121"/>
        <v>0.3</v>
      </c>
      <c r="O246" s="138">
        <f t="shared" si="121"/>
        <v>0.3</v>
      </c>
      <c r="P246" s="138">
        <f t="shared" si="121"/>
        <v>0.3</v>
      </c>
      <c r="Q246" s="138">
        <f t="shared" si="121"/>
        <v>0.3</v>
      </c>
      <c r="R246" s="138">
        <f t="shared" si="121"/>
        <v>0.3</v>
      </c>
      <c r="S246" s="138">
        <f t="shared" si="121"/>
        <v>0.3</v>
      </c>
      <c r="T246" s="138">
        <f t="shared" ref="T246:AF251" si="122">S246</f>
        <v>0.3</v>
      </c>
      <c r="U246" s="138">
        <f t="shared" si="122"/>
        <v>0.3</v>
      </c>
      <c r="V246" s="138">
        <f t="shared" si="122"/>
        <v>0.3</v>
      </c>
      <c r="W246" s="138">
        <f t="shared" si="122"/>
        <v>0.3</v>
      </c>
      <c r="X246" s="138">
        <f t="shared" si="122"/>
        <v>0.3</v>
      </c>
      <c r="Y246" s="138">
        <f t="shared" si="122"/>
        <v>0.3</v>
      </c>
      <c r="Z246" s="138">
        <f t="shared" si="122"/>
        <v>0.3</v>
      </c>
      <c r="AA246" s="138">
        <f t="shared" si="122"/>
        <v>0.3</v>
      </c>
      <c r="AB246" s="138">
        <f t="shared" si="122"/>
        <v>0.3</v>
      </c>
      <c r="AC246" s="138">
        <f t="shared" si="122"/>
        <v>0.3</v>
      </c>
      <c r="AD246" s="138">
        <f t="shared" si="122"/>
        <v>0.3</v>
      </c>
      <c r="AE246" s="138">
        <f t="shared" si="122"/>
        <v>0.3</v>
      </c>
      <c r="AF246" s="138">
        <f t="shared" si="122"/>
        <v>0.3</v>
      </c>
      <c r="AG246" s="139">
        <v>2.4</v>
      </c>
      <c r="AH246" s="47"/>
      <c r="AI246" s="48"/>
      <c r="AK246" s="50"/>
    </row>
    <row r="247" spans="1:37" x14ac:dyDescent="0.25">
      <c r="A247" s="103" t="s">
        <v>233</v>
      </c>
      <c r="B247" s="126">
        <f t="shared" si="120"/>
        <v>0.4</v>
      </c>
      <c r="C247" s="126">
        <v>0.4</v>
      </c>
      <c r="D247" s="126">
        <f t="shared" si="121"/>
        <v>0.4</v>
      </c>
      <c r="E247" s="126">
        <f t="shared" si="121"/>
        <v>0.4</v>
      </c>
      <c r="F247" s="126">
        <f t="shared" si="121"/>
        <v>0.4</v>
      </c>
      <c r="G247" s="126">
        <f t="shared" si="121"/>
        <v>0.4</v>
      </c>
      <c r="H247" s="126">
        <f t="shared" si="121"/>
        <v>0.4</v>
      </c>
      <c r="I247" s="126">
        <f t="shared" si="121"/>
        <v>0.4</v>
      </c>
      <c r="J247" s="126">
        <f t="shared" si="121"/>
        <v>0.4</v>
      </c>
      <c r="K247" s="126">
        <f t="shared" si="121"/>
        <v>0.4</v>
      </c>
      <c r="L247" s="126">
        <f t="shared" si="121"/>
        <v>0.4</v>
      </c>
      <c r="M247" s="126">
        <f t="shared" si="121"/>
        <v>0.4</v>
      </c>
      <c r="N247" s="126">
        <f t="shared" si="121"/>
        <v>0.4</v>
      </c>
      <c r="O247" s="126">
        <f t="shared" si="121"/>
        <v>0.4</v>
      </c>
      <c r="P247" s="126">
        <f t="shared" si="121"/>
        <v>0.4</v>
      </c>
      <c r="Q247" s="126">
        <f t="shared" si="121"/>
        <v>0.4</v>
      </c>
      <c r="R247" s="126">
        <f t="shared" si="121"/>
        <v>0.4</v>
      </c>
      <c r="S247" s="126">
        <f t="shared" si="121"/>
        <v>0.4</v>
      </c>
      <c r="T247" s="126">
        <f t="shared" si="122"/>
        <v>0.4</v>
      </c>
      <c r="U247" s="126">
        <f t="shared" si="122"/>
        <v>0.4</v>
      </c>
      <c r="V247" s="126">
        <f t="shared" si="122"/>
        <v>0.4</v>
      </c>
      <c r="W247" s="126">
        <f t="shared" si="122"/>
        <v>0.4</v>
      </c>
      <c r="X247" s="126">
        <f t="shared" si="122"/>
        <v>0.4</v>
      </c>
      <c r="Y247" s="126">
        <f t="shared" si="122"/>
        <v>0.4</v>
      </c>
      <c r="Z247" s="126">
        <f t="shared" si="122"/>
        <v>0.4</v>
      </c>
      <c r="AA247" s="126">
        <f t="shared" si="122"/>
        <v>0.4</v>
      </c>
      <c r="AB247" s="126">
        <f t="shared" si="122"/>
        <v>0.4</v>
      </c>
      <c r="AC247" s="126">
        <f t="shared" si="122"/>
        <v>0.4</v>
      </c>
      <c r="AD247" s="126">
        <f t="shared" si="122"/>
        <v>0.4</v>
      </c>
      <c r="AE247" s="126">
        <f t="shared" si="122"/>
        <v>0.4</v>
      </c>
      <c r="AF247" s="126">
        <f t="shared" si="122"/>
        <v>0.4</v>
      </c>
      <c r="AG247" s="140">
        <v>2</v>
      </c>
      <c r="AH247" s="47"/>
      <c r="AI247" s="48"/>
      <c r="AK247" s="50"/>
    </row>
    <row r="248" spans="1:37" x14ac:dyDescent="0.25">
      <c r="A248" s="103" t="s">
        <v>234</v>
      </c>
      <c r="B248" s="126">
        <f t="shared" si="120"/>
        <v>1.5</v>
      </c>
      <c r="C248" s="126">
        <v>1.5</v>
      </c>
      <c r="D248" s="126">
        <f t="shared" si="121"/>
        <v>1.5</v>
      </c>
      <c r="E248" s="126">
        <f t="shared" si="121"/>
        <v>1.5</v>
      </c>
      <c r="F248" s="126">
        <f t="shared" si="121"/>
        <v>1.5</v>
      </c>
      <c r="G248" s="126">
        <f t="shared" si="121"/>
        <v>1.5</v>
      </c>
      <c r="H248" s="126">
        <f t="shared" si="121"/>
        <v>1.5</v>
      </c>
      <c r="I248" s="126">
        <f t="shared" si="121"/>
        <v>1.5</v>
      </c>
      <c r="J248" s="126">
        <f t="shared" si="121"/>
        <v>1.5</v>
      </c>
      <c r="K248" s="126">
        <f t="shared" si="121"/>
        <v>1.5</v>
      </c>
      <c r="L248" s="126">
        <f t="shared" si="121"/>
        <v>1.5</v>
      </c>
      <c r="M248" s="126">
        <f t="shared" si="121"/>
        <v>1.5</v>
      </c>
      <c r="N248" s="126">
        <f t="shared" si="121"/>
        <v>1.5</v>
      </c>
      <c r="O248" s="126">
        <f t="shared" si="121"/>
        <v>1.5</v>
      </c>
      <c r="P248" s="126">
        <f t="shared" si="121"/>
        <v>1.5</v>
      </c>
      <c r="Q248" s="126">
        <f t="shared" si="121"/>
        <v>1.5</v>
      </c>
      <c r="R248" s="126">
        <f t="shared" si="121"/>
        <v>1.5</v>
      </c>
      <c r="S248" s="126">
        <f t="shared" si="121"/>
        <v>1.5</v>
      </c>
      <c r="T248" s="126">
        <f t="shared" si="122"/>
        <v>1.5</v>
      </c>
      <c r="U248" s="126">
        <f t="shared" si="122"/>
        <v>1.5</v>
      </c>
      <c r="V248" s="126">
        <f t="shared" si="122"/>
        <v>1.5</v>
      </c>
      <c r="W248" s="126">
        <f t="shared" si="122"/>
        <v>1.5</v>
      </c>
      <c r="X248" s="126">
        <f t="shared" si="122"/>
        <v>1.5</v>
      </c>
      <c r="Y248" s="126">
        <f t="shared" si="122"/>
        <v>1.5</v>
      </c>
      <c r="Z248" s="126">
        <f t="shared" si="122"/>
        <v>1.5</v>
      </c>
      <c r="AA248" s="126">
        <f t="shared" si="122"/>
        <v>1.5</v>
      </c>
      <c r="AB248" s="126">
        <f t="shared" si="122"/>
        <v>1.5</v>
      </c>
      <c r="AC248" s="126">
        <f t="shared" si="122"/>
        <v>1.5</v>
      </c>
      <c r="AD248" s="126">
        <f t="shared" si="122"/>
        <v>1.5</v>
      </c>
      <c r="AE248" s="126">
        <f t="shared" si="122"/>
        <v>1.5</v>
      </c>
      <c r="AF248" s="126">
        <f t="shared" si="122"/>
        <v>1.5</v>
      </c>
      <c r="AG248" s="140">
        <v>1.5</v>
      </c>
      <c r="AH248" s="47"/>
      <c r="AI248" s="48"/>
      <c r="AK248" s="50"/>
    </row>
    <row r="249" spans="1:37" x14ac:dyDescent="0.25">
      <c r="A249" s="103" t="s">
        <v>235</v>
      </c>
      <c r="B249" s="126">
        <f t="shared" si="120"/>
        <v>0.3</v>
      </c>
      <c r="C249" s="126">
        <v>0.3</v>
      </c>
      <c r="D249" s="126">
        <f t="shared" si="121"/>
        <v>0.3</v>
      </c>
      <c r="E249" s="126">
        <f t="shared" si="121"/>
        <v>0.3</v>
      </c>
      <c r="F249" s="126">
        <f t="shared" si="121"/>
        <v>0.3</v>
      </c>
      <c r="G249" s="126">
        <f t="shared" si="121"/>
        <v>0.3</v>
      </c>
      <c r="H249" s="126">
        <f t="shared" si="121"/>
        <v>0.3</v>
      </c>
      <c r="I249" s="126">
        <f t="shared" si="121"/>
        <v>0.3</v>
      </c>
      <c r="J249" s="126">
        <f t="shared" si="121"/>
        <v>0.3</v>
      </c>
      <c r="K249" s="126">
        <f t="shared" si="121"/>
        <v>0.3</v>
      </c>
      <c r="L249" s="126">
        <f t="shared" si="121"/>
        <v>0.3</v>
      </c>
      <c r="M249" s="126">
        <f t="shared" si="121"/>
        <v>0.3</v>
      </c>
      <c r="N249" s="126">
        <f t="shared" si="121"/>
        <v>0.3</v>
      </c>
      <c r="O249" s="126">
        <f t="shared" si="121"/>
        <v>0.3</v>
      </c>
      <c r="P249" s="126">
        <f t="shared" si="121"/>
        <v>0.3</v>
      </c>
      <c r="Q249" s="126">
        <f t="shared" si="121"/>
        <v>0.3</v>
      </c>
      <c r="R249" s="126">
        <f t="shared" si="121"/>
        <v>0.3</v>
      </c>
      <c r="S249" s="126">
        <f t="shared" si="121"/>
        <v>0.3</v>
      </c>
      <c r="T249" s="126">
        <f t="shared" si="122"/>
        <v>0.3</v>
      </c>
      <c r="U249" s="126">
        <f t="shared" si="122"/>
        <v>0.3</v>
      </c>
      <c r="V249" s="126">
        <f t="shared" si="122"/>
        <v>0.3</v>
      </c>
      <c r="W249" s="126">
        <f t="shared" si="122"/>
        <v>0.3</v>
      </c>
      <c r="X249" s="126">
        <f t="shared" si="122"/>
        <v>0.3</v>
      </c>
      <c r="Y249" s="126">
        <f t="shared" si="122"/>
        <v>0.3</v>
      </c>
      <c r="Z249" s="126">
        <f t="shared" si="122"/>
        <v>0.3</v>
      </c>
      <c r="AA249" s="126">
        <f t="shared" si="122"/>
        <v>0.3</v>
      </c>
      <c r="AB249" s="126">
        <f t="shared" si="122"/>
        <v>0.3</v>
      </c>
      <c r="AC249" s="126">
        <f t="shared" si="122"/>
        <v>0.3</v>
      </c>
      <c r="AD249" s="126">
        <f t="shared" si="122"/>
        <v>0.3</v>
      </c>
      <c r="AE249" s="126">
        <f t="shared" si="122"/>
        <v>0.3</v>
      </c>
      <c r="AF249" s="126">
        <f t="shared" si="122"/>
        <v>0.3</v>
      </c>
      <c r="AG249" s="140">
        <v>1</v>
      </c>
      <c r="AH249" s="47"/>
      <c r="AI249" s="48"/>
      <c r="AK249" s="50"/>
    </row>
    <row r="250" spans="1:37" x14ac:dyDescent="0.25">
      <c r="A250" s="103" t="s">
        <v>236</v>
      </c>
      <c r="B250" s="126">
        <f t="shared" si="120"/>
        <v>0.4</v>
      </c>
      <c r="C250" s="126">
        <v>0.4</v>
      </c>
      <c r="D250" s="126">
        <f t="shared" si="121"/>
        <v>0.4</v>
      </c>
      <c r="E250" s="126">
        <f t="shared" si="121"/>
        <v>0.4</v>
      </c>
      <c r="F250" s="126">
        <f t="shared" si="121"/>
        <v>0.4</v>
      </c>
      <c r="G250" s="126">
        <f t="shared" si="121"/>
        <v>0.4</v>
      </c>
      <c r="H250" s="126">
        <f t="shared" si="121"/>
        <v>0.4</v>
      </c>
      <c r="I250" s="126">
        <f t="shared" si="121"/>
        <v>0.4</v>
      </c>
      <c r="J250" s="126">
        <f t="shared" si="121"/>
        <v>0.4</v>
      </c>
      <c r="K250" s="126">
        <f t="shared" si="121"/>
        <v>0.4</v>
      </c>
      <c r="L250" s="126">
        <f t="shared" si="121"/>
        <v>0.4</v>
      </c>
      <c r="M250" s="126">
        <f t="shared" si="121"/>
        <v>0.4</v>
      </c>
      <c r="N250" s="126">
        <f t="shared" si="121"/>
        <v>0.4</v>
      </c>
      <c r="O250" s="126">
        <f t="shared" si="121"/>
        <v>0.4</v>
      </c>
      <c r="P250" s="126">
        <f t="shared" si="121"/>
        <v>0.4</v>
      </c>
      <c r="Q250" s="126">
        <f t="shared" si="121"/>
        <v>0.4</v>
      </c>
      <c r="R250" s="126">
        <f t="shared" si="121"/>
        <v>0.4</v>
      </c>
      <c r="S250" s="126">
        <f t="shared" si="121"/>
        <v>0.4</v>
      </c>
      <c r="T250" s="126">
        <f t="shared" si="122"/>
        <v>0.4</v>
      </c>
      <c r="U250" s="126">
        <f t="shared" si="122"/>
        <v>0.4</v>
      </c>
      <c r="V250" s="126">
        <f t="shared" si="122"/>
        <v>0.4</v>
      </c>
      <c r="W250" s="126">
        <f t="shared" si="122"/>
        <v>0.4</v>
      </c>
      <c r="X250" s="126">
        <f t="shared" si="122"/>
        <v>0.4</v>
      </c>
      <c r="Y250" s="126">
        <f t="shared" si="122"/>
        <v>0.4</v>
      </c>
      <c r="Z250" s="126">
        <f t="shared" si="122"/>
        <v>0.4</v>
      </c>
      <c r="AA250" s="126">
        <f t="shared" si="122"/>
        <v>0.4</v>
      </c>
      <c r="AB250" s="126">
        <f t="shared" si="122"/>
        <v>0.4</v>
      </c>
      <c r="AC250" s="126">
        <f t="shared" si="122"/>
        <v>0.4</v>
      </c>
      <c r="AD250" s="126">
        <f t="shared" si="122"/>
        <v>0.4</v>
      </c>
      <c r="AE250" s="126">
        <f t="shared" si="122"/>
        <v>0.4</v>
      </c>
      <c r="AF250" s="126">
        <f t="shared" si="122"/>
        <v>0.4</v>
      </c>
      <c r="AG250" s="140">
        <v>1</v>
      </c>
      <c r="AH250" s="47"/>
      <c r="AI250" s="48"/>
      <c r="AK250" s="50"/>
    </row>
    <row r="251" spans="1:37" ht="15.75" thickBot="1" x14ac:dyDescent="0.3">
      <c r="A251" s="116" t="s">
        <v>237</v>
      </c>
      <c r="B251" s="130">
        <f t="shared" si="120"/>
        <v>0.64</v>
      </c>
      <c r="C251" s="130">
        <v>0.64</v>
      </c>
      <c r="D251" s="130">
        <f t="shared" si="121"/>
        <v>0.64</v>
      </c>
      <c r="E251" s="130">
        <f t="shared" si="121"/>
        <v>0.64</v>
      </c>
      <c r="F251" s="130">
        <f t="shared" si="121"/>
        <v>0.64</v>
      </c>
      <c r="G251" s="130">
        <f t="shared" si="121"/>
        <v>0.64</v>
      </c>
      <c r="H251" s="130">
        <f t="shared" si="121"/>
        <v>0.64</v>
      </c>
      <c r="I251" s="130">
        <f t="shared" si="121"/>
        <v>0.64</v>
      </c>
      <c r="J251" s="130">
        <f t="shared" si="121"/>
        <v>0.64</v>
      </c>
      <c r="K251" s="130">
        <f t="shared" si="121"/>
        <v>0.64</v>
      </c>
      <c r="L251" s="130">
        <f t="shared" si="121"/>
        <v>0.64</v>
      </c>
      <c r="M251" s="130">
        <f t="shared" si="121"/>
        <v>0.64</v>
      </c>
      <c r="N251" s="130">
        <f t="shared" si="121"/>
        <v>0.64</v>
      </c>
      <c r="O251" s="130">
        <f t="shared" si="121"/>
        <v>0.64</v>
      </c>
      <c r="P251" s="130">
        <f t="shared" si="121"/>
        <v>0.64</v>
      </c>
      <c r="Q251" s="130">
        <f t="shared" si="121"/>
        <v>0.64</v>
      </c>
      <c r="R251" s="130">
        <f t="shared" si="121"/>
        <v>0.64</v>
      </c>
      <c r="S251" s="130">
        <f t="shared" si="121"/>
        <v>0.64</v>
      </c>
      <c r="T251" s="130">
        <f t="shared" si="122"/>
        <v>0.64</v>
      </c>
      <c r="U251" s="130">
        <f t="shared" si="122"/>
        <v>0.64</v>
      </c>
      <c r="V251" s="130">
        <f t="shared" si="122"/>
        <v>0.64</v>
      </c>
      <c r="W251" s="130">
        <f t="shared" si="122"/>
        <v>0.64</v>
      </c>
      <c r="X251" s="130">
        <f t="shared" si="122"/>
        <v>0.64</v>
      </c>
      <c r="Y251" s="130">
        <f t="shared" si="122"/>
        <v>0.64</v>
      </c>
      <c r="Z251" s="130">
        <f t="shared" si="122"/>
        <v>0.64</v>
      </c>
      <c r="AA251" s="130">
        <f t="shared" si="122"/>
        <v>0.64</v>
      </c>
      <c r="AB251" s="130">
        <f t="shared" si="122"/>
        <v>0.64</v>
      </c>
      <c r="AC251" s="130">
        <f t="shared" si="122"/>
        <v>0.64</v>
      </c>
      <c r="AD251" s="130">
        <f t="shared" si="122"/>
        <v>0.64</v>
      </c>
      <c r="AE251" s="130">
        <f t="shared" si="122"/>
        <v>0.64</v>
      </c>
      <c r="AF251" s="130">
        <f t="shared" si="122"/>
        <v>0.64</v>
      </c>
      <c r="AG251" s="141">
        <v>0.66</v>
      </c>
      <c r="AH251" s="47"/>
      <c r="AI251" s="48"/>
    </row>
    <row r="252" spans="1:37" ht="15.75" thickBot="1" x14ac:dyDescent="0.3">
      <c r="A252" s="142" t="s">
        <v>75</v>
      </c>
      <c r="B252" s="134">
        <f t="shared" ref="B252:AG252" si="123">SUM(B246:B251)</f>
        <v>3.54</v>
      </c>
      <c r="C252" s="134">
        <f t="shared" si="123"/>
        <v>3.54</v>
      </c>
      <c r="D252" s="134">
        <f t="shared" si="123"/>
        <v>3.54</v>
      </c>
      <c r="E252" s="134">
        <f t="shared" si="123"/>
        <v>3.54</v>
      </c>
      <c r="F252" s="134">
        <f t="shared" si="123"/>
        <v>3.54</v>
      </c>
      <c r="G252" s="134">
        <f t="shared" si="123"/>
        <v>3.54</v>
      </c>
      <c r="H252" s="134">
        <f t="shared" si="123"/>
        <v>3.54</v>
      </c>
      <c r="I252" s="134">
        <f t="shared" si="123"/>
        <v>3.54</v>
      </c>
      <c r="J252" s="134">
        <f t="shared" si="123"/>
        <v>3.54</v>
      </c>
      <c r="K252" s="134">
        <f t="shared" si="123"/>
        <v>3.54</v>
      </c>
      <c r="L252" s="134">
        <f t="shared" si="123"/>
        <v>3.54</v>
      </c>
      <c r="M252" s="134">
        <f t="shared" si="123"/>
        <v>3.54</v>
      </c>
      <c r="N252" s="134">
        <f t="shared" si="123"/>
        <v>3.54</v>
      </c>
      <c r="O252" s="134">
        <f t="shared" si="123"/>
        <v>3.54</v>
      </c>
      <c r="P252" s="134">
        <f t="shared" si="123"/>
        <v>3.54</v>
      </c>
      <c r="Q252" s="134">
        <f t="shared" si="123"/>
        <v>3.54</v>
      </c>
      <c r="R252" s="134">
        <f t="shared" si="123"/>
        <v>3.54</v>
      </c>
      <c r="S252" s="134">
        <f t="shared" si="123"/>
        <v>3.54</v>
      </c>
      <c r="T252" s="134">
        <f t="shared" si="123"/>
        <v>3.54</v>
      </c>
      <c r="U252" s="134">
        <f t="shared" si="123"/>
        <v>3.54</v>
      </c>
      <c r="V252" s="134">
        <f t="shared" si="123"/>
        <v>3.54</v>
      </c>
      <c r="W252" s="134">
        <f t="shared" si="123"/>
        <v>3.54</v>
      </c>
      <c r="X252" s="134">
        <f t="shared" si="123"/>
        <v>3.54</v>
      </c>
      <c r="Y252" s="134">
        <f t="shared" si="123"/>
        <v>3.54</v>
      </c>
      <c r="Z252" s="134">
        <f t="shared" si="123"/>
        <v>3.54</v>
      </c>
      <c r="AA252" s="134">
        <f t="shared" si="123"/>
        <v>3.54</v>
      </c>
      <c r="AB252" s="134">
        <f t="shared" si="123"/>
        <v>3.54</v>
      </c>
      <c r="AC252" s="134">
        <f t="shared" si="123"/>
        <v>3.54</v>
      </c>
      <c r="AD252" s="134">
        <f t="shared" si="123"/>
        <v>3.54</v>
      </c>
      <c r="AE252" s="134">
        <f t="shared" si="123"/>
        <v>3.54</v>
      </c>
      <c r="AF252" s="134">
        <f t="shared" si="123"/>
        <v>3.54</v>
      </c>
      <c r="AG252" s="143">
        <f t="shared" si="123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37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54" t="s">
        <v>243</v>
      </c>
      <c r="B256" s="155">
        <f>MAX(G99:N99)</f>
        <v>1794.24</v>
      </c>
      <c r="C256" s="156">
        <f>INDEX(G9:N9,1,MATCH(MAX(G99:N99),G99:N99,0))</f>
        <v>0.375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50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157" t="str">
        <f ca="1">MID(CELL("filename",C7),FIND("]",CELL("filename",C7))+1,600)</f>
        <v>27</v>
      </c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50" x14ac:dyDescent="0.25">
      <c r="A258" s="257" t="s">
        <v>244</v>
      </c>
      <c r="B258" s="257"/>
      <c r="C258" s="43"/>
      <c r="D258" s="157" t="str">
        <f ca="1">"Pie Chart of Daily Peak Demand(Inclusive of Export) of Nepal ("&amp;A4&amp;" "&amp;B4&amp;")"</f>
        <v>Pie Chart of Daily Peak Demand(Inclusive of Export) of Nepal (Nepali Date: 2080/10/27)</v>
      </c>
      <c r="E258" s="43"/>
      <c r="F258" s="43"/>
      <c r="G258" s="157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157" t="str">
        <f ca="1">"Daily Load Curve(Excluding of Export) of Nepal ("&amp;A4&amp;" "&amp;B4&amp;")"</f>
        <v>Daily Load Curve(Excluding of Export) of Nepal (Nepali Date: 2080/10/27)</v>
      </c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50" ht="12.75" customHeight="1" thickBot="1" x14ac:dyDescent="0.3">
      <c r="A259" s="158" t="s">
        <v>7</v>
      </c>
      <c r="B259" s="159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50" ht="15.75" thickTop="1" x14ac:dyDescent="0.25">
      <c r="A260" s="158" t="s">
        <v>245</v>
      </c>
      <c r="B260" s="15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160" t="s">
        <v>246</v>
      </c>
      <c r="T260" s="161">
        <v>0</v>
      </c>
      <c r="U260" s="162">
        <v>4.1666666666666664E-2</v>
      </c>
      <c r="V260" s="163">
        <v>8.3333333333333301E-2</v>
      </c>
      <c r="W260" s="163">
        <v>0.125</v>
      </c>
      <c r="X260" s="163">
        <v>0.16666666666666699</v>
      </c>
      <c r="Y260" s="163">
        <v>0.20833333333333301</v>
      </c>
      <c r="Z260" s="163">
        <v>0.22916666666666666</v>
      </c>
      <c r="AA260" s="163">
        <v>0.25</v>
      </c>
      <c r="AB260" s="163">
        <v>0.27083333333333331</v>
      </c>
      <c r="AC260" s="163">
        <v>0.29166666666666669</v>
      </c>
      <c r="AD260" s="163">
        <v>0.3125</v>
      </c>
      <c r="AE260" s="164">
        <v>0.33333333333333331</v>
      </c>
      <c r="AF260" s="164">
        <v>0.375</v>
      </c>
      <c r="AG260" s="164">
        <v>0.41666666666666702</v>
      </c>
      <c r="AH260" s="164">
        <v>0.45833333333333298</v>
      </c>
      <c r="AI260" s="164">
        <v>0.5</v>
      </c>
      <c r="AJ260" s="164">
        <v>0.54166666666666696</v>
      </c>
      <c r="AK260" s="164">
        <v>0.58333333333333304</v>
      </c>
      <c r="AL260" s="164">
        <v>0.625</v>
      </c>
      <c r="AM260" s="164">
        <v>0.66666666666666696</v>
      </c>
      <c r="AN260" s="164">
        <v>0.70833333333333304</v>
      </c>
      <c r="AO260" s="164">
        <v>0.72916666666666663</v>
      </c>
      <c r="AP260" s="164">
        <v>0.75</v>
      </c>
      <c r="AQ260" s="164">
        <v>0.77083333333333337</v>
      </c>
      <c r="AR260" s="164">
        <v>0.79166666666666663</v>
      </c>
      <c r="AS260" s="164">
        <v>0.8125</v>
      </c>
      <c r="AT260" s="163">
        <v>0.83333333333333337</v>
      </c>
      <c r="AU260" s="163">
        <v>0.85416666666666663</v>
      </c>
      <c r="AV260" s="163">
        <v>0.875</v>
      </c>
      <c r="AW260" s="163">
        <v>0.91666666666666696</v>
      </c>
      <c r="AX260" s="163">
        <v>0.95833333333333304</v>
      </c>
    </row>
    <row r="261" spans="1:50" x14ac:dyDescent="0.25">
      <c r="A261" s="158" t="s">
        <v>247</v>
      </c>
      <c r="B261" s="15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 t="s">
        <v>248</v>
      </c>
      <c r="T261" s="165">
        <f t="shared" ref="T261:AX261" si="124">B99</f>
        <v>1227.2400000000002</v>
      </c>
      <c r="U261" s="165">
        <f t="shared" si="124"/>
        <v>1169.6400000000001</v>
      </c>
      <c r="V261" s="165">
        <f t="shared" si="124"/>
        <v>1168.3400000000001</v>
      </c>
      <c r="W261" s="165">
        <f t="shared" si="124"/>
        <v>1161.74</v>
      </c>
      <c r="X261" s="165">
        <f t="shared" si="124"/>
        <v>1165.6399999999999</v>
      </c>
      <c r="Y261" s="165">
        <f t="shared" si="124"/>
        <v>1192.74</v>
      </c>
      <c r="Z261" s="165">
        <f t="shared" si="124"/>
        <v>1245.3400000000001</v>
      </c>
      <c r="AA261" s="165">
        <f t="shared" si="124"/>
        <v>1349.24</v>
      </c>
      <c r="AB261" s="165">
        <f t="shared" si="124"/>
        <v>1417.3400000000001</v>
      </c>
      <c r="AC261" s="165">
        <f t="shared" si="124"/>
        <v>1625.5400000000002</v>
      </c>
      <c r="AD261" s="165">
        <f t="shared" si="124"/>
        <v>1630.64</v>
      </c>
      <c r="AE261" s="165">
        <f t="shared" si="124"/>
        <v>1656.64</v>
      </c>
      <c r="AF261" s="165">
        <f t="shared" si="124"/>
        <v>1794.24</v>
      </c>
      <c r="AG261" s="165">
        <f t="shared" si="124"/>
        <v>1510.04</v>
      </c>
      <c r="AH261" s="165">
        <f t="shared" si="124"/>
        <v>1372.7400000000002</v>
      </c>
      <c r="AI261" s="165">
        <f t="shared" si="124"/>
        <v>1426.14</v>
      </c>
      <c r="AJ261" s="165">
        <f t="shared" si="124"/>
        <v>1322.8400000000001</v>
      </c>
      <c r="AK261" s="165">
        <f t="shared" si="124"/>
        <v>1286.6400000000001</v>
      </c>
      <c r="AL261" s="165">
        <f t="shared" si="124"/>
        <v>1320.08</v>
      </c>
      <c r="AM261" s="165">
        <f t="shared" si="124"/>
        <v>1318.34</v>
      </c>
      <c r="AN261" s="165">
        <f t="shared" si="124"/>
        <v>1151.6400000000001</v>
      </c>
      <c r="AO261" s="165">
        <f t="shared" si="124"/>
        <v>1477.74</v>
      </c>
      <c r="AP261" s="165">
        <f t="shared" si="124"/>
        <v>1565.94</v>
      </c>
      <c r="AQ261" s="165">
        <f t="shared" si="124"/>
        <v>1780.64</v>
      </c>
      <c r="AR261" s="165">
        <f t="shared" si="124"/>
        <v>1770.04</v>
      </c>
      <c r="AS261" s="165">
        <f t="shared" si="124"/>
        <v>1689.44</v>
      </c>
      <c r="AT261" s="165">
        <f t="shared" si="124"/>
        <v>1613.24</v>
      </c>
      <c r="AU261" s="165">
        <f t="shared" si="124"/>
        <v>1513.6399999999999</v>
      </c>
      <c r="AV261" s="165">
        <f t="shared" si="124"/>
        <v>1487.74</v>
      </c>
      <c r="AW261" s="165">
        <f t="shared" si="124"/>
        <v>1355.2400000000002</v>
      </c>
      <c r="AX261" s="165">
        <f t="shared" si="124"/>
        <v>1200.6399999999999</v>
      </c>
    </row>
    <row r="262" spans="1:50" x14ac:dyDescent="0.25">
      <c r="A262" s="158" t="s">
        <v>249</v>
      </c>
      <c r="B262" s="15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50" x14ac:dyDescent="0.25">
      <c r="A263" s="158" t="s">
        <v>250</v>
      </c>
      <c r="B263" s="15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50" x14ac:dyDescent="0.25">
      <c r="A264" s="158" t="s">
        <v>251</v>
      </c>
      <c r="B264" s="15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50" x14ac:dyDescent="0.25">
      <c r="A265" s="158" t="s">
        <v>252</v>
      </c>
      <c r="B265" s="166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50" x14ac:dyDescent="0.25">
      <c r="A266" s="158" t="s">
        <v>253</v>
      </c>
      <c r="B266" s="15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50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50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50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50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50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50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1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1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1:34" x14ac:dyDescent="0.25">
      <c r="A282" s="167" t="s">
        <v>238</v>
      </c>
      <c r="B282" s="168">
        <f t="shared" ref="B282:AE282" si="125">C251</f>
        <v>0.64</v>
      </c>
      <c r="C282" s="168">
        <f t="shared" si="125"/>
        <v>0.64</v>
      </c>
      <c r="D282" s="168">
        <f t="shared" si="125"/>
        <v>0.64</v>
      </c>
      <c r="E282" s="168">
        <f t="shared" si="125"/>
        <v>0.64</v>
      </c>
      <c r="F282" s="168">
        <f t="shared" si="125"/>
        <v>0.64</v>
      </c>
      <c r="G282" s="168">
        <f t="shared" si="125"/>
        <v>0.64</v>
      </c>
      <c r="H282" s="168">
        <f t="shared" si="125"/>
        <v>0.64</v>
      </c>
      <c r="I282" s="168">
        <f t="shared" si="125"/>
        <v>0.64</v>
      </c>
      <c r="J282" s="168">
        <f t="shared" si="125"/>
        <v>0.64</v>
      </c>
      <c r="K282" s="168">
        <f t="shared" si="125"/>
        <v>0.64</v>
      </c>
      <c r="L282" s="168">
        <f t="shared" si="125"/>
        <v>0.64</v>
      </c>
      <c r="M282" s="168">
        <f t="shared" si="125"/>
        <v>0.64</v>
      </c>
      <c r="N282" s="168">
        <f t="shared" si="125"/>
        <v>0.64</v>
      </c>
      <c r="O282" s="168">
        <f t="shared" si="125"/>
        <v>0.64</v>
      </c>
      <c r="P282" s="168">
        <f t="shared" si="125"/>
        <v>0.64</v>
      </c>
      <c r="Q282" s="168">
        <f t="shared" si="125"/>
        <v>0.64</v>
      </c>
      <c r="R282" s="168">
        <f t="shared" si="125"/>
        <v>0.64</v>
      </c>
      <c r="S282" s="168">
        <f t="shared" si="125"/>
        <v>0.64</v>
      </c>
      <c r="T282" s="168">
        <f t="shared" si="125"/>
        <v>0.64</v>
      </c>
      <c r="U282" s="168">
        <f t="shared" si="125"/>
        <v>0.64</v>
      </c>
      <c r="V282" s="168">
        <f t="shared" si="125"/>
        <v>0.64</v>
      </c>
      <c r="W282" s="168">
        <f t="shared" si="125"/>
        <v>0.64</v>
      </c>
      <c r="X282" s="168">
        <f t="shared" si="125"/>
        <v>0.64</v>
      </c>
      <c r="Y282" s="168">
        <f t="shared" si="125"/>
        <v>0.64</v>
      </c>
      <c r="Z282" s="168">
        <f t="shared" si="125"/>
        <v>0.64</v>
      </c>
      <c r="AA282" s="168">
        <f t="shared" si="125"/>
        <v>0.64</v>
      </c>
      <c r="AB282" s="168">
        <f t="shared" si="125"/>
        <v>0.64</v>
      </c>
      <c r="AC282" s="168">
        <f t="shared" si="125"/>
        <v>0.64</v>
      </c>
      <c r="AD282" s="168">
        <f t="shared" si="125"/>
        <v>0.64</v>
      </c>
      <c r="AE282" s="168">
        <f t="shared" si="125"/>
        <v>0.64</v>
      </c>
      <c r="AF282" s="168">
        <f>B251</f>
        <v>0.64</v>
      </c>
      <c r="AG282" s="43"/>
      <c r="AH282" s="43"/>
    </row>
    <row r="283" spans="1:34" x14ac:dyDescent="0.25">
      <c r="A283" s="169" t="e">
        <f>#REF!</f>
        <v>#REF!</v>
      </c>
      <c r="B283" s="169" t="e">
        <f>IF(#REF!&lt;100,"",#REF!-520)</f>
        <v>#REF!</v>
      </c>
      <c r="C283" s="169" t="e">
        <f>IF(#REF!&lt;100,"",#REF!-520)</f>
        <v>#REF!</v>
      </c>
      <c r="D283" s="169" t="e">
        <f>IF(#REF!&lt;100,"",#REF!-520)</f>
        <v>#REF!</v>
      </c>
      <c r="E283" s="169" t="e">
        <f>IF(#REF!&lt;100,"",#REF!-520)</f>
        <v>#REF!</v>
      </c>
      <c r="F283" s="169" t="e">
        <f>IF(#REF!&lt;100,"",#REF!-520)</f>
        <v>#REF!</v>
      </c>
      <c r="G283" s="169" t="e">
        <f>IF(#REF!&lt;100,"",#REF!-520)</f>
        <v>#REF!</v>
      </c>
      <c r="H283" s="169" t="e">
        <f>IF(#REF!&lt;100,"",#REF!-520)</f>
        <v>#REF!</v>
      </c>
      <c r="I283" s="169" t="e">
        <f>IF(#REF!&lt;100,"",#REF!-520)</f>
        <v>#REF!</v>
      </c>
      <c r="J283" s="169" t="e">
        <f>IF(#REF!&lt;100,"",#REF!-520)</f>
        <v>#REF!</v>
      </c>
      <c r="K283" s="169" t="e">
        <f>IF(#REF!&lt;100,"",#REF!-520)</f>
        <v>#REF!</v>
      </c>
      <c r="L283" s="169" t="e">
        <f>IF(#REF!&lt;100,"",#REF!-520)</f>
        <v>#REF!</v>
      </c>
      <c r="M283" s="169" t="e">
        <f>IF(#REF!&lt;100,"",#REF!-520)</f>
        <v>#REF!</v>
      </c>
      <c r="N283" s="169" t="e">
        <f>IF(#REF!&lt;100,"",#REF!-520)</f>
        <v>#REF!</v>
      </c>
      <c r="O283" s="169" t="e">
        <f>IF(#REF!&lt;100,"",#REF!-520)</f>
        <v>#REF!</v>
      </c>
      <c r="P283" s="169" t="e">
        <f>IF(#REF!&lt;100,"",#REF!-520)</f>
        <v>#REF!</v>
      </c>
      <c r="Q283" s="169" t="e">
        <f>IF(#REF!&lt;100,"",#REF!-520)</f>
        <v>#REF!</v>
      </c>
      <c r="R283" s="169" t="e">
        <f>IF(#REF!&lt;100,"",#REF!-520)</f>
        <v>#REF!</v>
      </c>
      <c r="S283" s="169" t="e">
        <f>IF(#REF!&lt;100,"",#REF!-520)</f>
        <v>#REF!</v>
      </c>
      <c r="T283" s="169" t="e">
        <f>IF(#REF!&lt;100,"",#REF!-520)</f>
        <v>#REF!</v>
      </c>
      <c r="U283" s="169" t="e">
        <f>IF(#REF!&lt;100,"",#REF!-520)</f>
        <v>#REF!</v>
      </c>
      <c r="V283" s="169" t="e">
        <f>IF(#REF!&lt;100,"",#REF!-520)</f>
        <v>#REF!</v>
      </c>
      <c r="W283" s="169" t="e">
        <f>IF(#REF!&lt;100,"",#REF!-520)</f>
        <v>#REF!</v>
      </c>
      <c r="X283" s="169" t="e">
        <f>IF(#REF!&lt;100,"",#REF!-520)</f>
        <v>#REF!</v>
      </c>
      <c r="Y283" s="169" t="e">
        <f>IF(#REF!&lt;100,"",#REF!-520)</f>
        <v>#REF!</v>
      </c>
      <c r="Z283" s="169" t="e">
        <f>IF(#REF!&lt;100,"",#REF!-520)</f>
        <v>#REF!</v>
      </c>
      <c r="AA283" s="169" t="e">
        <f>IF(#REF!&lt;100,"",#REF!-520)</f>
        <v>#REF!</v>
      </c>
      <c r="AB283" s="169" t="e">
        <f>IF(#REF!&lt;100,"",#REF!-520)</f>
        <v>#REF!</v>
      </c>
      <c r="AC283" s="169" t="e">
        <f>IF(#REF!&lt;100,"",#REF!-520)</f>
        <v>#REF!</v>
      </c>
      <c r="AD283" s="169" t="e">
        <f>IF(#REF!&lt;100,"",#REF!-520)</f>
        <v>#REF!</v>
      </c>
      <c r="AE283" s="169" t="e">
        <f>IF(#REF!&lt;100,"",#REF!-520)</f>
        <v>#REF!</v>
      </c>
      <c r="AF283" s="169" t="e">
        <f>IF(#REF!&lt;100,"",#REF!-520)</f>
        <v>#REF!</v>
      </c>
      <c r="AG283" s="43"/>
      <c r="AH283" s="43"/>
    </row>
    <row r="284" spans="1:34" x14ac:dyDescent="0.25">
      <c r="A284" s="169" t="e">
        <f>#REF!</f>
        <v>#REF!</v>
      </c>
      <c r="B284" s="169" t="e">
        <f>IF(#REF!&lt;100,"",#REF!-620)</f>
        <v>#REF!</v>
      </c>
      <c r="C284" s="169" t="e">
        <f>IF(#REF!&lt;100,"",#REF!-620)</f>
        <v>#REF!</v>
      </c>
      <c r="D284" s="169" t="e">
        <f>IF(#REF!&lt;100,"",#REF!-620)</f>
        <v>#REF!</v>
      </c>
      <c r="E284" s="169" t="e">
        <f>IF(#REF!&lt;100,"",#REF!-620)</f>
        <v>#REF!</v>
      </c>
      <c r="F284" s="169" t="e">
        <f>IF(#REF!&lt;100,"",#REF!-620)</f>
        <v>#REF!</v>
      </c>
      <c r="G284" s="169" t="e">
        <f>IF(#REF!&lt;100,"",#REF!-620)</f>
        <v>#REF!</v>
      </c>
      <c r="H284" s="169" t="e">
        <f>IF(#REF!&lt;100,"",#REF!-620)</f>
        <v>#REF!</v>
      </c>
      <c r="I284" s="169" t="e">
        <f>IF(#REF!&lt;100,"",#REF!-620)</f>
        <v>#REF!</v>
      </c>
      <c r="J284" s="169" t="e">
        <f>IF(#REF!&lt;100,"",#REF!-620)</f>
        <v>#REF!</v>
      </c>
      <c r="K284" s="169" t="e">
        <f>IF(#REF!&lt;100,"",#REF!-620)</f>
        <v>#REF!</v>
      </c>
      <c r="L284" s="169" t="e">
        <f>IF(#REF!&lt;100,"",#REF!-620)</f>
        <v>#REF!</v>
      </c>
      <c r="M284" s="169" t="e">
        <f>IF(#REF!&lt;100,"",#REF!-620)</f>
        <v>#REF!</v>
      </c>
      <c r="N284" s="169" t="e">
        <f>IF(#REF!&lt;100,"",#REF!-620)</f>
        <v>#REF!</v>
      </c>
      <c r="O284" s="169" t="e">
        <f>IF(#REF!&lt;100,"",#REF!-620)</f>
        <v>#REF!</v>
      </c>
      <c r="P284" s="169" t="e">
        <f>IF(#REF!&lt;100,"",#REF!-620)</f>
        <v>#REF!</v>
      </c>
      <c r="Q284" s="169" t="e">
        <f>IF(#REF!&lt;100,"",#REF!-620)</f>
        <v>#REF!</v>
      </c>
      <c r="R284" s="169" t="e">
        <f>IF(#REF!&lt;100,"",#REF!-620)</f>
        <v>#REF!</v>
      </c>
      <c r="S284" s="169" t="e">
        <f>IF(#REF!&lt;100,"",#REF!-620)</f>
        <v>#REF!</v>
      </c>
      <c r="T284" s="169" t="e">
        <f>IF(#REF!&lt;100,"",#REF!-620)</f>
        <v>#REF!</v>
      </c>
      <c r="U284" s="169" t="e">
        <f>IF(#REF!&lt;100,"",#REF!-620)</f>
        <v>#REF!</v>
      </c>
      <c r="V284" s="169" t="e">
        <f>IF(#REF!&lt;100,"",#REF!-620)</f>
        <v>#REF!</v>
      </c>
      <c r="W284" s="169" t="e">
        <f>IF(#REF!&lt;100,"",#REF!-620)</f>
        <v>#REF!</v>
      </c>
      <c r="X284" s="169" t="e">
        <f>IF(#REF!&lt;100,"",#REF!-620)</f>
        <v>#REF!</v>
      </c>
      <c r="Y284" s="169" t="e">
        <f>IF(#REF!&lt;100,"",#REF!-620)</f>
        <v>#REF!</v>
      </c>
      <c r="Z284" s="169" t="e">
        <f>IF(#REF!&lt;100,"",#REF!-620)</f>
        <v>#REF!</v>
      </c>
      <c r="AA284" s="169" t="e">
        <f>IF(#REF!&lt;100,"",#REF!-620)</f>
        <v>#REF!</v>
      </c>
      <c r="AB284" s="169" t="e">
        <f>IF(#REF!&lt;100,"",#REF!-620)</f>
        <v>#REF!</v>
      </c>
      <c r="AC284" s="169" t="e">
        <f>IF(#REF!&lt;100,"",#REF!-620)</f>
        <v>#REF!</v>
      </c>
      <c r="AD284" s="169" t="e">
        <f>IF(#REF!&lt;100,"",#REF!-620)</f>
        <v>#REF!</v>
      </c>
      <c r="AE284" s="169" t="e">
        <f>IF(#REF!&lt;100,"",#REF!-620)</f>
        <v>#REF!</v>
      </c>
      <c r="AF284" s="169" t="e">
        <f>IF(#REF!&lt;100,"",#REF!-620)</f>
        <v>#REF!</v>
      </c>
      <c r="AG284" s="43"/>
      <c r="AH284" s="43"/>
    </row>
    <row r="285" spans="1:34" x14ac:dyDescent="0.25">
      <c r="A285" s="169" t="e">
        <f>#REF!</f>
        <v>#REF!</v>
      </c>
      <c r="B285" s="169" t="e">
        <f>IF(#REF!&lt;100,"",#REF!-330)</f>
        <v>#REF!</v>
      </c>
      <c r="C285" s="169" t="e">
        <f>IF(#REF!&lt;100,"",#REF!-330)</f>
        <v>#REF!</v>
      </c>
      <c r="D285" s="169" t="e">
        <f>IF(#REF!&lt;100,"",#REF!-330)</f>
        <v>#REF!</v>
      </c>
      <c r="E285" s="169" t="e">
        <f>IF(#REF!&lt;100,"",#REF!-330)</f>
        <v>#REF!</v>
      </c>
      <c r="F285" s="169" t="e">
        <f>IF(#REF!&lt;100,"",#REF!-330)</f>
        <v>#REF!</v>
      </c>
      <c r="G285" s="169" t="e">
        <f>IF(#REF!&lt;100,"",#REF!-330)</f>
        <v>#REF!</v>
      </c>
      <c r="H285" s="169" t="e">
        <f>IF(#REF!&lt;100,"",#REF!-330)</f>
        <v>#REF!</v>
      </c>
      <c r="I285" s="169" t="e">
        <f>IF(#REF!&lt;100,"",#REF!-330)</f>
        <v>#REF!</v>
      </c>
      <c r="J285" s="169" t="e">
        <f>IF(#REF!&lt;100,"",#REF!-330)</f>
        <v>#REF!</v>
      </c>
      <c r="K285" s="169" t="e">
        <f>IF(#REF!&lt;100,"",#REF!-330)</f>
        <v>#REF!</v>
      </c>
      <c r="L285" s="169" t="e">
        <f>IF(#REF!&lt;100,"",#REF!-330)</f>
        <v>#REF!</v>
      </c>
      <c r="M285" s="169" t="e">
        <f>IF(#REF!&lt;100,"",#REF!-330)</f>
        <v>#REF!</v>
      </c>
      <c r="N285" s="169" t="e">
        <f>IF(#REF!&lt;100,"",#REF!-330)</f>
        <v>#REF!</v>
      </c>
      <c r="O285" s="169" t="e">
        <f>IF(#REF!&lt;100,"",#REF!-330)</f>
        <v>#REF!</v>
      </c>
      <c r="P285" s="169" t="e">
        <f>IF(#REF!&lt;100,"",#REF!-330)</f>
        <v>#REF!</v>
      </c>
      <c r="Q285" s="169" t="e">
        <f>IF(#REF!&lt;100,"",#REF!-330)</f>
        <v>#REF!</v>
      </c>
      <c r="R285" s="169" t="e">
        <f>IF(#REF!&lt;100,"",#REF!-330)</f>
        <v>#REF!</v>
      </c>
      <c r="S285" s="169" t="e">
        <f>IF(#REF!&lt;100,"",#REF!-330)</f>
        <v>#REF!</v>
      </c>
      <c r="T285" s="169" t="e">
        <f>IF(#REF!&lt;100,"",#REF!-330)</f>
        <v>#REF!</v>
      </c>
      <c r="U285" s="169" t="e">
        <f>IF(#REF!&lt;100,"",#REF!-330)</f>
        <v>#REF!</v>
      </c>
      <c r="V285" s="169" t="e">
        <f>IF(#REF!&lt;100,"",#REF!-330)</f>
        <v>#REF!</v>
      </c>
      <c r="W285" s="169" t="e">
        <f>IF(#REF!&lt;100,"",#REF!-330)</f>
        <v>#REF!</v>
      </c>
      <c r="X285" s="169" t="e">
        <f>IF(#REF!&lt;100,"",#REF!-330)</f>
        <v>#REF!</v>
      </c>
      <c r="Y285" s="169" t="e">
        <f>IF(#REF!&lt;100,"",#REF!-330)</f>
        <v>#REF!</v>
      </c>
      <c r="Z285" s="169" t="e">
        <f>IF(#REF!&lt;100,"",#REF!-330)</f>
        <v>#REF!</v>
      </c>
      <c r="AA285" s="169" t="e">
        <f>IF(#REF!&lt;100,"",#REF!-330)</f>
        <v>#REF!</v>
      </c>
      <c r="AB285" s="169" t="e">
        <f>IF(#REF!&lt;100,"",#REF!-330)</f>
        <v>#REF!</v>
      </c>
      <c r="AC285" s="169" t="e">
        <f>IF(#REF!&lt;100,"",#REF!-330)</f>
        <v>#REF!</v>
      </c>
      <c r="AD285" s="169" t="e">
        <f>IF(#REF!&lt;100,"",#REF!-330)</f>
        <v>#REF!</v>
      </c>
      <c r="AE285" s="169" t="e">
        <f>IF(#REF!&lt;100,"",#REF!-330)</f>
        <v>#REF!</v>
      </c>
      <c r="AF285" s="169" t="e">
        <f>IF(#REF!&lt;100,"",#REF!-330)</f>
        <v>#REF!</v>
      </c>
      <c r="AG285" s="43"/>
      <c r="AH285" s="43"/>
    </row>
    <row r="286" spans="1:34" x14ac:dyDescent="0.25">
      <c r="A286" s="169" t="e">
        <f>#REF!</f>
        <v>#REF!</v>
      </c>
      <c r="B286" s="169" t="e">
        <f>IF(#REF!&lt;100,"",#REF!-1500)</f>
        <v>#REF!</v>
      </c>
      <c r="C286" s="169" t="e">
        <f>IF(#REF!&lt;100,"",#REF!-1500)</f>
        <v>#REF!</v>
      </c>
      <c r="D286" s="169" t="e">
        <f>IF(#REF!&lt;100,"",#REF!-1500)</f>
        <v>#REF!</v>
      </c>
      <c r="E286" s="169" t="e">
        <f>IF(#REF!&lt;100,"",#REF!-1500)</f>
        <v>#REF!</v>
      </c>
      <c r="F286" s="169" t="e">
        <f>IF(#REF!&lt;100,"",#REF!-1500)</f>
        <v>#REF!</v>
      </c>
      <c r="G286" s="169" t="e">
        <f>IF(#REF!&lt;100,"",#REF!-1500)</f>
        <v>#REF!</v>
      </c>
      <c r="H286" s="169" t="e">
        <f>IF(#REF!&lt;100,"",#REF!-1500)</f>
        <v>#REF!</v>
      </c>
      <c r="I286" s="169" t="e">
        <f>IF(#REF!&lt;100,"",#REF!-1500)</f>
        <v>#REF!</v>
      </c>
      <c r="J286" s="169" t="e">
        <f>IF(#REF!&lt;100,"",#REF!-1500)</f>
        <v>#REF!</v>
      </c>
      <c r="K286" s="169" t="e">
        <f>IF(#REF!&lt;100,"",#REF!-1500)</f>
        <v>#REF!</v>
      </c>
      <c r="L286" s="169" t="e">
        <f>IF(#REF!&lt;100,"",#REF!-1500)</f>
        <v>#REF!</v>
      </c>
      <c r="M286" s="169" t="e">
        <f>IF(#REF!&lt;100,"",#REF!-1500)</f>
        <v>#REF!</v>
      </c>
      <c r="N286" s="169" t="e">
        <f>IF(#REF!&lt;100,"",#REF!-1500)</f>
        <v>#REF!</v>
      </c>
      <c r="O286" s="169" t="e">
        <f>IF(#REF!&lt;100,"",#REF!-1500)</f>
        <v>#REF!</v>
      </c>
      <c r="P286" s="169" t="e">
        <f>IF(#REF!&lt;100,"",#REF!-1500)</f>
        <v>#REF!</v>
      </c>
      <c r="Q286" s="169" t="e">
        <f>IF(#REF!&lt;100,"",#REF!-1500)</f>
        <v>#REF!</v>
      </c>
      <c r="R286" s="169" t="e">
        <f>IF(#REF!&lt;100,"",#REF!-1500)</f>
        <v>#REF!</v>
      </c>
      <c r="S286" s="169" t="e">
        <f>IF(#REF!&lt;100,"",#REF!-1500)</f>
        <v>#REF!</v>
      </c>
      <c r="T286" s="169" t="e">
        <f>IF(#REF!&lt;100,"",#REF!-1500)</f>
        <v>#REF!</v>
      </c>
      <c r="U286" s="169" t="e">
        <f>IF(#REF!&lt;100,"",#REF!-1500)</f>
        <v>#REF!</v>
      </c>
      <c r="V286" s="169" t="e">
        <f>IF(#REF!&lt;100,"",#REF!-1500)</f>
        <v>#REF!</v>
      </c>
      <c r="W286" s="169" t="e">
        <f>IF(#REF!&lt;100,"",#REF!-1500)</f>
        <v>#REF!</v>
      </c>
      <c r="X286" s="169" t="e">
        <f>IF(#REF!&lt;100,"",#REF!-1500)</f>
        <v>#REF!</v>
      </c>
      <c r="Y286" s="169" t="e">
        <f>IF(#REF!&lt;100,"",#REF!-1500)</f>
        <v>#REF!</v>
      </c>
      <c r="Z286" s="169" t="e">
        <f>IF(#REF!&lt;100,"",#REF!-1500)</f>
        <v>#REF!</v>
      </c>
      <c r="AA286" s="169" t="e">
        <f>IF(#REF!&lt;100,"",#REF!-1500)</f>
        <v>#REF!</v>
      </c>
      <c r="AB286" s="169" t="e">
        <f>IF(#REF!&lt;100,"",#REF!-1500)</f>
        <v>#REF!</v>
      </c>
      <c r="AC286" s="169" t="e">
        <f>IF(#REF!&lt;100,"",#REF!-1500)</f>
        <v>#REF!</v>
      </c>
      <c r="AD286" s="169" t="e">
        <f>IF(#REF!&lt;100,"",#REF!-1500)</f>
        <v>#REF!</v>
      </c>
      <c r="AE286" s="169" t="e">
        <f>IF(#REF!&lt;100,"",#REF!-1500)</f>
        <v>#REF!</v>
      </c>
      <c r="AF286" s="169" t="e">
        <f>IF(#REF!&lt;100,"",#REF!-1500)</f>
        <v>#REF!</v>
      </c>
      <c r="AG286" s="43"/>
      <c r="AH286" s="43"/>
    </row>
    <row r="287" spans="1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1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2:34" x14ac:dyDescent="0.25"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2:34" x14ac:dyDescent="0.25"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2:34" x14ac:dyDescent="0.25"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2:34" x14ac:dyDescent="0.25"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2:34" x14ac:dyDescent="0.25"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3622" priority="66">
      <formula>$AH11=0</formula>
    </cfRule>
  </conditionalFormatting>
  <conditionalFormatting sqref="A132:A253">
    <cfRule type="expression" dxfId="3621" priority="71">
      <formula>$AH132=0</formula>
    </cfRule>
  </conditionalFormatting>
  <conditionalFormatting sqref="B8 M8 S8 AB8">
    <cfRule type="expression" dxfId="3620" priority="179">
      <formula>AND(C$9&gt;=14/24,C$9&lt;20/24)</formula>
    </cfRule>
    <cfRule type="expression" dxfId="3619" priority="180">
      <formula>AND(C$9&gt;=8/24,C$9&lt;14/24)</formula>
    </cfRule>
    <cfRule type="expression" dxfId="3618" priority="181">
      <formula>C$9&lt;8/24</formula>
    </cfRule>
  </conditionalFormatting>
  <conditionalFormatting sqref="B63:E68 F66:G68 H68:O68">
    <cfRule type="expression" dxfId="3617" priority="57">
      <formula>B$9&gt;=20/24</formula>
    </cfRule>
    <cfRule type="expression" dxfId="3616" priority="58">
      <formula>AND(B$9&gt;=14/24,B$9&lt;20/24)</formula>
    </cfRule>
    <cfRule type="expression" dxfId="3615" priority="59">
      <formula>AND(B$9&gt;=8/24,B$9&lt;14/24)</formula>
    </cfRule>
    <cfRule type="expression" dxfId="3614" priority="60">
      <formula>B$9&lt;8/24</formula>
    </cfRule>
  </conditionalFormatting>
  <conditionalFormatting sqref="B63:E74 F66:G74 H68:O74 P69:AF74">
    <cfRule type="expression" dxfId="3613" priority="18">
      <formula>B63&gt;$AG63</formula>
    </cfRule>
  </conditionalFormatting>
  <conditionalFormatting sqref="B68:O68">
    <cfRule type="expression" dxfId="3612" priority="62">
      <formula>B$9&gt;=20/24</formula>
    </cfRule>
    <cfRule type="expression" dxfId="3611" priority="63">
      <formula>AND(B$9&gt;=14/24,B$9&lt;20/24)</formula>
    </cfRule>
    <cfRule type="expression" dxfId="3610" priority="64">
      <formula>AND(B$9&gt;=8/24,B$9&lt;14/24)</formula>
    </cfRule>
    <cfRule type="expression" dxfId="3609" priority="65">
      <formula>B$9&lt;8/24</formula>
    </cfRule>
  </conditionalFormatting>
  <conditionalFormatting sqref="B9:AF52">
    <cfRule type="expression" dxfId="3608" priority="24">
      <formula>B$9&gt;=20/24</formula>
    </cfRule>
    <cfRule type="expression" dxfId="3607" priority="25">
      <formula>AND(B$9&gt;=14/24,B$9&lt;20/24)</formula>
    </cfRule>
    <cfRule type="expression" dxfId="3606" priority="26">
      <formula>AND(B$9&gt;=8/24,B$9&lt;14/24)</formula>
    </cfRule>
    <cfRule type="expression" dxfId="3605" priority="27">
      <formula>B$9&lt;8/24</formula>
    </cfRule>
  </conditionalFormatting>
  <conditionalFormatting sqref="B11:AF54">
    <cfRule type="expression" dxfId="3604" priority="13">
      <formula>B11&gt;$AG11</formula>
    </cfRule>
  </conditionalFormatting>
  <conditionalFormatting sqref="B53:AF54">
    <cfRule type="expression" dxfId="3603" priority="9">
      <formula>B$9&gt;=20/24</formula>
    </cfRule>
    <cfRule type="expression" dxfId="3602" priority="10">
      <formula>AND(B$9&gt;=14/24,B$9&lt;20/24)</formula>
    </cfRule>
    <cfRule type="expression" dxfId="3601" priority="11">
      <formula>AND(B$9&gt;=8/24,B$9&lt;14/24)</formula>
    </cfRule>
    <cfRule type="expression" dxfId="3600" priority="12">
      <formula>B$9&lt;8/24</formula>
    </cfRule>
  </conditionalFormatting>
  <conditionalFormatting sqref="B55:AF55">
    <cfRule type="expression" dxfId="3599" priority="33">
      <formula>B55&gt;$AG55</formula>
    </cfRule>
  </conditionalFormatting>
  <conditionalFormatting sqref="B55:AF57">
    <cfRule type="expression" dxfId="3598" priority="29">
      <formula>B$9&gt;=20/24</formula>
    </cfRule>
    <cfRule type="expression" dxfId="3597" priority="30">
      <formula>AND(B$9&gt;=14/24,B$9&lt;20/24)</formula>
    </cfRule>
    <cfRule type="expression" dxfId="3596" priority="31">
      <formula>AND(B$9&gt;=8/24,B$9&lt;14/24)</formula>
    </cfRule>
    <cfRule type="expression" dxfId="3595" priority="32">
      <formula>B$9&lt;8/24</formula>
    </cfRule>
  </conditionalFormatting>
  <conditionalFormatting sqref="B56:AF61">
    <cfRule type="expression" dxfId="3594" priority="28">
      <formula>B56&gt;$AG56</formula>
    </cfRule>
  </conditionalFormatting>
  <conditionalFormatting sqref="B59:AF61">
    <cfRule type="expression" dxfId="3593" priority="39">
      <formula>B$9&gt;=20/24</formula>
    </cfRule>
    <cfRule type="expression" dxfId="3592" priority="40">
      <formula>AND(B$9&gt;=14/24,B$9&lt;20/24)</formula>
    </cfRule>
    <cfRule type="expression" dxfId="3591" priority="41">
      <formula>AND(B$9&gt;=8/24,B$9&lt;14/24)</formula>
    </cfRule>
    <cfRule type="expression" dxfId="3590" priority="42">
      <formula>B$9&lt;8/24</formula>
    </cfRule>
  </conditionalFormatting>
  <conditionalFormatting sqref="B69:AF73">
    <cfRule type="expression" dxfId="3589" priority="19">
      <formula>B$9&gt;=20/24</formula>
    </cfRule>
    <cfRule type="expression" dxfId="3588" priority="20">
      <formula>AND(B$9&gt;=14/24,B$9&lt;20/24)</formula>
    </cfRule>
    <cfRule type="expression" dxfId="3587" priority="21">
      <formula>AND(B$9&gt;=8/24,B$9&lt;14/24)</formula>
    </cfRule>
    <cfRule type="expression" dxfId="3586" priority="22">
      <formula>B$9&lt;8/24</formula>
    </cfRule>
  </conditionalFormatting>
  <conditionalFormatting sqref="B69:AF74">
    <cfRule type="expression" dxfId="3585" priority="53">
      <formula>B$9&gt;=20/24</formula>
    </cfRule>
    <cfRule type="expression" dxfId="3584" priority="54">
      <formula>AND(B$9&gt;=14/24,B$9&lt;20/24)</formula>
    </cfRule>
    <cfRule type="expression" dxfId="3583" priority="55">
      <formula>AND(B$9&gt;=8/24,B$9&lt;14/24)</formula>
    </cfRule>
    <cfRule type="expression" dxfId="3582" priority="56">
      <formula>B$9&lt;8/24</formula>
    </cfRule>
  </conditionalFormatting>
  <conditionalFormatting sqref="B77:AF79">
    <cfRule type="expression" dxfId="3581" priority="43">
      <formula>B77&gt;$AG77</formula>
    </cfRule>
    <cfRule type="expression" dxfId="3580" priority="44">
      <formula>B$9&gt;=20/24</formula>
    </cfRule>
    <cfRule type="expression" dxfId="3579" priority="45">
      <formula>AND(B$9&gt;=14/24,B$9&lt;20/24)</formula>
    </cfRule>
    <cfRule type="expression" dxfId="3578" priority="46">
      <formula>AND(B$9&gt;=8/24,B$9&lt;14/24)</formula>
    </cfRule>
    <cfRule type="expression" dxfId="3577" priority="47">
      <formula>B$9&lt;8/24</formula>
    </cfRule>
  </conditionalFormatting>
  <conditionalFormatting sqref="B81:AF99">
    <cfRule type="expression" dxfId="3576" priority="14">
      <formula>B$9&gt;=20/24</formula>
    </cfRule>
    <cfRule type="expression" dxfId="3575" priority="15">
      <formula>AND(B$9&gt;=14/24,B$9&lt;20/24)</formula>
    </cfRule>
    <cfRule type="expression" dxfId="3574" priority="16">
      <formula>AND(B$9&gt;=8/24,B$9&lt;14/24)</formula>
    </cfRule>
    <cfRule type="expression" dxfId="3573" priority="17">
      <formula>B$9&lt;8/24</formula>
    </cfRule>
  </conditionalFormatting>
  <conditionalFormatting sqref="B101:AF117">
    <cfRule type="expression" dxfId="3572" priority="5">
      <formula>B$9&gt;=20/24</formula>
    </cfRule>
    <cfRule type="expression" dxfId="3571" priority="6">
      <formula>AND(B$9&gt;=14/24,B$9&lt;20/24)</formula>
    </cfRule>
    <cfRule type="expression" dxfId="3570" priority="7">
      <formula>AND(B$9&gt;=8/24,B$9&lt;14/24)</formula>
    </cfRule>
    <cfRule type="expression" dxfId="3569" priority="8">
      <formula>B$9&lt;8/24</formula>
    </cfRule>
  </conditionalFormatting>
  <conditionalFormatting sqref="B119:AF137">
    <cfRule type="expression" dxfId="3568" priority="1">
      <formula>B$9&gt;=20/24</formula>
    </cfRule>
    <cfRule type="expression" dxfId="3567" priority="2">
      <formula>AND(B$9&gt;=14/24,B$9&lt;20/24)</formula>
    </cfRule>
    <cfRule type="expression" dxfId="3566" priority="3">
      <formula>AND(B$9&gt;=8/24,B$9&lt;14/24)</formula>
    </cfRule>
    <cfRule type="expression" dxfId="3565" priority="4">
      <formula>B$9&lt;8/24</formula>
    </cfRule>
  </conditionalFormatting>
  <conditionalFormatting sqref="B244:AF244 B246:B252 D246:AF252 U260:AF260">
    <cfRule type="expression" dxfId="3564" priority="172">
      <formula>B$9&gt;=20/24</formula>
    </cfRule>
    <cfRule type="expression" dxfId="3563" priority="173">
      <formula>AND(B$9&gt;=14/24,B$9&lt;20/24)</formula>
    </cfRule>
    <cfRule type="expression" dxfId="3562" priority="174">
      <formula>AND(B$9&gt;=8/24,B$9&lt;14/24)</formula>
    </cfRule>
    <cfRule type="expression" dxfId="3561" priority="175">
      <formula>B$9&lt;8/24</formula>
    </cfRule>
  </conditionalFormatting>
  <conditionalFormatting sqref="B62:AG62">
    <cfRule type="expression" dxfId="3560" priority="48">
      <formula>B62&gt;$AG62</formula>
    </cfRule>
    <cfRule type="expression" dxfId="3559" priority="49">
      <formula>B$9&gt;=20/24</formula>
    </cfRule>
    <cfRule type="expression" dxfId="3558" priority="50">
      <formula>AND(B$9&gt;=14/24,B$9&lt;20/24)</formula>
    </cfRule>
    <cfRule type="expression" dxfId="3557" priority="51">
      <formula>AND(B$9&gt;=8/24,B$9&lt;14/24)</formula>
    </cfRule>
    <cfRule type="expression" dxfId="3556" priority="52">
      <formula>B$9&lt;8/24</formula>
    </cfRule>
  </conditionalFormatting>
  <conditionalFormatting sqref="B75:AG76 B80:AG80">
    <cfRule type="expression" dxfId="3555" priority="34">
      <formula>B75&gt;$AG75</formula>
    </cfRule>
  </conditionalFormatting>
  <conditionalFormatting sqref="B80:AG80">
    <cfRule type="expression" dxfId="3554" priority="35">
      <formula>B$9&gt;=20/24</formula>
    </cfRule>
    <cfRule type="expression" dxfId="3553" priority="36">
      <formula>AND(B$9&gt;=14/24,B$9&lt;20/24)</formula>
    </cfRule>
    <cfRule type="expression" dxfId="3552" priority="37">
      <formula>AND(B$9&gt;=8/24,B$9&lt;14/24)</formula>
    </cfRule>
    <cfRule type="expression" dxfId="3551" priority="38">
      <formula>B$9&lt;8/24</formula>
    </cfRule>
  </conditionalFormatting>
  <conditionalFormatting sqref="F63:G65 H63:I67 J64:J67">
    <cfRule type="expression" dxfId="3550" priority="86">
      <formula>F$9&gt;=20/24</formula>
    </cfRule>
    <cfRule type="expression" dxfId="3549" priority="87">
      <formula>AND(F$9&gt;=14/24,F$9&lt;20/24)</formula>
    </cfRule>
    <cfRule type="expression" dxfId="3548" priority="88">
      <formula>AND(F$9&gt;=8/24,F$9&lt;14/24)</formula>
    </cfRule>
    <cfRule type="expression" dxfId="3547" priority="89">
      <formula>F$9&lt;8/24</formula>
    </cfRule>
  </conditionalFormatting>
  <conditionalFormatting sqref="F63:N65 O65">
    <cfRule type="expression" dxfId="3546" priority="153">
      <formula>F$9&gt;=20/24</formula>
    </cfRule>
    <cfRule type="expression" dxfId="3545" priority="154">
      <formula>AND(F$9&gt;=14/24,F$9&lt;20/24)</formula>
    </cfRule>
    <cfRule type="expression" dxfId="3544" priority="155">
      <formula>AND(F$9&gt;=8/24,F$9&lt;14/24)</formula>
    </cfRule>
    <cfRule type="expression" dxfId="3543" priority="156">
      <formula>F$9&lt;8/24</formula>
    </cfRule>
  </conditionalFormatting>
  <conditionalFormatting sqref="O3:P3">
    <cfRule type="iconSet" priority="176">
      <iconSet iconSet="3TrafficLights2" reverse="1">
        <cfvo type="percent" val="0"/>
        <cfvo type="num" val="1"/>
        <cfvo type="num" val="1"/>
      </iconSet>
    </cfRule>
  </conditionalFormatting>
  <conditionalFormatting sqref="O63:Q64 F63:L65 M63:N67 R63:AF68 O65:O67 P65:Q68 H66:L67">
    <cfRule type="expression" dxfId="3542" priority="85">
      <formula>F63&gt;$AG63</formula>
    </cfRule>
  </conditionalFormatting>
  <conditionalFormatting sqref="O63:Q64 P65:Q67 M66:O67">
    <cfRule type="expression" dxfId="3541" priority="157">
      <formula>M$9&gt;=20/24</formula>
    </cfRule>
    <cfRule type="expression" dxfId="3540" priority="158">
      <formula>AND(M$9&gt;=14/24,M$9&lt;20/24)</formula>
    </cfRule>
    <cfRule type="expression" dxfId="3539" priority="159">
      <formula>AND(M$9&gt;=8/24,M$9&lt;14/24)</formula>
    </cfRule>
    <cfRule type="expression" dxfId="3538" priority="160">
      <formula>M$9&lt;8/24</formula>
    </cfRule>
  </conditionalFormatting>
  <conditionalFormatting sqref="P68:AF68">
    <cfRule type="expression" dxfId="3537" priority="130">
      <formula>P$9&gt;=20/24</formula>
    </cfRule>
    <cfRule type="expression" dxfId="3536" priority="131">
      <formula>AND(P$9&gt;=14/24,P$9&lt;20/24)</formula>
    </cfRule>
    <cfRule type="expression" dxfId="3535" priority="132">
      <formula>AND(P$9&gt;=8/24,P$9&lt;14/24)</formula>
    </cfRule>
    <cfRule type="expression" dxfId="3534" priority="133">
      <formula>P$9&lt;8/24</formula>
    </cfRule>
  </conditionalFormatting>
  <conditionalFormatting sqref="R63:AF67">
    <cfRule type="expression" dxfId="3533" priority="124">
      <formula>R$9&gt;=20/24</formula>
    </cfRule>
    <cfRule type="expression" dxfId="3532" priority="125">
      <formula>AND(R$9&gt;=14/24,R$9&lt;20/24)</formula>
    </cfRule>
    <cfRule type="expression" dxfId="3531" priority="126">
      <formula>AND(R$9&gt;=8/24,R$9&lt;14/24)</formula>
    </cfRule>
    <cfRule type="expression" dxfId="3530" priority="127">
      <formula>R$9&lt;8/24</formula>
    </cfRule>
  </conditionalFormatting>
  <conditionalFormatting sqref="S8 AB8 B8 M8">
    <cfRule type="expression" dxfId="3529" priority="178">
      <formula>C$9&gt;=20/24</formula>
    </cfRule>
  </conditionalFormatting>
  <conditionalFormatting sqref="S8">
    <cfRule type="expression" dxfId="3528" priority="165">
      <formula>U$9&gt;=20/24</formula>
    </cfRule>
    <cfRule type="expression" dxfId="3527" priority="166">
      <formula>AND(U$9&gt;=14/24,U$9&lt;20/24)</formula>
    </cfRule>
    <cfRule type="expression" dxfId="3526" priority="167">
      <formula>AND(U$9&gt;=8/24,U$9&lt;14/24)</formula>
    </cfRule>
    <cfRule type="expression" dxfId="3525" priority="168">
      <formula>U$9&lt;8/24</formula>
    </cfRule>
  </conditionalFormatting>
  <conditionalFormatting sqref="T260">
    <cfRule type="expression" dxfId="3524" priority="190">
      <formula>AX$9&gt;=20/24</formula>
    </cfRule>
    <cfRule type="expression" dxfId="3523" priority="191">
      <formula>AND(AX$9&gt;=14/24,AX$9&lt;20/24)</formula>
    </cfRule>
    <cfRule type="expression" dxfId="3522" priority="192">
      <formula>AND(AX$9&gt;=8/24,AX$9&lt;14/24)</formula>
    </cfRule>
    <cfRule type="expression" dxfId="3521" priority="193">
      <formula>AX$9&lt;8/24</formula>
    </cfRule>
  </conditionalFormatting>
  <conditionalFormatting sqref="V3 AB3">
    <cfRule type="iconSet" priority="177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3520" priority="161">
      <formula>AD$9&gt;=20/24</formula>
    </cfRule>
    <cfRule type="expression" dxfId="3519" priority="162">
      <formula>AND(AD$9&gt;=14/24,AD$9&lt;20/24)</formula>
    </cfRule>
    <cfRule type="expression" dxfId="3518" priority="163">
      <formula>AND(AD$9&gt;=8/24,AD$9&lt;14/24)</formula>
    </cfRule>
    <cfRule type="expression" dxfId="3517" priority="164">
      <formula>AD$9&lt;8/24</formula>
    </cfRule>
  </conditionalFormatting>
  <conditionalFormatting sqref="AG58">
    <cfRule type="expression" dxfId="3516" priority="148">
      <formula>AG58&gt;$AG58</formula>
    </cfRule>
  </conditionalFormatting>
  <conditionalFormatting sqref="AG97">
    <cfRule type="expression" dxfId="3515" priority="149">
      <formula>AG$9&gt;=20/24</formula>
    </cfRule>
    <cfRule type="expression" dxfId="3514" priority="150">
      <formula>AND(AG$9&gt;=14/24,AG$9&lt;20/24)</formula>
    </cfRule>
    <cfRule type="expression" dxfId="3513" priority="151">
      <formula>AND(AG$9&gt;=8/24,AG$9&lt;14/24)</formula>
    </cfRule>
    <cfRule type="expression" dxfId="3512" priority="152">
      <formula>AG$9&lt;8/24</formula>
    </cfRule>
  </conditionalFormatting>
  <conditionalFormatting sqref="AG260">
    <cfRule type="expression" dxfId="3511" priority="182">
      <formula>B$9&gt;=20/24</formula>
    </cfRule>
    <cfRule type="expression" dxfId="3510" priority="183">
      <formula>AND(B$9&gt;=14/24,B$9&lt;20/24)</formula>
    </cfRule>
    <cfRule type="expression" dxfId="3509" priority="184">
      <formula>AND(B$9&gt;=8/24,B$9&lt;14/24)</formula>
    </cfRule>
    <cfRule type="expression" dxfId="3508" priority="185">
      <formula>B$9&lt;8/24</formula>
    </cfRule>
  </conditionalFormatting>
  <conditionalFormatting sqref="AH260:AX260">
    <cfRule type="expression" dxfId="3507" priority="186">
      <formula>AG$9&gt;=20/24</formula>
    </cfRule>
    <cfRule type="expression" dxfId="3506" priority="187">
      <formula>AND(AG$9&gt;=14/24,AG$9&lt;20/24)</formula>
    </cfRule>
    <cfRule type="expression" dxfId="3505" priority="188">
      <formula>AND(AG$9&gt;=8/24,AG$9&lt;14/24)</formula>
    </cfRule>
    <cfRule type="expression" dxfId="3504" priority="189">
      <formula>AG$9&lt;8/24</formula>
    </cfRule>
  </conditionalFormatting>
  <conditionalFormatting sqref="AL4:AL6">
    <cfRule type="iconSet" priority="171">
      <iconSet iconSet="3TrafficLights2" reverse="1">
        <cfvo type="percent" val="0"/>
        <cfvo type="num" val="1"/>
        <cfvo type="num" val="1"/>
      </iconSet>
    </cfRule>
  </conditionalFormatting>
  <conditionalFormatting sqref="AL19:AL20">
    <cfRule type="iconSet" priority="136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46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35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45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47">
      <iconSet iconSet="3TrafficLights2" reverse="1">
        <cfvo type="percent" val="0"/>
        <cfvo type="num" val="1"/>
        <cfvo type="num" val="1"/>
      </iconSet>
    </cfRule>
  </conditionalFormatting>
  <conditionalFormatting sqref="AL48 AL45:AL46 AL21:AL24 AL7:AL18 AL26:AL37 AL39:AL43 AL54:AL55">
    <cfRule type="iconSet" priority="194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70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69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3503" priority="195">
      <formula>AJ$9&gt;=20/24</formula>
    </cfRule>
    <cfRule type="expression" dxfId="3502" priority="196">
      <formula>AND(AJ$9&gt;=14/24,AJ$9&lt;20/24)</formula>
    </cfRule>
    <cfRule type="expression" dxfId="3501" priority="197">
      <formula>AND(AJ$9&gt;=8/24,AJ$9&lt;14/24)</formula>
    </cfRule>
    <cfRule type="expression" dxfId="3500" priority="198">
      <formula>AJ$9&lt;8/24</formula>
    </cfRule>
  </conditionalFormatting>
  <conditionalFormatting sqref="AL88:AN88 AL94:AN94">
    <cfRule type="expression" dxfId="3499" priority="141">
      <formula>AL$9&gt;=20/24</formula>
    </cfRule>
    <cfRule type="expression" dxfId="3498" priority="142">
      <formula>AND(AL$9&gt;=14/24,AL$9&lt;20/24)</formula>
    </cfRule>
    <cfRule type="expression" dxfId="3497" priority="143">
      <formula>AND(AL$9&gt;=8/24,AL$9&lt;14/24)</formula>
    </cfRule>
    <cfRule type="expression" dxfId="3496" priority="144">
      <formula>AL$9&lt;8/24</formula>
    </cfRule>
  </conditionalFormatting>
  <conditionalFormatting sqref="AN89:AN92">
    <cfRule type="expression" dxfId="3495" priority="137">
      <formula>AN$9&gt;=20/24</formula>
    </cfRule>
    <cfRule type="expression" dxfId="3494" priority="138">
      <formula>AND(AN$9&gt;=14/24,AN$9&lt;20/24)</formula>
    </cfRule>
    <cfRule type="expression" dxfId="3493" priority="139">
      <formula>AND(AN$9&gt;=8/24,AN$9&lt;14/24)</formula>
    </cfRule>
    <cfRule type="expression" dxfId="3492" priority="140">
      <formula>AN$9&lt;8/24</formula>
    </cfRule>
  </conditionalFormatting>
  <pageMargins left="0.7" right="0.7" top="0.75" bottom="0.75" header="0.3" footer="0.3"/>
  <drawing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D9923-54A3-4C7F-95C7-350386E90FAB}">
  <sheetPr codeName="Sheet28"/>
  <dimension ref="A1:CJ293"/>
  <sheetViews>
    <sheetView zoomScale="130" zoomScaleNormal="130" workbookViewId="0">
      <pane xSplit="1" ySplit="10" topLeftCell="B79" activePane="bottomRight" state="frozen"/>
      <selection activeCell="Z63" sqref="Z63"/>
      <selection pane="topRight" activeCell="Z63" sqref="Z63"/>
      <selection pane="bottomLeft" activeCell="Z63" sqref="Z63"/>
      <selection pane="bottomRight" activeCell="B137" sqref="B137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1" width="7.42578125" style="1" bestFit="1" customWidth="1"/>
    <col min="12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hidden="1" customHeight="1" thickBot="1" x14ac:dyDescent="0.3">
      <c r="A1" s="275" t="s">
        <v>0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  <c r="AD1" s="275"/>
      <c r="AE1" s="275"/>
      <c r="AF1" s="275"/>
      <c r="AG1" s="276" t="s">
        <v>1</v>
      </c>
      <c r="AH1" s="276"/>
      <c r="AI1" s="276"/>
      <c r="AL1" s="2"/>
    </row>
    <row r="2" spans="1:88" ht="20.25" hidden="1" x14ac:dyDescent="0.25">
      <c r="A2" s="3"/>
      <c r="B2" s="277" t="s">
        <v>2</v>
      </c>
      <c r="C2" s="4"/>
      <c r="D2" s="279" t="s">
        <v>3</v>
      </c>
      <c r="E2" s="4"/>
      <c r="F2" s="279" t="s">
        <v>4</v>
      </c>
      <c r="G2" s="4"/>
      <c r="H2" s="279" t="s">
        <v>5</v>
      </c>
      <c r="I2" s="5"/>
      <c r="J2" s="281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78"/>
      <c r="C3" s="16"/>
      <c r="D3" s="280"/>
      <c r="E3" s="16"/>
      <c r="F3" s="280"/>
      <c r="G3" s="16"/>
      <c r="H3" s="280"/>
      <c r="I3" s="17"/>
      <c r="J3" s="281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70" t="str">
        <f ca="1">"2080/"&amp;"10/"&amp;INT(MID(CELL("filename",D6),FIND("]",CELL("filename",D6))+1,200))</f>
        <v>2080/10/28</v>
      </c>
      <c r="C4" s="270"/>
      <c r="D4" s="270"/>
      <c r="E4" s="271" t="str">
        <f ca="1">"2080/"&amp;"10/"&amp;INT(MID(CELL("filename",G6),FIND("]",CELL("filename",G6))+1,200))</f>
        <v>2080/10/28</v>
      </c>
      <c r="F4" s="271"/>
      <c r="G4" s="271"/>
      <c r="H4" s="271" t="str">
        <f ca="1">TEXT(E4,"dddd")</f>
        <v>Monday</v>
      </c>
      <c r="I4" s="271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C92</f>
        <v>473.4</v>
      </c>
      <c r="C5" s="30">
        <f t="shared" si="0"/>
        <v>491.3</v>
      </c>
      <c r="D5" s="30">
        <f t="shared" si="0"/>
        <v>471.29999999999995</v>
      </c>
      <c r="E5" s="30">
        <f t="shared" si="0"/>
        <v>465.1</v>
      </c>
      <c r="F5" s="30">
        <f t="shared" si="0"/>
        <v>514.29999999999995</v>
      </c>
      <c r="G5" s="30">
        <f t="shared" si="0"/>
        <v>491.1</v>
      </c>
      <c r="H5" s="30">
        <f t="shared" si="0"/>
        <v>522.09999999999991</v>
      </c>
      <c r="I5" s="30">
        <f t="shared" si="0"/>
        <v>560.19999999999993</v>
      </c>
      <c r="J5" s="30">
        <f t="shared" si="0"/>
        <v>529.59999999999991</v>
      </c>
      <c r="K5" s="30">
        <f t="shared" si="0"/>
        <v>435.4</v>
      </c>
      <c r="L5" s="30">
        <f t="shared" si="0"/>
        <v>306.89999999999998</v>
      </c>
      <c r="M5" s="30">
        <f t="shared" si="0"/>
        <v>331</v>
      </c>
      <c r="N5" s="30">
        <f t="shared" si="0"/>
        <v>495</v>
      </c>
      <c r="O5" s="30">
        <f t="shared" si="0"/>
        <v>597.5</v>
      </c>
      <c r="P5" s="30">
        <f t="shared" si="0"/>
        <v>671.4</v>
      </c>
      <c r="Q5" s="30">
        <f t="shared" si="0"/>
        <v>766</v>
      </c>
      <c r="R5" s="30">
        <f t="shared" si="0"/>
        <v>755.9</v>
      </c>
      <c r="S5" s="30">
        <f t="shared" si="0"/>
        <v>760.8</v>
      </c>
      <c r="T5" s="30">
        <f t="shared" si="0"/>
        <v>733.8</v>
      </c>
      <c r="U5" s="30">
        <f t="shared" si="0"/>
        <v>552</v>
      </c>
      <c r="V5" s="30">
        <f t="shared" si="0"/>
        <v>509.40000000000003</v>
      </c>
      <c r="W5" s="30">
        <f t="shared" si="0"/>
        <v>493.90000000000003</v>
      </c>
      <c r="X5" s="30">
        <f t="shared" si="0"/>
        <v>472.59999999999997</v>
      </c>
      <c r="Y5" s="30">
        <f t="shared" si="0"/>
        <v>472.59999999999997</v>
      </c>
      <c r="Z5" s="30">
        <f t="shared" si="0"/>
        <v>417.7</v>
      </c>
      <c r="AA5" s="30">
        <f t="shared" si="0"/>
        <v>424.5</v>
      </c>
      <c r="AB5" s="30">
        <f t="shared" si="0"/>
        <v>527.6</v>
      </c>
      <c r="AC5" s="30">
        <f t="shared" si="0"/>
        <v>575.6</v>
      </c>
      <c r="AD5" s="30">
        <f t="shared" si="0"/>
        <v>642.6</v>
      </c>
      <c r="AE5" s="30">
        <f t="shared" si="0"/>
        <v>596</v>
      </c>
      <c r="AF5" s="30">
        <f>B92</f>
        <v>502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1729MW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Load=1091</v>
      </c>
      <c r="B7" s="35">
        <f>B100</f>
        <v>1156.3400000000001</v>
      </c>
      <c r="C7" s="35">
        <f t="shared" ref="C7:AF7" si="1">C100</f>
        <v>1116.74</v>
      </c>
      <c r="D7" s="35">
        <f t="shared" si="1"/>
        <v>1111.6400000000001</v>
      </c>
      <c r="E7" s="35">
        <f t="shared" si="1"/>
        <v>1091.3400000000001</v>
      </c>
      <c r="F7" s="35">
        <f t="shared" si="1"/>
        <v>1119.1400000000001</v>
      </c>
      <c r="G7" s="35">
        <f t="shared" si="1"/>
        <v>1202.44</v>
      </c>
      <c r="H7" s="35">
        <f t="shared" si="1"/>
        <v>1202.7400000000002</v>
      </c>
      <c r="I7" s="35">
        <f t="shared" si="1"/>
        <v>1326.04</v>
      </c>
      <c r="J7" s="35">
        <f t="shared" si="1"/>
        <v>1458.6399999999999</v>
      </c>
      <c r="K7" s="35">
        <f t="shared" si="1"/>
        <v>1563.34</v>
      </c>
      <c r="L7" s="35">
        <f t="shared" si="1"/>
        <v>1702.7400000000002</v>
      </c>
      <c r="M7" s="35">
        <f t="shared" si="1"/>
        <v>1728.7400000000002</v>
      </c>
      <c r="N7" s="35">
        <f t="shared" si="1"/>
        <v>1637.24</v>
      </c>
      <c r="O7" s="35">
        <f t="shared" si="1"/>
        <v>1595.24</v>
      </c>
      <c r="P7" s="35">
        <f t="shared" si="1"/>
        <v>1657.74</v>
      </c>
      <c r="Q7" s="35">
        <f t="shared" si="1"/>
        <v>1496.24</v>
      </c>
      <c r="R7" s="35">
        <f t="shared" si="1"/>
        <v>1524.54</v>
      </c>
      <c r="S7" s="35">
        <f t="shared" si="1"/>
        <v>1522.24</v>
      </c>
      <c r="T7" s="35">
        <f t="shared" si="1"/>
        <v>1510.34</v>
      </c>
      <c r="U7" s="35">
        <f t="shared" si="1"/>
        <v>1515.1399999999999</v>
      </c>
      <c r="V7" s="35">
        <f t="shared" si="1"/>
        <v>1310.1400000000001</v>
      </c>
      <c r="W7" s="35">
        <f t="shared" si="1"/>
        <v>1336.3400000000001</v>
      </c>
      <c r="X7" s="35">
        <f t="shared" si="1"/>
        <v>1673.8400000000001</v>
      </c>
      <c r="Y7" s="35">
        <f t="shared" si="1"/>
        <v>1865.84</v>
      </c>
      <c r="Z7" s="35">
        <f t="shared" si="1"/>
        <v>1875.84</v>
      </c>
      <c r="AA7" s="35">
        <f t="shared" si="1"/>
        <v>1759.0400000000002</v>
      </c>
      <c r="AB7" s="35">
        <f t="shared" si="1"/>
        <v>1702.94</v>
      </c>
      <c r="AC7" s="35">
        <f t="shared" si="1"/>
        <v>1640.54</v>
      </c>
      <c r="AD7" s="35">
        <f t="shared" si="1"/>
        <v>1585.8400000000001</v>
      </c>
      <c r="AE7" s="35">
        <f t="shared" si="1"/>
        <v>1373.7400000000002</v>
      </c>
      <c r="AF7" s="35">
        <f t="shared" si="1"/>
        <v>1251.44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72" t="s">
        <v>14</v>
      </c>
      <c r="C8" s="273"/>
      <c r="D8" s="273"/>
      <c r="E8" s="273"/>
      <c r="F8" s="273"/>
      <c r="G8" s="273"/>
      <c r="H8" s="273"/>
      <c r="I8" s="273"/>
      <c r="J8" s="273"/>
      <c r="K8" s="273"/>
      <c r="L8" s="274"/>
      <c r="M8" s="265" t="s">
        <v>15</v>
      </c>
      <c r="N8" s="266"/>
      <c r="O8" s="266"/>
      <c r="P8" s="266"/>
      <c r="Q8" s="266"/>
      <c r="R8" s="267"/>
      <c r="S8" s="265" t="s">
        <v>16</v>
      </c>
      <c r="T8" s="266"/>
      <c r="U8" s="266"/>
      <c r="V8" s="266"/>
      <c r="W8" s="266"/>
      <c r="X8" s="266"/>
      <c r="Y8" s="266"/>
      <c r="Z8" s="266"/>
      <c r="AA8" s="267"/>
      <c r="AB8" s="265" t="s">
        <v>17</v>
      </c>
      <c r="AC8" s="266"/>
      <c r="AD8" s="266"/>
      <c r="AE8" s="266"/>
      <c r="AF8" s="267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68" t="s">
        <v>18</v>
      </c>
      <c r="B9" s="264">
        <v>0</v>
      </c>
      <c r="C9" s="264">
        <v>4.1666666666666664E-2</v>
      </c>
      <c r="D9" s="264">
        <v>8.3333333333333301E-2</v>
      </c>
      <c r="E9" s="264">
        <v>0.125</v>
      </c>
      <c r="F9" s="264">
        <v>0.16666666666666699</v>
      </c>
      <c r="G9" s="264">
        <v>0.20833333333333301</v>
      </c>
      <c r="H9" s="264">
        <v>0.22916666666666666</v>
      </c>
      <c r="I9" s="264">
        <v>0.25</v>
      </c>
      <c r="J9" s="264">
        <v>0.27083333333333331</v>
      </c>
      <c r="K9" s="264">
        <v>0.29166666666666669</v>
      </c>
      <c r="L9" s="264">
        <v>0.3125</v>
      </c>
      <c r="M9" s="262">
        <v>0.33333333333333331</v>
      </c>
      <c r="N9" s="262">
        <v>0.375</v>
      </c>
      <c r="O9" s="262">
        <v>0.41666666666666702</v>
      </c>
      <c r="P9" s="262">
        <v>0.45833333333333298</v>
      </c>
      <c r="Q9" s="262">
        <v>0.5</v>
      </c>
      <c r="R9" s="262">
        <v>0.54166666666666696</v>
      </c>
      <c r="S9" s="258">
        <v>0.58333333333333304</v>
      </c>
      <c r="T9" s="258">
        <v>0.625</v>
      </c>
      <c r="U9" s="258">
        <v>0.66666666666666696</v>
      </c>
      <c r="V9" s="258">
        <v>0.70833333333333304</v>
      </c>
      <c r="W9" s="258">
        <v>0.72916666666666663</v>
      </c>
      <c r="X9" s="258">
        <v>0.75</v>
      </c>
      <c r="Y9" s="258">
        <v>0.77083333333333337</v>
      </c>
      <c r="Z9" s="258">
        <v>0.79166666666666663</v>
      </c>
      <c r="AA9" s="258">
        <v>0.8125</v>
      </c>
      <c r="AB9" s="258">
        <v>0.83333333333333337</v>
      </c>
      <c r="AC9" s="258">
        <v>0.85416666666666663</v>
      </c>
      <c r="AD9" s="258">
        <v>0.875</v>
      </c>
      <c r="AE9" s="258">
        <v>0.91666666666666696</v>
      </c>
      <c r="AF9" s="258">
        <v>0.95833333333333304</v>
      </c>
      <c r="AG9" s="260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69"/>
      <c r="B10" s="259"/>
      <c r="C10" s="259"/>
      <c r="D10" s="259"/>
      <c r="E10" s="259"/>
      <c r="F10" s="259"/>
      <c r="G10" s="259"/>
      <c r="H10" s="259"/>
      <c r="I10" s="259"/>
      <c r="J10" s="259"/>
      <c r="K10" s="259"/>
      <c r="L10" s="259"/>
      <c r="M10" s="263"/>
      <c r="N10" s="263"/>
      <c r="O10" s="263"/>
      <c r="P10" s="263"/>
      <c r="Q10" s="263"/>
      <c r="R10" s="263"/>
      <c r="S10" s="259"/>
      <c r="T10" s="259"/>
      <c r="U10" s="259"/>
      <c r="V10" s="259"/>
      <c r="W10" s="259"/>
      <c r="X10" s="259"/>
      <c r="Y10" s="259"/>
      <c r="Z10" s="259"/>
      <c r="AA10" s="259"/>
      <c r="AB10" s="259"/>
      <c r="AC10" s="259"/>
      <c r="AD10" s="259"/>
      <c r="AE10" s="259"/>
      <c r="AF10" s="259"/>
      <c r="AG10" s="261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30.2</v>
      </c>
      <c r="C11" s="45">
        <v>30.2</v>
      </c>
      <c r="D11" s="45">
        <v>30.2</v>
      </c>
      <c r="E11" s="45">
        <v>30.2</v>
      </c>
      <c r="F11" s="45">
        <v>30.2</v>
      </c>
      <c r="G11" s="45">
        <v>30.2</v>
      </c>
      <c r="H11" s="45">
        <v>30.2</v>
      </c>
      <c r="I11" s="45">
        <v>30.2</v>
      </c>
      <c r="J11" s="45">
        <v>30.2</v>
      </c>
      <c r="K11" s="45">
        <v>30.2</v>
      </c>
      <c r="L11" s="45">
        <v>30.2</v>
      </c>
      <c r="M11" s="45">
        <v>30.3</v>
      </c>
      <c r="N11" s="45">
        <v>30.3</v>
      </c>
      <c r="O11" s="45">
        <v>30.3</v>
      </c>
      <c r="P11" s="45">
        <v>30.3</v>
      </c>
      <c r="Q11" s="45">
        <v>30.4</v>
      </c>
      <c r="R11" s="45">
        <v>30.4</v>
      </c>
      <c r="S11" s="45">
        <v>30.4</v>
      </c>
      <c r="T11" s="45">
        <v>30.4</v>
      </c>
      <c r="U11" s="45">
        <v>30.4</v>
      </c>
      <c r="V11" s="45">
        <v>30.4</v>
      </c>
      <c r="W11" s="45">
        <v>30.4</v>
      </c>
      <c r="X11" s="45">
        <v>30.4</v>
      </c>
      <c r="Y11" s="45">
        <v>30.4</v>
      </c>
      <c r="Z11" s="45">
        <v>30.4</v>
      </c>
      <c r="AA11" s="45">
        <v>30.4</v>
      </c>
      <c r="AB11" s="45">
        <v>26.9</v>
      </c>
      <c r="AC11" s="45">
        <v>26.8</v>
      </c>
      <c r="AD11" s="45">
        <v>26.8</v>
      </c>
      <c r="AE11" s="45">
        <v>27.6</v>
      </c>
      <c r="AF11" s="45">
        <v>27.6</v>
      </c>
      <c r="AG11" s="46">
        <v>86</v>
      </c>
      <c r="AH11" s="47">
        <f t="shared" ref="AH11:AH84" si="2">MAX(B11:AF11)</f>
        <v>30.4</v>
      </c>
      <c r="AI11" s="48">
        <f t="shared" ref="AI11:AI84" si="3">MIN(B11:AF11)</f>
        <v>26.8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262</v>
      </c>
      <c r="B12" s="45">
        <v>9.8000000000000007</v>
      </c>
      <c r="C12" s="45">
        <v>9.8000000000000007</v>
      </c>
      <c r="D12" s="45">
        <v>9.8000000000000007</v>
      </c>
      <c r="E12" s="45">
        <v>9.8000000000000007</v>
      </c>
      <c r="F12" s="45">
        <v>9.8000000000000007</v>
      </c>
      <c r="G12" s="45">
        <v>9.8000000000000007</v>
      </c>
      <c r="H12" s="45">
        <v>9.8000000000000007</v>
      </c>
      <c r="I12" s="45">
        <v>9.8000000000000007</v>
      </c>
      <c r="J12" s="45">
        <v>9.8000000000000007</v>
      </c>
      <c r="K12" s="45">
        <v>9.8000000000000007</v>
      </c>
      <c r="L12" s="45">
        <v>9.8000000000000007</v>
      </c>
      <c r="M12" s="45">
        <v>9.8000000000000007</v>
      </c>
      <c r="N12" s="45">
        <v>9.8000000000000007</v>
      </c>
      <c r="O12" s="45">
        <v>9.8000000000000007</v>
      </c>
      <c r="P12" s="45">
        <v>9.8000000000000007</v>
      </c>
      <c r="Q12" s="45">
        <v>9.8000000000000007</v>
      </c>
      <c r="R12" s="45">
        <v>9.8000000000000007</v>
      </c>
      <c r="S12" s="45">
        <v>9.8000000000000007</v>
      </c>
      <c r="T12" s="45">
        <v>9.8000000000000007</v>
      </c>
      <c r="U12" s="45">
        <v>9.8000000000000007</v>
      </c>
      <c r="V12" s="45">
        <v>9.8000000000000007</v>
      </c>
      <c r="W12" s="45">
        <v>9.8000000000000007</v>
      </c>
      <c r="X12" s="45">
        <v>9.8000000000000007</v>
      </c>
      <c r="Y12" s="45">
        <v>9.8000000000000007</v>
      </c>
      <c r="Z12" s="45">
        <v>9.8000000000000007</v>
      </c>
      <c r="AA12" s="45">
        <v>9.8000000000000007</v>
      </c>
      <c r="AB12" s="45">
        <v>9.8000000000000007</v>
      </c>
      <c r="AC12" s="45">
        <v>9.8000000000000007</v>
      </c>
      <c r="AD12" s="45">
        <v>9.8000000000000007</v>
      </c>
      <c r="AE12" s="45">
        <v>9.8000000000000007</v>
      </c>
      <c r="AF12" s="45">
        <v>9.8000000000000007</v>
      </c>
      <c r="AG12" s="49">
        <v>54</v>
      </c>
      <c r="AH12" s="47">
        <f t="shared" si="2"/>
        <v>9.8000000000000007</v>
      </c>
      <c r="AI12" s="48">
        <f t="shared" si="3"/>
        <v>9.8000000000000007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12</v>
      </c>
      <c r="C13" s="45">
        <v>12</v>
      </c>
      <c r="D13" s="45">
        <v>12</v>
      </c>
      <c r="E13" s="45">
        <v>12</v>
      </c>
      <c r="F13" s="45">
        <v>12</v>
      </c>
      <c r="G13" s="45">
        <v>12</v>
      </c>
      <c r="H13" s="45">
        <v>12</v>
      </c>
      <c r="I13" s="45">
        <v>12</v>
      </c>
      <c r="J13" s="45">
        <v>12</v>
      </c>
      <c r="K13" s="45">
        <v>12</v>
      </c>
      <c r="L13" s="45">
        <v>12</v>
      </c>
      <c r="M13" s="45">
        <v>12</v>
      </c>
      <c r="N13" s="45">
        <v>12</v>
      </c>
      <c r="O13" s="45">
        <v>12</v>
      </c>
      <c r="P13" s="45">
        <v>12</v>
      </c>
      <c r="Q13" s="45">
        <v>12</v>
      </c>
      <c r="R13" s="45">
        <v>12</v>
      </c>
      <c r="S13" s="45">
        <v>12</v>
      </c>
      <c r="T13" s="45">
        <v>12</v>
      </c>
      <c r="U13" s="45">
        <v>12</v>
      </c>
      <c r="V13" s="45">
        <v>12</v>
      </c>
      <c r="W13" s="45">
        <v>12</v>
      </c>
      <c r="X13" s="45">
        <v>12</v>
      </c>
      <c r="Y13" s="45">
        <v>12</v>
      </c>
      <c r="Z13" s="45">
        <v>12</v>
      </c>
      <c r="AA13" s="45">
        <v>12</v>
      </c>
      <c r="AB13" s="45">
        <v>12</v>
      </c>
      <c r="AC13" s="45">
        <v>12</v>
      </c>
      <c r="AD13" s="45">
        <v>12</v>
      </c>
      <c r="AE13" s="45">
        <v>12</v>
      </c>
      <c r="AF13" s="45">
        <v>12</v>
      </c>
      <c r="AG13" s="49">
        <v>54</v>
      </c>
      <c r="AH13" s="47">
        <f t="shared" si="2"/>
        <v>12</v>
      </c>
      <c r="AI13" s="48">
        <f t="shared" si="3"/>
        <v>12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13.9</v>
      </c>
      <c r="C14" s="45">
        <v>13.9</v>
      </c>
      <c r="D14" s="45">
        <v>13.9</v>
      </c>
      <c r="E14" s="45">
        <v>13.9</v>
      </c>
      <c r="F14" s="45">
        <v>13.9</v>
      </c>
      <c r="G14" s="45">
        <v>13.9</v>
      </c>
      <c r="H14" s="45">
        <v>13.9</v>
      </c>
      <c r="I14" s="45">
        <v>13.9</v>
      </c>
      <c r="J14" s="45">
        <v>13.9</v>
      </c>
      <c r="K14" s="45">
        <v>13.9</v>
      </c>
      <c r="L14" s="45">
        <v>13.9</v>
      </c>
      <c r="M14" s="45">
        <v>13.9</v>
      </c>
      <c r="N14" s="45">
        <v>13.9</v>
      </c>
      <c r="O14" s="45">
        <v>13.9</v>
      </c>
      <c r="P14" s="45">
        <v>13.9</v>
      </c>
      <c r="Q14" s="45">
        <v>13.9</v>
      </c>
      <c r="R14" s="45">
        <v>13.9</v>
      </c>
      <c r="S14" s="45">
        <v>13.9</v>
      </c>
      <c r="T14" s="45">
        <v>13.9</v>
      </c>
      <c r="U14" s="45">
        <v>13.9</v>
      </c>
      <c r="V14" s="45">
        <v>13.9</v>
      </c>
      <c r="W14" s="45">
        <v>13.9</v>
      </c>
      <c r="X14" s="45">
        <v>13.9</v>
      </c>
      <c r="Y14" s="45">
        <v>13.9</v>
      </c>
      <c r="Z14" s="45">
        <v>13.9</v>
      </c>
      <c r="AA14" s="45">
        <v>13.9</v>
      </c>
      <c r="AB14" s="45">
        <v>13.9</v>
      </c>
      <c r="AC14" s="45">
        <v>13.9</v>
      </c>
      <c r="AD14" s="45">
        <v>13.9</v>
      </c>
      <c r="AE14" s="45">
        <v>13.9</v>
      </c>
      <c r="AF14" s="45">
        <v>13.9</v>
      </c>
      <c r="AG14" s="46">
        <v>52.4</v>
      </c>
      <c r="AH14" s="47">
        <f t="shared" si="2"/>
        <v>13.9</v>
      </c>
      <c r="AI14" s="48">
        <f t="shared" si="3"/>
        <v>13.9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29.8</v>
      </c>
      <c r="C15" s="45">
        <v>29.8</v>
      </c>
      <c r="D15" s="45">
        <v>29.8</v>
      </c>
      <c r="E15" s="45">
        <v>29.8</v>
      </c>
      <c r="F15" s="45">
        <v>29.8</v>
      </c>
      <c r="G15" s="45">
        <v>29.8</v>
      </c>
      <c r="H15" s="45">
        <v>29.8</v>
      </c>
      <c r="I15" s="45">
        <v>29.8</v>
      </c>
      <c r="J15" s="45">
        <v>29.8</v>
      </c>
      <c r="K15" s="45">
        <v>29.8</v>
      </c>
      <c r="L15" s="45">
        <v>29.8</v>
      </c>
      <c r="M15" s="45">
        <v>29.8</v>
      </c>
      <c r="N15" s="45">
        <v>29.8</v>
      </c>
      <c r="O15" s="45">
        <v>29.8</v>
      </c>
      <c r="P15" s="45">
        <v>29.8</v>
      </c>
      <c r="Q15" s="45">
        <v>29.8</v>
      </c>
      <c r="R15" s="45">
        <v>29.8</v>
      </c>
      <c r="S15" s="45">
        <v>29.8</v>
      </c>
      <c r="T15" s="45">
        <v>29.8</v>
      </c>
      <c r="U15" s="45">
        <v>29.8</v>
      </c>
      <c r="V15" s="45">
        <v>29.8</v>
      </c>
      <c r="W15" s="45">
        <v>29.8</v>
      </c>
      <c r="X15" s="45">
        <v>29.8</v>
      </c>
      <c r="Y15" s="45">
        <v>29.8</v>
      </c>
      <c r="Z15" s="45">
        <v>29.8</v>
      </c>
      <c r="AA15" s="45">
        <v>29.8</v>
      </c>
      <c r="AB15" s="45">
        <v>29.8</v>
      </c>
      <c r="AC15" s="45">
        <v>29.8</v>
      </c>
      <c r="AD15" s="45">
        <v>29.8</v>
      </c>
      <c r="AE15" s="45">
        <v>29.8</v>
      </c>
      <c r="AF15" s="45">
        <v>29.8</v>
      </c>
      <c r="AG15" s="49">
        <v>50</v>
      </c>
      <c r="AH15" s="47">
        <f t="shared" si="2"/>
        <v>29.8</v>
      </c>
      <c r="AI15" s="48">
        <f t="shared" si="3"/>
        <v>29.8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16.600000000000001</v>
      </c>
      <c r="C16" s="45">
        <v>16.600000000000001</v>
      </c>
      <c r="D16" s="45">
        <v>16.600000000000001</v>
      </c>
      <c r="E16" s="45">
        <v>16.600000000000001</v>
      </c>
      <c r="F16" s="45">
        <v>16.600000000000001</v>
      </c>
      <c r="G16" s="45">
        <v>16.600000000000001</v>
      </c>
      <c r="H16" s="45">
        <v>16.600000000000001</v>
      </c>
      <c r="I16" s="45">
        <v>16.600000000000001</v>
      </c>
      <c r="J16" s="45">
        <v>16.600000000000001</v>
      </c>
      <c r="K16" s="45">
        <v>16.600000000000001</v>
      </c>
      <c r="L16" s="45">
        <v>16.600000000000001</v>
      </c>
      <c r="M16" s="45">
        <v>16.600000000000001</v>
      </c>
      <c r="N16" s="45">
        <v>16.600000000000001</v>
      </c>
      <c r="O16" s="45">
        <v>16.600000000000001</v>
      </c>
      <c r="P16" s="45">
        <v>16.600000000000001</v>
      </c>
      <c r="Q16" s="45">
        <v>16.600000000000001</v>
      </c>
      <c r="R16" s="45">
        <v>16.600000000000001</v>
      </c>
      <c r="S16" s="45">
        <v>16.600000000000001</v>
      </c>
      <c r="T16" s="45">
        <v>16.600000000000001</v>
      </c>
      <c r="U16" s="45">
        <v>16.600000000000001</v>
      </c>
      <c r="V16" s="45">
        <v>16.600000000000001</v>
      </c>
      <c r="W16" s="45">
        <v>16.600000000000001</v>
      </c>
      <c r="X16" s="45">
        <v>16.600000000000001</v>
      </c>
      <c r="Y16" s="45">
        <v>16.600000000000001</v>
      </c>
      <c r="Z16" s="45">
        <v>16.600000000000001</v>
      </c>
      <c r="AA16" s="45">
        <v>16.600000000000001</v>
      </c>
      <c r="AB16" s="45">
        <v>16.600000000000001</v>
      </c>
      <c r="AC16" s="45">
        <v>16.600000000000001</v>
      </c>
      <c r="AD16" s="45">
        <v>16.600000000000001</v>
      </c>
      <c r="AE16" s="45">
        <v>16.600000000000001</v>
      </c>
      <c r="AF16" s="45">
        <v>16.600000000000001</v>
      </c>
      <c r="AG16" s="49">
        <v>45</v>
      </c>
      <c r="AH16" s="47">
        <f t="shared" si="2"/>
        <v>16.600000000000001</v>
      </c>
      <c r="AI16" s="48">
        <f t="shared" si="3"/>
        <v>16.600000000000001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14</v>
      </c>
      <c r="C17" s="45">
        <v>14</v>
      </c>
      <c r="D17" s="45">
        <v>14</v>
      </c>
      <c r="E17" s="45">
        <v>14</v>
      </c>
      <c r="F17" s="45">
        <v>14</v>
      </c>
      <c r="G17" s="45">
        <v>14</v>
      </c>
      <c r="H17" s="45">
        <v>14</v>
      </c>
      <c r="I17" s="45">
        <v>14</v>
      </c>
      <c r="J17" s="45">
        <v>14</v>
      </c>
      <c r="K17" s="45">
        <v>14</v>
      </c>
      <c r="L17" s="45">
        <v>14</v>
      </c>
      <c r="M17" s="45">
        <v>14</v>
      </c>
      <c r="N17" s="45">
        <v>14</v>
      </c>
      <c r="O17" s="45">
        <v>14</v>
      </c>
      <c r="P17" s="45">
        <v>14</v>
      </c>
      <c r="Q17" s="45">
        <v>14</v>
      </c>
      <c r="R17" s="45">
        <v>14</v>
      </c>
      <c r="S17" s="45">
        <v>14</v>
      </c>
      <c r="T17" s="45">
        <v>14</v>
      </c>
      <c r="U17" s="45">
        <v>14</v>
      </c>
      <c r="V17" s="45">
        <v>14</v>
      </c>
      <c r="W17" s="45">
        <v>14</v>
      </c>
      <c r="X17" s="45">
        <v>14</v>
      </c>
      <c r="Y17" s="45">
        <v>14</v>
      </c>
      <c r="Z17" s="45">
        <v>14</v>
      </c>
      <c r="AA17" s="45">
        <v>14</v>
      </c>
      <c r="AB17" s="45">
        <v>14</v>
      </c>
      <c r="AC17" s="45">
        <v>14</v>
      </c>
      <c r="AD17" s="45">
        <v>14</v>
      </c>
      <c r="AE17" s="45">
        <v>14</v>
      </c>
      <c r="AF17" s="45">
        <v>14</v>
      </c>
      <c r="AG17" s="49">
        <v>44</v>
      </c>
      <c r="AH17" s="47">
        <f>MAX(B17:AG17)</f>
        <v>44</v>
      </c>
      <c r="AI17" s="48">
        <f>MIN(B17:AG17)</f>
        <v>14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8.5</v>
      </c>
      <c r="C18" s="45">
        <v>8.5</v>
      </c>
      <c r="D18" s="45">
        <v>8.5</v>
      </c>
      <c r="E18" s="45">
        <v>8.5</v>
      </c>
      <c r="F18" s="45">
        <v>8.5</v>
      </c>
      <c r="G18" s="45">
        <v>8.5</v>
      </c>
      <c r="H18" s="45">
        <v>8.5</v>
      </c>
      <c r="I18" s="45">
        <v>8.5</v>
      </c>
      <c r="J18" s="45">
        <v>8.5</v>
      </c>
      <c r="K18" s="45">
        <v>8.5</v>
      </c>
      <c r="L18" s="45">
        <v>8.5</v>
      </c>
      <c r="M18" s="45">
        <v>8.5</v>
      </c>
      <c r="N18" s="45">
        <v>8.5</v>
      </c>
      <c r="O18" s="45">
        <v>8.5</v>
      </c>
      <c r="P18" s="45">
        <v>8.5</v>
      </c>
      <c r="Q18" s="45">
        <v>8.5</v>
      </c>
      <c r="R18" s="45">
        <v>8.5</v>
      </c>
      <c r="S18" s="45">
        <v>8.5</v>
      </c>
      <c r="T18" s="45">
        <v>8.5</v>
      </c>
      <c r="U18" s="45">
        <v>8.5</v>
      </c>
      <c r="V18" s="45">
        <v>8.5</v>
      </c>
      <c r="W18" s="45">
        <v>8.5</v>
      </c>
      <c r="X18" s="45">
        <v>8.5</v>
      </c>
      <c r="Y18" s="45">
        <v>8.5</v>
      </c>
      <c r="Z18" s="45">
        <v>8.5</v>
      </c>
      <c r="AA18" s="45">
        <v>8.5</v>
      </c>
      <c r="AB18" s="45">
        <v>8.5</v>
      </c>
      <c r="AC18" s="45">
        <v>8.5</v>
      </c>
      <c r="AD18" s="45">
        <v>8.5</v>
      </c>
      <c r="AE18" s="45">
        <v>8.5</v>
      </c>
      <c r="AF18" s="45">
        <v>8.5</v>
      </c>
      <c r="AG18" s="49">
        <v>42</v>
      </c>
      <c r="AH18" s="47">
        <f t="shared" si="2"/>
        <v>8.5</v>
      </c>
      <c r="AI18" s="48">
        <f t="shared" si="3"/>
        <v>8.5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263</v>
      </c>
      <c r="B19" s="45">
        <v>15</v>
      </c>
      <c r="C19" s="45">
        <v>15</v>
      </c>
      <c r="D19" s="45">
        <v>15</v>
      </c>
      <c r="E19" s="45">
        <v>15</v>
      </c>
      <c r="F19" s="45">
        <v>15</v>
      </c>
      <c r="G19" s="45">
        <v>15</v>
      </c>
      <c r="H19" s="45">
        <v>15</v>
      </c>
      <c r="I19" s="45">
        <v>15</v>
      </c>
      <c r="J19" s="45">
        <v>15</v>
      </c>
      <c r="K19" s="45">
        <v>15</v>
      </c>
      <c r="L19" s="45">
        <v>15</v>
      </c>
      <c r="M19" s="45">
        <v>15</v>
      </c>
      <c r="N19" s="45">
        <v>15</v>
      </c>
      <c r="O19" s="45">
        <v>15</v>
      </c>
      <c r="P19" s="45">
        <v>15</v>
      </c>
      <c r="Q19" s="45">
        <v>15</v>
      </c>
      <c r="R19" s="45">
        <v>15</v>
      </c>
      <c r="S19" s="45">
        <v>15</v>
      </c>
      <c r="T19" s="45">
        <v>15</v>
      </c>
      <c r="U19" s="45">
        <v>15</v>
      </c>
      <c r="V19" s="45">
        <v>15</v>
      </c>
      <c r="W19" s="45">
        <v>15</v>
      </c>
      <c r="X19" s="45">
        <v>15</v>
      </c>
      <c r="Y19" s="45">
        <v>15</v>
      </c>
      <c r="Z19" s="45">
        <v>15</v>
      </c>
      <c r="AA19" s="45">
        <v>15</v>
      </c>
      <c r="AB19" s="45">
        <v>15</v>
      </c>
      <c r="AC19" s="45">
        <v>15</v>
      </c>
      <c r="AD19" s="45">
        <v>15</v>
      </c>
      <c r="AE19" s="45">
        <v>15</v>
      </c>
      <c r="AF19" s="45">
        <v>15</v>
      </c>
      <c r="AG19" s="49">
        <v>38.46</v>
      </c>
      <c r="AH19" s="47">
        <f t="shared" si="2"/>
        <v>15</v>
      </c>
      <c r="AI19" s="48">
        <f t="shared" si="3"/>
        <v>15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10</v>
      </c>
      <c r="C20" s="45">
        <v>10</v>
      </c>
      <c r="D20" s="45">
        <v>10</v>
      </c>
      <c r="E20" s="45">
        <v>10</v>
      </c>
      <c r="F20" s="45">
        <v>10</v>
      </c>
      <c r="G20" s="45">
        <v>10</v>
      </c>
      <c r="H20" s="45">
        <v>10</v>
      </c>
      <c r="I20" s="45">
        <v>10</v>
      </c>
      <c r="J20" s="45">
        <v>10</v>
      </c>
      <c r="K20" s="45">
        <v>10</v>
      </c>
      <c r="L20" s="45">
        <v>10</v>
      </c>
      <c r="M20" s="45">
        <v>10</v>
      </c>
      <c r="N20" s="45">
        <v>10</v>
      </c>
      <c r="O20" s="45">
        <v>10</v>
      </c>
      <c r="P20" s="45">
        <v>10</v>
      </c>
      <c r="Q20" s="45">
        <v>10</v>
      </c>
      <c r="R20" s="45">
        <v>10</v>
      </c>
      <c r="S20" s="45">
        <v>10</v>
      </c>
      <c r="T20" s="45">
        <v>10</v>
      </c>
      <c r="U20" s="45">
        <v>10</v>
      </c>
      <c r="V20" s="45">
        <v>10</v>
      </c>
      <c r="W20" s="45">
        <v>10</v>
      </c>
      <c r="X20" s="45">
        <v>10</v>
      </c>
      <c r="Y20" s="45">
        <v>10</v>
      </c>
      <c r="Z20" s="45">
        <v>10</v>
      </c>
      <c r="AA20" s="45">
        <v>10</v>
      </c>
      <c r="AB20" s="45">
        <v>10</v>
      </c>
      <c r="AC20" s="45">
        <v>10</v>
      </c>
      <c r="AD20" s="45">
        <v>10</v>
      </c>
      <c r="AE20" s="45">
        <v>10</v>
      </c>
      <c r="AF20" s="45">
        <v>10</v>
      </c>
      <c r="AG20" s="49">
        <v>38.46</v>
      </c>
      <c r="AH20" s="47">
        <f t="shared" si="2"/>
        <v>10</v>
      </c>
      <c r="AI20" s="48">
        <f t="shared" si="3"/>
        <v>10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</v>
      </c>
      <c r="C21" s="45">
        <v>13</v>
      </c>
      <c r="D21" s="45">
        <v>13</v>
      </c>
      <c r="E21" s="45">
        <v>13</v>
      </c>
      <c r="F21" s="45">
        <v>13</v>
      </c>
      <c r="G21" s="45">
        <v>13</v>
      </c>
      <c r="H21" s="45">
        <v>13</v>
      </c>
      <c r="I21" s="45">
        <v>13</v>
      </c>
      <c r="J21" s="45">
        <v>13</v>
      </c>
      <c r="K21" s="45">
        <v>13</v>
      </c>
      <c r="L21" s="45">
        <v>13</v>
      </c>
      <c r="M21" s="45">
        <v>13</v>
      </c>
      <c r="N21" s="45">
        <v>13</v>
      </c>
      <c r="O21" s="45">
        <v>13</v>
      </c>
      <c r="P21" s="45">
        <v>13</v>
      </c>
      <c r="Q21" s="45">
        <v>13</v>
      </c>
      <c r="R21" s="45">
        <v>13</v>
      </c>
      <c r="S21" s="45">
        <v>13</v>
      </c>
      <c r="T21" s="45">
        <v>13</v>
      </c>
      <c r="U21" s="45">
        <v>13</v>
      </c>
      <c r="V21" s="45">
        <v>13</v>
      </c>
      <c r="W21" s="45">
        <v>13</v>
      </c>
      <c r="X21" s="45">
        <v>13</v>
      </c>
      <c r="Y21" s="45">
        <v>13</v>
      </c>
      <c r="Z21" s="45">
        <v>13</v>
      </c>
      <c r="AA21" s="45">
        <v>13</v>
      </c>
      <c r="AB21" s="45">
        <v>13</v>
      </c>
      <c r="AC21" s="45">
        <v>13</v>
      </c>
      <c r="AD21" s="45">
        <v>13</v>
      </c>
      <c r="AE21" s="45">
        <v>13</v>
      </c>
      <c r="AF21" s="45">
        <v>13</v>
      </c>
      <c r="AG21" s="49">
        <v>36</v>
      </c>
      <c r="AH21" s="47">
        <f t="shared" si="2"/>
        <v>13</v>
      </c>
      <c r="AI21" s="48">
        <f t="shared" si="3"/>
        <v>13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8.4</v>
      </c>
      <c r="C22" s="45">
        <v>8.4</v>
      </c>
      <c r="D22" s="45">
        <v>8.4</v>
      </c>
      <c r="E22" s="45">
        <v>8.4</v>
      </c>
      <c r="F22" s="45">
        <v>8.4</v>
      </c>
      <c r="G22" s="45">
        <v>8.4</v>
      </c>
      <c r="H22" s="45">
        <v>8.4</v>
      </c>
      <c r="I22" s="45">
        <v>8.4</v>
      </c>
      <c r="J22" s="45">
        <v>8.4</v>
      </c>
      <c r="K22" s="45">
        <v>8.4</v>
      </c>
      <c r="L22" s="45">
        <v>8.4</v>
      </c>
      <c r="M22" s="45">
        <v>8.4</v>
      </c>
      <c r="N22" s="45">
        <v>8.4</v>
      </c>
      <c r="O22" s="45">
        <v>8.4</v>
      </c>
      <c r="P22" s="45">
        <v>8.4</v>
      </c>
      <c r="Q22" s="45">
        <v>8.4</v>
      </c>
      <c r="R22" s="45">
        <v>8.4</v>
      </c>
      <c r="S22" s="45">
        <v>8.4</v>
      </c>
      <c r="T22" s="45">
        <v>8.4</v>
      </c>
      <c r="U22" s="45">
        <v>8.4</v>
      </c>
      <c r="V22" s="45">
        <v>8.4</v>
      </c>
      <c r="W22" s="45">
        <v>8.4</v>
      </c>
      <c r="X22" s="45">
        <v>8.4</v>
      </c>
      <c r="Y22" s="45">
        <v>8.4</v>
      </c>
      <c r="Z22" s="45">
        <v>8.4</v>
      </c>
      <c r="AA22" s="45">
        <v>8.4</v>
      </c>
      <c r="AB22" s="45">
        <v>8.4</v>
      </c>
      <c r="AC22" s="45">
        <v>8.4</v>
      </c>
      <c r="AD22" s="45">
        <v>8.4</v>
      </c>
      <c r="AE22" s="45">
        <v>8.4</v>
      </c>
      <c r="AF22" s="45">
        <v>8.4</v>
      </c>
      <c r="AG22" s="52">
        <v>30</v>
      </c>
      <c r="AH22" s="47">
        <f t="shared" si="2"/>
        <v>8.4</v>
      </c>
      <c r="AI22" s="48">
        <f t="shared" si="3"/>
        <v>8.4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9</v>
      </c>
      <c r="C23" s="45">
        <v>9</v>
      </c>
      <c r="D23" s="45">
        <v>9</v>
      </c>
      <c r="E23" s="45">
        <v>9</v>
      </c>
      <c r="F23" s="45">
        <v>9</v>
      </c>
      <c r="G23" s="45">
        <v>9</v>
      </c>
      <c r="H23" s="45">
        <v>9</v>
      </c>
      <c r="I23" s="45">
        <v>9</v>
      </c>
      <c r="J23" s="45">
        <v>9</v>
      </c>
      <c r="K23" s="45">
        <v>9</v>
      </c>
      <c r="L23" s="45">
        <v>9</v>
      </c>
      <c r="M23" s="45">
        <v>9</v>
      </c>
      <c r="N23" s="45">
        <v>9</v>
      </c>
      <c r="O23" s="45">
        <v>9</v>
      </c>
      <c r="P23" s="45">
        <v>9</v>
      </c>
      <c r="Q23" s="45">
        <v>9</v>
      </c>
      <c r="R23" s="45">
        <v>9</v>
      </c>
      <c r="S23" s="45">
        <v>9</v>
      </c>
      <c r="T23" s="45">
        <v>9</v>
      </c>
      <c r="U23" s="45">
        <v>9</v>
      </c>
      <c r="V23" s="45">
        <v>9</v>
      </c>
      <c r="W23" s="45">
        <v>9</v>
      </c>
      <c r="X23" s="45">
        <v>9</v>
      </c>
      <c r="Y23" s="45">
        <v>9</v>
      </c>
      <c r="Z23" s="45">
        <v>9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9</v>
      </c>
      <c r="AG23" s="49">
        <v>24.2</v>
      </c>
      <c r="AH23" s="47">
        <f t="shared" si="2"/>
        <v>9</v>
      </c>
      <c r="AI23" s="48">
        <f t="shared" si="3"/>
        <v>9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8.6</v>
      </c>
      <c r="C24" s="45">
        <v>8.6</v>
      </c>
      <c r="D24" s="45">
        <v>8.6</v>
      </c>
      <c r="E24" s="45">
        <v>8.6</v>
      </c>
      <c r="F24" s="45">
        <v>8.6</v>
      </c>
      <c r="G24" s="45">
        <v>8.6</v>
      </c>
      <c r="H24" s="45">
        <v>8.6</v>
      </c>
      <c r="I24" s="45">
        <v>8.6</v>
      </c>
      <c r="J24" s="45">
        <v>8.6</v>
      </c>
      <c r="K24" s="45">
        <v>8.6</v>
      </c>
      <c r="L24" s="45">
        <v>8.6</v>
      </c>
      <c r="M24" s="45">
        <v>8.6</v>
      </c>
      <c r="N24" s="45">
        <v>8.6</v>
      </c>
      <c r="O24" s="45">
        <v>8.6</v>
      </c>
      <c r="P24" s="45">
        <v>8.6</v>
      </c>
      <c r="Q24" s="45">
        <v>8.6</v>
      </c>
      <c r="R24" s="45">
        <v>8.6</v>
      </c>
      <c r="S24" s="45">
        <v>8.6</v>
      </c>
      <c r="T24" s="45">
        <v>8.6</v>
      </c>
      <c r="U24" s="45">
        <v>8.6</v>
      </c>
      <c r="V24" s="45">
        <v>8.6</v>
      </c>
      <c r="W24" s="45">
        <v>8.6</v>
      </c>
      <c r="X24" s="45">
        <v>8.6</v>
      </c>
      <c r="Y24" s="45">
        <v>8.6</v>
      </c>
      <c r="Z24" s="45">
        <v>8.6</v>
      </c>
      <c r="AA24" s="45">
        <v>8.6</v>
      </c>
      <c r="AB24" s="45">
        <v>8.6</v>
      </c>
      <c r="AC24" s="45">
        <v>8.6</v>
      </c>
      <c r="AD24" s="45">
        <v>8.6</v>
      </c>
      <c r="AE24" s="45">
        <v>8.6</v>
      </c>
      <c r="AF24" s="45">
        <v>8.6</v>
      </c>
      <c r="AG24" s="49">
        <v>28</v>
      </c>
      <c r="AH24" s="47">
        <f t="shared" si="2"/>
        <v>8.6</v>
      </c>
      <c r="AI24" s="48">
        <f t="shared" si="3"/>
        <v>8.6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>
        <v>7</v>
      </c>
      <c r="AB25" s="45">
        <v>7</v>
      </c>
      <c r="AC25" s="45">
        <v>7</v>
      </c>
      <c r="AD25" s="45">
        <v>7</v>
      </c>
      <c r="AE25" s="45">
        <v>7</v>
      </c>
      <c r="AF25" s="45">
        <v>7</v>
      </c>
      <c r="AG25" s="52">
        <v>30</v>
      </c>
      <c r="AH25" s="47">
        <f t="shared" si="2"/>
        <v>7</v>
      </c>
      <c r="AI25" s="48">
        <f t="shared" si="3"/>
        <v>7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8.9</v>
      </c>
      <c r="C26" s="45">
        <v>8.9</v>
      </c>
      <c r="D26" s="45">
        <v>8.9</v>
      </c>
      <c r="E26" s="45">
        <v>8.9</v>
      </c>
      <c r="F26" s="45">
        <v>8.9</v>
      </c>
      <c r="G26" s="45">
        <v>8.9</v>
      </c>
      <c r="H26" s="45">
        <v>8.9</v>
      </c>
      <c r="I26" s="45">
        <v>8.9</v>
      </c>
      <c r="J26" s="45">
        <v>8.9</v>
      </c>
      <c r="K26" s="45">
        <v>8.9</v>
      </c>
      <c r="L26" s="45">
        <v>8.9</v>
      </c>
      <c r="M26" s="45">
        <v>8.9</v>
      </c>
      <c r="N26" s="45">
        <v>8.9</v>
      </c>
      <c r="O26" s="45">
        <v>8.9</v>
      </c>
      <c r="P26" s="45">
        <v>8.9</v>
      </c>
      <c r="Q26" s="45">
        <v>8.9</v>
      </c>
      <c r="R26" s="45">
        <v>8.9</v>
      </c>
      <c r="S26" s="45">
        <v>8.9</v>
      </c>
      <c r="T26" s="45">
        <v>8.9</v>
      </c>
      <c r="U26" s="45">
        <v>8.9</v>
      </c>
      <c r="V26" s="45">
        <v>8.9</v>
      </c>
      <c r="W26" s="45">
        <v>8.9</v>
      </c>
      <c r="X26" s="45">
        <v>8.9</v>
      </c>
      <c r="Y26" s="45">
        <v>8.9</v>
      </c>
      <c r="Z26" s="45">
        <v>8.9</v>
      </c>
      <c r="AA26" s="45">
        <v>8.9</v>
      </c>
      <c r="AB26" s="45">
        <v>8.9</v>
      </c>
      <c r="AC26" s="45">
        <v>8.9</v>
      </c>
      <c r="AD26" s="45">
        <v>8.9</v>
      </c>
      <c r="AE26" s="45">
        <v>8.9</v>
      </c>
      <c r="AF26" s="45">
        <v>8.9</v>
      </c>
      <c r="AG26" s="49">
        <v>25</v>
      </c>
      <c r="AH26" s="47">
        <f t="shared" si="2"/>
        <v>8.9</v>
      </c>
      <c r="AI26" s="48">
        <f t="shared" si="3"/>
        <v>8.9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5</v>
      </c>
      <c r="C27" s="45">
        <v>5</v>
      </c>
      <c r="D27" s="45">
        <v>5</v>
      </c>
      <c r="E27" s="45">
        <v>5</v>
      </c>
      <c r="F27" s="45">
        <v>5</v>
      </c>
      <c r="G27" s="45">
        <v>5</v>
      </c>
      <c r="H27" s="45">
        <v>5</v>
      </c>
      <c r="I27" s="45">
        <v>5</v>
      </c>
      <c r="J27" s="45">
        <v>5</v>
      </c>
      <c r="K27" s="45">
        <v>5</v>
      </c>
      <c r="L27" s="45">
        <v>5</v>
      </c>
      <c r="M27" s="45">
        <v>5</v>
      </c>
      <c r="N27" s="45">
        <v>5</v>
      </c>
      <c r="O27" s="45">
        <v>5</v>
      </c>
      <c r="P27" s="45">
        <v>5</v>
      </c>
      <c r="Q27" s="45">
        <v>5</v>
      </c>
      <c r="R27" s="45">
        <v>5</v>
      </c>
      <c r="S27" s="45">
        <v>5</v>
      </c>
      <c r="T27" s="45">
        <v>5</v>
      </c>
      <c r="U27" s="45">
        <v>5</v>
      </c>
      <c r="V27" s="45">
        <v>5</v>
      </c>
      <c r="W27" s="45">
        <v>5</v>
      </c>
      <c r="X27" s="45">
        <v>5</v>
      </c>
      <c r="Y27" s="45">
        <v>5</v>
      </c>
      <c r="Z27" s="45">
        <v>5</v>
      </c>
      <c r="AA27" s="45">
        <v>5</v>
      </c>
      <c r="AB27" s="45">
        <v>5</v>
      </c>
      <c r="AC27" s="45">
        <v>5</v>
      </c>
      <c r="AD27" s="45">
        <v>5</v>
      </c>
      <c r="AE27" s="45">
        <v>5</v>
      </c>
      <c r="AF27" s="45">
        <v>5</v>
      </c>
      <c r="AG27" s="49">
        <v>25</v>
      </c>
      <c r="AH27" s="47">
        <f t="shared" si="2"/>
        <v>5</v>
      </c>
      <c r="AI27" s="48">
        <f t="shared" si="3"/>
        <v>5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6</v>
      </c>
      <c r="C28" s="45">
        <v>6</v>
      </c>
      <c r="D28" s="45">
        <v>6</v>
      </c>
      <c r="E28" s="45">
        <v>6</v>
      </c>
      <c r="F28" s="45">
        <v>6</v>
      </c>
      <c r="G28" s="45">
        <v>6</v>
      </c>
      <c r="H28" s="45">
        <v>6</v>
      </c>
      <c r="I28" s="45">
        <v>6</v>
      </c>
      <c r="J28" s="45">
        <v>6</v>
      </c>
      <c r="K28" s="45">
        <v>6</v>
      </c>
      <c r="L28" s="45">
        <v>6</v>
      </c>
      <c r="M28" s="45">
        <v>6</v>
      </c>
      <c r="N28" s="45">
        <v>6</v>
      </c>
      <c r="O28" s="45">
        <v>6</v>
      </c>
      <c r="P28" s="45">
        <v>6</v>
      </c>
      <c r="Q28" s="45">
        <v>6</v>
      </c>
      <c r="R28" s="45">
        <v>6</v>
      </c>
      <c r="S28" s="45">
        <v>6</v>
      </c>
      <c r="T28" s="45">
        <v>6</v>
      </c>
      <c r="U28" s="45">
        <v>6</v>
      </c>
      <c r="V28" s="45">
        <v>6</v>
      </c>
      <c r="W28" s="45">
        <v>6</v>
      </c>
      <c r="X28" s="45">
        <v>6</v>
      </c>
      <c r="Y28" s="45">
        <v>6</v>
      </c>
      <c r="Z28" s="45">
        <v>6</v>
      </c>
      <c r="AA28" s="45">
        <v>6</v>
      </c>
      <c r="AB28" s="45">
        <v>6</v>
      </c>
      <c r="AC28" s="45">
        <v>6</v>
      </c>
      <c r="AD28" s="45">
        <v>6</v>
      </c>
      <c r="AE28" s="45">
        <v>6</v>
      </c>
      <c r="AF28" s="45">
        <v>6</v>
      </c>
      <c r="AG28" s="49">
        <v>25</v>
      </c>
      <c r="AH28" s="47">
        <f t="shared" si="2"/>
        <v>6</v>
      </c>
      <c r="AI28" s="48">
        <f t="shared" si="3"/>
        <v>6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8.1</v>
      </c>
      <c r="C29" s="45">
        <v>8.1</v>
      </c>
      <c r="D29" s="45">
        <v>8.1</v>
      </c>
      <c r="E29" s="45">
        <v>8.1</v>
      </c>
      <c r="F29" s="45">
        <v>8.1</v>
      </c>
      <c r="G29" s="45">
        <v>8.1</v>
      </c>
      <c r="H29" s="45">
        <v>8.1</v>
      </c>
      <c r="I29" s="45">
        <v>8.1</v>
      </c>
      <c r="J29" s="45">
        <v>8.1</v>
      </c>
      <c r="K29" s="45">
        <v>8.1</v>
      </c>
      <c r="L29" s="45">
        <v>8.1</v>
      </c>
      <c r="M29" s="45">
        <v>8.1</v>
      </c>
      <c r="N29" s="45">
        <v>8.1</v>
      </c>
      <c r="O29" s="45">
        <v>8.1</v>
      </c>
      <c r="P29" s="45">
        <v>8.1</v>
      </c>
      <c r="Q29" s="45">
        <v>8.1</v>
      </c>
      <c r="R29" s="45">
        <v>8.1</v>
      </c>
      <c r="S29" s="45">
        <v>8.1</v>
      </c>
      <c r="T29" s="45">
        <v>8.1</v>
      </c>
      <c r="U29" s="45">
        <v>8.1</v>
      </c>
      <c r="V29" s="45">
        <v>8.1</v>
      </c>
      <c r="W29" s="45">
        <v>8.1</v>
      </c>
      <c r="X29" s="45">
        <v>8.1</v>
      </c>
      <c r="Y29" s="45">
        <v>8.1</v>
      </c>
      <c r="Z29" s="45">
        <v>8.1</v>
      </c>
      <c r="AA29" s="45">
        <v>8.1</v>
      </c>
      <c r="AB29" s="45">
        <v>8.1</v>
      </c>
      <c r="AC29" s="45">
        <v>8.1</v>
      </c>
      <c r="AD29" s="45">
        <v>8.1</v>
      </c>
      <c r="AE29" s="45">
        <v>8.1</v>
      </c>
      <c r="AF29" s="45">
        <v>8.1</v>
      </c>
      <c r="AG29" s="49">
        <v>25</v>
      </c>
      <c r="AH29" s="47">
        <f t="shared" si="2"/>
        <v>8.1</v>
      </c>
      <c r="AI29" s="48">
        <f t="shared" si="3"/>
        <v>8.1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8.1</v>
      </c>
      <c r="C30" s="45">
        <v>8.1</v>
      </c>
      <c r="D30" s="45">
        <v>8.1</v>
      </c>
      <c r="E30" s="45">
        <v>8.1</v>
      </c>
      <c r="F30" s="45">
        <v>8.1</v>
      </c>
      <c r="G30" s="45">
        <v>8.1</v>
      </c>
      <c r="H30" s="45">
        <v>8.1</v>
      </c>
      <c r="I30" s="45">
        <v>8.1</v>
      </c>
      <c r="J30" s="45">
        <v>8.1</v>
      </c>
      <c r="K30" s="45">
        <v>8.1</v>
      </c>
      <c r="L30" s="45">
        <v>8.1</v>
      </c>
      <c r="M30" s="45">
        <v>8.1</v>
      </c>
      <c r="N30" s="45">
        <v>8.1</v>
      </c>
      <c r="O30" s="45">
        <v>8.1</v>
      </c>
      <c r="P30" s="45">
        <v>8.1</v>
      </c>
      <c r="Q30" s="45">
        <v>8.1</v>
      </c>
      <c r="R30" s="45">
        <v>8.1</v>
      </c>
      <c r="S30" s="45">
        <v>8.1</v>
      </c>
      <c r="T30" s="45">
        <v>8.1</v>
      </c>
      <c r="U30" s="45">
        <v>8.1</v>
      </c>
      <c r="V30" s="45">
        <v>8.1</v>
      </c>
      <c r="W30" s="45">
        <v>8.1</v>
      </c>
      <c r="X30" s="45">
        <v>8.1</v>
      </c>
      <c r="Y30" s="45">
        <v>8.1</v>
      </c>
      <c r="Z30" s="45">
        <v>8.1</v>
      </c>
      <c r="AA30" s="45">
        <v>8.1</v>
      </c>
      <c r="AB30" s="45">
        <v>8.1</v>
      </c>
      <c r="AC30" s="45">
        <v>8.1</v>
      </c>
      <c r="AD30" s="45">
        <v>8.1</v>
      </c>
      <c r="AE30" s="45">
        <v>8.1</v>
      </c>
      <c r="AF30" s="45">
        <v>8.1</v>
      </c>
      <c r="AG30" s="49">
        <v>23.5</v>
      </c>
      <c r="AH30" s="47">
        <f t="shared" si="2"/>
        <v>8.1</v>
      </c>
      <c r="AI30" s="48">
        <f t="shared" si="3"/>
        <v>8.1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4.5</v>
      </c>
      <c r="C31" s="45">
        <v>4.5</v>
      </c>
      <c r="D31" s="45">
        <v>4.5</v>
      </c>
      <c r="E31" s="45">
        <v>4.5</v>
      </c>
      <c r="F31" s="45">
        <v>4.5</v>
      </c>
      <c r="G31" s="45">
        <v>4.5</v>
      </c>
      <c r="H31" s="45">
        <v>4.5</v>
      </c>
      <c r="I31" s="45">
        <v>4.5</v>
      </c>
      <c r="J31" s="45">
        <v>4.5</v>
      </c>
      <c r="K31" s="45">
        <v>4.5</v>
      </c>
      <c r="L31" s="45">
        <v>4.5</v>
      </c>
      <c r="M31" s="45">
        <v>4.5</v>
      </c>
      <c r="N31" s="45">
        <v>4.5</v>
      </c>
      <c r="O31" s="45">
        <v>4.5</v>
      </c>
      <c r="P31" s="45">
        <v>4.5</v>
      </c>
      <c r="Q31" s="45">
        <v>4.5</v>
      </c>
      <c r="R31" s="45">
        <v>4.5</v>
      </c>
      <c r="S31" s="45">
        <v>4.5</v>
      </c>
      <c r="T31" s="45">
        <v>4.5</v>
      </c>
      <c r="U31" s="45">
        <v>4.5</v>
      </c>
      <c r="V31" s="45">
        <v>4.5</v>
      </c>
      <c r="W31" s="45">
        <v>4.5</v>
      </c>
      <c r="X31" s="45">
        <v>4.5</v>
      </c>
      <c r="Y31" s="45">
        <v>4.5</v>
      </c>
      <c r="Z31" s="45">
        <v>4.5</v>
      </c>
      <c r="AA31" s="45">
        <v>4.5</v>
      </c>
      <c r="AB31" s="45">
        <v>4.5</v>
      </c>
      <c r="AC31" s="45">
        <v>4.5</v>
      </c>
      <c r="AD31" s="45">
        <v>4.5</v>
      </c>
      <c r="AE31" s="45">
        <v>4.5</v>
      </c>
      <c r="AF31" s="45">
        <v>4.5</v>
      </c>
      <c r="AG31" s="49">
        <v>22.2</v>
      </c>
      <c r="AH31" s="47">
        <f t="shared" si="2"/>
        <v>4.5</v>
      </c>
      <c r="AI31" s="48">
        <f t="shared" si="3"/>
        <v>4.5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>
        <v>5.5</v>
      </c>
      <c r="N32" s="45">
        <v>5.5</v>
      </c>
      <c r="O32" s="45">
        <v>5.5</v>
      </c>
      <c r="P32" s="45">
        <v>5.5</v>
      </c>
      <c r="Q32" s="45">
        <v>5.5</v>
      </c>
      <c r="R32" s="45">
        <v>5.5</v>
      </c>
      <c r="S32" s="45">
        <v>5.5</v>
      </c>
      <c r="T32" s="45">
        <v>5.5</v>
      </c>
      <c r="U32" s="45">
        <v>5.5</v>
      </c>
      <c r="V32" s="45">
        <v>5.5</v>
      </c>
      <c r="W32" s="45">
        <v>5.5</v>
      </c>
      <c r="X32" s="45">
        <v>5.5</v>
      </c>
      <c r="Y32" s="45">
        <v>5.5</v>
      </c>
      <c r="Z32" s="45">
        <v>5.5</v>
      </c>
      <c r="AA32" s="45">
        <v>5.5</v>
      </c>
      <c r="AB32" s="45">
        <v>5.5</v>
      </c>
      <c r="AC32" s="45">
        <v>5.5</v>
      </c>
      <c r="AD32" s="45">
        <v>5.5</v>
      </c>
      <c r="AE32" s="45">
        <v>5.5</v>
      </c>
      <c r="AF32" s="45">
        <v>5.5</v>
      </c>
      <c r="AG32" s="49">
        <v>22.1</v>
      </c>
      <c r="AH32" s="47">
        <f t="shared" si="2"/>
        <v>5.5</v>
      </c>
      <c r="AI32" s="48">
        <f t="shared" si="3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22</v>
      </c>
      <c r="AH33" s="47">
        <f t="shared" si="2"/>
        <v>6</v>
      </c>
      <c r="AI33" s="48">
        <f t="shared" si="3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11.5</v>
      </c>
      <c r="C34" s="45">
        <v>11.5</v>
      </c>
      <c r="D34" s="45">
        <v>11.5</v>
      </c>
      <c r="E34" s="45">
        <v>11.5</v>
      </c>
      <c r="F34" s="45">
        <v>11.5</v>
      </c>
      <c r="G34" s="45">
        <v>11.5</v>
      </c>
      <c r="H34" s="45">
        <v>11.5</v>
      </c>
      <c r="I34" s="45">
        <v>11.5</v>
      </c>
      <c r="J34" s="45">
        <v>11.5</v>
      </c>
      <c r="K34" s="45">
        <v>11.5</v>
      </c>
      <c r="L34" s="45">
        <v>11.5</v>
      </c>
      <c r="M34" s="45">
        <v>11.5</v>
      </c>
      <c r="N34" s="45">
        <v>11.5</v>
      </c>
      <c r="O34" s="45">
        <v>11.5</v>
      </c>
      <c r="P34" s="45">
        <v>11.5</v>
      </c>
      <c r="Q34" s="45">
        <v>11.5</v>
      </c>
      <c r="R34" s="45">
        <v>11.5</v>
      </c>
      <c r="S34" s="45">
        <v>11.5</v>
      </c>
      <c r="T34" s="45">
        <v>11.5</v>
      </c>
      <c r="U34" s="45">
        <v>11.5</v>
      </c>
      <c r="V34" s="45">
        <v>11.5</v>
      </c>
      <c r="W34" s="45">
        <v>11.5</v>
      </c>
      <c r="X34" s="45">
        <v>11.5</v>
      </c>
      <c r="Y34" s="45">
        <v>11.5</v>
      </c>
      <c r="Z34" s="45">
        <v>11.5</v>
      </c>
      <c r="AA34" s="45">
        <v>11.5</v>
      </c>
      <c r="AB34" s="45">
        <v>11.5</v>
      </c>
      <c r="AC34" s="45">
        <v>11.5</v>
      </c>
      <c r="AD34" s="45">
        <v>11.5</v>
      </c>
      <c r="AE34" s="45">
        <v>11.5</v>
      </c>
      <c r="AF34" s="45">
        <v>11.5</v>
      </c>
      <c r="AG34" s="49">
        <v>22</v>
      </c>
      <c r="AH34" s="47">
        <f t="shared" si="2"/>
        <v>11.5</v>
      </c>
      <c r="AI34" s="48">
        <f t="shared" si="3"/>
        <v>11.5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6.5</v>
      </c>
      <c r="C35" s="45">
        <v>6.5</v>
      </c>
      <c r="D35" s="45">
        <v>6.5</v>
      </c>
      <c r="E35" s="45">
        <v>6.5</v>
      </c>
      <c r="F35" s="45">
        <v>6.5</v>
      </c>
      <c r="G35" s="45">
        <v>6.5</v>
      </c>
      <c r="H35" s="45">
        <v>6.5</v>
      </c>
      <c r="I35" s="45">
        <v>6.5</v>
      </c>
      <c r="J35" s="45">
        <v>6.5</v>
      </c>
      <c r="K35" s="45">
        <v>6.5</v>
      </c>
      <c r="L35" s="45">
        <v>6.5</v>
      </c>
      <c r="M35" s="45">
        <v>6.5</v>
      </c>
      <c r="N35" s="45">
        <v>6.5</v>
      </c>
      <c r="O35" s="45">
        <v>6.5</v>
      </c>
      <c r="P35" s="45">
        <v>6.5</v>
      </c>
      <c r="Q35" s="45">
        <v>6.5</v>
      </c>
      <c r="R35" s="45">
        <v>6.5</v>
      </c>
      <c r="S35" s="45">
        <v>6.5</v>
      </c>
      <c r="T35" s="45">
        <v>6.5</v>
      </c>
      <c r="U35" s="45">
        <v>6.5</v>
      </c>
      <c r="V35" s="45">
        <v>6.5</v>
      </c>
      <c r="W35" s="45">
        <v>6.5</v>
      </c>
      <c r="X35" s="45">
        <v>6.5</v>
      </c>
      <c r="Y35" s="45">
        <v>6.5</v>
      </c>
      <c r="Z35" s="45">
        <v>6.5</v>
      </c>
      <c r="AA35" s="45">
        <v>6.5</v>
      </c>
      <c r="AB35" s="45">
        <v>6.5</v>
      </c>
      <c r="AC35" s="45">
        <v>6.5</v>
      </c>
      <c r="AD35" s="45">
        <v>6.5</v>
      </c>
      <c r="AE35" s="45">
        <v>6.5</v>
      </c>
      <c r="AF35" s="45">
        <v>6.5</v>
      </c>
      <c r="AG35" s="49">
        <v>20</v>
      </c>
      <c r="AH35" s="47">
        <f t="shared" si="2"/>
        <v>6.5</v>
      </c>
      <c r="AI35" s="48">
        <f t="shared" si="3"/>
        <v>6.5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264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2"/>
        <v>4</v>
      </c>
      <c r="AI36" s="48">
        <f t="shared" si="3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5.5</v>
      </c>
      <c r="C37" s="45">
        <v>5.5</v>
      </c>
      <c r="D37" s="45">
        <v>5.5</v>
      </c>
      <c r="E37" s="45">
        <v>5.5</v>
      </c>
      <c r="F37" s="45">
        <v>5.5</v>
      </c>
      <c r="G37" s="45">
        <v>5.5</v>
      </c>
      <c r="H37" s="45">
        <v>5.5</v>
      </c>
      <c r="I37" s="45">
        <v>5.5</v>
      </c>
      <c r="J37" s="45">
        <v>5.5</v>
      </c>
      <c r="K37" s="45">
        <v>5.5</v>
      </c>
      <c r="L37" s="45">
        <v>5.5</v>
      </c>
      <c r="M37" s="45">
        <v>5.5</v>
      </c>
      <c r="N37" s="45">
        <v>5.5</v>
      </c>
      <c r="O37" s="45">
        <v>5.5</v>
      </c>
      <c r="P37" s="45">
        <v>5.5</v>
      </c>
      <c r="Q37" s="45">
        <v>5.5</v>
      </c>
      <c r="R37" s="45">
        <v>5.5</v>
      </c>
      <c r="S37" s="45">
        <v>5.5</v>
      </c>
      <c r="T37" s="45">
        <v>5.5</v>
      </c>
      <c r="U37" s="45">
        <v>5.5</v>
      </c>
      <c r="V37" s="45">
        <v>5.5</v>
      </c>
      <c r="W37" s="45">
        <v>5.5</v>
      </c>
      <c r="X37" s="45">
        <v>5.5</v>
      </c>
      <c r="Y37" s="45">
        <v>5.5</v>
      </c>
      <c r="Z37" s="45">
        <v>5.5</v>
      </c>
      <c r="AA37" s="45">
        <v>5.5</v>
      </c>
      <c r="AB37" s="45">
        <v>5.5</v>
      </c>
      <c r="AC37" s="45">
        <v>5.5</v>
      </c>
      <c r="AD37" s="45">
        <v>5.5</v>
      </c>
      <c r="AE37" s="45">
        <v>5.5</v>
      </c>
      <c r="AF37" s="45">
        <v>5.5</v>
      </c>
      <c r="AG37" s="49">
        <v>18</v>
      </c>
      <c r="AH37" s="47">
        <f t="shared" si="2"/>
        <v>5.5</v>
      </c>
      <c r="AI37" s="48">
        <f t="shared" si="3"/>
        <v>5.5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>
        <v>7.2</v>
      </c>
      <c r="N38" s="45">
        <v>7.2</v>
      </c>
      <c r="O38" s="45">
        <v>7.2</v>
      </c>
      <c r="P38" s="45">
        <v>7.2</v>
      </c>
      <c r="Q38" s="45">
        <v>7.2</v>
      </c>
      <c r="R38" s="45">
        <v>7.2</v>
      </c>
      <c r="S38" s="45">
        <v>7.2</v>
      </c>
      <c r="T38" s="45">
        <v>7.2</v>
      </c>
      <c r="U38" s="45">
        <v>7.2</v>
      </c>
      <c r="V38" s="45">
        <v>7.2</v>
      </c>
      <c r="W38" s="45">
        <v>7.2</v>
      </c>
      <c r="X38" s="45">
        <v>7.2</v>
      </c>
      <c r="Y38" s="45">
        <v>7.2</v>
      </c>
      <c r="Z38" s="45">
        <v>7.2</v>
      </c>
      <c r="AA38" s="45">
        <v>7.2</v>
      </c>
      <c r="AB38" s="45">
        <v>7.2</v>
      </c>
      <c r="AC38" s="45">
        <v>7.2</v>
      </c>
      <c r="AD38" s="45">
        <v>7.2</v>
      </c>
      <c r="AE38" s="45">
        <v>7.2</v>
      </c>
      <c r="AF38" s="45">
        <v>7.2</v>
      </c>
      <c r="AG38" s="49">
        <v>14.9</v>
      </c>
      <c r="AH38" s="47">
        <f t="shared" si="2"/>
        <v>7.2</v>
      </c>
      <c r="AI38" s="48">
        <f t="shared" si="3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265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2"/>
        <v>5</v>
      </c>
      <c r="AI40" s="48">
        <f t="shared" si="3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266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>
        <v>4</v>
      </c>
      <c r="N41" s="45">
        <v>4</v>
      </c>
      <c r="O41" s="45">
        <v>4</v>
      </c>
      <c r="P41" s="45">
        <v>4</v>
      </c>
      <c r="Q41" s="45">
        <v>4</v>
      </c>
      <c r="R41" s="45">
        <v>4</v>
      </c>
      <c r="S41" s="45">
        <v>4</v>
      </c>
      <c r="T41" s="45">
        <v>4</v>
      </c>
      <c r="U41" s="45">
        <v>4</v>
      </c>
      <c r="V41" s="45">
        <v>4</v>
      </c>
      <c r="W41" s="45">
        <v>4</v>
      </c>
      <c r="X41" s="45">
        <v>4</v>
      </c>
      <c r="Y41" s="45">
        <v>4</v>
      </c>
      <c r="Z41" s="45">
        <v>4</v>
      </c>
      <c r="AA41" s="45">
        <v>4</v>
      </c>
      <c r="AB41" s="45">
        <v>4</v>
      </c>
      <c r="AC41" s="45">
        <v>4</v>
      </c>
      <c r="AD41" s="45">
        <v>4</v>
      </c>
      <c r="AE41" s="45">
        <v>4</v>
      </c>
      <c r="AF41" s="45">
        <v>4</v>
      </c>
      <c r="AG41" s="49">
        <v>14.9</v>
      </c>
      <c r="AH41" s="47">
        <f t="shared" si="2"/>
        <v>4</v>
      </c>
      <c r="AI41" s="48">
        <f t="shared" si="3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2"/>
        <v>1.8</v>
      </c>
      <c r="AI42" s="48">
        <f t="shared" si="3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2"/>
        <v>3.8</v>
      </c>
      <c r="AI43" s="48">
        <f t="shared" si="3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4</v>
      </c>
      <c r="C44" s="45">
        <v>4</v>
      </c>
      <c r="D44" s="45">
        <v>4</v>
      </c>
      <c r="E44" s="45">
        <v>4</v>
      </c>
      <c r="F44" s="45">
        <v>4</v>
      </c>
      <c r="G44" s="45">
        <v>4</v>
      </c>
      <c r="H44" s="45">
        <v>4</v>
      </c>
      <c r="I44" s="45">
        <v>4</v>
      </c>
      <c r="J44" s="45">
        <v>4</v>
      </c>
      <c r="K44" s="45">
        <v>4</v>
      </c>
      <c r="L44" s="45">
        <v>4</v>
      </c>
      <c r="M44" s="45">
        <v>4</v>
      </c>
      <c r="N44" s="45">
        <v>4</v>
      </c>
      <c r="O44" s="45">
        <v>4</v>
      </c>
      <c r="P44" s="45">
        <v>4</v>
      </c>
      <c r="Q44" s="45">
        <v>4</v>
      </c>
      <c r="R44" s="45">
        <v>4</v>
      </c>
      <c r="S44" s="45">
        <v>4</v>
      </c>
      <c r="T44" s="45">
        <v>4</v>
      </c>
      <c r="U44" s="45">
        <v>4</v>
      </c>
      <c r="V44" s="45">
        <v>4</v>
      </c>
      <c r="W44" s="45">
        <v>4</v>
      </c>
      <c r="X44" s="45">
        <v>4</v>
      </c>
      <c r="Y44" s="45">
        <v>4</v>
      </c>
      <c r="Z44" s="45">
        <v>4</v>
      </c>
      <c r="AA44" s="45">
        <v>4</v>
      </c>
      <c r="AB44" s="45">
        <v>4</v>
      </c>
      <c r="AC44" s="45">
        <v>4</v>
      </c>
      <c r="AD44" s="45">
        <v>4</v>
      </c>
      <c r="AE44" s="45">
        <v>4</v>
      </c>
      <c r="AF44" s="45">
        <v>4</v>
      </c>
      <c r="AG44" s="49">
        <v>12</v>
      </c>
      <c r="AH44" s="47">
        <f t="shared" si="2"/>
        <v>4</v>
      </c>
      <c r="AI44" s="48">
        <f t="shared" si="3"/>
        <v>4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49">
        <v>12</v>
      </c>
      <c r="AH45" s="47">
        <f t="shared" si="2"/>
        <v>9</v>
      </c>
      <c r="AI45" s="48">
        <f t="shared" si="3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2"/>
        <v>3</v>
      </c>
      <c r="AI46" s="48">
        <f t="shared" si="3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2"/>
        <v>3.5</v>
      </c>
      <c r="AI47" s="48">
        <f t="shared" si="3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>
        <v>5</v>
      </c>
      <c r="N48" s="45">
        <v>5</v>
      </c>
      <c r="O48" s="45">
        <v>5</v>
      </c>
      <c r="P48" s="45">
        <v>5</v>
      </c>
      <c r="Q48" s="45">
        <v>5</v>
      </c>
      <c r="R48" s="45">
        <v>5</v>
      </c>
      <c r="S48" s="45">
        <v>5</v>
      </c>
      <c r="T48" s="45">
        <v>5</v>
      </c>
      <c r="U48" s="45">
        <v>5</v>
      </c>
      <c r="V48" s="45">
        <v>5</v>
      </c>
      <c r="W48" s="45">
        <v>5</v>
      </c>
      <c r="X48" s="45">
        <v>5</v>
      </c>
      <c r="Y48" s="45">
        <v>5</v>
      </c>
      <c r="Z48" s="45">
        <v>5</v>
      </c>
      <c r="AA48" s="45">
        <v>5</v>
      </c>
      <c r="AB48" s="45">
        <v>5</v>
      </c>
      <c r="AC48" s="45">
        <v>5</v>
      </c>
      <c r="AD48" s="45">
        <v>5</v>
      </c>
      <c r="AE48" s="45">
        <v>5</v>
      </c>
      <c r="AF48" s="45">
        <v>5</v>
      </c>
      <c r="AG48" s="52">
        <v>11.88</v>
      </c>
      <c r="AH48" s="47">
        <f t="shared" si="2"/>
        <v>5</v>
      </c>
      <c r="AI48" s="48">
        <f t="shared" si="3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>
        <v>3</v>
      </c>
      <c r="N49" s="45">
        <v>3</v>
      </c>
      <c r="O49" s="45">
        <v>3</v>
      </c>
      <c r="P49" s="45">
        <v>3</v>
      </c>
      <c r="Q49" s="45">
        <v>3</v>
      </c>
      <c r="R49" s="45">
        <v>3</v>
      </c>
      <c r="S49" s="45">
        <v>3</v>
      </c>
      <c r="T49" s="45">
        <v>3</v>
      </c>
      <c r="U49" s="45">
        <v>3</v>
      </c>
      <c r="V49" s="45">
        <v>3</v>
      </c>
      <c r="W49" s="45">
        <v>3</v>
      </c>
      <c r="X49" s="45">
        <v>3</v>
      </c>
      <c r="Y49" s="45">
        <v>3</v>
      </c>
      <c r="Z49" s="45">
        <v>3</v>
      </c>
      <c r="AA49" s="45">
        <v>3</v>
      </c>
      <c r="AB49" s="45">
        <v>3</v>
      </c>
      <c r="AC49" s="45">
        <v>3</v>
      </c>
      <c r="AD49" s="45">
        <v>3</v>
      </c>
      <c r="AE49" s="45">
        <v>3</v>
      </c>
      <c r="AF49" s="45">
        <v>3</v>
      </c>
      <c r="AG49" s="55">
        <v>11</v>
      </c>
      <c r="AH49" s="47">
        <f t="shared" si="2"/>
        <v>3</v>
      </c>
      <c r="AI49" s="48">
        <f t="shared" si="3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267</v>
      </c>
      <c r="B50" s="45">
        <v>3.3</v>
      </c>
      <c r="C50" s="45">
        <v>3.3</v>
      </c>
      <c r="D50" s="45">
        <v>3.3</v>
      </c>
      <c r="E50" s="45">
        <v>3.3</v>
      </c>
      <c r="F50" s="45">
        <v>3.3</v>
      </c>
      <c r="G50" s="45">
        <v>3.3</v>
      </c>
      <c r="H50" s="45">
        <v>3.3</v>
      </c>
      <c r="I50" s="45">
        <v>3.3</v>
      </c>
      <c r="J50" s="45">
        <v>3.3</v>
      </c>
      <c r="K50" s="45">
        <v>3.3</v>
      </c>
      <c r="L50" s="45">
        <v>3.3</v>
      </c>
      <c r="M50" s="45">
        <v>3.3</v>
      </c>
      <c r="N50" s="45">
        <v>3.3</v>
      </c>
      <c r="O50" s="45">
        <v>3.3</v>
      </c>
      <c r="P50" s="45">
        <v>3.3</v>
      </c>
      <c r="Q50" s="45">
        <v>3.3</v>
      </c>
      <c r="R50" s="45">
        <v>3.3</v>
      </c>
      <c r="S50" s="45">
        <v>3.3</v>
      </c>
      <c r="T50" s="45">
        <v>3.3</v>
      </c>
      <c r="U50" s="45">
        <v>3.3</v>
      </c>
      <c r="V50" s="45">
        <v>3.3</v>
      </c>
      <c r="W50" s="45">
        <v>3.3</v>
      </c>
      <c r="X50" s="45">
        <v>3.3</v>
      </c>
      <c r="Y50" s="45">
        <v>3.3</v>
      </c>
      <c r="Z50" s="45">
        <v>3.3</v>
      </c>
      <c r="AA50" s="45">
        <v>3.3</v>
      </c>
      <c r="AB50" s="45">
        <v>3.3</v>
      </c>
      <c r="AC50" s="45">
        <v>3.3</v>
      </c>
      <c r="AD50" s="45">
        <v>3.3</v>
      </c>
      <c r="AE50" s="45">
        <v>3.3</v>
      </c>
      <c r="AF50" s="45">
        <v>3.3</v>
      </c>
      <c r="AG50" s="55">
        <v>11</v>
      </c>
      <c r="AH50" s="47">
        <f t="shared" si="2"/>
        <v>3.3</v>
      </c>
      <c r="AI50" s="48">
        <f t="shared" si="3"/>
        <v>3.3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268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"/>
        <v>3</v>
      </c>
      <c r="AI51" s="48">
        <f t="shared" si="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2"/>
        <v>4</v>
      </c>
      <c r="AI52" s="48">
        <f t="shared" si="3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"/>
        <v>4.5</v>
      </c>
      <c r="AI53" s="48">
        <f t="shared" si="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269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"/>
        <v>0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150</v>
      </c>
      <c r="C56" s="57">
        <v>150</v>
      </c>
      <c r="D56" s="57">
        <v>150</v>
      </c>
      <c r="E56" s="57">
        <v>150</v>
      </c>
      <c r="F56" s="57">
        <v>150</v>
      </c>
      <c r="G56" s="57">
        <v>150</v>
      </c>
      <c r="H56" s="57">
        <v>150</v>
      </c>
      <c r="I56" s="57">
        <v>150</v>
      </c>
      <c r="J56" s="57">
        <v>150</v>
      </c>
      <c r="K56" s="57">
        <v>150</v>
      </c>
      <c r="L56" s="57">
        <v>150</v>
      </c>
      <c r="M56" s="57">
        <v>150</v>
      </c>
      <c r="N56" s="57">
        <v>150</v>
      </c>
      <c r="O56" s="57">
        <v>150</v>
      </c>
      <c r="P56" s="57">
        <v>150</v>
      </c>
      <c r="Q56" s="57">
        <v>150</v>
      </c>
      <c r="R56" s="57">
        <v>150</v>
      </c>
      <c r="S56" s="57">
        <v>150</v>
      </c>
      <c r="T56" s="57">
        <v>150</v>
      </c>
      <c r="U56" s="57">
        <v>150</v>
      </c>
      <c r="V56" s="57">
        <v>150</v>
      </c>
      <c r="W56" s="57">
        <v>150</v>
      </c>
      <c r="X56" s="57">
        <v>150</v>
      </c>
      <c r="Y56" s="57">
        <v>150</v>
      </c>
      <c r="Z56" s="57">
        <v>150</v>
      </c>
      <c r="AA56" s="57">
        <v>150</v>
      </c>
      <c r="AB56" s="57">
        <v>150</v>
      </c>
      <c r="AC56" s="57">
        <v>150</v>
      </c>
      <c r="AD56" s="57">
        <v>150</v>
      </c>
      <c r="AE56" s="57">
        <v>150</v>
      </c>
      <c r="AF56" s="57">
        <v>150</v>
      </c>
      <c r="AG56" s="55">
        <v>85</v>
      </c>
      <c r="AH56" s="47">
        <f t="shared" si="2"/>
        <v>150</v>
      </c>
      <c r="AI56" s="48">
        <f t="shared" si="3"/>
        <v>150</v>
      </c>
      <c r="AK56" s="50"/>
    </row>
    <row r="57" spans="1:88" ht="15.75" thickBot="1" x14ac:dyDescent="0.3">
      <c r="A57" s="58" t="s">
        <v>57</v>
      </c>
      <c r="B57" s="57">
        <v>22.4</v>
      </c>
      <c r="C57" s="57">
        <v>25</v>
      </c>
      <c r="D57" s="57">
        <v>25</v>
      </c>
      <c r="E57" s="57">
        <v>24.3</v>
      </c>
      <c r="F57" s="57">
        <v>24.3</v>
      </c>
      <c r="G57" s="57">
        <v>24</v>
      </c>
      <c r="H57" s="57">
        <v>24</v>
      </c>
      <c r="I57" s="57">
        <v>24</v>
      </c>
      <c r="J57" s="57">
        <v>23.1</v>
      </c>
      <c r="K57" s="51">
        <v>23.7</v>
      </c>
      <c r="L57" s="51">
        <v>23.7</v>
      </c>
      <c r="M57" s="51">
        <v>23.7</v>
      </c>
      <c r="N57" s="51">
        <v>23.7</v>
      </c>
      <c r="O57" s="51">
        <v>23.7</v>
      </c>
      <c r="P57" s="51">
        <v>23.7</v>
      </c>
      <c r="Q57" s="51">
        <v>23.7</v>
      </c>
      <c r="R57" s="51">
        <v>23.7</v>
      </c>
      <c r="S57" s="51">
        <v>23.7</v>
      </c>
      <c r="T57" s="51">
        <v>23.7</v>
      </c>
      <c r="U57" s="51">
        <v>23.7</v>
      </c>
      <c r="V57" s="51">
        <v>23.7</v>
      </c>
      <c r="W57" s="51">
        <v>23.7</v>
      </c>
      <c r="X57" s="51">
        <v>23.7</v>
      </c>
      <c r="Y57" s="51">
        <v>23.7</v>
      </c>
      <c r="Z57" s="51">
        <v>23.7</v>
      </c>
      <c r="AA57" s="51">
        <v>23.7</v>
      </c>
      <c r="AB57" s="51">
        <v>19.2</v>
      </c>
      <c r="AC57" s="51">
        <v>19.2</v>
      </c>
      <c r="AD57" s="51">
        <v>19.2</v>
      </c>
      <c r="AE57" s="51">
        <v>19.2</v>
      </c>
      <c r="AF57" s="51">
        <v>19.2</v>
      </c>
      <c r="AG57" s="55">
        <v>240</v>
      </c>
      <c r="AH57" s="47">
        <f t="shared" si="2"/>
        <v>25</v>
      </c>
      <c r="AI57" s="48">
        <f t="shared" si="3"/>
        <v>19.2</v>
      </c>
      <c r="AK57" s="50"/>
    </row>
    <row r="58" spans="1:88" ht="15.75" thickBot="1" x14ac:dyDescent="0.3">
      <c r="A58" s="59" t="s">
        <v>58</v>
      </c>
      <c r="B58" s="60">
        <f>SUM(B11:B56)</f>
        <v>499.5</v>
      </c>
      <c r="C58" s="60">
        <f>SUM(C11:C56)</f>
        <v>499.5</v>
      </c>
      <c r="D58" s="60">
        <f t="shared" ref="D58:AF58" si="4">SUM(D11:D56)</f>
        <v>499.5</v>
      </c>
      <c r="E58" s="60">
        <f t="shared" si="4"/>
        <v>499.5</v>
      </c>
      <c r="F58" s="60">
        <f t="shared" si="4"/>
        <v>499.5</v>
      </c>
      <c r="G58" s="60">
        <f t="shared" si="4"/>
        <v>499.5</v>
      </c>
      <c r="H58" s="60">
        <f t="shared" si="4"/>
        <v>499.5</v>
      </c>
      <c r="I58" s="60">
        <f t="shared" si="4"/>
        <v>499.5</v>
      </c>
      <c r="J58" s="60">
        <f t="shared" si="4"/>
        <v>499.5</v>
      </c>
      <c r="K58" s="60">
        <f t="shared" si="4"/>
        <v>499.5</v>
      </c>
      <c r="L58" s="60">
        <f t="shared" si="4"/>
        <v>499.5</v>
      </c>
      <c r="M58" s="60">
        <f t="shared" si="4"/>
        <v>499.6</v>
      </c>
      <c r="N58" s="60">
        <f t="shared" si="4"/>
        <v>499.6</v>
      </c>
      <c r="O58" s="60">
        <f t="shared" si="4"/>
        <v>499.6</v>
      </c>
      <c r="P58" s="60">
        <f t="shared" si="4"/>
        <v>499.6</v>
      </c>
      <c r="Q58" s="60">
        <f t="shared" ref="Q58" si="5">SUM(Q11:Q56)</f>
        <v>499.70000000000005</v>
      </c>
      <c r="R58" s="60">
        <f t="shared" si="4"/>
        <v>499.70000000000005</v>
      </c>
      <c r="S58" s="60">
        <f t="shared" si="4"/>
        <v>499.70000000000005</v>
      </c>
      <c r="T58" s="60">
        <f t="shared" ref="T58:U58" si="6">SUM(T11:T56)</f>
        <v>499.70000000000005</v>
      </c>
      <c r="U58" s="60">
        <f t="shared" si="6"/>
        <v>499.70000000000005</v>
      </c>
      <c r="V58" s="60">
        <f t="shared" ref="V58:W58" si="7">SUM(V11:V56)</f>
        <v>499.70000000000005</v>
      </c>
      <c r="W58" s="60">
        <f t="shared" si="7"/>
        <v>499.70000000000005</v>
      </c>
      <c r="X58" s="60">
        <f t="shared" si="4"/>
        <v>499.70000000000005</v>
      </c>
      <c r="Y58" s="60">
        <f t="shared" ref="Y58:Z58" si="8">SUM(Y11:Y56)</f>
        <v>499.70000000000005</v>
      </c>
      <c r="Z58" s="60">
        <f t="shared" si="8"/>
        <v>499.70000000000005</v>
      </c>
      <c r="AA58" s="60">
        <f t="shared" ref="AA58" si="9">SUM(AA11:AA56)</f>
        <v>499.70000000000005</v>
      </c>
      <c r="AB58" s="60">
        <f t="shared" si="4"/>
        <v>496.20000000000005</v>
      </c>
      <c r="AC58" s="60">
        <f t="shared" si="4"/>
        <v>496.1</v>
      </c>
      <c r="AD58" s="60">
        <f t="shared" si="4"/>
        <v>496.1</v>
      </c>
      <c r="AE58" s="60">
        <f t="shared" si="4"/>
        <v>496.90000000000003</v>
      </c>
      <c r="AF58" s="60">
        <f t="shared" si="4"/>
        <v>496.90000000000003</v>
      </c>
      <c r="AG58" s="61">
        <f>SUM(AG14:AG56)</f>
        <v>1042.4000000000001</v>
      </c>
      <c r="AH58" s="47">
        <f t="shared" si="2"/>
        <v>499.70000000000005</v>
      </c>
      <c r="AI58" s="48">
        <f t="shared" si="3"/>
        <v>496.1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15</v>
      </c>
      <c r="K59" s="45">
        <v>30</v>
      </c>
      <c r="L59" s="45">
        <v>210</v>
      </c>
      <c r="M59" s="45">
        <v>340</v>
      </c>
      <c r="N59" s="63">
        <v>240</v>
      </c>
      <c r="O59" s="63">
        <v>80</v>
      </c>
      <c r="P59" s="63">
        <v>60</v>
      </c>
      <c r="Q59" s="63">
        <v>60</v>
      </c>
      <c r="R59" s="63">
        <v>20</v>
      </c>
      <c r="S59" s="45">
        <v>0</v>
      </c>
      <c r="T59" s="45">
        <v>0</v>
      </c>
      <c r="U59" s="45">
        <v>0</v>
      </c>
      <c r="V59" s="45">
        <v>0</v>
      </c>
      <c r="W59" s="45">
        <v>60</v>
      </c>
      <c r="X59" s="45">
        <v>45</v>
      </c>
      <c r="Y59" s="45">
        <v>160</v>
      </c>
      <c r="Z59" s="45">
        <v>170</v>
      </c>
      <c r="AA59" s="45">
        <v>210</v>
      </c>
      <c r="AB59" s="45">
        <v>210</v>
      </c>
      <c r="AC59" s="45">
        <v>100</v>
      </c>
      <c r="AD59" s="45">
        <v>80</v>
      </c>
      <c r="AE59" s="45">
        <v>15</v>
      </c>
      <c r="AF59" s="45">
        <v>0</v>
      </c>
      <c r="AG59" s="52">
        <v>456</v>
      </c>
      <c r="AH59" s="47">
        <f t="shared" si="2"/>
        <v>340</v>
      </c>
      <c r="AI59" s="48">
        <f t="shared" si="3"/>
        <v>0</v>
      </c>
      <c r="AK59" s="50"/>
    </row>
    <row r="60" spans="1:88" x14ac:dyDescent="0.25">
      <c r="A60" s="64" t="s">
        <v>60</v>
      </c>
      <c r="B60" s="65">
        <v>30</v>
      </c>
      <c r="C60" s="65">
        <v>30</v>
      </c>
      <c r="D60" s="65">
        <v>30</v>
      </c>
      <c r="E60" s="65">
        <v>30</v>
      </c>
      <c r="F60" s="65">
        <v>30</v>
      </c>
      <c r="G60" s="65">
        <v>30</v>
      </c>
      <c r="H60" s="65">
        <v>30</v>
      </c>
      <c r="I60" s="65">
        <v>30</v>
      </c>
      <c r="J60" s="65">
        <v>30</v>
      </c>
      <c r="K60" s="65">
        <v>30</v>
      </c>
      <c r="L60" s="65">
        <v>30</v>
      </c>
      <c r="M60" s="65">
        <v>30</v>
      </c>
      <c r="N60" s="65">
        <v>30</v>
      </c>
      <c r="O60" s="65">
        <v>30</v>
      </c>
      <c r="P60" s="65">
        <v>30</v>
      </c>
      <c r="Q60" s="65">
        <v>30</v>
      </c>
      <c r="R60" s="65">
        <v>30</v>
      </c>
      <c r="S60" s="65">
        <v>30</v>
      </c>
      <c r="T60" s="65">
        <v>30</v>
      </c>
      <c r="U60" s="65">
        <v>30</v>
      </c>
      <c r="V60" s="65">
        <v>30</v>
      </c>
      <c r="W60" s="65">
        <v>30</v>
      </c>
      <c r="X60" s="65">
        <v>30</v>
      </c>
      <c r="Y60" s="65">
        <v>30</v>
      </c>
      <c r="Z60" s="65">
        <v>30</v>
      </c>
      <c r="AA60" s="65">
        <v>30</v>
      </c>
      <c r="AB60" s="65">
        <v>30</v>
      </c>
      <c r="AC60" s="65">
        <v>30</v>
      </c>
      <c r="AD60" s="65">
        <v>30</v>
      </c>
      <c r="AE60" s="65">
        <v>30</v>
      </c>
      <c r="AF60" s="65">
        <v>30</v>
      </c>
      <c r="AG60" s="55">
        <v>60</v>
      </c>
      <c r="AH60" s="47">
        <f t="shared" si="2"/>
        <v>30</v>
      </c>
      <c r="AI60" s="48">
        <f t="shared" si="3"/>
        <v>30</v>
      </c>
      <c r="AK60" s="50"/>
    </row>
    <row r="61" spans="1:88" ht="15.75" thickBot="1" x14ac:dyDescent="0.3">
      <c r="A61" s="66" t="s">
        <v>61</v>
      </c>
      <c r="B61" s="67">
        <v>10.199999999999999</v>
      </c>
      <c r="C61" s="67">
        <v>10.199999999999999</v>
      </c>
      <c r="D61" s="67">
        <v>10.199999999999999</v>
      </c>
      <c r="E61" s="67">
        <v>10.199999999999999</v>
      </c>
      <c r="F61" s="67">
        <v>10.199999999999999</v>
      </c>
      <c r="G61" s="67">
        <v>10.199999999999999</v>
      </c>
      <c r="H61" s="67">
        <v>10.199999999999999</v>
      </c>
      <c r="I61" s="67">
        <v>10.199999999999999</v>
      </c>
      <c r="J61" s="67">
        <v>10.199999999999999</v>
      </c>
      <c r="K61" s="67">
        <v>10.199999999999999</v>
      </c>
      <c r="L61" s="67">
        <v>10.199999999999999</v>
      </c>
      <c r="M61" s="67">
        <v>10.199999999999999</v>
      </c>
      <c r="N61" s="67">
        <v>10</v>
      </c>
      <c r="O61" s="67">
        <v>10</v>
      </c>
      <c r="P61" s="67">
        <v>10</v>
      </c>
      <c r="Q61" s="67">
        <v>10</v>
      </c>
      <c r="R61" s="67">
        <v>10</v>
      </c>
      <c r="S61" s="67">
        <v>10</v>
      </c>
      <c r="T61" s="67">
        <v>10</v>
      </c>
      <c r="U61" s="67">
        <v>10</v>
      </c>
      <c r="V61" s="67">
        <v>10</v>
      </c>
      <c r="W61" s="67">
        <v>10</v>
      </c>
      <c r="X61" s="67">
        <v>10.199999999999999</v>
      </c>
      <c r="Y61" s="67">
        <v>16</v>
      </c>
      <c r="Z61" s="67">
        <v>16</v>
      </c>
      <c r="AA61" s="67">
        <v>10.199999999999999</v>
      </c>
      <c r="AB61" s="67">
        <v>10.199999999999999</v>
      </c>
      <c r="AC61" s="67">
        <v>10.199999999999999</v>
      </c>
      <c r="AD61" s="67">
        <v>10.199999999999999</v>
      </c>
      <c r="AE61" s="67">
        <v>10.199999999999999</v>
      </c>
      <c r="AF61" s="67">
        <v>10.199999999999999</v>
      </c>
      <c r="AG61" s="68">
        <v>22.1</v>
      </c>
      <c r="AH61" s="47">
        <f t="shared" si="2"/>
        <v>16</v>
      </c>
      <c r="AI61" s="48">
        <f t="shared" si="3"/>
        <v>10</v>
      </c>
      <c r="AK61" s="50"/>
    </row>
    <row r="62" spans="1:88" ht="15.75" thickBot="1" x14ac:dyDescent="0.3">
      <c r="A62" s="69" t="s">
        <v>62</v>
      </c>
      <c r="B62" s="60">
        <f t="shared" ref="B62:AG62" si="10">SUM(B59:B61)</f>
        <v>40.200000000000003</v>
      </c>
      <c r="C62" s="60">
        <f t="shared" si="10"/>
        <v>40.200000000000003</v>
      </c>
      <c r="D62" s="60">
        <f t="shared" si="10"/>
        <v>40.200000000000003</v>
      </c>
      <c r="E62" s="60">
        <f t="shared" si="10"/>
        <v>40.200000000000003</v>
      </c>
      <c r="F62" s="60">
        <f t="shared" si="10"/>
        <v>40.200000000000003</v>
      </c>
      <c r="G62" s="60">
        <f t="shared" si="10"/>
        <v>40.200000000000003</v>
      </c>
      <c r="H62" s="60">
        <f t="shared" si="10"/>
        <v>40.200000000000003</v>
      </c>
      <c r="I62" s="60">
        <f t="shared" si="10"/>
        <v>40.200000000000003</v>
      </c>
      <c r="J62" s="60">
        <f t="shared" si="10"/>
        <v>55.2</v>
      </c>
      <c r="K62" s="60">
        <f t="shared" si="10"/>
        <v>70.2</v>
      </c>
      <c r="L62" s="60">
        <f t="shared" si="10"/>
        <v>250.2</v>
      </c>
      <c r="M62" s="60">
        <f t="shared" si="10"/>
        <v>380.2</v>
      </c>
      <c r="N62" s="60">
        <f t="shared" si="10"/>
        <v>280</v>
      </c>
      <c r="O62" s="60">
        <f t="shared" si="10"/>
        <v>120</v>
      </c>
      <c r="P62" s="60">
        <f t="shared" si="10"/>
        <v>100</v>
      </c>
      <c r="Q62" s="60">
        <f t="shared" ref="Q62" si="11">SUM(Q59:Q61)</f>
        <v>100</v>
      </c>
      <c r="R62" s="60">
        <f t="shared" si="10"/>
        <v>60</v>
      </c>
      <c r="S62" s="60">
        <f t="shared" si="10"/>
        <v>40</v>
      </c>
      <c r="T62" s="60">
        <f t="shared" ref="T62:U62" si="12">SUM(T59:T61)</f>
        <v>40</v>
      </c>
      <c r="U62" s="60">
        <f t="shared" si="12"/>
        <v>40</v>
      </c>
      <c r="V62" s="60">
        <f t="shared" ref="V62:W62" si="13">SUM(V59:V61)</f>
        <v>40</v>
      </c>
      <c r="W62" s="60">
        <f t="shared" si="13"/>
        <v>100</v>
      </c>
      <c r="X62" s="60">
        <f t="shared" si="10"/>
        <v>85.2</v>
      </c>
      <c r="Y62" s="60">
        <f t="shared" ref="Y62:Z62" si="14">SUM(Y59:Y61)</f>
        <v>206</v>
      </c>
      <c r="Z62" s="60">
        <f t="shared" si="14"/>
        <v>216</v>
      </c>
      <c r="AA62" s="60">
        <f t="shared" ref="AA62" si="15">SUM(AA59:AA61)</f>
        <v>250.2</v>
      </c>
      <c r="AB62" s="60">
        <f t="shared" si="10"/>
        <v>250.2</v>
      </c>
      <c r="AC62" s="60">
        <f t="shared" si="10"/>
        <v>140.19999999999999</v>
      </c>
      <c r="AD62" s="60">
        <f t="shared" si="10"/>
        <v>120.2</v>
      </c>
      <c r="AE62" s="60">
        <f t="shared" si="10"/>
        <v>55.2</v>
      </c>
      <c r="AF62" s="60">
        <f t="shared" si="10"/>
        <v>40.200000000000003</v>
      </c>
      <c r="AG62" s="61">
        <f t="shared" si="10"/>
        <v>538.1</v>
      </c>
      <c r="AH62" s="47">
        <f t="shared" si="2"/>
        <v>380.2</v>
      </c>
      <c r="AI62" s="48">
        <f t="shared" si="3"/>
        <v>40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30.8</v>
      </c>
      <c r="I63" s="45">
        <v>71.7</v>
      </c>
      <c r="J63" s="45">
        <v>96</v>
      </c>
      <c r="K63" s="45">
        <v>81.400000000000006</v>
      </c>
      <c r="L63" s="45">
        <v>81.400000000000006</v>
      </c>
      <c r="M63" s="45">
        <v>97.4</v>
      </c>
      <c r="N63" s="45">
        <v>90</v>
      </c>
      <c r="O63" s="45">
        <v>61</v>
      </c>
      <c r="P63" s="45">
        <v>61</v>
      </c>
      <c r="Q63" s="45">
        <v>71.099999999999994</v>
      </c>
      <c r="R63" s="45">
        <v>60</v>
      </c>
      <c r="S63" s="45">
        <v>63.2</v>
      </c>
      <c r="T63" s="45">
        <v>63.2</v>
      </c>
      <c r="U63" s="45">
        <v>81.5</v>
      </c>
      <c r="V63" s="45">
        <v>61.1</v>
      </c>
      <c r="W63" s="45">
        <v>60.9</v>
      </c>
      <c r="X63" s="45">
        <v>97.5</v>
      </c>
      <c r="Y63" s="45">
        <v>144</v>
      </c>
      <c r="Z63" s="45">
        <v>144</v>
      </c>
      <c r="AA63" s="45">
        <v>111.9</v>
      </c>
      <c r="AB63" s="45">
        <v>81.2</v>
      </c>
      <c r="AC63" s="45">
        <v>60.9</v>
      </c>
      <c r="AD63" s="45">
        <v>60.8</v>
      </c>
      <c r="AE63" s="45">
        <v>30.2</v>
      </c>
      <c r="AF63" s="45">
        <v>0</v>
      </c>
      <c r="AG63" s="52">
        <v>144</v>
      </c>
      <c r="AH63" s="47">
        <f t="shared" si="2"/>
        <v>144</v>
      </c>
      <c r="AI63" s="48">
        <f t="shared" si="3"/>
        <v>0</v>
      </c>
      <c r="AK63" s="50"/>
    </row>
    <row r="64" spans="1:88" x14ac:dyDescent="0.25">
      <c r="A64" s="54" t="s">
        <v>64</v>
      </c>
      <c r="B64" s="65">
        <v>0</v>
      </c>
      <c r="C64" s="65">
        <v>0</v>
      </c>
      <c r="D64" s="65">
        <v>0</v>
      </c>
      <c r="E64" s="65">
        <v>0</v>
      </c>
      <c r="F64" s="65">
        <v>24</v>
      </c>
      <c r="G64" s="65">
        <v>35</v>
      </c>
      <c r="H64" s="65">
        <v>35</v>
      </c>
      <c r="I64" s="65">
        <v>50</v>
      </c>
      <c r="J64" s="65">
        <v>70</v>
      </c>
      <c r="K64" s="65">
        <v>60</v>
      </c>
      <c r="L64" s="65">
        <v>50</v>
      </c>
      <c r="M64" s="65">
        <v>50</v>
      </c>
      <c r="N64" s="65">
        <v>50</v>
      </c>
      <c r="O64" s="65">
        <v>45</v>
      </c>
      <c r="P64" s="65">
        <v>25</v>
      </c>
      <c r="Q64" s="65">
        <v>30</v>
      </c>
      <c r="R64" s="65">
        <v>25</v>
      </c>
      <c r="S64" s="45">
        <v>25</v>
      </c>
      <c r="T64" s="45">
        <v>25</v>
      </c>
      <c r="U64" s="45">
        <v>35</v>
      </c>
      <c r="V64" s="45">
        <v>35</v>
      </c>
      <c r="W64" s="45">
        <v>45</v>
      </c>
      <c r="X64" s="45">
        <v>45</v>
      </c>
      <c r="Y64" s="45">
        <v>69</v>
      </c>
      <c r="Z64" s="45">
        <v>69</v>
      </c>
      <c r="AA64" s="45">
        <v>59</v>
      </c>
      <c r="AB64" s="45">
        <v>55</v>
      </c>
      <c r="AC64" s="45">
        <v>45</v>
      </c>
      <c r="AD64" s="65">
        <v>45</v>
      </c>
      <c r="AE64" s="45">
        <v>22</v>
      </c>
      <c r="AF64" s="45">
        <v>0</v>
      </c>
      <c r="AG64" s="55">
        <v>70</v>
      </c>
      <c r="AH64" s="47">
        <f t="shared" si="2"/>
        <v>70</v>
      </c>
      <c r="AI64" s="48">
        <f t="shared" si="3"/>
        <v>0</v>
      </c>
      <c r="AK64" s="50"/>
    </row>
    <row r="65" spans="1:41" x14ac:dyDescent="0.25">
      <c r="A65" s="54" t="s">
        <v>65</v>
      </c>
      <c r="B65" s="65">
        <v>34</v>
      </c>
      <c r="C65" s="65">
        <v>23</v>
      </c>
      <c r="D65" s="65">
        <v>0</v>
      </c>
      <c r="E65" s="65">
        <v>0</v>
      </c>
      <c r="F65" s="65">
        <v>0</v>
      </c>
      <c r="G65" s="65">
        <v>23.1</v>
      </c>
      <c r="H65" s="65">
        <v>15.8</v>
      </c>
      <c r="I65" s="65">
        <v>39.200000000000003</v>
      </c>
      <c r="J65" s="65">
        <v>68.400000000000006</v>
      </c>
      <c r="K65" s="65">
        <v>69</v>
      </c>
      <c r="L65" s="65">
        <v>39.6</v>
      </c>
      <c r="M65" s="65">
        <v>40</v>
      </c>
      <c r="N65" s="65">
        <v>32</v>
      </c>
      <c r="O65" s="65">
        <v>33</v>
      </c>
      <c r="P65" s="65">
        <v>33</v>
      </c>
      <c r="Q65" s="65">
        <v>33.200000000000003</v>
      </c>
      <c r="R65" s="65">
        <v>33</v>
      </c>
      <c r="S65" s="45">
        <v>47.2</v>
      </c>
      <c r="T65" s="45">
        <v>33.9</v>
      </c>
      <c r="U65" s="45">
        <v>46.1</v>
      </c>
      <c r="V65" s="45">
        <v>45.9</v>
      </c>
      <c r="W65" s="45">
        <v>45.9</v>
      </c>
      <c r="X65" s="45">
        <v>52.9</v>
      </c>
      <c r="Y65" s="45">
        <v>68.900000000000006</v>
      </c>
      <c r="Z65" s="45">
        <v>68.900000000000006</v>
      </c>
      <c r="AA65" s="45">
        <v>68.900000000000006</v>
      </c>
      <c r="AB65" s="45">
        <v>55.9</v>
      </c>
      <c r="AC65" s="45">
        <v>49.2</v>
      </c>
      <c r="AD65" s="65">
        <v>48.9</v>
      </c>
      <c r="AE65" s="45">
        <v>34.299999999999997</v>
      </c>
      <c r="AF65" s="45">
        <v>34.4</v>
      </c>
      <c r="AG65" s="55">
        <v>69</v>
      </c>
      <c r="AH65" s="47">
        <f t="shared" si="2"/>
        <v>69</v>
      </c>
      <c r="AI65" s="48">
        <f t="shared" si="3"/>
        <v>0</v>
      </c>
      <c r="AK65" s="50"/>
    </row>
    <row r="66" spans="1:41" x14ac:dyDescent="0.25">
      <c r="A66" s="54" t="s">
        <v>66</v>
      </c>
      <c r="B66" s="65">
        <v>40.299999999999997</v>
      </c>
      <c r="C66" s="65">
        <v>40.299999999999997</v>
      </c>
      <c r="D66" s="65">
        <v>40.299999999999997</v>
      </c>
      <c r="E66" s="65">
        <v>40</v>
      </c>
      <c r="F66" s="65">
        <v>40</v>
      </c>
      <c r="G66" s="65">
        <v>40</v>
      </c>
      <c r="H66" s="65">
        <v>40</v>
      </c>
      <c r="I66" s="65">
        <v>40</v>
      </c>
      <c r="J66" s="65">
        <v>40</v>
      </c>
      <c r="K66" s="65">
        <v>40</v>
      </c>
      <c r="L66" s="65">
        <v>40</v>
      </c>
      <c r="M66" s="65">
        <v>40</v>
      </c>
      <c r="N66" s="65">
        <v>40</v>
      </c>
      <c r="O66" s="65">
        <v>40</v>
      </c>
      <c r="P66" s="65">
        <v>40</v>
      </c>
      <c r="Q66" s="65">
        <v>39.200000000000003</v>
      </c>
      <c r="R66" s="65">
        <v>39.200000000000003</v>
      </c>
      <c r="S66" s="45">
        <v>37.299999999999997</v>
      </c>
      <c r="T66" s="45">
        <v>37.299999999999997</v>
      </c>
      <c r="U66" s="45">
        <v>37.299999999999997</v>
      </c>
      <c r="V66" s="45">
        <v>37.299999999999997</v>
      </c>
      <c r="W66" s="45">
        <v>37.299999999999997</v>
      </c>
      <c r="X66" s="45">
        <v>36.299999999999997</v>
      </c>
      <c r="Y66" s="45">
        <v>36.299999999999997</v>
      </c>
      <c r="Z66" s="45">
        <v>36.299999999999997</v>
      </c>
      <c r="AA66" s="45">
        <v>36.299999999999997</v>
      </c>
      <c r="AB66" s="45">
        <v>36.6</v>
      </c>
      <c r="AC66" s="45">
        <v>36.299999999999997</v>
      </c>
      <c r="AD66" s="65">
        <v>39</v>
      </c>
      <c r="AE66" s="45">
        <v>42.3</v>
      </c>
      <c r="AF66" s="45">
        <v>42.1</v>
      </c>
      <c r="AG66" s="55">
        <v>60</v>
      </c>
      <c r="AH66" s="47">
        <f t="shared" si="2"/>
        <v>42.3</v>
      </c>
      <c r="AI66" s="48">
        <f t="shared" si="3"/>
        <v>36.299999999999997</v>
      </c>
      <c r="AK66" s="50"/>
    </row>
    <row r="67" spans="1:41" x14ac:dyDescent="0.25">
      <c r="A67" s="54" t="s">
        <v>67</v>
      </c>
      <c r="B67" s="65">
        <v>0</v>
      </c>
      <c r="C67" s="65">
        <v>0</v>
      </c>
      <c r="D67" s="65">
        <v>0</v>
      </c>
      <c r="E67" s="65">
        <v>0</v>
      </c>
      <c r="F67" s="65">
        <v>10</v>
      </c>
      <c r="G67" s="65">
        <v>10</v>
      </c>
      <c r="H67" s="65">
        <v>10</v>
      </c>
      <c r="I67" s="65">
        <v>23</v>
      </c>
      <c r="J67" s="65">
        <v>29</v>
      </c>
      <c r="K67" s="57">
        <v>23</v>
      </c>
      <c r="L67" s="57">
        <v>15</v>
      </c>
      <c r="M67" s="57">
        <v>23</v>
      </c>
      <c r="N67" s="57">
        <v>23</v>
      </c>
      <c r="O67" s="57">
        <v>10</v>
      </c>
      <c r="P67" s="57">
        <v>10</v>
      </c>
      <c r="Q67" s="57">
        <v>10</v>
      </c>
      <c r="R67" s="57">
        <v>0</v>
      </c>
      <c r="S67" s="45">
        <v>0</v>
      </c>
      <c r="T67" s="45">
        <v>0</v>
      </c>
      <c r="U67" s="45">
        <v>0</v>
      </c>
      <c r="V67" s="45">
        <v>0</v>
      </c>
      <c r="W67" s="45">
        <v>0</v>
      </c>
      <c r="X67" s="45">
        <v>23</v>
      </c>
      <c r="Y67" s="45">
        <v>29</v>
      </c>
      <c r="Z67" s="45">
        <v>29</v>
      </c>
      <c r="AA67" s="45">
        <v>25</v>
      </c>
      <c r="AB67" s="45">
        <v>23</v>
      </c>
      <c r="AC67" s="45">
        <v>15</v>
      </c>
      <c r="AD67" s="65">
        <v>10</v>
      </c>
      <c r="AE67" s="45">
        <v>10</v>
      </c>
      <c r="AF67" s="45">
        <v>0</v>
      </c>
      <c r="AG67" s="55">
        <v>30</v>
      </c>
      <c r="AH67" s="47">
        <f t="shared" si="2"/>
        <v>29</v>
      </c>
      <c r="AI67" s="48">
        <f t="shared" si="3"/>
        <v>0</v>
      </c>
      <c r="AK67" s="50"/>
    </row>
    <row r="68" spans="1:41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65">
        <v>0.3</v>
      </c>
      <c r="L68" s="65">
        <v>1.3</v>
      </c>
      <c r="M68" s="65">
        <v>1.3</v>
      </c>
      <c r="N68" s="65">
        <v>1.3</v>
      </c>
      <c r="O68" s="65">
        <v>1.3</v>
      </c>
      <c r="P68" s="65">
        <v>1.3</v>
      </c>
      <c r="Q68" s="65">
        <v>1.3</v>
      </c>
      <c r="R68" s="65">
        <v>1.3</v>
      </c>
      <c r="S68" s="45">
        <v>13.6</v>
      </c>
      <c r="T68" s="45">
        <v>10.1</v>
      </c>
      <c r="U68" s="45">
        <v>2.4</v>
      </c>
      <c r="V68" s="45">
        <v>0.8</v>
      </c>
      <c r="W68" s="45">
        <v>0.8</v>
      </c>
      <c r="X68" s="45">
        <v>0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65">
        <v>0</v>
      </c>
      <c r="AE68" s="65">
        <v>0</v>
      </c>
      <c r="AF68" s="45">
        <v>0</v>
      </c>
      <c r="AG68" s="55">
        <v>25</v>
      </c>
      <c r="AH68" s="47">
        <f t="shared" si="2"/>
        <v>13.6</v>
      </c>
      <c r="AI68" s="48">
        <f t="shared" si="3"/>
        <v>0</v>
      </c>
      <c r="AK68" s="50"/>
    </row>
    <row r="69" spans="1:41" x14ac:dyDescent="0.25">
      <c r="A69" s="54" t="s">
        <v>69</v>
      </c>
      <c r="B69" s="65">
        <v>15</v>
      </c>
      <c r="C69" s="65">
        <v>15</v>
      </c>
      <c r="D69" s="65">
        <v>15</v>
      </c>
      <c r="E69" s="65">
        <v>15</v>
      </c>
      <c r="F69" s="65">
        <v>15</v>
      </c>
      <c r="G69" s="65">
        <v>15</v>
      </c>
      <c r="H69" s="65">
        <v>15</v>
      </c>
      <c r="I69" s="65">
        <v>15</v>
      </c>
      <c r="J69" s="65">
        <v>15</v>
      </c>
      <c r="K69" s="65">
        <v>15</v>
      </c>
      <c r="L69" s="65">
        <v>15</v>
      </c>
      <c r="M69" s="65">
        <v>15</v>
      </c>
      <c r="N69" s="65">
        <v>15</v>
      </c>
      <c r="O69" s="65">
        <v>15</v>
      </c>
      <c r="P69" s="65">
        <v>15</v>
      </c>
      <c r="Q69" s="65">
        <v>15</v>
      </c>
      <c r="R69" s="65">
        <v>15</v>
      </c>
      <c r="S69" s="65">
        <v>15</v>
      </c>
      <c r="T69" s="65">
        <v>15</v>
      </c>
      <c r="U69" s="65">
        <v>15</v>
      </c>
      <c r="V69" s="65">
        <v>15</v>
      </c>
      <c r="W69" s="65">
        <v>15</v>
      </c>
      <c r="X69" s="65">
        <v>15</v>
      </c>
      <c r="Y69" s="65">
        <v>15</v>
      </c>
      <c r="Z69" s="65">
        <v>15</v>
      </c>
      <c r="AA69" s="65">
        <v>15</v>
      </c>
      <c r="AB69" s="65">
        <v>15</v>
      </c>
      <c r="AC69" s="65">
        <v>15</v>
      </c>
      <c r="AD69" s="65">
        <v>15</v>
      </c>
      <c r="AE69" s="65">
        <v>15</v>
      </c>
      <c r="AF69" s="65">
        <v>15</v>
      </c>
      <c r="AG69" s="55">
        <v>24</v>
      </c>
      <c r="AH69" s="47">
        <f t="shared" si="2"/>
        <v>15</v>
      </c>
      <c r="AI69" s="48">
        <f t="shared" si="3"/>
        <v>15</v>
      </c>
      <c r="AK69" s="50"/>
    </row>
    <row r="70" spans="1:41" x14ac:dyDescent="0.25">
      <c r="A70" s="54" t="s">
        <v>70</v>
      </c>
      <c r="B70" s="65">
        <v>4</v>
      </c>
      <c r="C70" s="65">
        <v>4</v>
      </c>
      <c r="D70" s="65">
        <v>4</v>
      </c>
      <c r="E70" s="65">
        <v>4</v>
      </c>
      <c r="F70" s="65">
        <v>4</v>
      </c>
      <c r="G70" s="65">
        <v>4</v>
      </c>
      <c r="H70" s="65">
        <v>4</v>
      </c>
      <c r="I70" s="65">
        <v>4</v>
      </c>
      <c r="J70" s="65">
        <v>4</v>
      </c>
      <c r="K70" s="65">
        <v>4</v>
      </c>
      <c r="L70" s="65">
        <v>4</v>
      </c>
      <c r="M70" s="65">
        <v>4</v>
      </c>
      <c r="N70" s="65">
        <v>4</v>
      </c>
      <c r="O70" s="65">
        <v>4</v>
      </c>
      <c r="P70" s="65">
        <v>4</v>
      </c>
      <c r="Q70" s="65">
        <v>4</v>
      </c>
      <c r="R70" s="65">
        <v>4</v>
      </c>
      <c r="S70" s="65">
        <v>4</v>
      </c>
      <c r="T70" s="65">
        <v>4</v>
      </c>
      <c r="U70" s="65">
        <v>4</v>
      </c>
      <c r="V70" s="65">
        <v>4</v>
      </c>
      <c r="W70" s="65">
        <v>4</v>
      </c>
      <c r="X70" s="65">
        <v>4</v>
      </c>
      <c r="Y70" s="65">
        <v>4</v>
      </c>
      <c r="Z70" s="65">
        <v>4</v>
      </c>
      <c r="AA70" s="65">
        <v>4</v>
      </c>
      <c r="AB70" s="65">
        <v>4</v>
      </c>
      <c r="AC70" s="65">
        <v>4</v>
      </c>
      <c r="AD70" s="65">
        <v>4</v>
      </c>
      <c r="AE70" s="65">
        <v>4</v>
      </c>
      <c r="AF70" s="65">
        <v>4</v>
      </c>
      <c r="AG70" s="55">
        <v>15</v>
      </c>
      <c r="AH70" s="47">
        <f t="shared" si="2"/>
        <v>4</v>
      </c>
      <c r="AI70" s="48">
        <f t="shared" si="3"/>
        <v>4</v>
      </c>
      <c r="AK70" s="50"/>
      <c r="AL70" s="70"/>
      <c r="AO70" s="70"/>
    </row>
    <row r="71" spans="1:41" s="70" customFormat="1" x14ac:dyDescent="0.25">
      <c r="A71" s="54" t="s">
        <v>71</v>
      </c>
      <c r="B71" s="65">
        <v>9.8000000000000007</v>
      </c>
      <c r="C71" s="65">
        <v>9.8000000000000007</v>
      </c>
      <c r="D71" s="65">
        <v>9.8000000000000007</v>
      </c>
      <c r="E71" s="65">
        <v>9.8000000000000007</v>
      </c>
      <c r="F71" s="65">
        <v>9.8000000000000007</v>
      </c>
      <c r="G71" s="65">
        <v>9.8000000000000007</v>
      </c>
      <c r="H71" s="65">
        <v>9.8000000000000007</v>
      </c>
      <c r="I71" s="65">
        <v>9.8000000000000007</v>
      </c>
      <c r="J71" s="65">
        <v>9.8000000000000007</v>
      </c>
      <c r="K71" s="65">
        <v>9.8000000000000007</v>
      </c>
      <c r="L71" s="65">
        <v>9.8000000000000007</v>
      </c>
      <c r="M71" s="65">
        <v>9.8000000000000007</v>
      </c>
      <c r="N71" s="65">
        <v>9.8000000000000007</v>
      </c>
      <c r="O71" s="65">
        <v>9.8000000000000007</v>
      </c>
      <c r="P71" s="65">
        <v>9.8000000000000007</v>
      </c>
      <c r="Q71" s="65">
        <v>9.8000000000000007</v>
      </c>
      <c r="R71" s="65">
        <v>9.8000000000000007</v>
      </c>
      <c r="S71" s="65">
        <v>9.8000000000000007</v>
      </c>
      <c r="T71" s="65">
        <v>9.8000000000000007</v>
      </c>
      <c r="U71" s="65">
        <v>9.8000000000000007</v>
      </c>
      <c r="V71" s="65">
        <v>9.8000000000000007</v>
      </c>
      <c r="W71" s="65">
        <v>9.8000000000000007</v>
      </c>
      <c r="X71" s="65">
        <v>9.8000000000000007</v>
      </c>
      <c r="Y71" s="65">
        <v>9.8000000000000007</v>
      </c>
      <c r="Z71" s="65">
        <v>9.8000000000000007</v>
      </c>
      <c r="AA71" s="65">
        <v>9.8000000000000007</v>
      </c>
      <c r="AB71" s="65">
        <v>9.8000000000000007</v>
      </c>
      <c r="AC71" s="65">
        <v>9.8000000000000007</v>
      </c>
      <c r="AD71" s="65">
        <v>9.8000000000000007</v>
      </c>
      <c r="AE71" s="65">
        <v>9.8000000000000007</v>
      </c>
      <c r="AF71" s="65">
        <v>9.8000000000000007</v>
      </c>
      <c r="AG71" s="55">
        <v>14.1</v>
      </c>
      <c r="AH71" s="47">
        <f t="shared" si="2"/>
        <v>9.8000000000000007</v>
      </c>
      <c r="AI71" s="48">
        <f t="shared" si="3"/>
        <v>9.8000000000000007</v>
      </c>
      <c r="AJ71" s="1"/>
      <c r="AK71" s="50"/>
      <c r="AL71" s="1"/>
      <c r="AM71" s="1"/>
      <c r="AN71" s="1"/>
      <c r="AO71" s="1"/>
    </row>
    <row r="72" spans="1:41" x14ac:dyDescent="0.25">
      <c r="A72" s="71" t="s">
        <v>72</v>
      </c>
      <c r="B72" s="65">
        <v>3.5</v>
      </c>
      <c r="C72" s="65">
        <v>3.5</v>
      </c>
      <c r="D72" s="65">
        <v>3.5</v>
      </c>
      <c r="E72" s="65">
        <v>3.5</v>
      </c>
      <c r="F72" s="65">
        <v>3.5</v>
      </c>
      <c r="G72" s="65">
        <v>3.5</v>
      </c>
      <c r="H72" s="65">
        <v>3.5</v>
      </c>
      <c r="I72" s="65">
        <v>3.5</v>
      </c>
      <c r="J72" s="65">
        <v>3.5</v>
      </c>
      <c r="K72" s="65">
        <v>3.5</v>
      </c>
      <c r="L72" s="65">
        <v>3.5</v>
      </c>
      <c r="M72" s="65">
        <v>3.5</v>
      </c>
      <c r="N72" s="65">
        <v>3.5</v>
      </c>
      <c r="O72" s="65">
        <v>3.5</v>
      </c>
      <c r="P72" s="65">
        <v>3.5</v>
      </c>
      <c r="Q72" s="65">
        <v>3.5</v>
      </c>
      <c r="R72" s="65">
        <v>3.5</v>
      </c>
      <c r="S72" s="65">
        <v>3.5</v>
      </c>
      <c r="T72" s="65">
        <v>3.5</v>
      </c>
      <c r="U72" s="65">
        <v>3.5</v>
      </c>
      <c r="V72" s="65">
        <v>3.5</v>
      </c>
      <c r="W72" s="65">
        <v>3.5</v>
      </c>
      <c r="X72" s="65">
        <v>3.5</v>
      </c>
      <c r="Y72" s="65">
        <v>3.5</v>
      </c>
      <c r="Z72" s="65">
        <v>3.5</v>
      </c>
      <c r="AA72" s="65">
        <v>3.5</v>
      </c>
      <c r="AB72" s="65">
        <v>3.5</v>
      </c>
      <c r="AC72" s="65">
        <v>3.4</v>
      </c>
      <c r="AD72" s="65">
        <v>3.4</v>
      </c>
      <c r="AE72" s="65">
        <v>3.4</v>
      </c>
      <c r="AF72" s="65">
        <v>5</v>
      </c>
      <c r="AG72" s="55">
        <v>14</v>
      </c>
      <c r="AH72" s="47">
        <f t="shared" si="2"/>
        <v>5</v>
      </c>
      <c r="AI72" s="48">
        <f t="shared" si="3"/>
        <v>3.4</v>
      </c>
      <c r="AK72" s="50"/>
    </row>
    <row r="73" spans="1:41" x14ac:dyDescent="0.25">
      <c r="A73" s="54" t="s">
        <v>73</v>
      </c>
      <c r="B73" s="65">
        <v>2.5</v>
      </c>
      <c r="C73" s="65">
        <v>2.5</v>
      </c>
      <c r="D73" s="65">
        <v>2.5</v>
      </c>
      <c r="E73" s="65">
        <v>2.5</v>
      </c>
      <c r="F73" s="65">
        <v>2.5</v>
      </c>
      <c r="G73" s="65">
        <v>2.5</v>
      </c>
      <c r="H73" s="65">
        <v>2.5</v>
      </c>
      <c r="I73" s="65">
        <v>2.5</v>
      </c>
      <c r="J73" s="65">
        <v>2.5</v>
      </c>
      <c r="K73" s="65">
        <v>2.5</v>
      </c>
      <c r="L73" s="65">
        <v>2.5</v>
      </c>
      <c r="M73" s="65">
        <v>2.5</v>
      </c>
      <c r="N73" s="65">
        <v>2.5</v>
      </c>
      <c r="O73" s="65">
        <v>2.5</v>
      </c>
      <c r="P73" s="65">
        <v>2.5</v>
      </c>
      <c r="Q73" s="65">
        <v>2.5</v>
      </c>
      <c r="R73" s="65">
        <v>2.5</v>
      </c>
      <c r="S73" s="65">
        <v>2.5</v>
      </c>
      <c r="T73" s="65">
        <v>2.5</v>
      </c>
      <c r="U73" s="65">
        <v>2.5</v>
      </c>
      <c r="V73" s="65">
        <v>2.5</v>
      </c>
      <c r="W73" s="65">
        <v>2.5</v>
      </c>
      <c r="X73" s="65">
        <v>2.5</v>
      </c>
      <c r="Y73" s="65">
        <v>2.5</v>
      </c>
      <c r="Z73" s="65">
        <v>2.5</v>
      </c>
      <c r="AA73" s="65">
        <v>2.5</v>
      </c>
      <c r="AB73" s="65">
        <v>2.5</v>
      </c>
      <c r="AC73" s="65">
        <v>2.5</v>
      </c>
      <c r="AD73" s="65">
        <v>2.5</v>
      </c>
      <c r="AE73" s="65">
        <v>2.5</v>
      </c>
      <c r="AF73" s="65">
        <v>2.5</v>
      </c>
      <c r="AG73" s="55">
        <v>10.050000000000001</v>
      </c>
      <c r="AH73" s="47">
        <f t="shared" si="2"/>
        <v>2.5</v>
      </c>
      <c r="AI73" s="48">
        <f t="shared" si="3"/>
        <v>2.5</v>
      </c>
      <c r="AK73" s="50"/>
    </row>
    <row r="74" spans="1:41" x14ac:dyDescent="0.25">
      <c r="A74" s="54" t="s">
        <v>74</v>
      </c>
      <c r="B74" s="65">
        <v>2</v>
      </c>
      <c r="C74" s="65">
        <v>2</v>
      </c>
      <c r="D74" s="65">
        <v>2</v>
      </c>
      <c r="E74" s="65">
        <v>2</v>
      </c>
      <c r="F74" s="65">
        <v>2</v>
      </c>
      <c r="G74" s="65">
        <v>2</v>
      </c>
      <c r="H74" s="65">
        <v>2</v>
      </c>
      <c r="I74" s="65">
        <v>2</v>
      </c>
      <c r="J74" s="65">
        <v>2</v>
      </c>
      <c r="K74" s="65">
        <v>2</v>
      </c>
      <c r="L74" s="65">
        <v>2</v>
      </c>
      <c r="M74" s="65">
        <v>2</v>
      </c>
      <c r="N74" s="65">
        <v>2</v>
      </c>
      <c r="O74" s="65">
        <v>2</v>
      </c>
      <c r="P74" s="65">
        <v>2</v>
      </c>
      <c r="Q74" s="65">
        <v>2</v>
      </c>
      <c r="R74" s="65">
        <v>2</v>
      </c>
      <c r="S74" s="65">
        <v>2</v>
      </c>
      <c r="T74" s="65">
        <v>2</v>
      </c>
      <c r="U74" s="65">
        <v>2</v>
      </c>
      <c r="V74" s="65">
        <v>2</v>
      </c>
      <c r="W74" s="65">
        <v>2</v>
      </c>
      <c r="X74" s="65">
        <v>2</v>
      </c>
      <c r="Y74" s="65">
        <v>2</v>
      </c>
      <c r="Z74" s="65">
        <v>2</v>
      </c>
      <c r="AA74" s="65">
        <v>2</v>
      </c>
      <c r="AB74" s="65">
        <v>2</v>
      </c>
      <c r="AC74" s="65">
        <v>2</v>
      </c>
      <c r="AD74" s="65">
        <v>2</v>
      </c>
      <c r="AE74" s="65">
        <v>2</v>
      </c>
      <c r="AF74" s="65">
        <v>2</v>
      </c>
      <c r="AG74" s="55">
        <v>6.2</v>
      </c>
      <c r="AH74" s="47">
        <f t="shared" si="2"/>
        <v>2</v>
      </c>
      <c r="AI74" s="48">
        <f t="shared" si="3"/>
        <v>2</v>
      </c>
      <c r="AK74" s="50"/>
    </row>
    <row r="75" spans="1:41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3.54</v>
      </c>
      <c r="Z75" s="72">
        <v>3.54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2"/>
        <v>3.54</v>
      </c>
      <c r="AI75" s="48">
        <f t="shared" si="3"/>
        <v>3.54</v>
      </c>
      <c r="AK75" s="50"/>
    </row>
    <row r="76" spans="1:41" ht="15.75" thickBot="1" x14ac:dyDescent="0.3">
      <c r="A76" s="74" t="s">
        <v>76</v>
      </c>
      <c r="B76" s="60">
        <f t="shared" ref="B76:AG76" si="16">SUM(B63:B75)</f>
        <v>114.64</v>
      </c>
      <c r="C76" s="60">
        <f t="shared" si="16"/>
        <v>103.64</v>
      </c>
      <c r="D76" s="60">
        <f t="shared" si="16"/>
        <v>80.64</v>
      </c>
      <c r="E76" s="60">
        <f t="shared" si="16"/>
        <v>80.34</v>
      </c>
      <c r="F76" s="60">
        <f t="shared" si="16"/>
        <v>114.34</v>
      </c>
      <c r="G76" s="60">
        <f t="shared" si="16"/>
        <v>148.44</v>
      </c>
      <c r="H76" s="60">
        <f t="shared" si="16"/>
        <v>171.94</v>
      </c>
      <c r="I76" s="60">
        <f t="shared" si="16"/>
        <v>264.24000000000007</v>
      </c>
      <c r="J76" s="60">
        <f t="shared" si="16"/>
        <v>343.74</v>
      </c>
      <c r="K76" s="60">
        <f t="shared" si="16"/>
        <v>314.04000000000002</v>
      </c>
      <c r="L76" s="60">
        <f t="shared" si="16"/>
        <v>267.64000000000004</v>
      </c>
      <c r="M76" s="60">
        <f t="shared" si="16"/>
        <v>292.04000000000008</v>
      </c>
      <c r="N76" s="60">
        <f t="shared" si="16"/>
        <v>276.64000000000004</v>
      </c>
      <c r="O76" s="60">
        <f t="shared" si="16"/>
        <v>230.64000000000001</v>
      </c>
      <c r="P76" s="60">
        <f t="shared" si="16"/>
        <v>210.64000000000001</v>
      </c>
      <c r="Q76" s="60">
        <f t="shared" si="16"/>
        <v>225.14000000000001</v>
      </c>
      <c r="R76" s="60">
        <f t="shared" si="16"/>
        <v>198.84</v>
      </c>
      <c r="S76" s="60">
        <f t="shared" si="16"/>
        <v>226.64</v>
      </c>
      <c r="T76" s="60">
        <f t="shared" ref="T76:U76" si="17">SUM(T63:T75)</f>
        <v>209.83999999999997</v>
      </c>
      <c r="U76" s="60">
        <f t="shared" si="17"/>
        <v>242.64</v>
      </c>
      <c r="V76" s="60">
        <f t="shared" ref="V76:W76" si="18">SUM(V63:V75)</f>
        <v>220.44000000000003</v>
      </c>
      <c r="W76" s="60">
        <f t="shared" si="18"/>
        <v>230.24000000000004</v>
      </c>
      <c r="X76" s="60">
        <f t="shared" si="16"/>
        <v>295.04000000000002</v>
      </c>
      <c r="Y76" s="60">
        <f t="shared" ref="Y76:Z76" si="19">SUM(Y63:Y75)</f>
        <v>387.54</v>
      </c>
      <c r="Z76" s="60">
        <f t="shared" si="19"/>
        <v>387.54</v>
      </c>
      <c r="AA76" s="60">
        <f t="shared" ref="AA76" si="20">SUM(AA63:AA75)</f>
        <v>341.44000000000005</v>
      </c>
      <c r="AB76" s="60">
        <f t="shared" si="16"/>
        <v>292.04000000000002</v>
      </c>
      <c r="AC76" s="60">
        <f t="shared" si="16"/>
        <v>246.64000000000004</v>
      </c>
      <c r="AD76" s="60">
        <f t="shared" si="16"/>
        <v>243.94</v>
      </c>
      <c r="AE76" s="60">
        <f t="shared" si="16"/>
        <v>179.04000000000002</v>
      </c>
      <c r="AF76" s="60">
        <f t="shared" si="16"/>
        <v>118.34</v>
      </c>
      <c r="AG76" s="61">
        <f t="shared" si="16"/>
        <v>489.91</v>
      </c>
      <c r="AH76" s="47">
        <f t="shared" si="2"/>
        <v>387.54</v>
      </c>
      <c r="AI76" s="48">
        <f t="shared" si="3"/>
        <v>80.34</v>
      </c>
      <c r="AK76" s="50"/>
    </row>
    <row r="77" spans="1:41" x14ac:dyDescent="0.25">
      <c r="A77" s="44" t="s">
        <v>77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52">
        <v>60</v>
      </c>
      <c r="AH77" s="47">
        <f t="shared" si="2"/>
        <v>0</v>
      </c>
      <c r="AI77" s="48">
        <f t="shared" si="3"/>
        <v>0</v>
      </c>
      <c r="AK77" s="50"/>
    </row>
    <row r="78" spans="1:41" x14ac:dyDescent="0.25">
      <c r="A78" s="54" t="s">
        <v>78</v>
      </c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>
        <v>0</v>
      </c>
      <c r="AC78" s="65">
        <v>0</v>
      </c>
      <c r="AD78" s="65">
        <v>0</v>
      </c>
      <c r="AE78" s="65">
        <v>0</v>
      </c>
      <c r="AF78" s="65">
        <v>0</v>
      </c>
      <c r="AG78" s="55">
        <v>32</v>
      </c>
      <c r="AH78" s="47">
        <f t="shared" si="2"/>
        <v>0</v>
      </c>
      <c r="AI78" s="48">
        <f t="shared" si="3"/>
        <v>0</v>
      </c>
      <c r="AK78" s="50"/>
    </row>
    <row r="79" spans="1:41" ht="15.75" thickBot="1" x14ac:dyDescent="0.3">
      <c r="A79" s="71" t="s">
        <v>79</v>
      </c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>
        <v>0</v>
      </c>
      <c r="AC79" s="67">
        <v>0</v>
      </c>
      <c r="AD79" s="67">
        <v>0</v>
      </c>
      <c r="AE79" s="67">
        <v>0</v>
      </c>
      <c r="AF79" s="67">
        <v>0</v>
      </c>
      <c r="AG79" s="68">
        <v>14</v>
      </c>
      <c r="AH79" s="47">
        <f t="shared" si="2"/>
        <v>0</v>
      </c>
      <c r="AI79" s="48">
        <f t="shared" si="3"/>
        <v>0</v>
      </c>
      <c r="AK79" s="50"/>
    </row>
    <row r="80" spans="1:41" ht="15.75" thickBot="1" x14ac:dyDescent="0.3">
      <c r="A80" s="74" t="s">
        <v>80</v>
      </c>
      <c r="B80" s="60">
        <f t="shared" ref="B80:AF80" si="21">B77+B78+B79</f>
        <v>0</v>
      </c>
      <c r="C80" s="60">
        <f t="shared" si="21"/>
        <v>0</v>
      </c>
      <c r="D80" s="60">
        <f t="shared" si="21"/>
        <v>0</v>
      </c>
      <c r="E80" s="60">
        <f t="shared" si="21"/>
        <v>0</v>
      </c>
      <c r="F80" s="60">
        <f t="shared" si="21"/>
        <v>0</v>
      </c>
      <c r="G80" s="60">
        <f t="shared" si="21"/>
        <v>0</v>
      </c>
      <c r="H80" s="60">
        <f t="shared" si="21"/>
        <v>0</v>
      </c>
      <c r="I80" s="60">
        <f t="shared" si="21"/>
        <v>0</v>
      </c>
      <c r="J80" s="60">
        <f t="shared" si="21"/>
        <v>0</v>
      </c>
      <c r="K80" s="60">
        <f t="shared" si="21"/>
        <v>0</v>
      </c>
      <c r="L80" s="60">
        <f t="shared" si="21"/>
        <v>0</v>
      </c>
      <c r="M80" s="60">
        <f t="shared" si="21"/>
        <v>0</v>
      </c>
      <c r="N80" s="60">
        <f t="shared" si="21"/>
        <v>0</v>
      </c>
      <c r="O80" s="60">
        <f t="shared" si="21"/>
        <v>0</v>
      </c>
      <c r="P80" s="60">
        <f t="shared" si="21"/>
        <v>0</v>
      </c>
      <c r="Q80" s="60">
        <f t="shared" si="21"/>
        <v>0</v>
      </c>
      <c r="R80" s="60">
        <f t="shared" si="21"/>
        <v>0</v>
      </c>
      <c r="S80" s="60">
        <f t="shared" si="21"/>
        <v>0</v>
      </c>
      <c r="T80" s="60">
        <f t="shared" ref="T80:U80" si="22">T77+T78+T79</f>
        <v>0</v>
      </c>
      <c r="U80" s="60">
        <f t="shared" si="22"/>
        <v>0</v>
      </c>
      <c r="V80" s="60">
        <f t="shared" ref="V80:W80" si="23">V77+V78+V79</f>
        <v>0</v>
      </c>
      <c r="W80" s="60">
        <f t="shared" si="23"/>
        <v>0</v>
      </c>
      <c r="X80" s="60">
        <f t="shared" si="21"/>
        <v>0</v>
      </c>
      <c r="Y80" s="60">
        <f t="shared" ref="Y80:Z80" si="24">Y77+Y78+Y79</f>
        <v>0</v>
      </c>
      <c r="Z80" s="60">
        <f t="shared" si="24"/>
        <v>0</v>
      </c>
      <c r="AA80" s="60">
        <f t="shared" ref="AA80" si="25">AA77+AA78+AA79</f>
        <v>0</v>
      </c>
      <c r="AB80" s="60">
        <f t="shared" si="21"/>
        <v>0</v>
      </c>
      <c r="AC80" s="60">
        <f t="shared" si="21"/>
        <v>0</v>
      </c>
      <c r="AD80" s="60">
        <f t="shared" si="21"/>
        <v>0</v>
      </c>
      <c r="AE80" s="60">
        <f t="shared" si="21"/>
        <v>0</v>
      </c>
      <c r="AF80" s="60">
        <f t="shared" si="21"/>
        <v>0</v>
      </c>
      <c r="AG80" s="61">
        <f>SUM(AG77:AG79)</f>
        <v>106</v>
      </c>
      <c r="AH80" s="47">
        <f t="shared" si="2"/>
        <v>0</v>
      </c>
      <c r="AI80" s="48">
        <f t="shared" si="3"/>
        <v>0</v>
      </c>
      <c r="AK80" s="50"/>
    </row>
    <row r="81" spans="1:40" x14ac:dyDescent="0.25">
      <c r="A81" s="44" t="s">
        <v>81</v>
      </c>
      <c r="B81" s="45">
        <v>55</v>
      </c>
      <c r="C81" s="45">
        <v>61.4</v>
      </c>
      <c r="D81" s="45">
        <v>62.3</v>
      </c>
      <c r="E81" s="45">
        <v>61</v>
      </c>
      <c r="F81" s="45">
        <v>38.5</v>
      </c>
      <c r="G81" s="45">
        <v>55.4</v>
      </c>
      <c r="H81" s="45">
        <v>66.3</v>
      </c>
      <c r="I81" s="45">
        <v>62.9</v>
      </c>
      <c r="J81" s="45">
        <v>76</v>
      </c>
      <c r="K81" s="45">
        <v>61.7</v>
      </c>
      <c r="L81" s="45">
        <v>74</v>
      </c>
      <c r="M81" s="45">
        <v>61.1</v>
      </c>
      <c r="N81" s="45">
        <v>43</v>
      </c>
      <c r="O81" s="45">
        <v>61</v>
      </c>
      <c r="P81" s="45">
        <v>62.2</v>
      </c>
      <c r="Q81" s="45">
        <v>58.9</v>
      </c>
      <c r="R81" s="45">
        <v>70</v>
      </c>
      <c r="S81" s="45">
        <v>73.8</v>
      </c>
      <c r="T81" s="45">
        <v>75.599999999999994</v>
      </c>
      <c r="U81" s="45">
        <v>58.6</v>
      </c>
      <c r="V81" s="45">
        <v>63.9</v>
      </c>
      <c r="W81" s="45">
        <v>69</v>
      </c>
      <c r="X81" s="45">
        <v>63.8</v>
      </c>
      <c r="Y81" s="45">
        <v>72.7</v>
      </c>
      <c r="Z81" s="45">
        <v>72.7</v>
      </c>
      <c r="AA81" s="45">
        <v>64.2</v>
      </c>
      <c r="AB81" s="45">
        <v>62.3</v>
      </c>
      <c r="AC81" s="45">
        <v>69.2</v>
      </c>
      <c r="AD81" s="45">
        <v>60</v>
      </c>
      <c r="AE81" s="45">
        <v>60.5</v>
      </c>
      <c r="AF81" s="45">
        <v>45</v>
      </c>
      <c r="AG81" s="52"/>
      <c r="AH81" s="47">
        <f t="shared" si="2"/>
        <v>76</v>
      </c>
      <c r="AI81" s="48">
        <f t="shared" si="3"/>
        <v>38.5</v>
      </c>
      <c r="AK81" s="50"/>
    </row>
    <row r="82" spans="1:40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>
        <v>0</v>
      </c>
      <c r="AC82" s="65">
        <v>0</v>
      </c>
      <c r="AD82" s="65">
        <v>0</v>
      </c>
      <c r="AE82" s="65">
        <v>0</v>
      </c>
      <c r="AF82" s="65">
        <v>0</v>
      </c>
      <c r="AG82" s="55"/>
      <c r="AH82" s="47">
        <f t="shared" si="2"/>
        <v>0</v>
      </c>
      <c r="AI82" s="48">
        <f t="shared" si="3"/>
        <v>0</v>
      </c>
      <c r="AK82" s="50"/>
    </row>
    <row r="83" spans="1:40" x14ac:dyDescent="0.25">
      <c r="A83" s="54" t="s">
        <v>83</v>
      </c>
      <c r="B83" s="65">
        <v>365</v>
      </c>
      <c r="C83" s="65">
        <v>381</v>
      </c>
      <c r="D83" s="65">
        <v>387</v>
      </c>
      <c r="E83" s="65">
        <v>376.9</v>
      </c>
      <c r="F83" s="65">
        <v>390</v>
      </c>
      <c r="G83" s="65">
        <v>420.9</v>
      </c>
      <c r="H83" s="65">
        <v>391</v>
      </c>
      <c r="I83" s="65">
        <v>422.9</v>
      </c>
      <c r="J83" s="65">
        <v>451.8</v>
      </c>
      <c r="K83" s="65">
        <v>370</v>
      </c>
      <c r="L83" s="65">
        <v>270.8</v>
      </c>
      <c r="M83" s="65">
        <v>155</v>
      </c>
      <c r="N83" s="65">
        <v>198</v>
      </c>
      <c r="O83" s="65">
        <v>352</v>
      </c>
      <c r="P83" s="65">
        <v>431</v>
      </c>
      <c r="Q83" s="65">
        <v>436</v>
      </c>
      <c r="R83" s="65">
        <v>489</v>
      </c>
      <c r="S83" s="65">
        <v>490.2</v>
      </c>
      <c r="T83" s="65">
        <v>503.1</v>
      </c>
      <c r="U83" s="65">
        <v>498.8</v>
      </c>
      <c r="V83" s="65">
        <v>382.3</v>
      </c>
      <c r="W83" s="65">
        <v>344.5</v>
      </c>
      <c r="X83" s="65">
        <v>345.1</v>
      </c>
      <c r="Y83" s="65">
        <v>296.5</v>
      </c>
      <c r="Z83" s="65">
        <v>296.5</v>
      </c>
      <c r="AA83" s="65">
        <v>243.6</v>
      </c>
      <c r="AB83" s="65">
        <v>251.8</v>
      </c>
      <c r="AC83" s="65">
        <v>334</v>
      </c>
      <c r="AD83" s="65">
        <v>357</v>
      </c>
      <c r="AE83" s="65">
        <v>381</v>
      </c>
      <c r="AF83" s="65">
        <v>360.3</v>
      </c>
      <c r="AG83" s="75"/>
      <c r="AH83" s="47">
        <f t="shared" si="2"/>
        <v>503.1</v>
      </c>
      <c r="AI83" s="48">
        <f t="shared" si="3"/>
        <v>155</v>
      </c>
      <c r="AK83" s="50"/>
    </row>
    <row r="84" spans="1:40" x14ac:dyDescent="0.25">
      <c r="A84" s="54" t="s">
        <v>84</v>
      </c>
      <c r="B84" s="65">
        <v>16</v>
      </c>
      <c r="C84" s="65">
        <v>15</v>
      </c>
      <c r="D84" s="65">
        <v>26</v>
      </c>
      <c r="E84" s="76">
        <v>33.4</v>
      </c>
      <c r="F84" s="76">
        <v>36.6</v>
      </c>
      <c r="G84" s="76">
        <v>38</v>
      </c>
      <c r="H84" s="76">
        <v>33.799999999999997</v>
      </c>
      <c r="I84" s="76">
        <v>36.299999999999997</v>
      </c>
      <c r="J84" s="76">
        <v>32.4</v>
      </c>
      <c r="K84" s="76">
        <v>27.9</v>
      </c>
      <c r="L84" s="76">
        <v>17</v>
      </c>
      <c r="M84" s="76">
        <v>16.8</v>
      </c>
      <c r="N84" s="76">
        <v>16</v>
      </c>
      <c r="O84" s="76">
        <v>16</v>
      </c>
      <c r="P84" s="76">
        <v>25.6</v>
      </c>
      <c r="Q84" s="76">
        <v>4</v>
      </c>
      <c r="R84" s="76">
        <v>32</v>
      </c>
      <c r="S84" s="76">
        <v>5.3</v>
      </c>
      <c r="T84" s="76">
        <v>7.8</v>
      </c>
      <c r="U84" s="76">
        <v>6.9</v>
      </c>
      <c r="V84" s="76">
        <v>5.7</v>
      </c>
      <c r="W84" s="76">
        <v>5.8</v>
      </c>
      <c r="X84" s="76">
        <v>6.4</v>
      </c>
      <c r="Y84" s="76">
        <v>13.6</v>
      </c>
      <c r="Z84" s="76">
        <v>13.6</v>
      </c>
      <c r="AA84" s="76">
        <v>12.4</v>
      </c>
      <c r="AB84" s="76">
        <v>16</v>
      </c>
      <c r="AC84" s="76">
        <v>18</v>
      </c>
      <c r="AD84" s="65">
        <v>16</v>
      </c>
      <c r="AE84" s="76">
        <v>15</v>
      </c>
      <c r="AF84" s="76">
        <v>15.9</v>
      </c>
      <c r="AG84" s="75"/>
      <c r="AH84" s="47">
        <f t="shared" si="2"/>
        <v>38</v>
      </c>
      <c r="AI84" s="48">
        <f t="shared" si="3"/>
        <v>4</v>
      </c>
      <c r="AK84" s="50"/>
    </row>
    <row r="85" spans="1:40" x14ac:dyDescent="0.25">
      <c r="A85" s="54" t="s">
        <v>85</v>
      </c>
      <c r="B85" s="45"/>
      <c r="C85" s="45">
        <v>16</v>
      </c>
      <c r="D85" s="45">
        <v>16</v>
      </c>
      <c r="E85" s="45">
        <v>0</v>
      </c>
      <c r="F85" s="45">
        <v>0</v>
      </c>
      <c r="G85" s="45">
        <v>0</v>
      </c>
      <c r="H85" s="45">
        <v>0</v>
      </c>
      <c r="I85" s="45">
        <v>0</v>
      </c>
      <c r="J85" s="45">
        <v>0</v>
      </c>
      <c r="K85" s="45">
        <v>0</v>
      </c>
      <c r="L85" s="45">
        <v>0</v>
      </c>
      <c r="M85" s="45"/>
      <c r="N85" s="45"/>
      <c r="O85" s="45"/>
      <c r="P85" s="45"/>
      <c r="Q85" s="45">
        <v>110.2</v>
      </c>
      <c r="R85" s="45">
        <v>110</v>
      </c>
      <c r="S85" s="45">
        <v>116.6</v>
      </c>
      <c r="T85" s="45">
        <f>53.9*2</f>
        <v>107.8</v>
      </c>
      <c r="U85" s="45">
        <v>108</v>
      </c>
      <c r="V85" s="45">
        <v>50.2</v>
      </c>
      <c r="W85" s="45">
        <v>35.799999999999997</v>
      </c>
      <c r="X85" s="45">
        <v>28</v>
      </c>
      <c r="Y85" s="45">
        <v>32.4</v>
      </c>
      <c r="Z85" s="45">
        <v>32.4</v>
      </c>
      <c r="AA85" s="45">
        <v>42.8</v>
      </c>
      <c r="AB85" s="45">
        <v>43</v>
      </c>
      <c r="AC85" s="45">
        <v>56</v>
      </c>
      <c r="AD85" s="45">
        <v>90</v>
      </c>
      <c r="AE85" s="45">
        <v>113</v>
      </c>
      <c r="AF85" s="45">
        <v>107</v>
      </c>
      <c r="AG85" s="75"/>
      <c r="AH85" s="47">
        <f t="shared" ref="AH85:AH130" si="26">MAX(B85:AF85)</f>
        <v>116.6</v>
      </c>
      <c r="AI85" s="48">
        <f t="shared" ref="AI85:AI130" si="27">MIN(B85:AF85)</f>
        <v>0</v>
      </c>
      <c r="AK85" s="50"/>
    </row>
    <row r="86" spans="1:40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/>
      <c r="AH86" s="47">
        <f t="shared" si="26"/>
        <v>0</v>
      </c>
      <c r="AI86" s="48">
        <f t="shared" si="27"/>
        <v>0</v>
      </c>
      <c r="AK86" s="50"/>
    </row>
    <row r="87" spans="1:40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>
        <v>0</v>
      </c>
      <c r="AC87" s="77">
        <v>0</v>
      </c>
      <c r="AD87" s="77">
        <v>0</v>
      </c>
      <c r="AE87" s="77">
        <v>0</v>
      </c>
      <c r="AF87" s="77">
        <v>0</v>
      </c>
      <c r="AG87" s="75"/>
      <c r="AH87" s="47">
        <f t="shared" si="26"/>
        <v>0</v>
      </c>
      <c r="AI87" s="48">
        <f t="shared" si="27"/>
        <v>0</v>
      </c>
      <c r="AK87" s="50"/>
      <c r="AL87" s="78" t="s">
        <v>88</v>
      </c>
      <c r="AM87" s="78"/>
    </row>
    <row r="88" spans="1:40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>
        <v>0</v>
      </c>
      <c r="AC88" s="77">
        <v>0</v>
      </c>
      <c r="AD88" s="77">
        <v>0</v>
      </c>
      <c r="AE88" s="77">
        <v>0</v>
      </c>
      <c r="AF88" s="77">
        <v>0</v>
      </c>
      <c r="AG88" s="75"/>
      <c r="AH88" s="47">
        <f t="shared" si="26"/>
        <v>0</v>
      </c>
      <c r="AI88" s="48">
        <f t="shared" si="27"/>
        <v>0</v>
      </c>
      <c r="AK88" s="79"/>
      <c r="AL88" s="80"/>
      <c r="AM88" s="80"/>
      <c r="AN88" s="81"/>
    </row>
    <row r="89" spans="1:40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>
        <v>0</v>
      </c>
      <c r="AC89" s="77">
        <v>0</v>
      </c>
      <c r="AD89" s="77">
        <v>0</v>
      </c>
      <c r="AE89" s="77">
        <v>0</v>
      </c>
      <c r="AF89" s="77">
        <v>0</v>
      </c>
      <c r="AG89" s="75"/>
      <c r="AH89" s="47">
        <f t="shared" si="26"/>
        <v>0</v>
      </c>
      <c r="AI89" s="48">
        <f t="shared" si="27"/>
        <v>0</v>
      </c>
      <c r="AK89" s="82" t="s">
        <v>91</v>
      </c>
      <c r="AL89" s="65"/>
      <c r="AM89" s="76"/>
      <c r="AN89" s="83"/>
    </row>
    <row r="90" spans="1:40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>
        <v>0</v>
      </c>
      <c r="AC90" s="77">
        <v>0</v>
      </c>
      <c r="AD90" s="77">
        <v>0</v>
      </c>
      <c r="AE90" s="77">
        <v>0</v>
      </c>
      <c r="AF90" s="77">
        <v>0</v>
      </c>
      <c r="AG90" s="85"/>
      <c r="AH90" s="47">
        <f t="shared" si="26"/>
        <v>0</v>
      </c>
      <c r="AI90" s="48">
        <f t="shared" si="27"/>
        <v>0</v>
      </c>
      <c r="AK90" s="82" t="s">
        <v>93</v>
      </c>
      <c r="AL90" s="76"/>
      <c r="AM90" s="76"/>
      <c r="AN90" s="83"/>
    </row>
    <row r="91" spans="1:40" ht="15.75" thickBot="1" x14ac:dyDescent="0.3">
      <c r="A91" s="84" t="s">
        <v>421</v>
      </c>
      <c r="B91" s="77">
        <v>66</v>
      </c>
      <c r="C91" s="77">
        <v>0</v>
      </c>
      <c r="D91" s="77">
        <v>0</v>
      </c>
      <c r="E91" s="77">
        <v>0</v>
      </c>
      <c r="F91" s="77">
        <v>0</v>
      </c>
      <c r="G91" s="77">
        <v>0</v>
      </c>
      <c r="H91" s="77">
        <v>0</v>
      </c>
      <c r="I91" s="77">
        <v>0</v>
      </c>
      <c r="J91" s="77">
        <v>0</v>
      </c>
      <c r="K91" s="77">
        <v>70</v>
      </c>
      <c r="L91" s="77">
        <v>73.599999999999994</v>
      </c>
      <c r="M91" s="77">
        <v>74</v>
      </c>
      <c r="N91" s="77">
        <v>74</v>
      </c>
      <c r="O91" s="77">
        <v>66</v>
      </c>
      <c r="P91" s="77">
        <v>78.7</v>
      </c>
      <c r="Q91" s="77">
        <v>62.3</v>
      </c>
      <c r="R91" s="77">
        <v>65</v>
      </c>
      <c r="S91" s="77">
        <v>70</v>
      </c>
      <c r="T91" s="77">
        <v>66.5</v>
      </c>
      <c r="U91" s="77">
        <v>61.5</v>
      </c>
      <c r="V91" s="77">
        <v>49.9</v>
      </c>
      <c r="W91" s="77">
        <v>54.3</v>
      </c>
      <c r="X91" s="77">
        <v>50.6</v>
      </c>
      <c r="Y91" s="77">
        <v>57.4</v>
      </c>
      <c r="Z91" s="77">
        <v>57.4</v>
      </c>
      <c r="AA91" s="77">
        <v>54.7</v>
      </c>
      <c r="AB91" s="77">
        <v>51.4</v>
      </c>
      <c r="AC91" s="77">
        <v>50.4</v>
      </c>
      <c r="AD91" s="77">
        <v>52.6</v>
      </c>
      <c r="AE91" s="77">
        <v>73.099999999999994</v>
      </c>
      <c r="AF91" s="77">
        <v>67.8</v>
      </c>
      <c r="AG91" s="85"/>
      <c r="AH91" s="47">
        <f t="shared" si="26"/>
        <v>78.7</v>
      </c>
      <c r="AI91" s="48">
        <f t="shared" si="27"/>
        <v>0</v>
      </c>
      <c r="AK91" s="86"/>
      <c r="AL91" s="45"/>
      <c r="AM91" s="45"/>
      <c r="AN91" s="87"/>
    </row>
    <row r="92" spans="1:40" ht="15.75" thickBot="1" x14ac:dyDescent="0.3">
      <c r="A92" s="74" t="s">
        <v>95</v>
      </c>
      <c r="B92" s="60">
        <f t="shared" ref="B92:AF92" si="28">SUMIF(B81:B91,"&gt;0")</f>
        <v>502</v>
      </c>
      <c r="C92" s="60">
        <f t="shared" si="28"/>
        <v>473.4</v>
      </c>
      <c r="D92" s="60">
        <f t="shared" si="28"/>
        <v>491.3</v>
      </c>
      <c r="E92" s="60">
        <f t="shared" si="28"/>
        <v>471.29999999999995</v>
      </c>
      <c r="F92" s="60">
        <f t="shared" si="28"/>
        <v>465.1</v>
      </c>
      <c r="G92" s="60">
        <f t="shared" si="28"/>
        <v>514.29999999999995</v>
      </c>
      <c r="H92" s="60">
        <f t="shared" si="28"/>
        <v>491.1</v>
      </c>
      <c r="I92" s="60">
        <f t="shared" si="28"/>
        <v>522.09999999999991</v>
      </c>
      <c r="J92" s="60">
        <f t="shared" si="28"/>
        <v>560.19999999999993</v>
      </c>
      <c r="K92" s="60">
        <f t="shared" si="28"/>
        <v>529.59999999999991</v>
      </c>
      <c r="L92" s="60">
        <f t="shared" si="28"/>
        <v>435.4</v>
      </c>
      <c r="M92" s="60">
        <f t="shared" si="28"/>
        <v>306.89999999999998</v>
      </c>
      <c r="N92" s="60">
        <f t="shared" si="28"/>
        <v>331</v>
      </c>
      <c r="O92" s="60">
        <f t="shared" si="28"/>
        <v>495</v>
      </c>
      <c r="P92" s="60">
        <f t="shared" si="28"/>
        <v>597.5</v>
      </c>
      <c r="Q92" s="60">
        <f t="shared" si="28"/>
        <v>671.4</v>
      </c>
      <c r="R92" s="60">
        <f t="shared" si="28"/>
        <v>766</v>
      </c>
      <c r="S92" s="60">
        <f t="shared" si="28"/>
        <v>755.9</v>
      </c>
      <c r="T92" s="60">
        <f t="shared" ref="T92:U92" si="29">SUMIF(T81:T91,"&gt;0")</f>
        <v>760.8</v>
      </c>
      <c r="U92" s="60">
        <f t="shared" si="29"/>
        <v>733.8</v>
      </c>
      <c r="V92" s="60">
        <f t="shared" ref="V92:W92" si="30">SUMIF(V81:V91,"&gt;0")</f>
        <v>552</v>
      </c>
      <c r="W92" s="60">
        <f t="shared" si="30"/>
        <v>509.40000000000003</v>
      </c>
      <c r="X92" s="60">
        <f t="shared" si="28"/>
        <v>493.90000000000003</v>
      </c>
      <c r="Y92" s="60">
        <f t="shared" ref="Y92:Z92" si="31">SUMIF(Y81:Y91,"&gt;0")</f>
        <v>472.59999999999997</v>
      </c>
      <c r="Z92" s="60">
        <f t="shared" si="31"/>
        <v>472.59999999999997</v>
      </c>
      <c r="AA92" s="60">
        <f t="shared" ref="AA92" si="32">SUMIF(AA81:AA91,"&gt;0")</f>
        <v>417.7</v>
      </c>
      <c r="AB92" s="60">
        <f t="shared" si="28"/>
        <v>424.5</v>
      </c>
      <c r="AC92" s="60">
        <f t="shared" si="28"/>
        <v>527.6</v>
      </c>
      <c r="AD92" s="60">
        <f t="shared" si="28"/>
        <v>575.6</v>
      </c>
      <c r="AE92" s="60">
        <f t="shared" si="28"/>
        <v>642.6</v>
      </c>
      <c r="AF92" s="60">
        <f t="shared" si="28"/>
        <v>596</v>
      </c>
      <c r="AG92" s="88">
        <f>SUM(AG81:AG91)</f>
        <v>0</v>
      </c>
      <c r="AH92" s="47">
        <f t="shared" si="26"/>
        <v>766</v>
      </c>
      <c r="AI92" s="48">
        <f t="shared" si="27"/>
        <v>306.89999999999998</v>
      </c>
      <c r="AK92" s="86"/>
      <c r="AL92" s="77"/>
      <c r="AM92" s="89"/>
      <c r="AN92" s="255"/>
    </row>
    <row r="93" spans="1:40" x14ac:dyDescent="0.25">
      <c r="A93" s="44" t="s">
        <v>96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26"/>
        <v>0</v>
      </c>
      <c r="AI93" s="48">
        <f t="shared" si="27"/>
        <v>0</v>
      </c>
      <c r="AK93" s="86"/>
      <c r="AL93" s="77"/>
      <c r="AM93" s="77"/>
      <c r="AN93" s="256"/>
    </row>
    <row r="94" spans="1:40" ht="15.75" thickBot="1" x14ac:dyDescent="0.3">
      <c r="A94" s="54" t="s">
        <v>97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26"/>
        <v>0</v>
      </c>
      <c r="AI94" s="48">
        <f t="shared" si="27"/>
        <v>0</v>
      </c>
      <c r="AK94" s="91"/>
      <c r="AL94" s="92"/>
      <c r="AM94" s="92"/>
      <c r="AN94" s="93"/>
    </row>
    <row r="95" spans="1:40" ht="15.75" thickBot="1" x14ac:dyDescent="0.3">
      <c r="A95" s="84" t="s">
        <v>98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26"/>
        <v>0</v>
      </c>
      <c r="AI95" s="48">
        <f t="shared" si="27"/>
        <v>0</v>
      </c>
    </row>
    <row r="96" spans="1:40" ht="15.75" thickBot="1" x14ac:dyDescent="0.3">
      <c r="A96" s="74" t="s">
        <v>99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>
        <v>0</v>
      </c>
      <c r="Y96" s="60">
        <v>0</v>
      </c>
      <c r="Z96" s="60">
        <v>0</v>
      </c>
      <c r="AA96" s="60">
        <v>0</v>
      </c>
      <c r="AB96" s="60"/>
      <c r="AC96" s="60"/>
      <c r="AD96" s="60"/>
      <c r="AE96" s="60"/>
      <c r="AF96" s="60"/>
      <c r="AG96" s="88">
        <f>SUM(AG93:AG95)</f>
        <v>55.4</v>
      </c>
      <c r="AH96" s="47">
        <f t="shared" si="26"/>
        <v>0</v>
      </c>
      <c r="AI96" s="48">
        <f t="shared" si="27"/>
        <v>0</v>
      </c>
    </row>
    <row r="97" spans="1:37" ht="15.75" thickBot="1" x14ac:dyDescent="0.3">
      <c r="A97" s="74" t="s">
        <v>100</v>
      </c>
      <c r="B97" s="95">
        <f t="shared" ref="B97:AG97" si="33">B58+B62+B80+B76+B92+B96</f>
        <v>1156.3400000000001</v>
      </c>
      <c r="C97" s="95">
        <f t="shared" si="33"/>
        <v>1116.74</v>
      </c>
      <c r="D97" s="95">
        <f t="shared" si="33"/>
        <v>1111.6400000000001</v>
      </c>
      <c r="E97" s="95">
        <f t="shared" si="33"/>
        <v>1091.3400000000001</v>
      </c>
      <c r="F97" s="95">
        <f t="shared" si="33"/>
        <v>1119.1400000000001</v>
      </c>
      <c r="G97" s="95">
        <f t="shared" si="33"/>
        <v>1202.44</v>
      </c>
      <c r="H97" s="95">
        <f t="shared" si="33"/>
        <v>1202.7400000000002</v>
      </c>
      <c r="I97" s="95">
        <f t="shared" si="33"/>
        <v>1326.04</v>
      </c>
      <c r="J97" s="95">
        <f t="shared" si="33"/>
        <v>1458.6399999999999</v>
      </c>
      <c r="K97" s="95">
        <f t="shared" si="33"/>
        <v>1413.34</v>
      </c>
      <c r="L97" s="95">
        <f t="shared" si="33"/>
        <v>1452.7400000000002</v>
      </c>
      <c r="M97" s="95">
        <f t="shared" si="33"/>
        <v>1478.7400000000002</v>
      </c>
      <c r="N97" s="95">
        <f t="shared" si="33"/>
        <v>1387.24</v>
      </c>
      <c r="O97" s="95">
        <f t="shared" si="33"/>
        <v>1345.24</v>
      </c>
      <c r="P97" s="95">
        <f t="shared" si="33"/>
        <v>1407.74</v>
      </c>
      <c r="Q97" s="95">
        <f t="shared" si="33"/>
        <v>1496.24</v>
      </c>
      <c r="R97" s="95">
        <f t="shared" si="33"/>
        <v>1524.54</v>
      </c>
      <c r="S97" s="95">
        <f t="shared" si="33"/>
        <v>1522.24</v>
      </c>
      <c r="T97" s="95">
        <f t="shared" ref="T97:U97" si="34">T58+T62+T80+T76+T92+T96</f>
        <v>1510.34</v>
      </c>
      <c r="U97" s="95">
        <f t="shared" si="34"/>
        <v>1516.1399999999999</v>
      </c>
      <c r="V97" s="95">
        <f t="shared" ref="V97:W97" si="35">V58+V62+V80+V76+V92+V96</f>
        <v>1312.14</v>
      </c>
      <c r="W97" s="95">
        <f t="shared" si="35"/>
        <v>1339.3400000000001</v>
      </c>
      <c r="X97" s="95">
        <f t="shared" si="33"/>
        <v>1373.8400000000001</v>
      </c>
      <c r="Y97" s="95">
        <f t="shared" ref="Y97:Z97" si="36">Y58+Y62+Y80+Y76+Y92+Y96</f>
        <v>1565.84</v>
      </c>
      <c r="Z97" s="95">
        <f t="shared" si="36"/>
        <v>1575.84</v>
      </c>
      <c r="AA97" s="95">
        <f t="shared" ref="AA97" si="37">AA58+AA62+AA80+AA76+AA92+AA96</f>
        <v>1509.0400000000002</v>
      </c>
      <c r="AB97" s="95">
        <f t="shared" si="33"/>
        <v>1462.94</v>
      </c>
      <c r="AC97" s="95">
        <f t="shared" si="33"/>
        <v>1410.54</v>
      </c>
      <c r="AD97" s="95">
        <f t="shared" si="33"/>
        <v>1435.8400000000001</v>
      </c>
      <c r="AE97" s="95">
        <f t="shared" si="33"/>
        <v>1373.7400000000002</v>
      </c>
      <c r="AF97" s="95">
        <f t="shared" si="33"/>
        <v>1251.44</v>
      </c>
      <c r="AG97" s="61">
        <f t="shared" si="33"/>
        <v>2231.81</v>
      </c>
      <c r="AH97" s="47">
        <f t="shared" si="26"/>
        <v>1575.84</v>
      </c>
      <c r="AI97" s="48">
        <f t="shared" si="27"/>
        <v>1091.3400000000001</v>
      </c>
    </row>
    <row r="98" spans="1:37" ht="15.75" thickBot="1" x14ac:dyDescent="0.3">
      <c r="A98" s="96" t="s">
        <v>101</v>
      </c>
      <c r="B98" s="97"/>
      <c r="C98" s="97"/>
      <c r="D98" s="97"/>
      <c r="E98" s="97"/>
      <c r="F98" s="97"/>
      <c r="G98" s="97"/>
      <c r="H98" s="97"/>
      <c r="I98" s="97"/>
      <c r="J98" s="97"/>
      <c r="K98" s="97">
        <v>150</v>
      </c>
      <c r="L98" s="97">
        <v>250</v>
      </c>
      <c r="M98" s="97">
        <v>250</v>
      </c>
      <c r="N98" s="97">
        <v>250</v>
      </c>
      <c r="O98" s="97">
        <v>250</v>
      </c>
      <c r="P98" s="97">
        <v>250</v>
      </c>
      <c r="Q98" s="97"/>
      <c r="R98" s="97"/>
      <c r="S98" s="97"/>
      <c r="T98" s="97"/>
      <c r="U98" s="97"/>
      <c r="V98" s="97"/>
      <c r="W98" s="97"/>
      <c r="X98" s="97">
        <v>300</v>
      </c>
      <c r="Y98" s="97">
        <v>300</v>
      </c>
      <c r="Z98" s="97">
        <v>300</v>
      </c>
      <c r="AA98" s="97">
        <v>250</v>
      </c>
      <c r="AB98" s="97">
        <v>240</v>
      </c>
      <c r="AC98" s="97">
        <v>230</v>
      </c>
      <c r="AD98" s="97">
        <v>150</v>
      </c>
      <c r="AE98" s="97"/>
      <c r="AF98" s="97"/>
      <c r="AG98" s="88"/>
      <c r="AH98" s="47">
        <f t="shared" si="26"/>
        <v>300</v>
      </c>
      <c r="AI98" s="48">
        <f t="shared" si="27"/>
        <v>150</v>
      </c>
    </row>
    <row r="99" spans="1:37" ht="15.75" thickBot="1" x14ac:dyDescent="0.3">
      <c r="A99" s="74" t="s">
        <v>102</v>
      </c>
      <c r="B99" s="95">
        <f t="shared" ref="B99:AF99" si="38">B97+B98</f>
        <v>1156.3400000000001</v>
      </c>
      <c r="C99" s="95">
        <f t="shared" si="38"/>
        <v>1116.74</v>
      </c>
      <c r="D99" s="95">
        <f t="shared" si="38"/>
        <v>1111.6400000000001</v>
      </c>
      <c r="E99" s="95">
        <f t="shared" si="38"/>
        <v>1091.3400000000001</v>
      </c>
      <c r="F99" s="95">
        <f t="shared" si="38"/>
        <v>1119.1400000000001</v>
      </c>
      <c r="G99" s="95">
        <f t="shared" si="38"/>
        <v>1202.44</v>
      </c>
      <c r="H99" s="95">
        <f t="shared" si="38"/>
        <v>1202.7400000000002</v>
      </c>
      <c r="I99" s="95">
        <f t="shared" si="38"/>
        <v>1326.04</v>
      </c>
      <c r="J99" s="95">
        <f t="shared" si="38"/>
        <v>1458.6399999999999</v>
      </c>
      <c r="K99" s="95">
        <f t="shared" si="38"/>
        <v>1563.34</v>
      </c>
      <c r="L99" s="95">
        <f t="shared" si="38"/>
        <v>1702.7400000000002</v>
      </c>
      <c r="M99" s="95">
        <f t="shared" si="38"/>
        <v>1728.7400000000002</v>
      </c>
      <c r="N99" s="95">
        <f t="shared" si="38"/>
        <v>1637.24</v>
      </c>
      <c r="O99" s="95">
        <f t="shared" si="38"/>
        <v>1595.24</v>
      </c>
      <c r="P99" s="95">
        <f t="shared" si="38"/>
        <v>1657.74</v>
      </c>
      <c r="Q99" s="95">
        <f t="shared" si="38"/>
        <v>1496.24</v>
      </c>
      <c r="R99" s="95">
        <f t="shared" si="38"/>
        <v>1524.54</v>
      </c>
      <c r="S99" s="95">
        <f t="shared" si="38"/>
        <v>1522.24</v>
      </c>
      <c r="T99" s="95">
        <f t="shared" ref="T99:U99" si="39">T97+T98</f>
        <v>1510.34</v>
      </c>
      <c r="U99" s="95">
        <f t="shared" si="39"/>
        <v>1516.1399999999999</v>
      </c>
      <c r="V99" s="95">
        <f t="shared" ref="V99:W99" si="40">V97+V98</f>
        <v>1312.14</v>
      </c>
      <c r="W99" s="95">
        <f t="shared" si="40"/>
        <v>1339.3400000000001</v>
      </c>
      <c r="X99" s="95">
        <f t="shared" si="38"/>
        <v>1673.8400000000001</v>
      </c>
      <c r="Y99" s="95">
        <f t="shared" ref="Y99:Z99" si="41">Y97+Y98</f>
        <v>1865.84</v>
      </c>
      <c r="Z99" s="95">
        <f t="shared" si="41"/>
        <v>1875.84</v>
      </c>
      <c r="AA99" s="95">
        <f t="shared" ref="AA99" si="42">AA97+AA98</f>
        <v>1759.0400000000002</v>
      </c>
      <c r="AB99" s="95">
        <f t="shared" si="38"/>
        <v>1702.94</v>
      </c>
      <c r="AC99" s="95">
        <f t="shared" si="38"/>
        <v>1640.54</v>
      </c>
      <c r="AD99" s="95">
        <f t="shared" si="38"/>
        <v>1585.8400000000001</v>
      </c>
      <c r="AE99" s="95">
        <f t="shared" si="38"/>
        <v>1373.7400000000002</v>
      </c>
      <c r="AF99" s="95">
        <f t="shared" si="38"/>
        <v>1251.44</v>
      </c>
      <c r="AG99" s="88">
        <f>AG96+AG92+AG80+AG76+AG58+AG98</f>
        <v>1693.71</v>
      </c>
      <c r="AH99" s="47">
        <f t="shared" si="26"/>
        <v>1875.84</v>
      </c>
      <c r="AI99" s="48">
        <f t="shared" si="27"/>
        <v>1091.3400000000001</v>
      </c>
    </row>
    <row r="100" spans="1:37" ht="15.75" thickBot="1" x14ac:dyDescent="0.3">
      <c r="A100" s="74" t="s">
        <v>103</v>
      </c>
      <c r="B100" s="95">
        <f t="shared" ref="B100:M100" si="43">B99-(B107)</f>
        <v>1156.3400000000001</v>
      </c>
      <c r="C100" s="95">
        <f t="shared" si="43"/>
        <v>1116.74</v>
      </c>
      <c r="D100" s="95">
        <f t="shared" si="43"/>
        <v>1111.6400000000001</v>
      </c>
      <c r="E100" s="95">
        <f t="shared" si="43"/>
        <v>1091.3400000000001</v>
      </c>
      <c r="F100" s="95">
        <f t="shared" si="43"/>
        <v>1119.1400000000001</v>
      </c>
      <c r="G100" s="95">
        <f t="shared" si="43"/>
        <v>1202.44</v>
      </c>
      <c r="H100" s="95">
        <f t="shared" si="43"/>
        <v>1202.7400000000002</v>
      </c>
      <c r="I100" s="95">
        <f t="shared" si="43"/>
        <v>1326.04</v>
      </c>
      <c r="J100" s="95">
        <f t="shared" si="43"/>
        <v>1458.6399999999999</v>
      </c>
      <c r="K100" s="95">
        <f t="shared" si="43"/>
        <v>1563.34</v>
      </c>
      <c r="L100" s="95">
        <f t="shared" si="43"/>
        <v>1702.7400000000002</v>
      </c>
      <c r="M100" s="95">
        <f t="shared" si="43"/>
        <v>1728.7400000000002</v>
      </c>
      <c r="N100" s="95">
        <f>N99-(N107)</f>
        <v>1637.24</v>
      </c>
      <c r="O100" s="95">
        <f t="shared" ref="O100:AF100" si="44">O99-(O107)</f>
        <v>1595.24</v>
      </c>
      <c r="P100" s="95">
        <f t="shared" si="44"/>
        <v>1657.74</v>
      </c>
      <c r="Q100" s="95">
        <f t="shared" si="44"/>
        <v>1496.24</v>
      </c>
      <c r="R100" s="95">
        <f t="shared" si="44"/>
        <v>1524.54</v>
      </c>
      <c r="S100" s="95">
        <f t="shared" si="44"/>
        <v>1522.24</v>
      </c>
      <c r="T100" s="95">
        <f t="shared" ref="T100:U100" si="45">T99-(T107)</f>
        <v>1510.34</v>
      </c>
      <c r="U100" s="95">
        <f t="shared" si="45"/>
        <v>1515.1399999999999</v>
      </c>
      <c r="V100" s="95">
        <f t="shared" ref="V100:W100" si="46">V99-(V107)</f>
        <v>1310.1400000000001</v>
      </c>
      <c r="W100" s="95">
        <f t="shared" si="46"/>
        <v>1336.3400000000001</v>
      </c>
      <c r="X100" s="95">
        <f t="shared" si="44"/>
        <v>1673.8400000000001</v>
      </c>
      <c r="Y100" s="95">
        <f t="shared" ref="Y100:Z100" si="47">Y99-(Y107)</f>
        <v>1865.84</v>
      </c>
      <c r="Z100" s="95">
        <f t="shared" si="47"/>
        <v>1875.84</v>
      </c>
      <c r="AA100" s="95">
        <f t="shared" ref="AA100" si="48">AA99-(AA107)</f>
        <v>1759.0400000000002</v>
      </c>
      <c r="AB100" s="95">
        <f t="shared" si="44"/>
        <v>1702.94</v>
      </c>
      <c r="AC100" s="95">
        <f t="shared" si="44"/>
        <v>1640.54</v>
      </c>
      <c r="AD100" s="95">
        <f t="shared" si="44"/>
        <v>1585.8400000000001</v>
      </c>
      <c r="AE100" s="95">
        <f t="shared" si="44"/>
        <v>1373.7400000000002</v>
      </c>
      <c r="AF100" s="95">
        <f t="shared" si="44"/>
        <v>1251.44</v>
      </c>
      <c r="AG100" s="88"/>
      <c r="AH100" s="47">
        <f t="shared" si="26"/>
        <v>1875.84</v>
      </c>
      <c r="AI100" s="48">
        <f t="shared" si="27"/>
        <v>1091.3400000000001</v>
      </c>
    </row>
    <row r="101" spans="1:37" x14ac:dyDescent="0.25">
      <c r="A101" s="44" t="s">
        <v>84</v>
      </c>
      <c r="B101" s="76">
        <f>IF(B84&lt;0,B84*-1,0)</f>
        <v>0</v>
      </c>
      <c r="C101" s="76">
        <f t="shared" ref="C101:AF101" si="49">IF(C84&lt;0,C84*-1,0)</f>
        <v>0</v>
      </c>
      <c r="D101" s="76">
        <f t="shared" si="49"/>
        <v>0</v>
      </c>
      <c r="E101" s="76">
        <f t="shared" si="49"/>
        <v>0</v>
      </c>
      <c r="F101" s="76">
        <f t="shared" si="49"/>
        <v>0</v>
      </c>
      <c r="G101" s="76">
        <f t="shared" si="49"/>
        <v>0</v>
      </c>
      <c r="H101" s="76">
        <f t="shared" si="49"/>
        <v>0</v>
      </c>
      <c r="I101" s="76">
        <f t="shared" si="49"/>
        <v>0</v>
      </c>
      <c r="J101" s="76">
        <f t="shared" si="49"/>
        <v>0</v>
      </c>
      <c r="K101" s="76">
        <f t="shared" si="49"/>
        <v>0</v>
      </c>
      <c r="L101" s="76">
        <f t="shared" si="49"/>
        <v>0</v>
      </c>
      <c r="M101" s="76">
        <f t="shared" si="49"/>
        <v>0</v>
      </c>
      <c r="N101" s="76">
        <f t="shared" si="49"/>
        <v>0</v>
      </c>
      <c r="O101" s="76">
        <f t="shared" si="49"/>
        <v>0</v>
      </c>
      <c r="P101" s="76">
        <f t="shared" si="49"/>
        <v>0</v>
      </c>
      <c r="Q101" s="76">
        <f t="shared" si="49"/>
        <v>0</v>
      </c>
      <c r="R101" s="76">
        <f t="shared" si="49"/>
        <v>0</v>
      </c>
      <c r="S101" s="76">
        <f t="shared" si="49"/>
        <v>0</v>
      </c>
      <c r="T101" s="76">
        <f t="shared" ref="T101:U101" si="50">IF(T84&lt;0,T84*-1,0)</f>
        <v>0</v>
      </c>
      <c r="U101" s="76">
        <f t="shared" si="50"/>
        <v>0</v>
      </c>
      <c r="V101" s="76">
        <f t="shared" ref="V101:W101" si="51">IF(V84&lt;0,V84*-1,0)</f>
        <v>0</v>
      </c>
      <c r="W101" s="76">
        <f t="shared" si="51"/>
        <v>0</v>
      </c>
      <c r="X101" s="76">
        <f t="shared" si="49"/>
        <v>0</v>
      </c>
      <c r="Y101" s="76">
        <f t="shared" ref="Y101:Z101" si="52">IF(Y84&lt;0,Y84*-1,0)</f>
        <v>0</v>
      </c>
      <c r="Z101" s="76">
        <f t="shared" si="52"/>
        <v>0</v>
      </c>
      <c r="AA101" s="76">
        <f t="shared" ref="AA101" si="53">IF(AA84&lt;0,AA84*-1,0)</f>
        <v>0</v>
      </c>
      <c r="AB101" s="76">
        <f t="shared" si="49"/>
        <v>0</v>
      </c>
      <c r="AC101" s="76">
        <f t="shared" si="49"/>
        <v>0</v>
      </c>
      <c r="AD101" s="76">
        <f t="shared" si="49"/>
        <v>0</v>
      </c>
      <c r="AE101" s="76">
        <f t="shared" si="49"/>
        <v>0</v>
      </c>
      <c r="AF101" s="76">
        <f t="shared" si="49"/>
        <v>0</v>
      </c>
      <c r="AG101" s="52"/>
      <c r="AH101" s="47">
        <f t="shared" si="26"/>
        <v>0</v>
      </c>
      <c r="AI101" s="48">
        <f t="shared" si="27"/>
        <v>0</v>
      </c>
    </row>
    <row r="102" spans="1:37" x14ac:dyDescent="0.25">
      <c r="A102" s="54" t="s">
        <v>82</v>
      </c>
      <c r="B102" s="76">
        <f>IF(B82&lt;0,B82*-1,0)</f>
        <v>0</v>
      </c>
      <c r="C102" s="76">
        <f t="shared" ref="C102:AF102" si="54">IF(C82&lt;0,C82*-1,0)</f>
        <v>0</v>
      </c>
      <c r="D102" s="76">
        <f t="shared" si="54"/>
        <v>0</v>
      </c>
      <c r="E102" s="76">
        <f t="shared" si="54"/>
        <v>0</v>
      </c>
      <c r="F102" s="76">
        <f t="shared" si="54"/>
        <v>0</v>
      </c>
      <c r="G102" s="76">
        <f t="shared" si="54"/>
        <v>0</v>
      </c>
      <c r="H102" s="76">
        <f t="shared" si="54"/>
        <v>0</v>
      </c>
      <c r="I102" s="76">
        <f t="shared" si="54"/>
        <v>0</v>
      </c>
      <c r="J102" s="76">
        <f t="shared" si="54"/>
        <v>0</v>
      </c>
      <c r="K102" s="76">
        <f t="shared" si="54"/>
        <v>0</v>
      </c>
      <c r="L102" s="76">
        <f t="shared" si="54"/>
        <v>0</v>
      </c>
      <c r="M102" s="76">
        <f t="shared" si="54"/>
        <v>0</v>
      </c>
      <c r="N102" s="76">
        <f t="shared" si="54"/>
        <v>0</v>
      </c>
      <c r="O102" s="76">
        <f t="shared" si="54"/>
        <v>0</v>
      </c>
      <c r="P102" s="76">
        <f t="shared" si="54"/>
        <v>0</v>
      </c>
      <c r="Q102" s="76">
        <f t="shared" si="54"/>
        <v>0</v>
      </c>
      <c r="R102" s="76">
        <f t="shared" si="54"/>
        <v>0</v>
      </c>
      <c r="S102" s="76">
        <f t="shared" si="54"/>
        <v>0</v>
      </c>
      <c r="T102" s="76">
        <f t="shared" ref="T102:U102" si="55">IF(T82&lt;0,T82*-1,0)</f>
        <v>0</v>
      </c>
      <c r="U102" s="76">
        <f t="shared" si="55"/>
        <v>0</v>
      </c>
      <c r="V102" s="76">
        <f t="shared" ref="V102:W102" si="56">IF(V82&lt;0,V82*-1,0)</f>
        <v>0</v>
      </c>
      <c r="W102" s="76">
        <f t="shared" si="56"/>
        <v>0</v>
      </c>
      <c r="X102" s="76">
        <f t="shared" si="54"/>
        <v>0</v>
      </c>
      <c r="Y102" s="76">
        <f t="shared" ref="Y102:Z102" si="57">IF(Y82&lt;0,Y82*-1,0)</f>
        <v>0</v>
      </c>
      <c r="Z102" s="76">
        <f t="shared" si="57"/>
        <v>0</v>
      </c>
      <c r="AA102" s="76">
        <f t="shared" ref="AA102" si="58">IF(AA82&lt;0,AA82*-1,0)</f>
        <v>0</v>
      </c>
      <c r="AB102" s="76">
        <f t="shared" si="54"/>
        <v>0</v>
      </c>
      <c r="AC102" s="76">
        <f t="shared" si="54"/>
        <v>0</v>
      </c>
      <c r="AD102" s="76">
        <f t="shared" si="54"/>
        <v>0</v>
      </c>
      <c r="AE102" s="76">
        <f t="shared" si="54"/>
        <v>0</v>
      </c>
      <c r="AF102" s="76">
        <f t="shared" si="54"/>
        <v>0</v>
      </c>
      <c r="AG102" s="55"/>
      <c r="AH102" s="47">
        <f t="shared" si="26"/>
        <v>0</v>
      </c>
      <c r="AI102" s="48">
        <f t="shared" si="27"/>
        <v>0</v>
      </c>
    </row>
    <row r="103" spans="1:37" x14ac:dyDescent="0.25">
      <c r="A103" s="84" t="s">
        <v>104</v>
      </c>
      <c r="B103" s="76">
        <f>IF(B85&lt;0,B85*-1,0)</f>
        <v>0</v>
      </c>
      <c r="C103" s="76">
        <f t="shared" ref="C103:AF103" si="59">IF(C85&lt;0,C85*-1,0)</f>
        <v>0</v>
      </c>
      <c r="D103" s="76">
        <f t="shared" si="59"/>
        <v>0</v>
      </c>
      <c r="E103" s="76">
        <f t="shared" si="59"/>
        <v>0</v>
      </c>
      <c r="F103" s="76">
        <f t="shared" si="59"/>
        <v>0</v>
      </c>
      <c r="G103" s="76">
        <f t="shared" si="59"/>
        <v>0</v>
      </c>
      <c r="H103" s="76">
        <f t="shared" si="59"/>
        <v>0</v>
      </c>
      <c r="I103" s="76">
        <f t="shared" si="59"/>
        <v>0</v>
      </c>
      <c r="J103" s="76">
        <f t="shared" si="59"/>
        <v>0</v>
      </c>
      <c r="K103" s="76">
        <f t="shared" si="59"/>
        <v>0</v>
      </c>
      <c r="L103" s="76">
        <f t="shared" si="59"/>
        <v>0</v>
      </c>
      <c r="M103" s="76">
        <f t="shared" si="59"/>
        <v>0</v>
      </c>
      <c r="N103" s="76">
        <f t="shared" si="59"/>
        <v>0</v>
      </c>
      <c r="O103" s="76">
        <f t="shared" si="59"/>
        <v>0</v>
      </c>
      <c r="P103" s="76">
        <f t="shared" si="59"/>
        <v>0</v>
      </c>
      <c r="Q103" s="76">
        <f t="shared" si="59"/>
        <v>0</v>
      </c>
      <c r="R103" s="76">
        <f t="shared" si="59"/>
        <v>0</v>
      </c>
      <c r="S103" s="76">
        <f t="shared" si="59"/>
        <v>0</v>
      </c>
      <c r="T103" s="76">
        <f t="shared" ref="T103:U103" si="60">IF(T85&lt;0,T85*-1,0)</f>
        <v>0</v>
      </c>
      <c r="U103" s="76">
        <f t="shared" si="60"/>
        <v>0</v>
      </c>
      <c r="V103" s="76">
        <f t="shared" ref="V103:W103" si="61">IF(V85&lt;0,V85*-1,0)</f>
        <v>0</v>
      </c>
      <c r="W103" s="76">
        <f t="shared" si="61"/>
        <v>0</v>
      </c>
      <c r="X103" s="76">
        <f t="shared" si="59"/>
        <v>0</v>
      </c>
      <c r="Y103" s="76">
        <f t="shared" ref="Y103:Z103" si="62">IF(Y85&lt;0,Y85*-1,0)</f>
        <v>0</v>
      </c>
      <c r="Z103" s="76">
        <f t="shared" si="62"/>
        <v>0</v>
      </c>
      <c r="AA103" s="76">
        <f t="shared" ref="AA103" si="63">IF(AA85&lt;0,AA85*-1,0)</f>
        <v>0</v>
      </c>
      <c r="AB103" s="76">
        <f t="shared" si="59"/>
        <v>0</v>
      </c>
      <c r="AC103" s="76">
        <f t="shared" si="59"/>
        <v>0</v>
      </c>
      <c r="AD103" s="76">
        <f t="shared" si="59"/>
        <v>0</v>
      </c>
      <c r="AE103" s="76">
        <f t="shared" si="59"/>
        <v>0</v>
      </c>
      <c r="AF103" s="76">
        <f t="shared" si="59"/>
        <v>0</v>
      </c>
      <c r="AG103" s="98"/>
      <c r="AH103" s="47">
        <f t="shared" si="26"/>
        <v>0</v>
      </c>
      <c r="AI103" s="48">
        <f t="shared" si="27"/>
        <v>0</v>
      </c>
    </row>
    <row r="104" spans="1:37" x14ac:dyDescent="0.25">
      <c r="A104" s="84" t="s">
        <v>105</v>
      </c>
      <c r="B104" s="76">
        <f>IF(B83&lt;0,B83*-1,0)</f>
        <v>0</v>
      </c>
      <c r="C104" s="76">
        <f t="shared" ref="C104:AF104" si="64">IF(C83&lt;0,C83*-1,0)</f>
        <v>0</v>
      </c>
      <c r="D104" s="76">
        <f t="shared" si="64"/>
        <v>0</v>
      </c>
      <c r="E104" s="76">
        <f t="shared" si="64"/>
        <v>0</v>
      </c>
      <c r="F104" s="76">
        <f t="shared" si="64"/>
        <v>0</v>
      </c>
      <c r="G104" s="76">
        <f t="shared" si="64"/>
        <v>0</v>
      </c>
      <c r="H104" s="76">
        <f t="shared" si="64"/>
        <v>0</v>
      </c>
      <c r="I104" s="76">
        <f t="shared" si="64"/>
        <v>0</v>
      </c>
      <c r="J104" s="76">
        <f t="shared" si="64"/>
        <v>0</v>
      </c>
      <c r="K104" s="76">
        <f t="shared" si="64"/>
        <v>0</v>
      </c>
      <c r="L104" s="76">
        <f t="shared" si="64"/>
        <v>0</v>
      </c>
      <c r="M104" s="76">
        <f t="shared" si="64"/>
        <v>0</v>
      </c>
      <c r="N104" s="76">
        <f t="shared" si="64"/>
        <v>0</v>
      </c>
      <c r="O104" s="76">
        <f t="shared" si="64"/>
        <v>0</v>
      </c>
      <c r="P104" s="76">
        <f t="shared" si="64"/>
        <v>0</v>
      </c>
      <c r="Q104" s="76">
        <f t="shared" si="64"/>
        <v>0</v>
      </c>
      <c r="R104" s="76">
        <f t="shared" si="64"/>
        <v>0</v>
      </c>
      <c r="S104" s="76">
        <f t="shared" si="64"/>
        <v>0</v>
      </c>
      <c r="T104" s="76">
        <f t="shared" ref="T104:U104" si="65">IF(T83&lt;0,T83*-1,0)</f>
        <v>0</v>
      </c>
      <c r="U104" s="76">
        <f t="shared" si="65"/>
        <v>0</v>
      </c>
      <c r="V104" s="76">
        <f t="shared" ref="V104:W104" si="66">IF(V83&lt;0,V83*-1,0)</f>
        <v>0</v>
      </c>
      <c r="W104" s="76">
        <f t="shared" si="66"/>
        <v>0</v>
      </c>
      <c r="X104" s="76">
        <f t="shared" si="64"/>
        <v>0</v>
      </c>
      <c r="Y104" s="76">
        <f t="shared" ref="Y104:Z104" si="67">IF(Y83&lt;0,Y83*-1,0)</f>
        <v>0</v>
      </c>
      <c r="Z104" s="76">
        <f t="shared" si="67"/>
        <v>0</v>
      </c>
      <c r="AA104" s="76">
        <f t="shared" ref="AA104" si="68">IF(AA83&lt;0,AA83*-1,0)</f>
        <v>0</v>
      </c>
      <c r="AB104" s="76">
        <f t="shared" si="64"/>
        <v>0</v>
      </c>
      <c r="AC104" s="76">
        <f t="shared" si="64"/>
        <v>0</v>
      </c>
      <c r="AD104" s="76">
        <f t="shared" si="64"/>
        <v>0</v>
      </c>
      <c r="AE104" s="76">
        <f t="shared" si="64"/>
        <v>0</v>
      </c>
      <c r="AF104" s="76">
        <f t="shared" si="64"/>
        <v>0</v>
      </c>
      <c r="AG104" s="98"/>
      <c r="AH104" s="47">
        <f t="shared" si="26"/>
        <v>0</v>
      </c>
      <c r="AI104" s="48">
        <f t="shared" si="27"/>
        <v>0</v>
      </c>
    </row>
    <row r="105" spans="1:37" x14ac:dyDescent="0.25">
      <c r="A105" s="84" t="s">
        <v>81</v>
      </c>
      <c r="B105" s="76">
        <f>IF(B81&lt;0,B81*-1,0)</f>
        <v>0</v>
      </c>
      <c r="C105" s="76">
        <f t="shared" ref="C105:AF105" si="69">IF(C81&lt;0,C81*-1,0)</f>
        <v>0</v>
      </c>
      <c r="D105" s="76">
        <f t="shared" si="69"/>
        <v>0</v>
      </c>
      <c r="E105" s="76">
        <f t="shared" si="69"/>
        <v>0</v>
      </c>
      <c r="F105" s="76">
        <f t="shared" si="69"/>
        <v>0</v>
      </c>
      <c r="G105" s="76">
        <f t="shared" si="69"/>
        <v>0</v>
      </c>
      <c r="H105" s="76">
        <f t="shared" si="69"/>
        <v>0</v>
      </c>
      <c r="I105" s="76">
        <f t="shared" si="69"/>
        <v>0</v>
      </c>
      <c r="J105" s="76">
        <f t="shared" si="69"/>
        <v>0</v>
      </c>
      <c r="K105" s="76">
        <f t="shared" si="69"/>
        <v>0</v>
      </c>
      <c r="L105" s="76">
        <f t="shared" si="69"/>
        <v>0</v>
      </c>
      <c r="M105" s="76">
        <f t="shared" si="69"/>
        <v>0</v>
      </c>
      <c r="N105" s="76">
        <f t="shared" si="69"/>
        <v>0</v>
      </c>
      <c r="O105" s="76">
        <f t="shared" si="69"/>
        <v>0</v>
      </c>
      <c r="P105" s="76">
        <f t="shared" si="69"/>
        <v>0</v>
      </c>
      <c r="Q105" s="76">
        <f t="shared" si="69"/>
        <v>0</v>
      </c>
      <c r="R105" s="76">
        <f t="shared" si="69"/>
        <v>0</v>
      </c>
      <c r="S105" s="76">
        <f t="shared" si="69"/>
        <v>0</v>
      </c>
      <c r="T105" s="76">
        <f t="shared" ref="T105:U105" si="70">IF(T81&lt;0,T81*-1,0)</f>
        <v>0</v>
      </c>
      <c r="U105" s="76">
        <f t="shared" si="70"/>
        <v>0</v>
      </c>
      <c r="V105" s="76">
        <f t="shared" ref="V105:W105" si="71">IF(V81&lt;0,V81*-1,0)</f>
        <v>0</v>
      </c>
      <c r="W105" s="76">
        <f t="shared" si="71"/>
        <v>0</v>
      </c>
      <c r="X105" s="76">
        <f t="shared" si="69"/>
        <v>0</v>
      </c>
      <c r="Y105" s="76">
        <f t="shared" ref="Y105:Z105" si="72">IF(Y81&lt;0,Y81*-1,0)</f>
        <v>0</v>
      </c>
      <c r="Z105" s="76">
        <f t="shared" si="72"/>
        <v>0</v>
      </c>
      <c r="AA105" s="76">
        <f t="shared" ref="AA105" si="73">IF(AA81&lt;0,AA81*-1,0)</f>
        <v>0</v>
      </c>
      <c r="AB105" s="76">
        <f t="shared" si="69"/>
        <v>0</v>
      </c>
      <c r="AC105" s="76">
        <f t="shared" si="69"/>
        <v>0</v>
      </c>
      <c r="AD105" s="76">
        <f t="shared" si="69"/>
        <v>0</v>
      </c>
      <c r="AE105" s="76">
        <f t="shared" si="69"/>
        <v>0</v>
      </c>
      <c r="AF105" s="76">
        <f t="shared" si="69"/>
        <v>0</v>
      </c>
      <c r="AG105" s="98"/>
      <c r="AH105" s="47">
        <f t="shared" si="26"/>
        <v>0</v>
      </c>
      <c r="AI105" s="48">
        <f t="shared" si="27"/>
        <v>0</v>
      </c>
    </row>
    <row r="106" spans="1:37" ht="15.75" thickBot="1" x14ac:dyDescent="0.3">
      <c r="A106" s="84" t="s">
        <v>106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1</v>
      </c>
      <c r="V106" s="94">
        <v>2</v>
      </c>
      <c r="W106" s="94">
        <v>3</v>
      </c>
      <c r="X106" s="94">
        <v>0</v>
      </c>
      <c r="Y106" s="94">
        <v>0</v>
      </c>
      <c r="Z106" s="94">
        <v>0</v>
      </c>
      <c r="AA106" s="94">
        <v>0</v>
      </c>
      <c r="AB106" s="94">
        <v>0</v>
      </c>
      <c r="AC106" s="94">
        <v>0</v>
      </c>
      <c r="AD106" s="94">
        <v>0</v>
      </c>
      <c r="AE106" s="94">
        <v>0</v>
      </c>
      <c r="AF106" s="94">
        <v>0</v>
      </c>
      <c r="AG106" s="85"/>
      <c r="AH106" s="47">
        <f t="shared" si="26"/>
        <v>3</v>
      </c>
      <c r="AI106" s="48">
        <f t="shared" si="27"/>
        <v>0</v>
      </c>
    </row>
    <row r="107" spans="1:37" ht="15.75" thickBot="1" x14ac:dyDescent="0.3">
      <c r="A107" s="99" t="s">
        <v>107</v>
      </c>
      <c r="B107" s="60">
        <f>SUM(B101:B106)</f>
        <v>0</v>
      </c>
      <c r="C107" s="60">
        <f t="shared" ref="C107:AF107" si="74">SUM(C101:C106)</f>
        <v>0</v>
      </c>
      <c r="D107" s="60">
        <f t="shared" si="74"/>
        <v>0</v>
      </c>
      <c r="E107" s="60">
        <f t="shared" si="74"/>
        <v>0</v>
      </c>
      <c r="F107" s="60">
        <f t="shared" si="74"/>
        <v>0</v>
      </c>
      <c r="G107" s="60">
        <f t="shared" si="74"/>
        <v>0</v>
      </c>
      <c r="H107" s="60">
        <f t="shared" si="74"/>
        <v>0</v>
      </c>
      <c r="I107" s="60">
        <f t="shared" si="74"/>
        <v>0</v>
      </c>
      <c r="J107" s="60">
        <f t="shared" si="74"/>
        <v>0</v>
      </c>
      <c r="K107" s="60">
        <f t="shared" si="74"/>
        <v>0</v>
      </c>
      <c r="L107" s="60">
        <f t="shared" si="74"/>
        <v>0</v>
      </c>
      <c r="M107" s="60">
        <f t="shared" si="74"/>
        <v>0</v>
      </c>
      <c r="N107" s="60">
        <f t="shared" si="74"/>
        <v>0</v>
      </c>
      <c r="O107" s="60">
        <f t="shared" si="74"/>
        <v>0</v>
      </c>
      <c r="P107" s="60">
        <f t="shared" si="74"/>
        <v>0</v>
      </c>
      <c r="Q107" s="60">
        <f t="shared" si="74"/>
        <v>0</v>
      </c>
      <c r="R107" s="60">
        <f t="shared" si="74"/>
        <v>0</v>
      </c>
      <c r="S107" s="60">
        <f t="shared" si="74"/>
        <v>0</v>
      </c>
      <c r="T107" s="60">
        <f t="shared" ref="T107:U107" si="75">SUM(T101:T106)</f>
        <v>0</v>
      </c>
      <c r="U107" s="60">
        <f t="shared" si="75"/>
        <v>1</v>
      </c>
      <c r="V107" s="60">
        <f t="shared" ref="V107:W107" si="76">SUM(V101:V106)</f>
        <v>2</v>
      </c>
      <c r="W107" s="60">
        <f t="shared" si="76"/>
        <v>3</v>
      </c>
      <c r="X107" s="60">
        <f t="shared" si="74"/>
        <v>0</v>
      </c>
      <c r="Y107" s="60">
        <f t="shared" ref="Y107:Z107" si="77">SUM(Y101:Y106)</f>
        <v>0</v>
      </c>
      <c r="Z107" s="60">
        <f t="shared" si="77"/>
        <v>0</v>
      </c>
      <c r="AA107" s="60">
        <f t="shared" ref="AA107" si="78">SUM(AA101:AA106)</f>
        <v>0</v>
      </c>
      <c r="AB107" s="60">
        <f t="shared" si="74"/>
        <v>0</v>
      </c>
      <c r="AC107" s="60">
        <f t="shared" si="74"/>
        <v>0</v>
      </c>
      <c r="AD107" s="60">
        <f t="shared" si="74"/>
        <v>0</v>
      </c>
      <c r="AE107" s="60">
        <f t="shared" si="74"/>
        <v>0</v>
      </c>
      <c r="AF107" s="60">
        <f t="shared" si="74"/>
        <v>0</v>
      </c>
      <c r="AG107" s="88"/>
      <c r="AH107" s="47">
        <f t="shared" si="26"/>
        <v>3</v>
      </c>
      <c r="AI107" s="48">
        <f t="shared" si="27"/>
        <v>0</v>
      </c>
      <c r="AK107" s="50"/>
    </row>
    <row r="108" spans="1:37" ht="15.75" thickBot="1" x14ac:dyDescent="0.3">
      <c r="A108" s="74" t="s">
        <v>108</v>
      </c>
      <c r="B108" s="60">
        <f t="shared" ref="B108:AF108" si="79">B92-B107</f>
        <v>502</v>
      </c>
      <c r="C108" s="60">
        <f t="shared" si="79"/>
        <v>473.4</v>
      </c>
      <c r="D108" s="60">
        <f t="shared" si="79"/>
        <v>491.3</v>
      </c>
      <c r="E108" s="60">
        <f t="shared" si="79"/>
        <v>471.29999999999995</v>
      </c>
      <c r="F108" s="60">
        <f t="shared" si="79"/>
        <v>465.1</v>
      </c>
      <c r="G108" s="60">
        <f t="shared" si="79"/>
        <v>514.29999999999995</v>
      </c>
      <c r="H108" s="60">
        <f t="shared" si="79"/>
        <v>491.1</v>
      </c>
      <c r="I108" s="60">
        <f t="shared" si="79"/>
        <v>522.09999999999991</v>
      </c>
      <c r="J108" s="60">
        <f t="shared" si="79"/>
        <v>560.19999999999993</v>
      </c>
      <c r="K108" s="60">
        <f t="shared" si="79"/>
        <v>529.59999999999991</v>
      </c>
      <c r="L108" s="60">
        <f t="shared" si="79"/>
        <v>435.4</v>
      </c>
      <c r="M108" s="60">
        <f t="shared" si="79"/>
        <v>306.89999999999998</v>
      </c>
      <c r="N108" s="60">
        <f t="shared" si="79"/>
        <v>331</v>
      </c>
      <c r="O108" s="60">
        <f t="shared" si="79"/>
        <v>495</v>
      </c>
      <c r="P108" s="60">
        <f t="shared" si="79"/>
        <v>597.5</v>
      </c>
      <c r="Q108" s="60">
        <f t="shared" si="79"/>
        <v>671.4</v>
      </c>
      <c r="R108" s="60">
        <f t="shared" si="79"/>
        <v>766</v>
      </c>
      <c r="S108" s="60">
        <f t="shared" si="79"/>
        <v>755.9</v>
      </c>
      <c r="T108" s="60">
        <f t="shared" ref="T108:U108" si="80">T92-T107</f>
        <v>760.8</v>
      </c>
      <c r="U108" s="60">
        <f t="shared" si="80"/>
        <v>732.8</v>
      </c>
      <c r="V108" s="60">
        <f t="shared" ref="V108:W108" si="81">V92-V107</f>
        <v>550</v>
      </c>
      <c r="W108" s="60">
        <f t="shared" si="81"/>
        <v>506.40000000000003</v>
      </c>
      <c r="X108" s="60">
        <f t="shared" si="79"/>
        <v>493.90000000000003</v>
      </c>
      <c r="Y108" s="60">
        <f t="shared" ref="Y108:Z108" si="82">Y92-Y107</f>
        <v>472.59999999999997</v>
      </c>
      <c r="Z108" s="60">
        <f t="shared" si="82"/>
        <v>472.59999999999997</v>
      </c>
      <c r="AA108" s="60">
        <f t="shared" ref="AA108" si="83">AA92-AA107</f>
        <v>417.7</v>
      </c>
      <c r="AB108" s="60">
        <f t="shared" si="79"/>
        <v>424.5</v>
      </c>
      <c r="AC108" s="60">
        <f t="shared" si="79"/>
        <v>527.6</v>
      </c>
      <c r="AD108" s="60">
        <f t="shared" si="79"/>
        <v>575.6</v>
      </c>
      <c r="AE108" s="60">
        <f t="shared" si="79"/>
        <v>642.6</v>
      </c>
      <c r="AF108" s="60">
        <f t="shared" si="79"/>
        <v>596</v>
      </c>
      <c r="AG108" s="88"/>
      <c r="AH108" s="47">
        <f t="shared" si="26"/>
        <v>766</v>
      </c>
      <c r="AI108" s="48">
        <f t="shared" si="27"/>
        <v>306.89999999999998</v>
      </c>
    </row>
    <row r="109" spans="1:37" x14ac:dyDescent="0.25">
      <c r="A109" s="100" t="s">
        <v>109</v>
      </c>
      <c r="B109" s="101">
        <v>49.904000000000003</v>
      </c>
      <c r="C109" s="101">
        <v>50.01</v>
      </c>
      <c r="D109" s="101">
        <v>49.963999999999999</v>
      </c>
      <c r="E109" s="101">
        <v>49.968000000000004</v>
      </c>
      <c r="F109" s="101">
        <v>49.975999999999999</v>
      </c>
      <c r="G109" s="101">
        <v>50.041200000000003</v>
      </c>
      <c r="H109" s="101">
        <v>49.99</v>
      </c>
      <c r="I109" s="101">
        <v>50</v>
      </c>
      <c r="J109" s="101">
        <v>51.134</v>
      </c>
      <c r="K109" s="101">
        <v>50.1</v>
      </c>
      <c r="L109" s="101">
        <v>49.994</v>
      </c>
      <c r="M109" s="101">
        <v>49.999000000000002</v>
      </c>
      <c r="N109" s="101">
        <v>50.064999999999998</v>
      </c>
      <c r="O109" s="101">
        <v>49.966999999999999</v>
      </c>
      <c r="P109" s="101">
        <v>49.999000000000002</v>
      </c>
      <c r="Q109" s="101">
        <v>50.015999999999998</v>
      </c>
      <c r="R109" s="101">
        <v>50.015999999999998</v>
      </c>
      <c r="S109" s="101">
        <v>50.02</v>
      </c>
      <c r="T109" s="101">
        <v>49.98</v>
      </c>
      <c r="U109" s="101">
        <v>50.01</v>
      </c>
      <c r="V109" s="101">
        <v>49.94</v>
      </c>
      <c r="W109" s="101">
        <v>50.07</v>
      </c>
      <c r="X109" s="101">
        <v>50.034999999999997</v>
      </c>
      <c r="Y109" s="101">
        <v>50.02</v>
      </c>
      <c r="Z109" s="101">
        <v>50.02</v>
      </c>
      <c r="AA109" s="101">
        <v>49.93</v>
      </c>
      <c r="AB109" s="101">
        <v>50</v>
      </c>
      <c r="AC109" s="101">
        <v>50.042000000000002</v>
      </c>
      <c r="AD109" s="101">
        <v>50.005000000000003</v>
      </c>
      <c r="AE109" s="101">
        <v>49.968000000000004</v>
      </c>
      <c r="AF109" s="101">
        <v>49.95</v>
      </c>
      <c r="AG109" s="102"/>
      <c r="AH109" s="47">
        <f t="shared" si="26"/>
        <v>51.134</v>
      </c>
      <c r="AI109" s="48">
        <f t="shared" si="27"/>
        <v>49.904000000000003</v>
      </c>
    </row>
    <row r="110" spans="1:37" x14ac:dyDescent="0.25">
      <c r="A110" s="103" t="s">
        <v>110</v>
      </c>
      <c r="B110" s="65">
        <v>129.19999999999999</v>
      </c>
      <c r="C110" s="65">
        <v>126</v>
      </c>
      <c r="D110" s="65">
        <v>127.3</v>
      </c>
      <c r="E110" s="65">
        <v>127.3</v>
      </c>
      <c r="F110" s="65">
        <v>127.3</v>
      </c>
      <c r="G110" s="65">
        <v>127.3</v>
      </c>
      <c r="H110" s="65">
        <v>127.3</v>
      </c>
      <c r="I110" s="65">
        <v>127</v>
      </c>
      <c r="J110" s="65">
        <v>125</v>
      </c>
      <c r="K110" s="65">
        <v>128</v>
      </c>
      <c r="L110" s="65">
        <v>124.5</v>
      </c>
      <c r="M110" s="65">
        <v>122.9</v>
      </c>
      <c r="N110" s="65">
        <v>124.2</v>
      </c>
      <c r="O110" s="65">
        <v>124.8</v>
      </c>
      <c r="P110" s="65">
        <v>123.9</v>
      </c>
      <c r="Q110" s="65">
        <v>123.5</v>
      </c>
      <c r="R110" s="65">
        <v>123.5</v>
      </c>
      <c r="S110" s="65">
        <v>123.3</v>
      </c>
      <c r="T110" s="65">
        <v>123.6</v>
      </c>
      <c r="U110" s="65">
        <v>122.6</v>
      </c>
      <c r="V110" s="65">
        <v>128.19999999999999</v>
      </c>
      <c r="W110" s="65">
        <v>127.3</v>
      </c>
      <c r="X110" s="65">
        <v>126.9</v>
      </c>
      <c r="Y110" s="65">
        <v>124.7</v>
      </c>
      <c r="Z110" s="65">
        <v>124.7</v>
      </c>
      <c r="AA110" s="65">
        <v>126.9</v>
      </c>
      <c r="AB110" s="65">
        <v>126.9</v>
      </c>
      <c r="AC110" s="65">
        <v>128.1</v>
      </c>
      <c r="AD110" s="65">
        <v>127.8</v>
      </c>
      <c r="AE110" s="65">
        <v>128.80000000000001</v>
      </c>
      <c r="AF110" s="65">
        <v>129.9</v>
      </c>
      <c r="AG110" s="104"/>
      <c r="AH110" s="47">
        <f t="shared" si="26"/>
        <v>129.9</v>
      </c>
      <c r="AI110" s="48">
        <f t="shared" si="27"/>
        <v>122.6</v>
      </c>
    </row>
    <row r="111" spans="1:37" x14ac:dyDescent="0.25">
      <c r="A111" s="103" t="s">
        <v>111</v>
      </c>
      <c r="B111" s="65">
        <v>133.1</v>
      </c>
      <c r="C111" s="65">
        <v>131.1</v>
      </c>
      <c r="D111" s="65">
        <v>131.6</v>
      </c>
      <c r="E111" s="65">
        <v>131.6</v>
      </c>
      <c r="F111" s="65">
        <v>131.6</v>
      </c>
      <c r="G111" s="65">
        <v>131.6</v>
      </c>
      <c r="H111" s="65">
        <v>131.6</v>
      </c>
      <c r="I111" s="65">
        <v>131.6</v>
      </c>
      <c r="J111" s="65">
        <v>128</v>
      </c>
      <c r="K111" s="65">
        <v>129.69999999999999</v>
      </c>
      <c r="L111" s="65">
        <v>126.5</v>
      </c>
      <c r="M111" s="65">
        <v>124.7</v>
      </c>
      <c r="N111" s="65">
        <v>126</v>
      </c>
      <c r="O111" s="65">
        <v>126.8</v>
      </c>
      <c r="P111" s="65">
        <v>126.2</v>
      </c>
      <c r="Q111" s="65">
        <v>126.3</v>
      </c>
      <c r="R111" s="65">
        <v>126.3</v>
      </c>
      <c r="S111" s="65">
        <v>126.1</v>
      </c>
      <c r="T111" s="65">
        <v>126.8</v>
      </c>
      <c r="U111" s="65">
        <v>125.9</v>
      </c>
      <c r="V111" s="65">
        <v>130.5</v>
      </c>
      <c r="W111" s="65">
        <v>129.80000000000001</v>
      </c>
      <c r="X111" s="65">
        <v>129</v>
      </c>
      <c r="Y111" s="65">
        <v>126.3</v>
      </c>
      <c r="Z111" s="65">
        <v>126.3</v>
      </c>
      <c r="AA111" s="65">
        <v>128.5</v>
      </c>
      <c r="AB111" s="65">
        <v>128.5</v>
      </c>
      <c r="AC111" s="65">
        <v>130</v>
      </c>
      <c r="AD111" s="65">
        <v>129.80000000000001</v>
      </c>
      <c r="AE111" s="65">
        <v>131.5</v>
      </c>
      <c r="AF111" s="65">
        <v>133</v>
      </c>
      <c r="AG111" s="104"/>
      <c r="AH111" s="47">
        <f t="shared" si="26"/>
        <v>133.1</v>
      </c>
      <c r="AI111" s="48">
        <f t="shared" si="27"/>
        <v>124.7</v>
      </c>
    </row>
    <row r="112" spans="1:37" x14ac:dyDescent="0.25">
      <c r="A112" s="103" t="s">
        <v>112</v>
      </c>
      <c r="B112" s="65">
        <v>131.19999999999999</v>
      </c>
      <c r="C112" s="65">
        <v>132.69999999999999</v>
      </c>
      <c r="D112" s="65">
        <v>132.5</v>
      </c>
      <c r="E112" s="65">
        <v>132.5</v>
      </c>
      <c r="F112" s="65">
        <v>132.5</v>
      </c>
      <c r="G112" s="65">
        <v>132.5</v>
      </c>
      <c r="H112" s="65">
        <v>132.5</v>
      </c>
      <c r="I112" s="65">
        <v>132.5</v>
      </c>
      <c r="J112" s="65">
        <v>126.4</v>
      </c>
      <c r="K112" s="65">
        <v>129.69999999999999</v>
      </c>
      <c r="L112" s="65">
        <v>127.8</v>
      </c>
      <c r="M112" s="65">
        <v>124.3</v>
      </c>
      <c r="N112" s="65">
        <v>126.1</v>
      </c>
      <c r="O112" s="65">
        <v>128.9</v>
      </c>
      <c r="P112" s="65">
        <v>122.2</v>
      </c>
      <c r="Q112" s="65">
        <v>123.2</v>
      </c>
      <c r="R112" s="65">
        <v>123.2</v>
      </c>
      <c r="S112" s="65">
        <v>122.4</v>
      </c>
      <c r="T112" s="65">
        <v>125.2</v>
      </c>
      <c r="U112" s="65">
        <v>126.9</v>
      </c>
      <c r="V112" s="65">
        <v>129.9</v>
      </c>
      <c r="W112" s="65">
        <v>128.80000000000001</v>
      </c>
      <c r="X112" s="65">
        <v>128.30000000000001</v>
      </c>
      <c r="Y112" s="65">
        <v>129.19999999999999</v>
      </c>
      <c r="Z112" s="65">
        <v>129.19999999999999</v>
      </c>
      <c r="AA112" s="65">
        <v>129.9</v>
      </c>
      <c r="AB112" s="65">
        <v>129.9</v>
      </c>
      <c r="AC112" s="65">
        <v>132.6</v>
      </c>
      <c r="AD112" s="65">
        <v>131</v>
      </c>
      <c r="AE112" s="65">
        <v>128.69999999999999</v>
      </c>
      <c r="AF112" s="65">
        <v>130.1</v>
      </c>
      <c r="AG112" s="104"/>
      <c r="AH112" s="47">
        <f t="shared" si="26"/>
        <v>132.69999999999999</v>
      </c>
      <c r="AI112" s="48">
        <f t="shared" si="27"/>
        <v>122.2</v>
      </c>
    </row>
    <row r="113" spans="1:35" x14ac:dyDescent="0.25">
      <c r="A113" s="105" t="s">
        <v>113</v>
      </c>
      <c r="B113" s="65">
        <v>133.5</v>
      </c>
      <c r="C113" s="65">
        <v>134.4</v>
      </c>
      <c r="D113" s="65">
        <v>135</v>
      </c>
      <c r="E113" s="65">
        <v>135</v>
      </c>
      <c r="F113" s="65">
        <v>135</v>
      </c>
      <c r="G113" s="65">
        <v>135</v>
      </c>
      <c r="H113" s="65">
        <v>135</v>
      </c>
      <c r="I113" s="65">
        <v>135</v>
      </c>
      <c r="J113" s="65">
        <v>129.5</v>
      </c>
      <c r="K113" s="65">
        <v>131</v>
      </c>
      <c r="L113" s="65">
        <v>127.5</v>
      </c>
      <c r="M113" s="65">
        <v>124.5</v>
      </c>
      <c r="N113" s="65">
        <v>125.4</v>
      </c>
      <c r="O113" s="65">
        <v>129.30000000000001</v>
      </c>
      <c r="P113" s="65">
        <v>122.9</v>
      </c>
      <c r="Q113" s="65">
        <v>126.3</v>
      </c>
      <c r="R113" s="65">
        <v>126.3</v>
      </c>
      <c r="S113" s="65">
        <v>124.2</v>
      </c>
      <c r="T113" s="65">
        <v>126.1</v>
      </c>
      <c r="U113" s="65">
        <v>128.4</v>
      </c>
      <c r="V113" s="65">
        <v>130.80000000000001</v>
      </c>
      <c r="W113" s="65">
        <v>128.80000000000001</v>
      </c>
      <c r="X113" s="65">
        <v>128</v>
      </c>
      <c r="Y113" s="65">
        <v>129</v>
      </c>
      <c r="Z113" s="65">
        <v>129</v>
      </c>
      <c r="AA113" s="65">
        <v>132.4</v>
      </c>
      <c r="AB113" s="65">
        <v>132.4</v>
      </c>
      <c r="AC113" s="65">
        <v>134.6</v>
      </c>
      <c r="AD113" s="65">
        <v>131.5</v>
      </c>
      <c r="AE113" s="65">
        <v>132.30000000000001</v>
      </c>
      <c r="AF113" s="65">
        <v>134.5</v>
      </c>
      <c r="AG113" s="104"/>
      <c r="AH113" s="47">
        <f t="shared" si="26"/>
        <v>135</v>
      </c>
      <c r="AI113" s="48">
        <f t="shared" si="27"/>
        <v>122.9</v>
      </c>
    </row>
    <row r="114" spans="1:35" x14ac:dyDescent="0.25">
      <c r="A114" s="105" t="s">
        <v>114</v>
      </c>
      <c r="B114" s="106">
        <v>131.4</v>
      </c>
      <c r="C114" s="106">
        <v>127.4</v>
      </c>
      <c r="D114" s="106">
        <v>130.80000000000001</v>
      </c>
      <c r="E114" s="106">
        <v>130.80000000000001</v>
      </c>
      <c r="F114" s="106">
        <v>130.80000000000001</v>
      </c>
      <c r="G114" s="106">
        <v>130.80000000000001</v>
      </c>
      <c r="H114" s="106">
        <v>130.80000000000001</v>
      </c>
      <c r="I114" s="106">
        <v>130.80000000000001</v>
      </c>
      <c r="J114" s="106">
        <v>132.6</v>
      </c>
      <c r="K114" s="106">
        <v>135</v>
      </c>
      <c r="L114" s="106">
        <v>133</v>
      </c>
      <c r="M114" s="106">
        <v>132.4</v>
      </c>
      <c r="N114" s="106">
        <v>132.9</v>
      </c>
      <c r="O114" s="106">
        <v>129.30000000000001</v>
      </c>
      <c r="P114" s="106">
        <v>135</v>
      </c>
      <c r="Q114" s="106">
        <v>132.4</v>
      </c>
      <c r="R114" s="106">
        <v>132.4</v>
      </c>
      <c r="S114" s="106">
        <v>131.69999999999999</v>
      </c>
      <c r="T114" s="106">
        <v>132.9</v>
      </c>
      <c r="U114" s="106">
        <v>129.1</v>
      </c>
      <c r="V114" s="106">
        <v>136.4</v>
      </c>
      <c r="W114" s="106">
        <v>135.4</v>
      </c>
      <c r="X114" s="106">
        <v>134.69999999999999</v>
      </c>
      <c r="Y114" s="106">
        <v>132.1</v>
      </c>
      <c r="Z114" s="106">
        <v>132.1</v>
      </c>
      <c r="AA114" s="106">
        <v>135.9</v>
      </c>
      <c r="AB114" s="106">
        <v>135.9</v>
      </c>
      <c r="AC114" s="106">
        <v>134.1</v>
      </c>
      <c r="AD114" s="106">
        <v>132.30000000000001</v>
      </c>
      <c r="AE114" s="106">
        <v>130.6</v>
      </c>
      <c r="AF114" s="106">
        <v>133.4</v>
      </c>
      <c r="AG114" s="107"/>
      <c r="AH114" s="47">
        <f t="shared" si="26"/>
        <v>136.4</v>
      </c>
      <c r="AI114" s="48">
        <f t="shared" si="27"/>
        <v>127.4</v>
      </c>
    </row>
    <row r="115" spans="1:35" x14ac:dyDescent="0.25">
      <c r="A115" s="103" t="s">
        <v>115</v>
      </c>
      <c r="B115" s="65">
        <v>135</v>
      </c>
      <c r="C115" s="65">
        <v>131.30000000000001</v>
      </c>
      <c r="D115" s="65">
        <v>134.1</v>
      </c>
      <c r="E115" s="65">
        <v>134.1</v>
      </c>
      <c r="F115" s="65">
        <v>134.1</v>
      </c>
      <c r="G115" s="65">
        <v>134.1</v>
      </c>
      <c r="H115" s="65">
        <v>134.1</v>
      </c>
      <c r="I115" s="65">
        <v>134.1</v>
      </c>
      <c r="J115" s="65">
        <v>133</v>
      </c>
      <c r="K115" s="65">
        <v>132.80000000000001</v>
      </c>
      <c r="L115" s="65">
        <v>128.5</v>
      </c>
      <c r="M115" s="65">
        <v>125.1</v>
      </c>
      <c r="N115" s="65">
        <v>128</v>
      </c>
      <c r="O115" s="65">
        <v>127.7</v>
      </c>
      <c r="P115" s="65">
        <v>128.1</v>
      </c>
      <c r="Q115" s="65">
        <v>131</v>
      </c>
      <c r="R115" s="65">
        <v>131</v>
      </c>
      <c r="S115" s="65">
        <v>130.19999999999999</v>
      </c>
      <c r="T115" s="65">
        <v>127.4</v>
      </c>
      <c r="U115" s="65">
        <v>132.19999999999999</v>
      </c>
      <c r="V115" s="65">
        <v>133</v>
      </c>
      <c r="W115" s="65">
        <v>130.5</v>
      </c>
      <c r="X115" s="65">
        <v>132.5</v>
      </c>
      <c r="Y115" s="65">
        <v>126.7</v>
      </c>
      <c r="Z115" s="65">
        <v>126.7</v>
      </c>
      <c r="AA115" s="65">
        <v>130.19999999999999</v>
      </c>
      <c r="AB115" s="65">
        <v>130.19999999999999</v>
      </c>
      <c r="AC115" s="65">
        <v>128.80000000000001</v>
      </c>
      <c r="AD115" s="65">
        <v>129.80000000000001</v>
      </c>
      <c r="AE115" s="65">
        <v>134.30000000000001</v>
      </c>
      <c r="AF115" s="65">
        <v>132.30000000000001</v>
      </c>
      <c r="AG115" s="104"/>
      <c r="AH115" s="47">
        <f t="shared" si="26"/>
        <v>135</v>
      </c>
      <c r="AI115" s="48">
        <f t="shared" si="27"/>
        <v>125.1</v>
      </c>
    </row>
    <row r="116" spans="1:35" ht="15.75" thickBot="1" x14ac:dyDescent="0.3">
      <c r="A116" s="103" t="s">
        <v>116</v>
      </c>
      <c r="B116" s="92">
        <v>67</v>
      </c>
      <c r="C116" s="92">
        <v>66.3</v>
      </c>
      <c r="D116" s="92">
        <v>66.5</v>
      </c>
      <c r="E116" s="92">
        <v>66.5</v>
      </c>
      <c r="F116" s="92">
        <v>66.400000000000006</v>
      </c>
      <c r="G116" s="92">
        <v>66.400000000000006</v>
      </c>
      <c r="H116" s="92">
        <v>66.400000000000006</v>
      </c>
      <c r="I116" s="92">
        <v>65.400000000000006</v>
      </c>
      <c r="J116" s="92">
        <v>64.599999999999994</v>
      </c>
      <c r="K116" s="92">
        <v>65</v>
      </c>
      <c r="L116" s="92">
        <v>63.2</v>
      </c>
      <c r="M116" s="92">
        <v>62.4</v>
      </c>
      <c r="N116" s="92">
        <v>63.2</v>
      </c>
      <c r="O116" s="92">
        <v>63.4</v>
      </c>
      <c r="P116" s="92">
        <v>63.5</v>
      </c>
      <c r="Q116" s="92">
        <v>63.6</v>
      </c>
      <c r="R116" s="92">
        <v>63.6</v>
      </c>
      <c r="S116" s="92">
        <v>63.3</v>
      </c>
      <c r="T116" s="92">
        <v>63.9</v>
      </c>
      <c r="U116" s="92">
        <v>63.3</v>
      </c>
      <c r="V116" s="92">
        <v>65.599999999999994</v>
      </c>
      <c r="W116" s="92">
        <v>65.400000000000006</v>
      </c>
      <c r="X116" s="92">
        <v>64.900000000000006</v>
      </c>
      <c r="Y116" s="92">
        <v>63.7</v>
      </c>
      <c r="Z116" s="92">
        <v>63.7</v>
      </c>
      <c r="AA116" s="92">
        <v>65</v>
      </c>
      <c r="AB116" s="92">
        <v>65</v>
      </c>
      <c r="AC116" s="92">
        <v>65.5</v>
      </c>
      <c r="AD116" s="92">
        <v>65.3</v>
      </c>
      <c r="AE116" s="92">
        <v>66.400000000000006</v>
      </c>
      <c r="AF116" s="92">
        <v>67</v>
      </c>
      <c r="AG116" s="108"/>
      <c r="AH116" s="47">
        <f t="shared" si="26"/>
        <v>67</v>
      </c>
      <c r="AI116" s="48">
        <f t="shared" si="27"/>
        <v>62.4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 t="s">
        <v>117</v>
      </c>
      <c r="Y117" s="92" t="s">
        <v>117</v>
      </c>
      <c r="Z117" s="92" t="s">
        <v>117</v>
      </c>
      <c r="AA117" s="92" t="s">
        <v>117</v>
      </c>
      <c r="AB117" s="92"/>
      <c r="AC117" s="92"/>
      <c r="AD117" s="92"/>
      <c r="AE117" s="92"/>
      <c r="AF117" s="92"/>
      <c r="AG117" s="108"/>
      <c r="AH117" s="47">
        <f t="shared" si="26"/>
        <v>0</v>
      </c>
      <c r="AI117" s="48">
        <f t="shared" si="27"/>
        <v>0</v>
      </c>
    </row>
    <row r="118" spans="1:35" ht="15.75" thickBot="1" x14ac:dyDescent="0.3">
      <c r="A118" s="110" t="s">
        <v>118</v>
      </c>
      <c r="B118" s="111">
        <f t="shared" ref="B118:O118" si="84">SUM(B22,B28,B31:B32,B66,B68:B69,B71,B73,B119:B123,B155,B161,B167,B176,B178,B190,B197,B200:B201,B208,B210,B212,B216:B218,B220:B222,B227,B233:B234,B236:B238,B246,B251)</f>
        <v>159.23999999999998</v>
      </c>
      <c r="C118" s="111">
        <f t="shared" si="84"/>
        <v>139.73999999999998</v>
      </c>
      <c r="D118" s="111">
        <f t="shared" si="84"/>
        <v>134.24</v>
      </c>
      <c r="E118" s="111">
        <f t="shared" si="84"/>
        <v>206.24</v>
      </c>
      <c r="F118" s="111">
        <f t="shared" si="84"/>
        <v>140.54000000000002</v>
      </c>
      <c r="G118" s="111">
        <f t="shared" si="84"/>
        <v>177.34</v>
      </c>
      <c r="H118" s="111">
        <f t="shared" si="84"/>
        <v>210.24</v>
      </c>
      <c r="I118" s="111">
        <f t="shared" si="84"/>
        <v>242.04000000000002</v>
      </c>
      <c r="J118" s="111">
        <f t="shared" si="84"/>
        <v>318.74</v>
      </c>
      <c r="K118" s="111">
        <f t="shared" si="84"/>
        <v>358.73999999999995</v>
      </c>
      <c r="L118" s="111">
        <f t="shared" si="84"/>
        <v>393.44</v>
      </c>
      <c r="M118" s="111">
        <f t="shared" si="84"/>
        <v>406.18800000000005</v>
      </c>
      <c r="N118" s="111">
        <f t="shared" si="84"/>
        <v>380.34</v>
      </c>
      <c r="O118" s="111">
        <f t="shared" si="84"/>
        <v>370.34</v>
      </c>
      <c r="P118" s="111">
        <v>42</v>
      </c>
      <c r="Q118" s="111">
        <f t="shared" ref="Q118:AC118" si="85">SUM(Q22,Q28,Q31:Q32,Q66,Q68:Q69,Q71,Q73,Q119:Q123,Q155,Q161,Q167,Q176,Q178,Q190,Q197,Q200:Q201,Q208,Q210,Q212,Q216:Q218,Q220:Q222,Q227,Q233:Q234,Q236:Q238,Q246,Q251)</f>
        <v>327.55599999999998</v>
      </c>
      <c r="R118" s="111">
        <f t="shared" si="85"/>
        <v>327.55599999999998</v>
      </c>
      <c r="S118" s="111">
        <f t="shared" si="85"/>
        <v>309.90000000000003</v>
      </c>
      <c r="T118" s="111">
        <f t="shared" ref="T118:U118" si="86">SUM(T22,T28,T31:T32,T66,T68:T69,T71,T73,T119:T123,T155,T161,T167,T176,T178,T190,T197,T200:T201,T208,T210,T212,T216:T218,T220:T222,T227,T233:T234,T236:T238,T246,T251)</f>
        <v>307.45999999999998</v>
      </c>
      <c r="U118" s="111">
        <f t="shared" si="86"/>
        <v>307.88000000000005</v>
      </c>
      <c r="V118" s="111">
        <f t="shared" ref="V118:W118" si="87">SUM(V22,V28,V31:V32,V66,V68:V69,V71,V73,V119:V123,V155,V161,V167,V176,V178,V190,V197,V200:V201,V208,V210,V212,V216:V218,V220:V222,V227,V233:V234,V236:V238,V246,V251)</f>
        <v>317.48</v>
      </c>
      <c r="W118" s="111">
        <f t="shared" si="87"/>
        <v>340.14000000000004</v>
      </c>
      <c r="X118" s="111">
        <f t="shared" si="85"/>
        <v>383.93399999999997</v>
      </c>
      <c r="Y118" s="111">
        <f t="shared" ref="Y118:Z118" si="88">SUM(Y22,Y28,Y31:Y32,Y66,Y68:Y69,Y71,Y73,Y119:Y123,Y155,Y161,Y167,Y176,Y178,Y190,Y197,Y200:Y201,Y208,Y210,Y212,Y216:Y218,Y220:Y222,Y227,Y233:Y234,Y236:Y238,Y246,Y251)</f>
        <v>440.44</v>
      </c>
      <c r="Z118" s="111">
        <f t="shared" si="88"/>
        <v>440.44</v>
      </c>
      <c r="AA118" s="111">
        <f t="shared" ref="AA118" si="89">SUM(AA22,AA28,AA31:AA32,AA66,AA68:AA69,AA71,AA73,AA119:AA123,AA155,AA161,AA167,AA176,AA178,AA190,AA197,AA200:AA201,AA208,AA210,AA212,AA216:AA218,AA220:AA222,AA227,AA233:AA234,AA236:AA238,AA246,AA251)</f>
        <v>426.18</v>
      </c>
      <c r="AB118" s="111">
        <f t="shared" si="85"/>
        <v>411.14000000000004</v>
      </c>
      <c r="AC118" s="111">
        <f t="shared" si="85"/>
        <v>385.28099999999995</v>
      </c>
      <c r="AD118" s="111"/>
      <c r="AE118" s="111">
        <f>SUM(AE22,AE28,AE31:AE32,AE66,AE68:AE69,AE71,AE73,AE119:AE123,AE155,AE161,AE167,AE176,AE178,AE190,AE197,AE200:AE201,AE208,AE210,AE212,AE216:AE218,AE220:AE222,AE227,AE233:AE234,AE236:AE238,AE246,AE251)</f>
        <v>276.30199999999996</v>
      </c>
      <c r="AF118" s="111">
        <f>SUM(AF22,AF28,AF31:AF32,AF66,AF68:AF69,AF71,AF73,AF119:AF123,AF155,AF161,AF167,AF176,AF178,AF190,AF197,AF200:AF201,AF208,AF210,AF212,AF216:AF218,AF220:AF222,AF227,AF233:AF234,AF236:AF238,AF246,AF251)</f>
        <v>186.44499999999999</v>
      </c>
      <c r="AG118" s="112"/>
      <c r="AH118" s="47">
        <f t="shared" si="26"/>
        <v>440.44</v>
      </c>
      <c r="AI118" s="48">
        <f t="shared" si="27"/>
        <v>42</v>
      </c>
    </row>
    <row r="119" spans="1:35" x14ac:dyDescent="0.25">
      <c r="A119" s="172" t="s">
        <v>119</v>
      </c>
      <c r="B119" s="113">
        <v>7</v>
      </c>
      <c r="C119" s="113">
        <v>-6.5</v>
      </c>
      <c r="D119" s="113">
        <v>-9.6</v>
      </c>
      <c r="E119" s="113">
        <v>-6.2</v>
      </c>
      <c r="F119" s="113">
        <v>-6.3</v>
      </c>
      <c r="G119" s="113">
        <v>1.9</v>
      </c>
      <c r="H119" s="113">
        <v>12</v>
      </c>
      <c r="I119" s="113">
        <v>18.8</v>
      </c>
      <c r="J119" s="113">
        <v>33.6</v>
      </c>
      <c r="K119" s="113">
        <v>43.8</v>
      </c>
      <c r="L119" s="113">
        <v>32.700000000000003</v>
      </c>
      <c r="M119" s="113">
        <v>37.1</v>
      </c>
      <c r="N119" s="113">
        <v>38.6</v>
      </c>
      <c r="O119" s="113">
        <v>36.4</v>
      </c>
      <c r="P119" s="113">
        <v>26.6</v>
      </c>
      <c r="Q119" s="113">
        <v>22.9</v>
      </c>
      <c r="R119" s="113">
        <v>22.9</v>
      </c>
      <c r="S119" s="113">
        <v>20.9</v>
      </c>
      <c r="T119" s="113">
        <v>23.1</v>
      </c>
      <c r="U119" s="113">
        <v>24.3</v>
      </c>
      <c r="V119" s="113">
        <v>31.3</v>
      </c>
      <c r="W119" s="113">
        <v>34</v>
      </c>
      <c r="X119" s="113">
        <v>45.2</v>
      </c>
      <c r="Y119" s="113">
        <v>54.2</v>
      </c>
      <c r="Z119" s="113">
        <v>54.2</v>
      </c>
      <c r="AA119" s="113">
        <v>50.2</v>
      </c>
      <c r="AB119" s="113">
        <v>41.5</v>
      </c>
      <c r="AC119" s="113">
        <v>35.4</v>
      </c>
      <c r="AD119" s="113">
        <v>33.700000000000003</v>
      </c>
      <c r="AE119" s="113">
        <v>20.2</v>
      </c>
      <c r="AF119" s="113">
        <v>2.7</v>
      </c>
      <c r="AG119" s="114">
        <v>75</v>
      </c>
      <c r="AH119" s="47">
        <f t="shared" si="26"/>
        <v>54.2</v>
      </c>
      <c r="AI119" s="48">
        <f t="shared" si="27"/>
        <v>-9.6</v>
      </c>
    </row>
    <row r="120" spans="1:35" x14ac:dyDescent="0.25">
      <c r="A120" s="173" t="s">
        <v>120</v>
      </c>
      <c r="B120" s="115">
        <v>9.1</v>
      </c>
      <c r="C120" s="115">
        <v>-10.199999999999999</v>
      </c>
      <c r="D120" s="115">
        <v>-13.1</v>
      </c>
      <c r="E120" s="115">
        <v>-9.4</v>
      </c>
      <c r="F120" s="115">
        <v>-7.6</v>
      </c>
      <c r="G120" s="115">
        <v>1</v>
      </c>
      <c r="H120" s="115">
        <v>10.6</v>
      </c>
      <c r="I120" s="115">
        <v>26.3</v>
      </c>
      <c r="J120" s="115">
        <v>44.2</v>
      </c>
      <c r="K120" s="115">
        <v>61.6</v>
      </c>
      <c r="L120" s="115">
        <v>46.6</v>
      </c>
      <c r="M120" s="115">
        <v>52.9</v>
      </c>
      <c r="N120" s="115">
        <v>56.8</v>
      </c>
      <c r="O120" s="115">
        <v>53</v>
      </c>
      <c r="P120" s="115">
        <v>32.5</v>
      </c>
      <c r="Q120" s="115">
        <v>28.5</v>
      </c>
      <c r="R120" s="115">
        <v>28.5</v>
      </c>
      <c r="S120" s="115">
        <v>25.3</v>
      </c>
      <c r="T120" s="115">
        <v>27</v>
      </c>
      <c r="U120" s="115">
        <v>30.4</v>
      </c>
      <c r="V120" s="115">
        <v>43.2</v>
      </c>
      <c r="W120" s="115">
        <v>47.3</v>
      </c>
      <c r="X120" s="115">
        <v>62.1</v>
      </c>
      <c r="Y120" s="115">
        <v>73.900000000000006</v>
      </c>
      <c r="Z120" s="115">
        <v>73.900000000000006</v>
      </c>
      <c r="AA120" s="115">
        <v>67.900000000000006</v>
      </c>
      <c r="AB120" s="115">
        <v>56.9</v>
      </c>
      <c r="AC120" s="115">
        <v>48.2</v>
      </c>
      <c r="AD120" s="115">
        <v>41.8</v>
      </c>
      <c r="AE120" s="115">
        <v>24.3</v>
      </c>
      <c r="AF120" s="115">
        <v>0.6</v>
      </c>
      <c r="AG120" s="114">
        <v>240</v>
      </c>
      <c r="AH120" s="47">
        <f t="shared" si="26"/>
        <v>73.900000000000006</v>
      </c>
      <c r="AI120" s="48">
        <f t="shared" si="27"/>
        <v>-13.1</v>
      </c>
    </row>
    <row r="121" spans="1:35" x14ac:dyDescent="0.25">
      <c r="A121" s="173" t="s">
        <v>121</v>
      </c>
      <c r="B121" s="115">
        <v>-35</v>
      </c>
      <c r="C121" s="115">
        <v>-32</v>
      </c>
      <c r="D121" s="115">
        <v>-31</v>
      </c>
      <c r="E121" s="115">
        <v>39.799999999999997</v>
      </c>
      <c r="F121" s="115">
        <v>-39.299999999999997</v>
      </c>
      <c r="G121" s="115">
        <v>-31</v>
      </c>
      <c r="H121" s="115">
        <v>-22.5</v>
      </c>
      <c r="I121" s="115">
        <v>-17</v>
      </c>
      <c r="J121" s="115">
        <v>11</v>
      </c>
      <c r="K121" s="115">
        <v>16.2</v>
      </c>
      <c r="L121" s="115">
        <v>39.200000000000003</v>
      </c>
      <c r="M121" s="115">
        <v>37.299999999999997</v>
      </c>
      <c r="N121" s="115">
        <v>24</v>
      </c>
      <c r="O121" s="115">
        <v>26</v>
      </c>
      <c r="P121" s="115">
        <v>-2</v>
      </c>
      <c r="Q121" s="115">
        <v>19.600000000000001</v>
      </c>
      <c r="R121" s="115">
        <v>19.600000000000001</v>
      </c>
      <c r="S121" s="115">
        <v>13.1</v>
      </c>
      <c r="T121" s="115">
        <v>15</v>
      </c>
      <c r="U121" s="115">
        <v>15</v>
      </c>
      <c r="V121" s="115">
        <v>27.1</v>
      </c>
      <c r="W121" s="115">
        <v>32.700000000000003</v>
      </c>
      <c r="X121" s="115">
        <v>45.1</v>
      </c>
      <c r="Y121" s="115">
        <v>56.4</v>
      </c>
      <c r="Z121" s="115">
        <v>56.4</v>
      </c>
      <c r="AA121" s="115">
        <v>50</v>
      </c>
      <c r="AB121" s="115">
        <v>48.2</v>
      </c>
      <c r="AC121" s="115">
        <v>48.2</v>
      </c>
      <c r="AD121" s="115">
        <v>35</v>
      </c>
      <c r="AE121" s="115">
        <v>14.4</v>
      </c>
      <c r="AF121" s="115">
        <v>-10.4</v>
      </c>
      <c r="AG121" s="114">
        <v>240</v>
      </c>
      <c r="AH121" s="47">
        <f t="shared" si="26"/>
        <v>56.4</v>
      </c>
      <c r="AI121" s="48">
        <f t="shared" si="27"/>
        <v>-39.299999999999997</v>
      </c>
    </row>
    <row r="122" spans="1:35" ht="15.75" thickBot="1" x14ac:dyDescent="0.3">
      <c r="A122" s="173" t="s">
        <v>122</v>
      </c>
      <c r="B122" s="115">
        <v>-6</v>
      </c>
      <c r="C122" s="115">
        <v>-8.5</v>
      </c>
      <c r="D122" s="115">
        <v>-10</v>
      </c>
      <c r="E122" s="115">
        <v>-10.6</v>
      </c>
      <c r="F122" s="115">
        <v>-8.9</v>
      </c>
      <c r="G122" s="115">
        <v>-8.1999999999999993</v>
      </c>
      <c r="H122" s="115">
        <v>-4.5</v>
      </c>
      <c r="I122" s="115">
        <v>1.3</v>
      </c>
      <c r="J122" s="115">
        <v>2.2999999999999998</v>
      </c>
      <c r="K122" s="115">
        <v>24.2</v>
      </c>
      <c r="L122" s="115">
        <v>28</v>
      </c>
      <c r="M122" s="115">
        <v>28</v>
      </c>
      <c r="N122" s="115">
        <v>22</v>
      </c>
      <c r="O122" s="115">
        <v>21</v>
      </c>
      <c r="P122" s="115">
        <v>9.4</v>
      </c>
      <c r="Q122" s="115">
        <v>8.6</v>
      </c>
      <c r="R122" s="115">
        <v>8.6</v>
      </c>
      <c r="S122" s="115">
        <v>2.1</v>
      </c>
      <c r="T122" s="115">
        <v>4.4000000000000004</v>
      </c>
      <c r="U122" s="115">
        <v>4.4000000000000004</v>
      </c>
      <c r="V122" s="115">
        <v>18.100000000000001</v>
      </c>
      <c r="W122" s="115">
        <v>18.600000000000001</v>
      </c>
      <c r="X122" s="115">
        <v>22.3</v>
      </c>
      <c r="Y122" s="115">
        <v>27.8</v>
      </c>
      <c r="Z122" s="115">
        <v>27.8</v>
      </c>
      <c r="AA122" s="115">
        <v>26.9</v>
      </c>
      <c r="AB122" s="115">
        <v>25.3</v>
      </c>
      <c r="AC122" s="115">
        <v>27.1</v>
      </c>
      <c r="AD122" s="115">
        <v>12.4</v>
      </c>
      <c r="AE122" s="115">
        <v>7.9</v>
      </c>
      <c r="AF122" s="115">
        <v>-3.9</v>
      </c>
      <c r="AG122" s="114">
        <v>60</v>
      </c>
      <c r="AH122" s="47">
        <f t="shared" si="26"/>
        <v>28</v>
      </c>
      <c r="AI122" s="48">
        <f t="shared" si="27"/>
        <v>-10.6</v>
      </c>
    </row>
    <row r="123" spans="1:35" x14ac:dyDescent="0.25">
      <c r="A123" s="172" t="s">
        <v>260</v>
      </c>
      <c r="B123" s="117">
        <f>57*1.6</f>
        <v>91.2</v>
      </c>
      <c r="C123" s="117">
        <f>65*1.6</f>
        <v>104</v>
      </c>
      <c r="D123" s="117">
        <v>105</v>
      </c>
      <c r="E123" s="117">
        <v>100</v>
      </c>
      <c r="F123" s="117">
        <v>110</v>
      </c>
      <c r="G123" s="117">
        <v>121</v>
      </c>
      <c r="H123" s="117">
        <v>122</v>
      </c>
      <c r="I123" s="117">
        <v>120</v>
      </c>
      <c r="J123" s="117">
        <v>135</v>
      </c>
      <c r="K123" s="117">
        <v>120</v>
      </c>
      <c r="L123" s="117">
        <v>153</v>
      </c>
      <c r="M123" s="117">
        <f>1.64*95.7</f>
        <v>156.94800000000001</v>
      </c>
      <c r="N123" s="117">
        <v>145</v>
      </c>
      <c r="O123" s="117">
        <v>140</v>
      </c>
      <c r="P123" s="117">
        <v>140</v>
      </c>
      <c r="Q123" s="117">
        <f>1.64*94.4</f>
        <v>154.816</v>
      </c>
      <c r="R123" s="117">
        <f>1.64*94.4</f>
        <v>154.816</v>
      </c>
      <c r="S123" s="117">
        <f>90.6*1.6</f>
        <v>144.96</v>
      </c>
      <c r="T123" s="117">
        <f>86.2*1.6</f>
        <v>137.92000000000002</v>
      </c>
      <c r="U123" s="117">
        <f>88.4*1.6</f>
        <v>141.44000000000003</v>
      </c>
      <c r="V123" s="117">
        <f>66.9*1.6</f>
        <v>107.04000000000002</v>
      </c>
      <c r="W123" s="117">
        <f>73*1.6</f>
        <v>116.80000000000001</v>
      </c>
      <c r="X123" s="117">
        <f>73.8*1.63</f>
        <v>120.29399999999998</v>
      </c>
      <c r="Y123" s="117">
        <f>87*1.6</f>
        <v>139.20000000000002</v>
      </c>
      <c r="Z123" s="117">
        <f>87*1.6</f>
        <v>139.20000000000002</v>
      </c>
      <c r="AA123" s="117">
        <f>88.9*1.6</f>
        <v>142.24</v>
      </c>
      <c r="AB123" s="117">
        <v>150</v>
      </c>
      <c r="AC123" s="117">
        <f>82.3*1.67</f>
        <v>137.441</v>
      </c>
      <c r="AD123" s="117">
        <f>85.2*1.67</f>
        <v>142.28399999999999</v>
      </c>
      <c r="AE123" s="117">
        <f>68.6*1.67</f>
        <v>114.56199999999998</v>
      </c>
      <c r="AF123" s="117">
        <f>61.5*1.67</f>
        <v>102.705</v>
      </c>
      <c r="AG123" s="118">
        <v>120</v>
      </c>
      <c r="AH123" s="47">
        <f t="shared" si="26"/>
        <v>156.94800000000001</v>
      </c>
      <c r="AI123" s="48">
        <f t="shared" si="27"/>
        <v>91.2</v>
      </c>
    </row>
    <row r="124" spans="1:35" x14ac:dyDescent="0.25">
      <c r="A124" s="173" t="s">
        <v>259</v>
      </c>
      <c r="B124" s="117">
        <v>73.2</v>
      </c>
      <c r="C124" s="117">
        <v>80</v>
      </c>
      <c r="D124" s="117">
        <v>80</v>
      </c>
      <c r="E124" s="117">
        <v>77.400000000000006</v>
      </c>
      <c r="F124" s="117">
        <v>81.900000000000006</v>
      </c>
      <c r="G124" s="117">
        <v>86.8</v>
      </c>
      <c r="H124" s="117">
        <v>84</v>
      </c>
      <c r="I124" s="117">
        <v>83</v>
      </c>
      <c r="J124" s="117">
        <v>86.8</v>
      </c>
      <c r="K124" s="117">
        <v>77.7</v>
      </c>
      <c r="L124" s="117">
        <v>99.2</v>
      </c>
      <c r="M124" s="117">
        <v>101.8</v>
      </c>
      <c r="N124" s="117">
        <v>91.4</v>
      </c>
      <c r="O124" s="117">
        <v>87</v>
      </c>
      <c r="P124" s="117">
        <v>99</v>
      </c>
      <c r="Q124" s="117">
        <v>100.3</v>
      </c>
      <c r="R124" s="117">
        <v>100.3</v>
      </c>
      <c r="S124" s="117">
        <v>96.1</v>
      </c>
      <c r="T124" s="117">
        <v>94.7</v>
      </c>
      <c r="U124" s="117">
        <v>96.4</v>
      </c>
      <c r="V124" s="117">
        <v>78.3</v>
      </c>
      <c r="W124" s="117">
        <v>82.7</v>
      </c>
      <c r="X124" s="117">
        <v>84.9</v>
      </c>
      <c r="Y124" s="117">
        <v>93.8</v>
      </c>
      <c r="Z124" s="117">
        <v>93.8</v>
      </c>
      <c r="AA124" s="117">
        <v>95.9</v>
      </c>
      <c r="AB124" s="117">
        <v>95.7</v>
      </c>
      <c r="AC124" s="117">
        <v>92.6</v>
      </c>
      <c r="AD124" s="117">
        <v>94.4</v>
      </c>
      <c r="AE124" s="117">
        <v>80.599999999999994</v>
      </c>
      <c r="AF124" s="117">
        <v>75.5</v>
      </c>
      <c r="AG124" s="118"/>
      <c r="AH124" s="47"/>
      <c r="AI124" s="48"/>
    </row>
    <row r="125" spans="1:35" x14ac:dyDescent="0.25">
      <c r="A125" s="173" t="s">
        <v>256</v>
      </c>
      <c r="B125" s="117">
        <v>53</v>
      </c>
      <c r="C125" s="117">
        <v>74</v>
      </c>
      <c r="D125" s="117">
        <v>76.099999999999994</v>
      </c>
      <c r="E125" s="117">
        <v>74.400000000000006</v>
      </c>
      <c r="F125" s="117">
        <v>76.2</v>
      </c>
      <c r="G125" s="117">
        <v>67.099999999999994</v>
      </c>
      <c r="H125" s="117">
        <v>45</v>
      </c>
      <c r="I125" s="117">
        <v>30.3</v>
      </c>
      <c r="J125" s="117">
        <v>10.6</v>
      </c>
      <c r="K125" s="117">
        <v>-40.299999999999997</v>
      </c>
      <c r="L125" s="117">
        <v>-21.74</v>
      </c>
      <c r="M125" s="117">
        <v>-24</v>
      </c>
      <c r="N125" s="117">
        <v>-25</v>
      </c>
      <c r="O125" s="117">
        <v>-17</v>
      </c>
      <c r="P125" s="117">
        <v>11.5</v>
      </c>
      <c r="Q125" s="117">
        <v>19.100000000000001</v>
      </c>
      <c r="R125" s="117">
        <v>19.100000000000001</v>
      </c>
      <c r="S125" s="117">
        <v>28.3</v>
      </c>
      <c r="T125" s="117">
        <v>25.5</v>
      </c>
      <c r="U125" s="117">
        <v>18.600000000000001</v>
      </c>
      <c r="V125" s="117">
        <v>-26.8</v>
      </c>
      <c r="W125" s="117">
        <v>-34.700000000000003</v>
      </c>
      <c r="X125" s="117">
        <v>-58.4</v>
      </c>
      <c r="Y125" s="117">
        <v>-69.5</v>
      </c>
      <c r="Z125" s="117">
        <v>-69.5</v>
      </c>
      <c r="AA125" s="117">
        <v>-56</v>
      </c>
      <c r="AB125" s="117">
        <v>-42.1</v>
      </c>
      <c r="AC125" s="117">
        <v>-36.5</v>
      </c>
      <c r="AD125" s="117">
        <v>-18.8</v>
      </c>
      <c r="AE125" s="117">
        <v>2.6</v>
      </c>
      <c r="AF125" s="117">
        <v>37.299999999999997</v>
      </c>
      <c r="AG125" s="118"/>
      <c r="AH125" s="47"/>
      <c r="AI125" s="48"/>
    </row>
    <row r="126" spans="1:35" ht="15.75" thickBot="1" x14ac:dyDescent="0.3">
      <c r="A126" s="173" t="s">
        <v>255</v>
      </c>
      <c r="B126" s="117">
        <v>86</v>
      </c>
      <c r="C126" s="117">
        <v>93</v>
      </c>
      <c r="D126" s="117">
        <v>94</v>
      </c>
      <c r="E126" s="117">
        <v>92</v>
      </c>
      <c r="F126" s="117">
        <v>104</v>
      </c>
      <c r="G126" s="117">
        <v>105</v>
      </c>
      <c r="H126" s="117">
        <v>102</v>
      </c>
      <c r="I126" s="117">
        <v>97.3</v>
      </c>
      <c r="J126" s="117">
        <v>96.2</v>
      </c>
      <c r="K126" s="117">
        <v>77.5</v>
      </c>
      <c r="L126" s="117">
        <v>82.9</v>
      </c>
      <c r="M126" s="117">
        <v>79.900000000000006</v>
      </c>
      <c r="N126" s="117">
        <v>71</v>
      </c>
      <c r="O126" s="117">
        <v>84</v>
      </c>
      <c r="P126" s="117">
        <v>85</v>
      </c>
      <c r="Q126" s="117">
        <v>96.3</v>
      </c>
      <c r="R126" s="117">
        <v>96.3</v>
      </c>
      <c r="S126" s="117">
        <v>88.3</v>
      </c>
      <c r="T126" s="117">
        <v>87.2</v>
      </c>
      <c r="U126" s="117">
        <v>88.9</v>
      </c>
      <c r="V126" s="117">
        <v>64.900000000000006</v>
      </c>
      <c r="W126" s="117">
        <v>66.7</v>
      </c>
      <c r="X126" s="117">
        <v>62.2</v>
      </c>
      <c r="Y126" s="117">
        <v>69.900000000000006</v>
      </c>
      <c r="Z126" s="117">
        <v>69.900000000000006</v>
      </c>
      <c r="AA126" s="117">
        <v>73.8</v>
      </c>
      <c r="AB126" s="117">
        <v>73.3</v>
      </c>
      <c r="AC126" s="117">
        <v>77.5</v>
      </c>
      <c r="AD126" s="117">
        <v>78.7</v>
      </c>
      <c r="AE126" s="117">
        <v>67.3</v>
      </c>
      <c r="AF126" s="117">
        <v>66.400000000000006</v>
      </c>
      <c r="AG126" s="114"/>
      <c r="AH126" s="47">
        <f t="shared" si="26"/>
        <v>105</v>
      </c>
      <c r="AI126" s="48">
        <f t="shared" si="27"/>
        <v>62.2</v>
      </c>
    </row>
    <row r="127" spans="1:35" x14ac:dyDescent="0.25">
      <c r="A127" s="172" t="s">
        <v>257</v>
      </c>
      <c r="B127" s="117">
        <v>0</v>
      </c>
      <c r="C127" s="117">
        <v>0</v>
      </c>
      <c r="D127" s="117">
        <v>0</v>
      </c>
      <c r="E127" s="117">
        <v>0</v>
      </c>
      <c r="F127" s="117">
        <v>0</v>
      </c>
      <c r="G127" s="117">
        <v>0</v>
      </c>
      <c r="H127" s="117">
        <v>0</v>
      </c>
      <c r="I127" s="117">
        <v>0</v>
      </c>
      <c r="J127" s="117">
        <v>0</v>
      </c>
      <c r="K127" s="117">
        <v>0</v>
      </c>
      <c r="L127" s="117">
        <v>0</v>
      </c>
      <c r="M127" s="117">
        <v>0</v>
      </c>
      <c r="N127" s="117">
        <v>0</v>
      </c>
      <c r="O127" s="117">
        <v>0</v>
      </c>
      <c r="P127" s="117">
        <v>0</v>
      </c>
      <c r="Q127" s="117">
        <v>0</v>
      </c>
      <c r="R127" s="117">
        <v>0</v>
      </c>
      <c r="S127" s="117">
        <v>0</v>
      </c>
      <c r="T127" s="117">
        <v>0</v>
      </c>
      <c r="U127" s="117">
        <v>0</v>
      </c>
      <c r="V127" s="117">
        <v>0</v>
      </c>
      <c r="W127" s="117">
        <v>0</v>
      </c>
      <c r="X127" s="117">
        <v>0</v>
      </c>
      <c r="Y127" s="117">
        <v>0</v>
      </c>
      <c r="Z127" s="117">
        <v>0</v>
      </c>
      <c r="AA127" s="117">
        <v>0</v>
      </c>
      <c r="AB127" s="117">
        <v>0</v>
      </c>
      <c r="AC127" s="117">
        <v>0</v>
      </c>
      <c r="AD127" s="117">
        <v>0</v>
      </c>
      <c r="AE127" s="117">
        <v>0</v>
      </c>
      <c r="AF127" s="106">
        <v>0</v>
      </c>
      <c r="AG127" s="114"/>
      <c r="AH127" s="47">
        <f t="shared" si="26"/>
        <v>0</v>
      </c>
      <c r="AI127" s="48">
        <f t="shared" si="27"/>
        <v>0</v>
      </c>
    </row>
    <row r="128" spans="1:35" x14ac:dyDescent="0.25">
      <c r="A128" s="173" t="s">
        <v>124</v>
      </c>
      <c r="B128" s="106">
        <v>-3</v>
      </c>
      <c r="C128" s="106">
        <v>-3</v>
      </c>
      <c r="D128" s="106">
        <v>-4.0999999999999996</v>
      </c>
      <c r="E128" s="106">
        <v>-2.2999999999999998</v>
      </c>
      <c r="F128" s="106">
        <v>-1.5</v>
      </c>
      <c r="G128" s="106">
        <v>-8.1</v>
      </c>
      <c r="H128" s="106">
        <v>-12.5</v>
      </c>
      <c r="I128" s="106">
        <v>-17.600000000000001</v>
      </c>
      <c r="J128" s="106">
        <v>-27.5</v>
      </c>
      <c r="K128" s="106">
        <v>-34.799999999999997</v>
      </c>
      <c r="L128" s="106">
        <v>-37</v>
      </c>
      <c r="M128" s="106">
        <v>-40.799999999999997</v>
      </c>
      <c r="N128" s="106">
        <v>-35</v>
      </c>
      <c r="O128" s="106">
        <v>-25</v>
      </c>
      <c r="P128" s="106">
        <v>-19</v>
      </c>
      <c r="Q128" s="106">
        <v>-14.3</v>
      </c>
      <c r="R128" s="106">
        <v>-14.3</v>
      </c>
      <c r="S128" s="106">
        <v>-19.100000000000001</v>
      </c>
      <c r="T128" s="106">
        <v>-23.8</v>
      </c>
      <c r="U128" s="106">
        <v>-25.9</v>
      </c>
      <c r="V128" s="106">
        <v>-33.6</v>
      </c>
      <c r="W128" s="106">
        <v>-42.1</v>
      </c>
      <c r="X128" s="106">
        <v>-53.2</v>
      </c>
      <c r="Y128" s="106">
        <v>-53.5</v>
      </c>
      <c r="Z128" s="106">
        <v>-53.5</v>
      </c>
      <c r="AA128" s="106">
        <v>-37.1</v>
      </c>
      <c r="AB128" s="106">
        <v>-32.299999999999997</v>
      </c>
      <c r="AC128" s="106">
        <v>-26.1</v>
      </c>
      <c r="AD128" s="106">
        <v>-20.5</v>
      </c>
      <c r="AE128" s="106">
        <v>-12.8</v>
      </c>
      <c r="AF128" s="106">
        <v>-8.5</v>
      </c>
      <c r="AG128" s="114"/>
      <c r="AH128" s="47">
        <f t="shared" si="26"/>
        <v>-1.5</v>
      </c>
      <c r="AI128" s="48">
        <f t="shared" si="27"/>
        <v>-53.5</v>
      </c>
    </row>
    <row r="129" spans="1:37" x14ac:dyDescent="0.25">
      <c r="A129" s="173" t="s">
        <v>261</v>
      </c>
      <c r="B129" s="106">
        <v>25.3</v>
      </c>
      <c r="C129" s="106">
        <v>25.2</v>
      </c>
      <c r="D129" s="106">
        <v>25</v>
      </c>
      <c r="E129" s="106">
        <v>25</v>
      </c>
      <c r="F129" s="106">
        <v>23.3</v>
      </c>
      <c r="G129" s="106">
        <v>27.2</v>
      </c>
      <c r="H129" s="106">
        <v>27.6</v>
      </c>
      <c r="I129" s="106">
        <v>28</v>
      </c>
      <c r="J129" s="106">
        <v>28.8</v>
      </c>
      <c r="K129" s="106">
        <v>12.3</v>
      </c>
      <c r="L129" s="106">
        <v>12.4</v>
      </c>
      <c r="M129" s="106">
        <v>12.7</v>
      </c>
      <c r="N129" s="106">
        <v>13</v>
      </c>
      <c r="O129" s="106">
        <v>11</v>
      </c>
      <c r="P129" s="106">
        <v>20</v>
      </c>
      <c r="Q129" s="106">
        <v>25.4</v>
      </c>
      <c r="R129" s="106">
        <v>25.4</v>
      </c>
      <c r="S129" s="106">
        <v>31.4</v>
      </c>
      <c r="T129" s="106">
        <v>31.4</v>
      </c>
      <c r="U129" s="106">
        <v>29.6</v>
      </c>
      <c r="V129" s="106">
        <v>12</v>
      </c>
      <c r="W129" s="106">
        <v>11.9</v>
      </c>
      <c r="X129" s="106">
        <v>11</v>
      </c>
      <c r="Y129" s="106">
        <v>12.1</v>
      </c>
      <c r="Z129" s="106">
        <v>12.1</v>
      </c>
      <c r="AA129" s="106">
        <v>11</v>
      </c>
      <c r="AB129" s="106">
        <v>11</v>
      </c>
      <c r="AC129" s="106">
        <v>10.9</v>
      </c>
      <c r="AD129" s="106">
        <v>14.6</v>
      </c>
      <c r="AE129" s="106">
        <v>16.600000000000001</v>
      </c>
      <c r="AF129" s="106">
        <v>25.7</v>
      </c>
      <c r="AG129" s="114"/>
      <c r="AH129" s="47">
        <f t="shared" si="26"/>
        <v>31.4</v>
      </c>
      <c r="AI129" s="48">
        <f t="shared" si="27"/>
        <v>10.9</v>
      </c>
    </row>
    <row r="130" spans="1:37" ht="15.75" thickBot="1" x14ac:dyDescent="0.3">
      <c r="A130" s="173" t="s">
        <v>258</v>
      </c>
      <c r="B130" s="106">
        <v>83</v>
      </c>
      <c r="C130" s="106">
        <v>75.2</v>
      </c>
      <c r="D130" s="106">
        <v>75.099999999999994</v>
      </c>
      <c r="E130" s="106">
        <v>67.900000000000006</v>
      </c>
      <c r="F130" s="106">
        <v>70.099999999999994</v>
      </c>
      <c r="G130" s="106">
        <v>78.8</v>
      </c>
      <c r="H130" s="106">
        <v>84</v>
      </c>
      <c r="I130" s="106">
        <v>89.9</v>
      </c>
      <c r="J130" s="106">
        <v>98.9</v>
      </c>
      <c r="K130" s="106">
        <v>95.3</v>
      </c>
      <c r="L130" s="106">
        <v>101.7</v>
      </c>
      <c r="M130" s="106">
        <v>106.1</v>
      </c>
      <c r="N130" s="106">
        <v>104</v>
      </c>
      <c r="O130" s="106">
        <v>97</v>
      </c>
      <c r="P130" s="106">
        <v>117</v>
      </c>
      <c r="Q130" s="106">
        <v>109.9</v>
      </c>
      <c r="R130" s="106">
        <v>109.9</v>
      </c>
      <c r="S130" s="106">
        <v>114.3</v>
      </c>
      <c r="T130" s="106">
        <v>121.7</v>
      </c>
      <c r="U130" s="106">
        <v>114.4</v>
      </c>
      <c r="V130" s="106">
        <v>96.5</v>
      </c>
      <c r="W130" s="106">
        <v>98.1</v>
      </c>
      <c r="X130" s="106">
        <v>100.5</v>
      </c>
      <c r="Y130" s="106">
        <v>105.2</v>
      </c>
      <c r="Z130" s="106">
        <v>105.2</v>
      </c>
      <c r="AA130" s="106">
        <v>98.4</v>
      </c>
      <c r="AB130" s="106">
        <v>100.9</v>
      </c>
      <c r="AC130" s="106">
        <v>97.1</v>
      </c>
      <c r="AD130" s="106">
        <v>96.3</v>
      </c>
      <c r="AE130" s="106">
        <v>104.8</v>
      </c>
      <c r="AF130" s="106">
        <v>94.3</v>
      </c>
      <c r="AG130" s="114"/>
      <c r="AH130" s="47">
        <f t="shared" si="26"/>
        <v>121.7</v>
      </c>
      <c r="AI130" s="48">
        <f t="shared" si="27"/>
        <v>67.900000000000006</v>
      </c>
    </row>
    <row r="131" spans="1:37" x14ac:dyDescent="0.25">
      <c r="A131" s="144" t="s">
        <v>238</v>
      </c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6"/>
      <c r="AG131" s="43"/>
      <c r="AH131" s="47"/>
      <c r="AI131" s="48"/>
    </row>
    <row r="132" spans="1:37" x14ac:dyDescent="0.25">
      <c r="A132" s="189" t="s">
        <v>368</v>
      </c>
      <c r="B132" s="191">
        <v>1983.58</v>
      </c>
      <c r="C132" s="191">
        <v>1983.85</v>
      </c>
      <c r="D132" s="191">
        <v>1984.12</v>
      </c>
      <c r="E132" s="191">
        <v>1984.38</v>
      </c>
      <c r="F132" s="191">
        <v>1984.6</v>
      </c>
      <c r="G132" s="191">
        <v>1984.8</v>
      </c>
      <c r="H132" s="191"/>
      <c r="I132" s="191">
        <v>1985.02</v>
      </c>
      <c r="J132" s="191"/>
      <c r="K132" s="191">
        <v>1985.22</v>
      </c>
      <c r="L132" s="191"/>
      <c r="M132" s="147">
        <v>1984.98</v>
      </c>
      <c r="N132" s="147">
        <v>1984.17</v>
      </c>
      <c r="O132" s="147">
        <v>1983.81</v>
      </c>
      <c r="P132" s="147">
        <v>1983.8</v>
      </c>
      <c r="Q132" s="147">
        <v>1983.85</v>
      </c>
      <c r="R132" s="147">
        <v>1983.81</v>
      </c>
      <c r="S132" s="147">
        <v>1984</v>
      </c>
      <c r="T132" s="147">
        <v>1984.22</v>
      </c>
      <c r="U132" s="147">
        <v>1984.55</v>
      </c>
      <c r="V132" s="147">
        <v>1984.65</v>
      </c>
      <c r="W132" s="147"/>
      <c r="X132" s="147">
        <v>1984.8</v>
      </c>
      <c r="Y132" s="147"/>
      <c r="Z132" s="147">
        <v>1984.6</v>
      </c>
      <c r="AA132" s="147"/>
      <c r="AB132" s="147">
        <v>1984.3</v>
      </c>
      <c r="AC132" s="147"/>
      <c r="AD132" s="147">
        <v>1984.12</v>
      </c>
      <c r="AE132" s="147">
        <v>1984.23</v>
      </c>
      <c r="AF132" s="148">
        <v>1984.45</v>
      </c>
      <c r="AG132" s="149"/>
      <c r="AH132" s="47"/>
      <c r="AI132" s="48"/>
    </row>
    <row r="133" spans="1:37" x14ac:dyDescent="0.25">
      <c r="A133" s="189" t="s">
        <v>239</v>
      </c>
      <c r="B133" s="192">
        <v>521.74</v>
      </c>
      <c r="C133" s="192">
        <v>522.05999999999995</v>
      </c>
      <c r="D133" s="192">
        <v>522.4</v>
      </c>
      <c r="E133" s="192">
        <v>522.72</v>
      </c>
      <c r="F133" s="192">
        <v>523</v>
      </c>
      <c r="G133" s="192">
        <v>523.37</v>
      </c>
      <c r="H133" s="192"/>
      <c r="I133" s="192">
        <v>523.46</v>
      </c>
      <c r="J133" s="192"/>
      <c r="K133" s="192">
        <v>523.34</v>
      </c>
      <c r="L133" s="192"/>
      <c r="M133" s="150">
        <v>523.17999999999995</v>
      </c>
      <c r="N133" s="150">
        <v>522.99</v>
      </c>
      <c r="O133" s="150">
        <v>522.88</v>
      </c>
      <c r="P133" s="150">
        <v>522.84</v>
      </c>
      <c r="Q133" s="150">
        <v>522.79999999999995</v>
      </c>
      <c r="R133" s="150">
        <v>522.74</v>
      </c>
      <c r="S133" s="150">
        <v>522.72</v>
      </c>
      <c r="T133" s="150">
        <v>522.70000000000005</v>
      </c>
      <c r="U133" s="150">
        <v>522.64</v>
      </c>
      <c r="V133" s="150">
        <v>522.52</v>
      </c>
      <c r="W133" s="150"/>
      <c r="X133" s="150">
        <v>522.4</v>
      </c>
      <c r="Y133" s="150"/>
      <c r="Z133" s="150">
        <v>521.96</v>
      </c>
      <c r="AA133" s="150"/>
      <c r="AB133" s="150">
        <v>521.58000000000004</v>
      </c>
      <c r="AC133" s="150"/>
      <c r="AD133" s="150">
        <v>521.52</v>
      </c>
      <c r="AE133" s="150">
        <v>521.52</v>
      </c>
      <c r="AF133" s="151">
        <v>521.71</v>
      </c>
      <c r="AG133" s="149"/>
      <c r="AH133" s="47"/>
      <c r="AI133" s="48"/>
    </row>
    <row r="134" spans="1:37" x14ac:dyDescent="0.25">
      <c r="A134" s="189" t="s">
        <v>240</v>
      </c>
      <c r="B134" s="192">
        <v>624.16</v>
      </c>
      <c r="C134" s="192">
        <v>624.59</v>
      </c>
      <c r="D134" s="192">
        <v>624.9</v>
      </c>
      <c r="E134" s="192">
        <v>625.17999999999995</v>
      </c>
      <c r="F134" s="192">
        <v>625.4</v>
      </c>
      <c r="G134" s="192">
        <v>625.46</v>
      </c>
      <c r="H134" s="192"/>
      <c r="I134" s="192">
        <v>625.36</v>
      </c>
      <c r="J134" s="192"/>
      <c r="K134" s="192">
        <v>625.09</v>
      </c>
      <c r="L134" s="192"/>
      <c r="M134" s="150">
        <v>624.79999999999995</v>
      </c>
      <c r="N134" s="150">
        <v>624.64</v>
      </c>
      <c r="O134" s="150">
        <v>624.41</v>
      </c>
      <c r="P134" s="150">
        <v>624.28</v>
      </c>
      <c r="Q134" s="150">
        <v>624.28</v>
      </c>
      <c r="R134" s="150">
        <v>624.28</v>
      </c>
      <c r="S134" s="150">
        <v>624.29</v>
      </c>
      <c r="T134" s="150">
        <v>624.29</v>
      </c>
      <c r="U134" s="150">
        <v>624.29</v>
      </c>
      <c r="V134" s="150">
        <v>624.20000000000005</v>
      </c>
      <c r="W134" s="150"/>
      <c r="X134" s="150">
        <v>624.05999999999995</v>
      </c>
      <c r="Y134" s="150"/>
      <c r="Z134" s="150">
        <v>623.69000000000005</v>
      </c>
      <c r="AA134" s="150"/>
      <c r="AB134" s="150">
        <v>623.13</v>
      </c>
      <c r="AC134" s="150"/>
      <c r="AD134" s="150">
        <v>622.69000000000005</v>
      </c>
      <c r="AE134" s="150">
        <v>622.66999999999996</v>
      </c>
      <c r="AF134" s="151">
        <v>622.96</v>
      </c>
      <c r="AG134" s="149"/>
      <c r="AH134" s="47"/>
      <c r="AI134" s="48"/>
    </row>
    <row r="135" spans="1:37" x14ac:dyDescent="0.25">
      <c r="A135" s="189" t="s">
        <v>241</v>
      </c>
      <c r="B135" s="192">
        <v>335.6</v>
      </c>
      <c r="C135" s="192">
        <v>335.77</v>
      </c>
      <c r="D135" s="192">
        <v>336.14</v>
      </c>
      <c r="E135" s="192">
        <v>336.08</v>
      </c>
      <c r="F135" s="192">
        <v>336.77</v>
      </c>
      <c r="G135" s="192">
        <v>336.92</v>
      </c>
      <c r="H135" s="192"/>
      <c r="I135" s="192">
        <v>336.98</v>
      </c>
      <c r="J135" s="192"/>
      <c r="K135" s="192">
        <v>336.74</v>
      </c>
      <c r="L135" s="192"/>
      <c r="M135" s="150">
        <v>336.44</v>
      </c>
      <c r="N135" s="150">
        <v>336.23</v>
      </c>
      <c r="O135" s="150">
        <v>336.03</v>
      </c>
      <c r="P135" s="150">
        <v>335.84</v>
      </c>
      <c r="Q135" s="150">
        <v>335.85</v>
      </c>
      <c r="R135" s="150">
        <v>336.03</v>
      </c>
      <c r="S135" s="150">
        <v>336.2</v>
      </c>
      <c r="T135" s="150">
        <v>336.31</v>
      </c>
      <c r="U135" s="150">
        <v>336.39</v>
      </c>
      <c r="V135" s="150">
        <v>336.33</v>
      </c>
      <c r="W135" s="150"/>
      <c r="X135" s="150">
        <v>336.2</v>
      </c>
      <c r="Y135" s="150"/>
      <c r="Z135" s="150">
        <v>335.93</v>
      </c>
      <c r="AA135" s="150"/>
      <c r="AB135" s="150">
        <v>335.53</v>
      </c>
      <c r="AC135" s="150"/>
      <c r="AD135" s="150">
        <v>335.32</v>
      </c>
      <c r="AE135" s="150"/>
      <c r="AF135" s="151">
        <v>335.27</v>
      </c>
      <c r="AG135" s="149"/>
      <c r="AH135" s="47"/>
      <c r="AI135" s="48"/>
    </row>
    <row r="136" spans="1:37" x14ac:dyDescent="0.25">
      <c r="A136" s="189" t="s">
        <v>407</v>
      </c>
      <c r="B136" s="192">
        <v>885.6</v>
      </c>
      <c r="C136" s="192">
        <v>886</v>
      </c>
      <c r="D136" s="192">
        <v>886.6</v>
      </c>
      <c r="E136" s="192">
        <v>887.1</v>
      </c>
      <c r="F136" s="192">
        <v>887.4</v>
      </c>
      <c r="G136" s="192">
        <v>887.3</v>
      </c>
      <c r="H136" s="192"/>
      <c r="I136" s="192"/>
      <c r="J136" s="192"/>
      <c r="K136" s="192">
        <v>886.3</v>
      </c>
      <c r="L136" s="192"/>
      <c r="M136" s="150">
        <v>885.9</v>
      </c>
      <c r="N136" s="150">
        <v>885.1</v>
      </c>
      <c r="O136" s="150">
        <v>884.8</v>
      </c>
      <c r="P136" s="150">
        <v>884.8</v>
      </c>
      <c r="Q136" s="150">
        <v>884.4</v>
      </c>
      <c r="R136" s="150">
        <v>884.4</v>
      </c>
      <c r="S136" s="150">
        <v>885</v>
      </c>
      <c r="T136" s="150">
        <v>885.6</v>
      </c>
      <c r="U136" s="150">
        <v>886.1</v>
      </c>
      <c r="V136" s="150">
        <v>886.7</v>
      </c>
      <c r="W136" s="150"/>
      <c r="X136" s="150">
        <v>886.9</v>
      </c>
      <c r="Y136" s="150"/>
      <c r="Z136" s="150">
        <v>885.7</v>
      </c>
      <c r="AA136" s="150"/>
      <c r="AB136" s="150">
        <v>884.7</v>
      </c>
      <c r="AC136" s="150"/>
      <c r="AD136" s="150">
        <v>883.9</v>
      </c>
      <c r="AE136" s="150">
        <v>883.8</v>
      </c>
      <c r="AF136" s="151">
        <v>884.3</v>
      </c>
      <c r="AG136" s="149"/>
      <c r="AH136" s="47"/>
      <c r="AI136" s="48"/>
    </row>
    <row r="137" spans="1:37" ht="15.75" thickBot="1" x14ac:dyDescent="0.3">
      <c r="A137" s="189" t="s">
        <v>242</v>
      </c>
      <c r="B137" s="193">
        <v>1518.82</v>
      </c>
      <c r="C137" s="193"/>
      <c r="D137" s="193"/>
      <c r="E137" s="193">
        <v>1518.83</v>
      </c>
      <c r="F137" s="193"/>
      <c r="G137" s="193"/>
      <c r="H137" s="193"/>
      <c r="I137" s="193"/>
      <c r="J137" s="193"/>
      <c r="K137" s="193">
        <v>1518.84</v>
      </c>
      <c r="L137" s="193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>
        <v>1518.86</v>
      </c>
      <c r="AC137" s="152"/>
      <c r="AD137" s="152"/>
      <c r="AE137" s="152"/>
      <c r="AF137" s="153"/>
      <c r="AG137" s="149"/>
      <c r="AH137" s="47"/>
      <c r="AI137" s="48"/>
    </row>
    <row r="138" spans="1:37" ht="15.75" thickBot="1" x14ac:dyDescent="0.3">
      <c r="A138" s="120" t="s">
        <v>125</v>
      </c>
      <c r="B138" s="121"/>
      <c r="C138" s="121"/>
      <c r="D138" s="121"/>
      <c r="E138" s="121"/>
      <c r="F138" s="170" t="s">
        <v>254</v>
      </c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74"/>
      <c r="AH138" s="47"/>
      <c r="AI138" s="48"/>
      <c r="AK138" s="50"/>
    </row>
    <row r="139" spans="1:37" x14ac:dyDescent="0.25">
      <c r="A139" s="122" t="s">
        <v>126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5">
        <v>9.94</v>
      </c>
      <c r="AH139" s="47"/>
      <c r="AI139" s="48"/>
      <c r="AK139" s="50"/>
    </row>
    <row r="140" spans="1:37" x14ac:dyDescent="0.25">
      <c r="A140" s="103" t="s">
        <v>127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5"/>
      <c r="AH140" s="47"/>
      <c r="AI140" s="48"/>
      <c r="AK140" s="50"/>
    </row>
    <row r="141" spans="1:37" x14ac:dyDescent="0.25">
      <c r="A141" s="103" t="s">
        <v>128</v>
      </c>
      <c r="B141" s="123"/>
      <c r="C141" s="124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5"/>
      <c r="AH141" s="47"/>
      <c r="AI141" s="48"/>
      <c r="AK141" s="50"/>
    </row>
    <row r="142" spans="1:37" x14ac:dyDescent="0.25">
      <c r="A142" s="103" t="s">
        <v>129</v>
      </c>
      <c r="B142" s="123"/>
      <c r="C142" s="124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5"/>
      <c r="AH142" s="47"/>
      <c r="AI142" s="48"/>
      <c r="AK142" s="50"/>
    </row>
    <row r="143" spans="1:37" x14ac:dyDescent="0.25">
      <c r="A143" s="103" t="s">
        <v>130</v>
      </c>
      <c r="B143" s="123"/>
      <c r="C143" s="124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5"/>
      <c r="AH143" s="47"/>
      <c r="AI143" s="48"/>
      <c r="AK143" s="50"/>
    </row>
    <row r="144" spans="1:37" x14ac:dyDescent="0.25">
      <c r="A144" s="103" t="s">
        <v>131</v>
      </c>
      <c r="B144" s="123"/>
      <c r="C144" s="124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5"/>
      <c r="AH144" s="47"/>
      <c r="AI144" s="48"/>
      <c r="AK144" s="50"/>
    </row>
    <row r="145" spans="1:37" x14ac:dyDescent="0.25">
      <c r="A145" s="103" t="s">
        <v>132</v>
      </c>
      <c r="B145" s="123"/>
      <c r="C145" s="124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5"/>
      <c r="AH145" s="47"/>
      <c r="AI145" s="48"/>
      <c r="AK145" s="50"/>
    </row>
    <row r="146" spans="1:37" x14ac:dyDescent="0.25">
      <c r="A146" s="103" t="s">
        <v>133</v>
      </c>
      <c r="B146" s="123"/>
      <c r="C146" s="124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5"/>
      <c r="AH146" s="47"/>
      <c r="AI146" s="48"/>
      <c r="AK146" s="50"/>
    </row>
    <row r="147" spans="1:37" x14ac:dyDescent="0.25">
      <c r="A147" s="103" t="s">
        <v>134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5"/>
      <c r="AH147" s="47"/>
      <c r="AI147" s="48"/>
      <c r="AK147" s="50"/>
    </row>
    <row r="148" spans="1:37" x14ac:dyDescent="0.25">
      <c r="A148" s="103" t="s">
        <v>135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5"/>
      <c r="AH148" s="47"/>
      <c r="AI148" s="48"/>
      <c r="AK148" s="50"/>
    </row>
    <row r="149" spans="1:37" x14ac:dyDescent="0.25">
      <c r="A149" s="103" t="s">
        <v>136</v>
      </c>
      <c r="B149" s="123"/>
      <c r="C149" s="124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5"/>
      <c r="AH149" s="47"/>
      <c r="AI149" s="48"/>
      <c r="AK149" s="50"/>
    </row>
    <row r="150" spans="1:37" x14ac:dyDescent="0.25">
      <c r="A150" s="103" t="s">
        <v>137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5"/>
      <c r="AH150" s="47"/>
      <c r="AI150" s="48"/>
      <c r="AK150" s="50"/>
    </row>
    <row r="151" spans="1:37" x14ac:dyDescent="0.25">
      <c r="A151" s="103" t="s">
        <v>138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5"/>
      <c r="AH151" s="47"/>
      <c r="AI151" s="48"/>
      <c r="AK151" s="50"/>
    </row>
    <row r="152" spans="1:37" x14ac:dyDescent="0.25">
      <c r="A152" s="103" t="s">
        <v>139</v>
      </c>
      <c r="B152" s="123"/>
      <c r="C152" s="124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5"/>
      <c r="AH152" s="47"/>
      <c r="AI152" s="48"/>
      <c r="AK152" s="50"/>
    </row>
    <row r="153" spans="1:37" x14ac:dyDescent="0.25">
      <c r="A153" s="103" t="s">
        <v>140</v>
      </c>
      <c r="B153" s="123"/>
      <c r="C153" s="124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5"/>
      <c r="AH153" s="47"/>
      <c r="AI153" s="48"/>
      <c r="AK153" s="50"/>
    </row>
    <row r="154" spans="1:37" x14ac:dyDescent="0.25">
      <c r="A154" s="103" t="s">
        <v>141</v>
      </c>
      <c r="B154" s="123"/>
      <c r="C154" s="124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5"/>
      <c r="AH154" s="47"/>
      <c r="AI154" s="48"/>
      <c r="AK154" s="50"/>
    </row>
    <row r="155" spans="1:37" x14ac:dyDescent="0.25">
      <c r="A155" s="103" t="s">
        <v>142</v>
      </c>
      <c r="B155" s="126"/>
      <c r="C155" s="127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8">
        <v>9.9</v>
      </c>
      <c r="AH155" s="47"/>
      <c r="AI155" s="48"/>
      <c r="AK155" s="50"/>
    </row>
    <row r="156" spans="1:37" x14ac:dyDescent="0.25">
      <c r="A156" s="116" t="s">
        <v>143</v>
      </c>
      <c r="B156" s="126"/>
      <c r="C156" s="127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9">
        <v>9.6579999999999995</v>
      </c>
      <c r="AH156" s="47"/>
      <c r="AI156" s="48"/>
      <c r="AK156" s="50"/>
    </row>
    <row r="157" spans="1:37" x14ac:dyDescent="0.25">
      <c r="A157" s="116" t="s">
        <v>144</v>
      </c>
      <c r="B157" s="126"/>
      <c r="C157" s="127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9">
        <v>9.6</v>
      </c>
      <c r="AH157" s="47"/>
      <c r="AI157" s="48"/>
      <c r="AK157" s="50"/>
    </row>
    <row r="158" spans="1:37" x14ac:dyDescent="0.25">
      <c r="A158" s="116" t="s">
        <v>145</v>
      </c>
      <c r="B158" s="126"/>
      <c r="C158" s="127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9">
        <v>9.51</v>
      </c>
      <c r="AH158" s="47"/>
      <c r="AI158" s="48"/>
      <c r="AK158" s="50"/>
    </row>
    <row r="159" spans="1:37" x14ac:dyDescent="0.25">
      <c r="A159" s="116" t="s">
        <v>146</v>
      </c>
      <c r="B159" s="126"/>
      <c r="C159" s="127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9">
        <v>9.4</v>
      </c>
      <c r="AH159" s="47"/>
      <c r="AI159" s="48"/>
      <c r="AK159" s="50"/>
    </row>
    <row r="160" spans="1:37" x14ac:dyDescent="0.25">
      <c r="A160" s="116" t="s">
        <v>147</v>
      </c>
      <c r="B160" s="126"/>
      <c r="C160" s="127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9">
        <v>8.8000000000000007</v>
      </c>
      <c r="AH160" s="47"/>
      <c r="AI160" s="48"/>
      <c r="AK160" s="50"/>
    </row>
    <row r="161" spans="1:37" x14ac:dyDescent="0.25">
      <c r="A161" s="116" t="s">
        <v>148</v>
      </c>
      <c r="B161" s="126"/>
      <c r="C161" s="127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9">
        <v>8.5</v>
      </c>
      <c r="AH161" s="47"/>
      <c r="AI161" s="48"/>
      <c r="AK161" s="50"/>
    </row>
    <row r="162" spans="1:37" x14ac:dyDescent="0.25">
      <c r="A162" s="116" t="s">
        <v>149</v>
      </c>
      <c r="B162" s="126"/>
      <c r="C162" s="127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9">
        <v>8.5</v>
      </c>
      <c r="AH162" s="47"/>
      <c r="AI162" s="48"/>
      <c r="AK162" s="50"/>
    </row>
    <row r="163" spans="1:37" x14ac:dyDescent="0.25">
      <c r="A163" s="116" t="s">
        <v>150</v>
      </c>
      <c r="B163" s="126"/>
      <c r="C163" s="127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9">
        <v>8.4</v>
      </c>
      <c r="AH163" s="47"/>
      <c r="AI163" s="48"/>
      <c r="AK163" s="50"/>
    </row>
    <row r="164" spans="1:37" ht="13.5" customHeight="1" x14ac:dyDescent="0.25">
      <c r="A164" s="116" t="s">
        <v>151</v>
      </c>
      <c r="B164" s="126"/>
      <c r="C164" s="127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9">
        <v>8</v>
      </c>
      <c r="AH164" s="47"/>
      <c r="AI164" s="48"/>
      <c r="AK164" s="50"/>
    </row>
    <row r="165" spans="1:37" x14ac:dyDescent="0.25">
      <c r="A165" s="116" t="s">
        <v>152</v>
      </c>
      <c r="B165" s="126"/>
      <c r="C165" s="127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9">
        <v>8</v>
      </c>
      <c r="AH165" s="47"/>
      <c r="AI165" s="48"/>
      <c r="AK165" s="50"/>
    </row>
    <row r="166" spans="1:37" x14ac:dyDescent="0.25">
      <c r="A166" s="116" t="s">
        <v>153</v>
      </c>
      <c r="B166" s="126"/>
      <c r="C166" s="127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9">
        <v>8</v>
      </c>
      <c r="AH166" s="47"/>
      <c r="AI166" s="48"/>
      <c r="AK166" s="50"/>
    </row>
    <row r="167" spans="1:37" x14ac:dyDescent="0.25">
      <c r="A167" s="116" t="s">
        <v>154</v>
      </c>
      <c r="B167" s="126"/>
      <c r="C167" s="127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9">
        <v>7.8</v>
      </c>
      <c r="AH167" s="47"/>
      <c r="AI167" s="48"/>
      <c r="AK167" s="50"/>
    </row>
    <row r="168" spans="1:37" x14ac:dyDescent="0.25">
      <c r="A168" s="116" t="s">
        <v>155</v>
      </c>
      <c r="B168" s="126"/>
      <c r="C168" s="127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9">
        <v>7.6</v>
      </c>
      <c r="AH168" s="47"/>
      <c r="AI168" s="48"/>
      <c r="AK168" s="50"/>
    </row>
    <row r="169" spans="1:37" x14ac:dyDescent="0.25">
      <c r="A169" s="116" t="s">
        <v>156</v>
      </c>
      <c r="B169" s="126"/>
      <c r="C169" s="127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9">
        <v>7.5</v>
      </c>
      <c r="AH169" s="47"/>
      <c r="AI169" s="48"/>
      <c r="AK169" s="50"/>
    </row>
    <row r="170" spans="1:37" x14ac:dyDescent="0.25">
      <c r="A170" s="116" t="s">
        <v>157</v>
      </c>
      <c r="B170" s="126"/>
      <c r="C170" s="127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9">
        <v>7.5</v>
      </c>
      <c r="AH170" s="47"/>
      <c r="AI170" s="48"/>
      <c r="AK170" s="50"/>
    </row>
    <row r="171" spans="1:37" x14ac:dyDescent="0.25">
      <c r="A171" s="116" t="s">
        <v>158</v>
      </c>
      <c r="B171" s="126"/>
      <c r="C171" s="127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9">
        <v>7</v>
      </c>
      <c r="AH171" s="47"/>
      <c r="AI171" s="48"/>
      <c r="AK171" s="50"/>
    </row>
    <row r="172" spans="1:37" x14ac:dyDescent="0.25">
      <c r="A172" s="116" t="s">
        <v>159</v>
      </c>
      <c r="B172" s="126"/>
      <c r="C172" s="127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9">
        <v>7</v>
      </c>
      <c r="AH172" s="47"/>
      <c r="AI172" s="48"/>
      <c r="AK172" s="50"/>
    </row>
    <row r="173" spans="1:37" x14ac:dyDescent="0.25">
      <c r="A173" s="116" t="s">
        <v>160</v>
      </c>
      <c r="B173" s="126"/>
      <c r="C173" s="127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9">
        <v>7</v>
      </c>
      <c r="AH173" s="47"/>
      <c r="AI173" s="48"/>
      <c r="AK173" s="50"/>
    </row>
    <row r="174" spans="1:37" x14ac:dyDescent="0.25">
      <c r="A174" s="116" t="s">
        <v>161</v>
      </c>
      <c r="B174" s="126"/>
      <c r="C174" s="127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9">
        <v>7</v>
      </c>
      <c r="AH174" s="47"/>
      <c r="AI174" s="48"/>
      <c r="AK174" s="50"/>
    </row>
    <row r="175" spans="1:37" x14ac:dyDescent="0.25">
      <c r="A175" s="116" t="s">
        <v>162</v>
      </c>
      <c r="B175" s="126"/>
      <c r="C175" s="127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9">
        <v>6.6</v>
      </c>
      <c r="AH175" s="47"/>
      <c r="AI175" s="48"/>
      <c r="AK175" s="50"/>
    </row>
    <row r="176" spans="1:37" x14ac:dyDescent="0.25">
      <c r="A176" s="116" t="s">
        <v>163</v>
      </c>
      <c r="B176" s="126"/>
      <c r="C176" s="127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9">
        <v>6.6</v>
      </c>
      <c r="AH176" s="47"/>
      <c r="AI176" s="48"/>
      <c r="AK176" s="50"/>
    </row>
    <row r="177" spans="1:37" x14ac:dyDescent="0.25">
      <c r="A177" s="116" t="s">
        <v>164</v>
      </c>
      <c r="B177" s="126"/>
      <c r="C177" s="127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9">
        <v>6.4</v>
      </c>
      <c r="AH177" s="47"/>
      <c r="AI177" s="48"/>
      <c r="AK177" s="50"/>
    </row>
    <row r="178" spans="1:37" x14ac:dyDescent="0.25">
      <c r="A178" s="116" t="s">
        <v>165</v>
      </c>
      <c r="B178" s="126"/>
      <c r="C178" s="127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9">
        <v>6</v>
      </c>
      <c r="AH178" s="47"/>
      <c r="AI178" s="48"/>
      <c r="AK178" s="50"/>
    </row>
    <row r="179" spans="1:37" x14ac:dyDescent="0.25">
      <c r="A179" s="116" t="s">
        <v>166</v>
      </c>
      <c r="B179" s="126"/>
      <c r="C179" s="127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9">
        <v>5.0999999999999996</v>
      </c>
      <c r="AH179" s="47"/>
      <c r="AI179" s="48"/>
      <c r="AK179" s="50"/>
    </row>
    <row r="180" spans="1:37" x14ac:dyDescent="0.25">
      <c r="A180" s="116" t="s">
        <v>167</v>
      </c>
      <c r="B180" s="126"/>
      <c r="C180" s="127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9">
        <v>5</v>
      </c>
      <c r="AH180" s="47"/>
      <c r="AI180" s="48"/>
      <c r="AK180" s="50"/>
    </row>
    <row r="181" spans="1:37" x14ac:dyDescent="0.25">
      <c r="A181" s="103" t="s">
        <v>168</v>
      </c>
      <c r="B181" s="126"/>
      <c r="C181" s="127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8">
        <v>5</v>
      </c>
      <c r="AH181" s="47"/>
      <c r="AI181" s="48"/>
      <c r="AK181" s="50"/>
    </row>
    <row r="182" spans="1:37" x14ac:dyDescent="0.25">
      <c r="A182" s="116" t="s">
        <v>169</v>
      </c>
      <c r="B182" s="126"/>
      <c r="C182" s="127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9">
        <v>5</v>
      </c>
      <c r="AH182" s="47"/>
      <c r="AI182" s="48"/>
      <c r="AK182" s="50"/>
    </row>
    <row r="183" spans="1:37" x14ac:dyDescent="0.25">
      <c r="A183" s="116" t="s">
        <v>170</v>
      </c>
      <c r="B183" s="126"/>
      <c r="C183" s="127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9">
        <v>5</v>
      </c>
      <c r="AH183" s="47"/>
      <c r="AI183" s="48"/>
      <c r="AK183" s="50"/>
    </row>
    <row r="184" spans="1:37" x14ac:dyDescent="0.25">
      <c r="A184" s="116" t="s">
        <v>171</v>
      </c>
      <c r="B184" s="126"/>
      <c r="C184" s="127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9">
        <v>5</v>
      </c>
      <c r="AH184" s="47"/>
      <c r="AI184" s="48"/>
      <c r="AK184" s="50"/>
    </row>
    <row r="185" spans="1:37" x14ac:dyDescent="0.25">
      <c r="A185" s="116" t="s">
        <v>172</v>
      </c>
      <c r="B185" s="126"/>
      <c r="C185" s="127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9">
        <v>5</v>
      </c>
      <c r="AH185" s="47"/>
      <c r="AI185" s="48"/>
      <c r="AK185" s="50"/>
    </row>
    <row r="186" spans="1:37" x14ac:dyDescent="0.25">
      <c r="A186" s="116" t="s">
        <v>173</v>
      </c>
      <c r="B186" s="126"/>
      <c r="C186" s="127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9">
        <v>5</v>
      </c>
      <c r="AH186" s="47"/>
      <c r="AI186" s="48"/>
      <c r="AK186" s="50"/>
    </row>
    <row r="187" spans="1:37" x14ac:dyDescent="0.25">
      <c r="A187" s="116" t="s">
        <v>174</v>
      </c>
      <c r="B187" s="126"/>
      <c r="C187" s="127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9">
        <v>4.9930000000000003</v>
      </c>
      <c r="AH187" s="47"/>
      <c r="AI187" s="48"/>
      <c r="AK187" s="50"/>
    </row>
    <row r="188" spans="1:37" x14ac:dyDescent="0.25">
      <c r="A188" s="116" t="s">
        <v>175</v>
      </c>
      <c r="B188" s="126"/>
      <c r="C188" s="127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9">
        <v>4.9800000000000004</v>
      </c>
      <c r="AH188" s="47"/>
      <c r="AI188" s="48"/>
      <c r="AK188" s="50"/>
    </row>
    <row r="189" spans="1:37" x14ac:dyDescent="0.25">
      <c r="A189" s="116" t="s">
        <v>176</v>
      </c>
      <c r="B189" s="126"/>
      <c r="C189" s="127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9">
        <v>4.95</v>
      </c>
      <c r="AH189" s="47"/>
      <c r="AI189" s="48"/>
      <c r="AK189" s="50"/>
    </row>
    <row r="190" spans="1:37" x14ac:dyDescent="0.25">
      <c r="A190" s="116" t="s">
        <v>177</v>
      </c>
      <c r="B190" s="126"/>
      <c r="C190" s="127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9">
        <v>4.95</v>
      </c>
      <c r="AH190" s="47"/>
      <c r="AI190" s="48"/>
      <c r="AK190" s="50"/>
    </row>
    <row r="191" spans="1:37" x14ac:dyDescent="0.25">
      <c r="A191" s="116" t="s">
        <v>178</v>
      </c>
      <c r="B191" s="126"/>
      <c r="C191" s="127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9">
        <v>4.8</v>
      </c>
      <c r="AH191" s="47"/>
      <c r="AI191" s="48"/>
      <c r="AK191" s="50"/>
    </row>
    <row r="192" spans="1:37" x14ac:dyDescent="0.25">
      <c r="A192" s="116" t="s">
        <v>179</v>
      </c>
      <c r="B192" s="126"/>
      <c r="C192" s="127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9">
        <v>4.8</v>
      </c>
      <c r="AH192" s="47"/>
      <c r="AI192" s="48"/>
      <c r="AK192" s="50"/>
    </row>
    <row r="193" spans="1:37" x14ac:dyDescent="0.25">
      <c r="A193" s="116" t="s">
        <v>180</v>
      </c>
      <c r="B193" s="126"/>
      <c r="C193" s="127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9">
        <v>4.8</v>
      </c>
      <c r="AH193" s="47"/>
      <c r="AI193" s="48"/>
      <c r="AK193" s="50"/>
    </row>
    <row r="194" spans="1:37" x14ac:dyDescent="0.25">
      <c r="A194" s="116" t="s">
        <v>181</v>
      </c>
      <c r="B194" s="126"/>
      <c r="C194" s="127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9">
        <v>4.5</v>
      </c>
      <c r="AH194" s="47"/>
      <c r="AI194" s="48"/>
      <c r="AK194" s="50"/>
    </row>
    <row r="195" spans="1:37" x14ac:dyDescent="0.25">
      <c r="A195" s="116" t="s">
        <v>182</v>
      </c>
      <c r="B195" s="126"/>
      <c r="C195" s="127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9">
        <v>4.5</v>
      </c>
      <c r="AH195" s="47"/>
      <c r="AI195" s="48"/>
      <c r="AK195" s="50"/>
    </row>
    <row r="196" spans="1:37" x14ac:dyDescent="0.25">
      <c r="A196" s="116" t="s">
        <v>183</v>
      </c>
      <c r="B196" s="126"/>
      <c r="C196" s="127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9">
        <v>4.4550000000000001</v>
      </c>
      <c r="AH196" s="47"/>
      <c r="AI196" s="48"/>
      <c r="AK196" s="50"/>
    </row>
    <row r="197" spans="1:37" x14ac:dyDescent="0.25">
      <c r="A197" s="116" t="s">
        <v>184</v>
      </c>
      <c r="B197" s="126"/>
      <c r="C197" s="127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9">
        <v>4.41</v>
      </c>
      <c r="AH197" s="47"/>
      <c r="AI197" s="48"/>
      <c r="AK197" s="50"/>
    </row>
    <row r="198" spans="1:37" x14ac:dyDescent="0.25">
      <c r="A198" s="116" t="s">
        <v>185</v>
      </c>
      <c r="B198" s="126"/>
      <c r="C198" s="127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9">
        <v>4.4000000000000004</v>
      </c>
      <c r="AH198" s="47"/>
      <c r="AI198" s="48"/>
      <c r="AK198" s="50"/>
    </row>
    <row r="199" spans="1:37" x14ac:dyDescent="0.25">
      <c r="A199" s="116" t="s">
        <v>186</v>
      </c>
      <c r="B199" s="126"/>
      <c r="C199" s="127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9">
        <v>4.3600000000000003</v>
      </c>
      <c r="AH199" s="47"/>
      <c r="AI199" s="48"/>
      <c r="AK199" s="50"/>
    </row>
    <row r="200" spans="1:37" x14ac:dyDescent="0.25">
      <c r="A200" s="116" t="s">
        <v>187</v>
      </c>
      <c r="B200" s="126"/>
      <c r="C200" s="127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9">
        <v>4.2</v>
      </c>
      <c r="AH200" s="47"/>
      <c r="AI200" s="48"/>
      <c r="AK200" s="50"/>
    </row>
    <row r="201" spans="1:37" x14ac:dyDescent="0.25">
      <c r="A201" s="116" t="s">
        <v>188</v>
      </c>
      <c r="B201" s="126"/>
      <c r="C201" s="127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9">
        <v>4</v>
      </c>
      <c r="AH201" s="47"/>
      <c r="AI201" s="48"/>
      <c r="AK201" s="50"/>
    </row>
    <row r="202" spans="1:37" x14ac:dyDescent="0.25">
      <c r="A202" s="116" t="s">
        <v>189</v>
      </c>
      <c r="B202" s="126"/>
      <c r="C202" s="127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9">
        <v>4</v>
      </c>
      <c r="AH202" s="47"/>
      <c r="AI202" s="48"/>
      <c r="AK202" s="50"/>
    </row>
    <row r="203" spans="1:37" x14ac:dyDescent="0.25">
      <c r="A203" s="116" t="s">
        <v>190</v>
      </c>
      <c r="B203" s="126"/>
      <c r="C203" s="127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9">
        <v>4</v>
      </c>
      <c r="AH203" s="47"/>
      <c r="AI203" s="48"/>
      <c r="AK203" s="50"/>
    </row>
    <row r="204" spans="1:37" x14ac:dyDescent="0.25">
      <c r="A204" s="116" t="s">
        <v>191</v>
      </c>
      <c r="B204" s="126"/>
      <c r="C204" s="127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9">
        <v>4</v>
      </c>
      <c r="AH204" s="47"/>
      <c r="AI204" s="48"/>
      <c r="AK204" s="50"/>
    </row>
    <row r="205" spans="1:37" x14ac:dyDescent="0.25">
      <c r="A205" s="116" t="s">
        <v>192</v>
      </c>
      <c r="B205" s="126"/>
      <c r="C205" s="127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9">
        <v>4</v>
      </c>
      <c r="AH205" s="47"/>
      <c r="AI205" s="48"/>
      <c r="AK205" s="50"/>
    </row>
    <row r="206" spans="1:37" x14ac:dyDescent="0.25">
      <c r="A206" s="116" t="s">
        <v>193</v>
      </c>
      <c r="B206" s="126"/>
      <c r="C206" s="127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9">
        <v>4</v>
      </c>
      <c r="AH206" s="47"/>
      <c r="AI206" s="48"/>
      <c r="AK206" s="50"/>
    </row>
    <row r="207" spans="1:37" x14ac:dyDescent="0.25">
      <c r="A207" s="116" t="s">
        <v>194</v>
      </c>
      <c r="B207" s="126"/>
      <c r="C207" s="127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9">
        <v>4</v>
      </c>
      <c r="AH207" s="47"/>
      <c r="AI207" s="48"/>
      <c r="AK207" s="50"/>
    </row>
    <row r="208" spans="1:37" x14ac:dyDescent="0.25">
      <c r="A208" s="116" t="s">
        <v>195</v>
      </c>
      <c r="B208" s="126"/>
      <c r="C208" s="127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9">
        <v>4</v>
      </c>
      <c r="AH208" s="47"/>
      <c r="AI208" s="48"/>
      <c r="AK208" s="50"/>
    </row>
    <row r="209" spans="1:37" x14ac:dyDescent="0.25">
      <c r="A209" s="116" t="s">
        <v>196</v>
      </c>
      <c r="B209" s="126"/>
      <c r="C209" s="127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9">
        <v>3.75</v>
      </c>
      <c r="AH209" s="47"/>
      <c r="AI209" s="48"/>
      <c r="AK209" s="50"/>
    </row>
    <row r="210" spans="1:37" x14ac:dyDescent="0.25">
      <c r="A210" s="116" t="s">
        <v>197</v>
      </c>
      <c r="B210" s="126"/>
      <c r="C210" s="127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9">
        <v>3.52</v>
      </c>
      <c r="AH210" s="47"/>
      <c r="AI210" s="48"/>
      <c r="AK210" s="50"/>
    </row>
    <row r="211" spans="1:37" x14ac:dyDescent="0.25">
      <c r="A211" s="116" t="s">
        <v>198</v>
      </c>
      <c r="B211" s="126"/>
      <c r="C211" s="127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9">
        <v>3.33</v>
      </c>
      <c r="AH211" s="47"/>
      <c r="AI211" s="48"/>
      <c r="AK211" s="50"/>
    </row>
    <row r="212" spans="1:37" x14ac:dyDescent="0.25">
      <c r="A212" s="116" t="s">
        <v>199</v>
      </c>
      <c r="B212" s="126"/>
      <c r="C212" s="127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9">
        <v>3.2</v>
      </c>
      <c r="AH212" s="47"/>
      <c r="AI212" s="48"/>
      <c r="AK212" s="50"/>
    </row>
    <row r="213" spans="1:37" x14ac:dyDescent="0.25">
      <c r="A213" s="116" t="s">
        <v>200</v>
      </c>
      <c r="B213" s="126"/>
      <c r="C213" s="127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9">
        <v>3</v>
      </c>
      <c r="AH213" s="47"/>
      <c r="AI213" s="48"/>
      <c r="AK213" s="50"/>
    </row>
    <row r="214" spans="1:37" x14ac:dyDescent="0.25">
      <c r="A214" s="116" t="s">
        <v>201</v>
      </c>
      <c r="B214" s="126"/>
      <c r="C214" s="127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9">
        <v>3</v>
      </c>
      <c r="AH214" s="47"/>
      <c r="AI214" s="48"/>
      <c r="AK214" s="50"/>
    </row>
    <row r="215" spans="1:37" x14ac:dyDescent="0.25">
      <c r="A215" s="116" t="s">
        <v>202</v>
      </c>
      <c r="B215" s="126"/>
      <c r="C215" s="127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9">
        <v>3</v>
      </c>
      <c r="AH215" s="47"/>
      <c r="AI215" s="48"/>
      <c r="AK215" s="50"/>
    </row>
    <row r="216" spans="1:37" x14ac:dyDescent="0.25">
      <c r="A216" s="116" t="s">
        <v>203</v>
      </c>
      <c r="B216" s="126"/>
      <c r="C216" s="127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9">
        <v>3</v>
      </c>
      <c r="AH216" s="47"/>
      <c r="AI216" s="48"/>
      <c r="AK216" s="50"/>
    </row>
    <row r="217" spans="1:37" x14ac:dyDescent="0.25">
      <c r="A217" s="116" t="s">
        <v>204</v>
      </c>
      <c r="B217" s="126"/>
      <c r="C217" s="127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9">
        <v>3</v>
      </c>
      <c r="AH217" s="47"/>
      <c r="AI217" s="48"/>
      <c r="AK217" s="50"/>
    </row>
    <row r="218" spans="1:37" x14ac:dyDescent="0.25">
      <c r="A218" s="116" t="s">
        <v>205</v>
      </c>
      <c r="B218" s="126"/>
      <c r="C218" s="127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9">
        <v>3</v>
      </c>
      <c r="AH218" s="47"/>
      <c r="AI218" s="48"/>
      <c r="AK218" s="50"/>
    </row>
    <row r="219" spans="1:37" x14ac:dyDescent="0.25">
      <c r="A219" s="116" t="s">
        <v>206</v>
      </c>
      <c r="B219" s="126"/>
      <c r="C219" s="127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9">
        <v>3</v>
      </c>
      <c r="AH219" s="47"/>
      <c r="AI219" s="48"/>
      <c r="AK219" s="50"/>
    </row>
    <row r="220" spans="1:37" x14ac:dyDescent="0.25">
      <c r="A220" s="116" t="s">
        <v>207</v>
      </c>
      <c r="B220" s="126"/>
      <c r="C220" s="127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9">
        <v>3</v>
      </c>
      <c r="AH220" s="47"/>
      <c r="AI220" s="48"/>
      <c r="AK220" s="50"/>
    </row>
    <row r="221" spans="1:37" x14ac:dyDescent="0.25">
      <c r="A221" s="116" t="s">
        <v>208</v>
      </c>
      <c r="B221" s="126"/>
      <c r="C221" s="127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9">
        <v>2.83</v>
      </c>
      <c r="AH221" s="47"/>
      <c r="AI221" s="48"/>
      <c r="AK221" s="50"/>
    </row>
    <row r="222" spans="1:37" x14ac:dyDescent="0.25">
      <c r="A222" s="116" t="s">
        <v>209</v>
      </c>
      <c r="B222" s="126"/>
      <c r="C222" s="127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9">
        <v>2.5</v>
      </c>
      <c r="AH222" s="47"/>
      <c r="AI222" s="48"/>
      <c r="AK222" s="50"/>
    </row>
    <row r="223" spans="1:37" x14ac:dyDescent="0.25">
      <c r="A223" s="116" t="s">
        <v>210</v>
      </c>
      <c r="B223" s="126"/>
      <c r="C223" s="127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9">
        <v>2.5</v>
      </c>
      <c r="AH223" s="47"/>
      <c r="AI223" s="48"/>
      <c r="AK223" s="50"/>
    </row>
    <row r="224" spans="1:37" x14ac:dyDescent="0.25">
      <c r="A224" s="116" t="s">
        <v>211</v>
      </c>
      <c r="B224" s="126"/>
      <c r="C224" s="127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9">
        <v>2.4</v>
      </c>
      <c r="AH224" s="47"/>
      <c r="AI224" s="48"/>
      <c r="AK224" s="50"/>
    </row>
    <row r="225" spans="1:37" x14ac:dyDescent="0.25">
      <c r="A225" s="116" t="s">
        <v>212</v>
      </c>
      <c r="B225" s="126"/>
      <c r="C225" s="127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9">
        <v>2.4</v>
      </c>
      <c r="AH225" s="47"/>
      <c r="AI225" s="48"/>
      <c r="AK225" s="50"/>
    </row>
    <row r="226" spans="1:37" x14ac:dyDescent="0.25">
      <c r="A226" s="116" t="s">
        <v>213</v>
      </c>
      <c r="B226" s="126"/>
      <c r="C226" s="127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9">
        <v>2.2000000000000002</v>
      </c>
      <c r="AH226" s="47"/>
      <c r="AI226" s="48"/>
      <c r="AK226" s="50"/>
    </row>
    <row r="227" spans="1:37" x14ac:dyDescent="0.25">
      <c r="A227" s="116" t="s">
        <v>214</v>
      </c>
      <c r="B227" s="126"/>
      <c r="C227" s="127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9">
        <v>2</v>
      </c>
      <c r="AH227" s="47"/>
      <c r="AI227" s="48"/>
      <c r="AK227" s="50"/>
    </row>
    <row r="228" spans="1:37" x14ac:dyDescent="0.25">
      <c r="A228" s="116" t="s">
        <v>215</v>
      </c>
      <c r="B228" s="126"/>
      <c r="C228" s="127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9">
        <v>2</v>
      </c>
      <c r="AH228" s="47"/>
      <c r="AI228" s="48"/>
      <c r="AK228" s="50"/>
    </row>
    <row r="229" spans="1:37" x14ac:dyDescent="0.25">
      <c r="A229" s="116" t="s">
        <v>216</v>
      </c>
      <c r="B229" s="126"/>
      <c r="C229" s="127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9">
        <v>2</v>
      </c>
      <c r="AH229" s="47"/>
      <c r="AI229" s="48"/>
      <c r="AK229" s="50"/>
    </row>
    <row r="230" spans="1:37" x14ac:dyDescent="0.25">
      <c r="A230" s="116" t="s">
        <v>217</v>
      </c>
      <c r="B230" s="126"/>
      <c r="C230" s="127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9">
        <v>1.8</v>
      </c>
      <c r="AH230" s="47"/>
      <c r="AI230" s="48"/>
      <c r="AK230" s="50"/>
    </row>
    <row r="231" spans="1:37" x14ac:dyDescent="0.25">
      <c r="A231" s="116" t="s">
        <v>218</v>
      </c>
      <c r="B231" s="126"/>
      <c r="C231" s="127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9">
        <v>1.8</v>
      </c>
      <c r="AH231" s="47"/>
      <c r="AI231" s="48"/>
      <c r="AK231" s="50"/>
    </row>
    <row r="232" spans="1:37" x14ac:dyDescent="0.25">
      <c r="A232" s="116" t="s">
        <v>219</v>
      </c>
      <c r="B232" s="126"/>
      <c r="C232" s="127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9">
        <v>1.65</v>
      </c>
      <c r="AH232" s="47"/>
      <c r="AI232" s="48"/>
      <c r="AK232" s="50"/>
    </row>
    <row r="233" spans="1:37" x14ac:dyDescent="0.25">
      <c r="A233" s="116" t="s">
        <v>220</v>
      </c>
      <c r="B233" s="126"/>
      <c r="C233" s="127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9">
        <v>1.5</v>
      </c>
      <c r="AH233" s="47"/>
      <c r="AI233" s="48"/>
      <c r="AK233" s="50"/>
    </row>
    <row r="234" spans="1:37" x14ac:dyDescent="0.25">
      <c r="A234" s="116" t="s">
        <v>221</v>
      </c>
      <c r="B234" s="126"/>
      <c r="C234" s="127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9">
        <v>0.998</v>
      </c>
      <c r="AH234" s="47"/>
      <c r="AI234" s="48"/>
      <c r="AK234" s="50"/>
    </row>
    <row r="235" spans="1:37" x14ac:dyDescent="0.25">
      <c r="A235" s="116" t="s">
        <v>222</v>
      </c>
      <c r="B235" s="126"/>
      <c r="C235" s="127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9">
        <v>0.997</v>
      </c>
      <c r="AH235" s="47"/>
      <c r="AI235" s="48"/>
      <c r="AK235" s="50"/>
    </row>
    <row r="236" spans="1:37" x14ac:dyDescent="0.25">
      <c r="A236" s="116" t="s">
        <v>223</v>
      </c>
      <c r="B236" s="126"/>
      <c r="C236" s="127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9">
        <v>0.997</v>
      </c>
      <c r="AH236" s="47"/>
      <c r="AI236" s="48"/>
      <c r="AK236" s="50"/>
    </row>
    <row r="237" spans="1:37" x14ac:dyDescent="0.25">
      <c r="A237" s="116" t="s">
        <v>224</v>
      </c>
      <c r="B237" s="126"/>
      <c r="C237" s="127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9">
        <v>0.996</v>
      </c>
      <c r="AH237" s="47"/>
      <c r="AI237" s="48"/>
      <c r="AK237" s="50"/>
    </row>
    <row r="238" spans="1:37" x14ac:dyDescent="0.25">
      <c r="A238" s="116" t="s">
        <v>225</v>
      </c>
      <c r="B238" s="126"/>
      <c r="C238" s="127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9">
        <v>0.996</v>
      </c>
      <c r="AH238" s="47"/>
      <c r="AI238" s="48"/>
      <c r="AK238" s="50"/>
    </row>
    <row r="239" spans="1:37" x14ac:dyDescent="0.25">
      <c r="A239" s="116" t="s">
        <v>226</v>
      </c>
      <c r="B239" s="126"/>
      <c r="C239" s="127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9">
        <v>0.996</v>
      </c>
      <c r="AH239" s="47"/>
      <c r="AI239" s="48"/>
      <c r="AK239" s="50"/>
    </row>
    <row r="240" spans="1:37" x14ac:dyDescent="0.25">
      <c r="A240" s="116" t="s">
        <v>227</v>
      </c>
      <c r="B240" s="126"/>
      <c r="C240" s="127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9">
        <v>0.995</v>
      </c>
      <c r="AH240" s="47"/>
      <c r="AI240" s="48"/>
      <c r="AK240" s="50"/>
    </row>
    <row r="241" spans="1:37" x14ac:dyDescent="0.25">
      <c r="A241" s="116" t="s">
        <v>228</v>
      </c>
      <c r="B241" s="126"/>
      <c r="C241" s="127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9">
        <v>0.99299999999999999</v>
      </c>
      <c r="AH241" s="47"/>
      <c r="AI241" s="48"/>
      <c r="AK241" s="50"/>
    </row>
    <row r="242" spans="1:37" x14ac:dyDescent="0.25">
      <c r="A242" s="116" t="s">
        <v>229</v>
      </c>
      <c r="B242" s="126"/>
      <c r="C242" s="124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9">
        <v>0.99</v>
      </c>
      <c r="AH242" s="47"/>
      <c r="AI242" s="48"/>
      <c r="AK242" s="50"/>
    </row>
    <row r="243" spans="1:37" ht="15.75" thickBot="1" x14ac:dyDescent="0.3">
      <c r="A243" s="116" t="s">
        <v>230</v>
      </c>
      <c r="B243" s="130"/>
      <c r="C243" s="131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29">
        <v>0.97899999999999998</v>
      </c>
      <c r="AH243" s="47"/>
      <c r="AI243" s="48"/>
      <c r="AK243" s="50"/>
    </row>
    <row r="244" spans="1:37" ht="15.75" thickBot="1" x14ac:dyDescent="0.3">
      <c r="A244" s="132" t="s">
        <v>231</v>
      </c>
      <c r="B244" s="133">
        <f t="shared" ref="B244:AG244" si="90">SUM(B139:B243)</f>
        <v>0</v>
      </c>
      <c r="C244" s="134">
        <f t="shared" si="90"/>
        <v>0</v>
      </c>
      <c r="D244" s="134">
        <f t="shared" si="90"/>
        <v>0</v>
      </c>
      <c r="E244" s="134">
        <f t="shared" si="90"/>
        <v>0</v>
      </c>
      <c r="F244" s="134">
        <f t="shared" si="90"/>
        <v>0</v>
      </c>
      <c r="G244" s="134">
        <f t="shared" si="90"/>
        <v>0</v>
      </c>
      <c r="H244" s="134">
        <f t="shared" si="90"/>
        <v>0</v>
      </c>
      <c r="I244" s="134">
        <f t="shared" si="90"/>
        <v>0</v>
      </c>
      <c r="J244" s="134">
        <f t="shared" si="90"/>
        <v>0</v>
      </c>
      <c r="K244" s="134">
        <f t="shared" si="90"/>
        <v>0</v>
      </c>
      <c r="L244" s="134">
        <f t="shared" si="90"/>
        <v>0</v>
      </c>
      <c r="M244" s="134">
        <f t="shared" si="90"/>
        <v>0</v>
      </c>
      <c r="N244" s="134">
        <f t="shared" si="90"/>
        <v>0</v>
      </c>
      <c r="O244" s="134">
        <f t="shared" si="90"/>
        <v>0</v>
      </c>
      <c r="P244" s="134">
        <f t="shared" si="90"/>
        <v>0</v>
      </c>
      <c r="Q244" s="134">
        <f t="shared" si="90"/>
        <v>0</v>
      </c>
      <c r="R244" s="134">
        <f t="shared" si="90"/>
        <v>0</v>
      </c>
      <c r="S244" s="134">
        <f t="shared" si="90"/>
        <v>0</v>
      </c>
      <c r="T244" s="134">
        <f t="shared" si="90"/>
        <v>0</v>
      </c>
      <c r="U244" s="134">
        <f t="shared" si="90"/>
        <v>0</v>
      </c>
      <c r="V244" s="134">
        <f t="shared" si="90"/>
        <v>0</v>
      </c>
      <c r="W244" s="134">
        <f t="shared" si="90"/>
        <v>0</v>
      </c>
      <c r="X244" s="134">
        <f t="shared" si="90"/>
        <v>0</v>
      </c>
      <c r="Y244" s="134">
        <f t="shared" si="90"/>
        <v>0</v>
      </c>
      <c r="Z244" s="134">
        <f t="shared" si="90"/>
        <v>0</v>
      </c>
      <c r="AA244" s="134">
        <f t="shared" si="90"/>
        <v>0</v>
      </c>
      <c r="AB244" s="134">
        <f t="shared" si="90"/>
        <v>0</v>
      </c>
      <c r="AC244" s="134">
        <f t="shared" si="90"/>
        <v>0</v>
      </c>
      <c r="AD244" s="134">
        <f t="shared" si="90"/>
        <v>0</v>
      </c>
      <c r="AE244" s="134">
        <f t="shared" si="90"/>
        <v>0</v>
      </c>
      <c r="AF244" s="135">
        <f t="shared" si="90"/>
        <v>0</v>
      </c>
      <c r="AG244" s="136">
        <f t="shared" si="90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19"/>
      <c r="AH245" s="47"/>
      <c r="AI245" s="48"/>
      <c r="AK245" s="50"/>
    </row>
    <row r="246" spans="1:37" x14ac:dyDescent="0.25">
      <c r="A246" s="100" t="s">
        <v>232</v>
      </c>
      <c r="B246" s="138">
        <f t="shared" ref="B246:B251" si="91">AF246</f>
        <v>0.3</v>
      </c>
      <c r="C246" s="138">
        <v>0.3</v>
      </c>
      <c r="D246" s="138">
        <f t="shared" ref="D246:S251" si="92">C246</f>
        <v>0.3</v>
      </c>
      <c r="E246" s="138">
        <f t="shared" si="92"/>
        <v>0.3</v>
      </c>
      <c r="F246" s="138">
        <f t="shared" si="92"/>
        <v>0.3</v>
      </c>
      <c r="G246" s="138">
        <f t="shared" si="92"/>
        <v>0.3</v>
      </c>
      <c r="H246" s="138">
        <f t="shared" si="92"/>
        <v>0.3</v>
      </c>
      <c r="I246" s="138">
        <f t="shared" si="92"/>
        <v>0.3</v>
      </c>
      <c r="J246" s="138">
        <f t="shared" si="92"/>
        <v>0.3</v>
      </c>
      <c r="K246" s="138">
        <f t="shared" si="92"/>
        <v>0.3</v>
      </c>
      <c r="L246" s="138">
        <f t="shared" si="92"/>
        <v>0.3</v>
      </c>
      <c r="M246" s="138">
        <f t="shared" si="92"/>
        <v>0.3</v>
      </c>
      <c r="N246" s="138">
        <f t="shared" si="92"/>
        <v>0.3</v>
      </c>
      <c r="O246" s="138">
        <f t="shared" si="92"/>
        <v>0.3</v>
      </c>
      <c r="P246" s="138">
        <f t="shared" si="92"/>
        <v>0.3</v>
      </c>
      <c r="Q246" s="138">
        <f t="shared" si="92"/>
        <v>0.3</v>
      </c>
      <c r="R246" s="138">
        <f t="shared" si="92"/>
        <v>0.3</v>
      </c>
      <c r="S246" s="138">
        <f t="shared" si="92"/>
        <v>0.3</v>
      </c>
      <c r="T246" s="138">
        <f t="shared" ref="T246:AF251" si="93">S246</f>
        <v>0.3</v>
      </c>
      <c r="U246" s="138">
        <f t="shared" si="93"/>
        <v>0.3</v>
      </c>
      <c r="V246" s="138">
        <f t="shared" si="93"/>
        <v>0.3</v>
      </c>
      <c r="W246" s="138">
        <f t="shared" si="93"/>
        <v>0.3</v>
      </c>
      <c r="X246" s="138">
        <f t="shared" si="93"/>
        <v>0.3</v>
      </c>
      <c r="Y246" s="138">
        <f t="shared" si="93"/>
        <v>0.3</v>
      </c>
      <c r="Z246" s="138">
        <f t="shared" si="93"/>
        <v>0.3</v>
      </c>
      <c r="AA246" s="138">
        <f t="shared" si="93"/>
        <v>0.3</v>
      </c>
      <c r="AB246" s="138">
        <f t="shared" si="93"/>
        <v>0.3</v>
      </c>
      <c r="AC246" s="138">
        <f t="shared" si="93"/>
        <v>0.3</v>
      </c>
      <c r="AD246" s="138">
        <f t="shared" si="93"/>
        <v>0.3</v>
      </c>
      <c r="AE246" s="138">
        <f t="shared" si="93"/>
        <v>0.3</v>
      </c>
      <c r="AF246" s="138">
        <f t="shared" si="93"/>
        <v>0.3</v>
      </c>
      <c r="AG246" s="139">
        <v>2.4</v>
      </c>
      <c r="AH246" s="47"/>
      <c r="AI246" s="48"/>
      <c r="AK246" s="50"/>
    </row>
    <row r="247" spans="1:37" x14ac:dyDescent="0.25">
      <c r="A247" s="103" t="s">
        <v>233</v>
      </c>
      <c r="B247" s="126">
        <f t="shared" si="91"/>
        <v>0.4</v>
      </c>
      <c r="C247" s="126">
        <v>0.4</v>
      </c>
      <c r="D247" s="126">
        <f t="shared" si="92"/>
        <v>0.4</v>
      </c>
      <c r="E247" s="126">
        <f t="shared" si="92"/>
        <v>0.4</v>
      </c>
      <c r="F247" s="126">
        <f t="shared" si="92"/>
        <v>0.4</v>
      </c>
      <c r="G247" s="126">
        <f t="shared" si="92"/>
        <v>0.4</v>
      </c>
      <c r="H247" s="126">
        <f t="shared" si="92"/>
        <v>0.4</v>
      </c>
      <c r="I247" s="126">
        <f t="shared" si="92"/>
        <v>0.4</v>
      </c>
      <c r="J247" s="126">
        <f t="shared" si="92"/>
        <v>0.4</v>
      </c>
      <c r="K247" s="126">
        <f t="shared" si="92"/>
        <v>0.4</v>
      </c>
      <c r="L247" s="126">
        <f t="shared" si="92"/>
        <v>0.4</v>
      </c>
      <c r="M247" s="126">
        <f t="shared" si="92"/>
        <v>0.4</v>
      </c>
      <c r="N247" s="126">
        <f t="shared" si="92"/>
        <v>0.4</v>
      </c>
      <c r="O247" s="126">
        <f t="shared" si="92"/>
        <v>0.4</v>
      </c>
      <c r="P247" s="126">
        <f t="shared" si="92"/>
        <v>0.4</v>
      </c>
      <c r="Q247" s="126">
        <f t="shared" si="92"/>
        <v>0.4</v>
      </c>
      <c r="R247" s="126">
        <f t="shared" si="92"/>
        <v>0.4</v>
      </c>
      <c r="S247" s="126">
        <f t="shared" si="92"/>
        <v>0.4</v>
      </c>
      <c r="T247" s="126">
        <f t="shared" si="93"/>
        <v>0.4</v>
      </c>
      <c r="U247" s="126">
        <f t="shared" si="93"/>
        <v>0.4</v>
      </c>
      <c r="V247" s="126">
        <f t="shared" si="93"/>
        <v>0.4</v>
      </c>
      <c r="W247" s="126">
        <f t="shared" si="93"/>
        <v>0.4</v>
      </c>
      <c r="X247" s="126">
        <f t="shared" si="93"/>
        <v>0.4</v>
      </c>
      <c r="Y247" s="126">
        <f t="shared" si="93"/>
        <v>0.4</v>
      </c>
      <c r="Z247" s="126">
        <f t="shared" si="93"/>
        <v>0.4</v>
      </c>
      <c r="AA247" s="126">
        <f t="shared" si="93"/>
        <v>0.4</v>
      </c>
      <c r="AB247" s="126">
        <f t="shared" si="93"/>
        <v>0.4</v>
      </c>
      <c r="AC247" s="126">
        <f t="shared" si="93"/>
        <v>0.4</v>
      </c>
      <c r="AD247" s="126">
        <f t="shared" si="93"/>
        <v>0.4</v>
      </c>
      <c r="AE247" s="126">
        <f t="shared" si="93"/>
        <v>0.4</v>
      </c>
      <c r="AF247" s="126">
        <f t="shared" si="93"/>
        <v>0.4</v>
      </c>
      <c r="AG247" s="140">
        <v>2</v>
      </c>
      <c r="AH247" s="47"/>
      <c r="AI247" s="48"/>
      <c r="AK247" s="50"/>
    </row>
    <row r="248" spans="1:37" x14ac:dyDescent="0.25">
      <c r="A248" s="103" t="s">
        <v>234</v>
      </c>
      <c r="B248" s="126">
        <f t="shared" si="91"/>
        <v>1.5</v>
      </c>
      <c r="C248" s="126">
        <v>1.5</v>
      </c>
      <c r="D248" s="126">
        <f t="shared" si="92"/>
        <v>1.5</v>
      </c>
      <c r="E248" s="126">
        <f t="shared" si="92"/>
        <v>1.5</v>
      </c>
      <c r="F248" s="126">
        <f t="shared" si="92"/>
        <v>1.5</v>
      </c>
      <c r="G248" s="126">
        <f t="shared" si="92"/>
        <v>1.5</v>
      </c>
      <c r="H248" s="126">
        <f t="shared" si="92"/>
        <v>1.5</v>
      </c>
      <c r="I248" s="126">
        <f t="shared" si="92"/>
        <v>1.5</v>
      </c>
      <c r="J248" s="126">
        <f t="shared" si="92"/>
        <v>1.5</v>
      </c>
      <c r="K248" s="126">
        <f t="shared" si="92"/>
        <v>1.5</v>
      </c>
      <c r="L248" s="126">
        <f t="shared" si="92"/>
        <v>1.5</v>
      </c>
      <c r="M248" s="126">
        <f t="shared" si="92"/>
        <v>1.5</v>
      </c>
      <c r="N248" s="126">
        <f t="shared" si="92"/>
        <v>1.5</v>
      </c>
      <c r="O248" s="126">
        <f t="shared" si="92"/>
        <v>1.5</v>
      </c>
      <c r="P248" s="126">
        <f t="shared" si="92"/>
        <v>1.5</v>
      </c>
      <c r="Q248" s="126">
        <f t="shared" si="92"/>
        <v>1.5</v>
      </c>
      <c r="R248" s="126">
        <f t="shared" si="92"/>
        <v>1.5</v>
      </c>
      <c r="S248" s="126">
        <f t="shared" si="92"/>
        <v>1.5</v>
      </c>
      <c r="T248" s="126">
        <f t="shared" si="93"/>
        <v>1.5</v>
      </c>
      <c r="U248" s="126">
        <f t="shared" si="93"/>
        <v>1.5</v>
      </c>
      <c r="V248" s="126">
        <f t="shared" si="93"/>
        <v>1.5</v>
      </c>
      <c r="W248" s="126">
        <f t="shared" si="93"/>
        <v>1.5</v>
      </c>
      <c r="X248" s="126">
        <f t="shared" si="93"/>
        <v>1.5</v>
      </c>
      <c r="Y248" s="126">
        <f t="shared" si="93"/>
        <v>1.5</v>
      </c>
      <c r="Z248" s="126">
        <f t="shared" si="93"/>
        <v>1.5</v>
      </c>
      <c r="AA248" s="126">
        <f t="shared" si="93"/>
        <v>1.5</v>
      </c>
      <c r="AB248" s="126">
        <f t="shared" si="93"/>
        <v>1.5</v>
      </c>
      <c r="AC248" s="126">
        <f t="shared" si="93"/>
        <v>1.5</v>
      </c>
      <c r="AD248" s="126">
        <f t="shared" si="93"/>
        <v>1.5</v>
      </c>
      <c r="AE248" s="126">
        <f t="shared" si="93"/>
        <v>1.5</v>
      </c>
      <c r="AF248" s="126">
        <f t="shared" si="93"/>
        <v>1.5</v>
      </c>
      <c r="AG248" s="140">
        <v>1.5</v>
      </c>
      <c r="AH248" s="47"/>
      <c r="AI248" s="48"/>
      <c r="AK248" s="50"/>
    </row>
    <row r="249" spans="1:37" x14ac:dyDescent="0.25">
      <c r="A249" s="103" t="s">
        <v>235</v>
      </c>
      <c r="B249" s="126">
        <f t="shared" si="91"/>
        <v>0.3</v>
      </c>
      <c r="C249" s="126">
        <v>0.3</v>
      </c>
      <c r="D249" s="126">
        <f t="shared" si="92"/>
        <v>0.3</v>
      </c>
      <c r="E249" s="126">
        <f t="shared" si="92"/>
        <v>0.3</v>
      </c>
      <c r="F249" s="126">
        <f t="shared" si="92"/>
        <v>0.3</v>
      </c>
      <c r="G249" s="126">
        <f t="shared" si="92"/>
        <v>0.3</v>
      </c>
      <c r="H249" s="126">
        <f t="shared" si="92"/>
        <v>0.3</v>
      </c>
      <c r="I249" s="126">
        <f t="shared" si="92"/>
        <v>0.3</v>
      </c>
      <c r="J249" s="126">
        <f t="shared" si="92"/>
        <v>0.3</v>
      </c>
      <c r="K249" s="126">
        <f t="shared" si="92"/>
        <v>0.3</v>
      </c>
      <c r="L249" s="126">
        <f t="shared" si="92"/>
        <v>0.3</v>
      </c>
      <c r="M249" s="126">
        <f t="shared" si="92"/>
        <v>0.3</v>
      </c>
      <c r="N249" s="126">
        <f t="shared" si="92"/>
        <v>0.3</v>
      </c>
      <c r="O249" s="126">
        <f t="shared" si="92"/>
        <v>0.3</v>
      </c>
      <c r="P249" s="126">
        <f t="shared" si="92"/>
        <v>0.3</v>
      </c>
      <c r="Q249" s="126">
        <f t="shared" si="92"/>
        <v>0.3</v>
      </c>
      <c r="R249" s="126">
        <f t="shared" si="92"/>
        <v>0.3</v>
      </c>
      <c r="S249" s="126">
        <f t="shared" si="92"/>
        <v>0.3</v>
      </c>
      <c r="T249" s="126">
        <f t="shared" si="93"/>
        <v>0.3</v>
      </c>
      <c r="U249" s="126">
        <f t="shared" si="93"/>
        <v>0.3</v>
      </c>
      <c r="V249" s="126">
        <f t="shared" si="93"/>
        <v>0.3</v>
      </c>
      <c r="W249" s="126">
        <f t="shared" si="93"/>
        <v>0.3</v>
      </c>
      <c r="X249" s="126">
        <f t="shared" si="93"/>
        <v>0.3</v>
      </c>
      <c r="Y249" s="126">
        <f t="shared" si="93"/>
        <v>0.3</v>
      </c>
      <c r="Z249" s="126">
        <f t="shared" si="93"/>
        <v>0.3</v>
      </c>
      <c r="AA249" s="126">
        <f t="shared" si="93"/>
        <v>0.3</v>
      </c>
      <c r="AB249" s="126">
        <f t="shared" si="93"/>
        <v>0.3</v>
      </c>
      <c r="AC249" s="126">
        <f t="shared" si="93"/>
        <v>0.3</v>
      </c>
      <c r="AD249" s="126">
        <f t="shared" si="93"/>
        <v>0.3</v>
      </c>
      <c r="AE249" s="126">
        <f t="shared" si="93"/>
        <v>0.3</v>
      </c>
      <c r="AF249" s="126">
        <f t="shared" si="93"/>
        <v>0.3</v>
      </c>
      <c r="AG249" s="140">
        <v>1</v>
      </c>
      <c r="AH249" s="47"/>
      <c r="AI249" s="48"/>
      <c r="AK249" s="50"/>
    </row>
    <row r="250" spans="1:37" x14ac:dyDescent="0.25">
      <c r="A250" s="103" t="s">
        <v>236</v>
      </c>
      <c r="B250" s="126">
        <f t="shared" si="91"/>
        <v>0.4</v>
      </c>
      <c r="C250" s="126">
        <v>0.4</v>
      </c>
      <c r="D250" s="126">
        <f t="shared" si="92"/>
        <v>0.4</v>
      </c>
      <c r="E250" s="126">
        <f t="shared" si="92"/>
        <v>0.4</v>
      </c>
      <c r="F250" s="126">
        <f t="shared" si="92"/>
        <v>0.4</v>
      </c>
      <c r="G250" s="126">
        <f t="shared" si="92"/>
        <v>0.4</v>
      </c>
      <c r="H250" s="126">
        <f t="shared" si="92"/>
        <v>0.4</v>
      </c>
      <c r="I250" s="126">
        <f t="shared" si="92"/>
        <v>0.4</v>
      </c>
      <c r="J250" s="126">
        <f t="shared" si="92"/>
        <v>0.4</v>
      </c>
      <c r="K250" s="126">
        <f t="shared" si="92"/>
        <v>0.4</v>
      </c>
      <c r="L250" s="126">
        <f t="shared" si="92"/>
        <v>0.4</v>
      </c>
      <c r="M250" s="126">
        <f t="shared" si="92"/>
        <v>0.4</v>
      </c>
      <c r="N250" s="126">
        <f t="shared" si="92"/>
        <v>0.4</v>
      </c>
      <c r="O250" s="126">
        <f t="shared" si="92"/>
        <v>0.4</v>
      </c>
      <c r="P250" s="126">
        <f t="shared" si="92"/>
        <v>0.4</v>
      </c>
      <c r="Q250" s="126">
        <f t="shared" si="92"/>
        <v>0.4</v>
      </c>
      <c r="R250" s="126">
        <f t="shared" si="92"/>
        <v>0.4</v>
      </c>
      <c r="S250" s="126">
        <f t="shared" si="92"/>
        <v>0.4</v>
      </c>
      <c r="T250" s="126">
        <f t="shared" si="93"/>
        <v>0.4</v>
      </c>
      <c r="U250" s="126">
        <f t="shared" si="93"/>
        <v>0.4</v>
      </c>
      <c r="V250" s="126">
        <f t="shared" si="93"/>
        <v>0.4</v>
      </c>
      <c r="W250" s="126">
        <f t="shared" si="93"/>
        <v>0.4</v>
      </c>
      <c r="X250" s="126">
        <f t="shared" si="93"/>
        <v>0.4</v>
      </c>
      <c r="Y250" s="126">
        <f t="shared" si="93"/>
        <v>0.4</v>
      </c>
      <c r="Z250" s="126">
        <f t="shared" si="93"/>
        <v>0.4</v>
      </c>
      <c r="AA250" s="126">
        <f t="shared" si="93"/>
        <v>0.4</v>
      </c>
      <c r="AB250" s="126">
        <f t="shared" si="93"/>
        <v>0.4</v>
      </c>
      <c r="AC250" s="126">
        <f t="shared" si="93"/>
        <v>0.4</v>
      </c>
      <c r="AD250" s="126">
        <f t="shared" si="93"/>
        <v>0.4</v>
      </c>
      <c r="AE250" s="126">
        <f t="shared" si="93"/>
        <v>0.4</v>
      </c>
      <c r="AF250" s="126">
        <f t="shared" si="93"/>
        <v>0.4</v>
      </c>
      <c r="AG250" s="140">
        <v>1</v>
      </c>
      <c r="AH250" s="47"/>
      <c r="AI250" s="48"/>
      <c r="AK250" s="50"/>
    </row>
    <row r="251" spans="1:37" ht="15.75" thickBot="1" x14ac:dyDescent="0.3">
      <c r="A251" s="116" t="s">
        <v>237</v>
      </c>
      <c r="B251" s="130">
        <f t="shared" si="91"/>
        <v>0.64</v>
      </c>
      <c r="C251" s="130">
        <v>0.64</v>
      </c>
      <c r="D251" s="130">
        <f t="shared" si="92"/>
        <v>0.64</v>
      </c>
      <c r="E251" s="130">
        <f t="shared" si="92"/>
        <v>0.64</v>
      </c>
      <c r="F251" s="130">
        <f t="shared" si="92"/>
        <v>0.64</v>
      </c>
      <c r="G251" s="130">
        <f t="shared" si="92"/>
        <v>0.64</v>
      </c>
      <c r="H251" s="130">
        <f t="shared" si="92"/>
        <v>0.64</v>
      </c>
      <c r="I251" s="130">
        <f t="shared" si="92"/>
        <v>0.64</v>
      </c>
      <c r="J251" s="130">
        <f t="shared" si="92"/>
        <v>0.64</v>
      </c>
      <c r="K251" s="130">
        <f t="shared" si="92"/>
        <v>0.64</v>
      </c>
      <c r="L251" s="130">
        <f t="shared" si="92"/>
        <v>0.64</v>
      </c>
      <c r="M251" s="130">
        <f t="shared" si="92"/>
        <v>0.64</v>
      </c>
      <c r="N251" s="130">
        <f t="shared" si="92"/>
        <v>0.64</v>
      </c>
      <c r="O251" s="130">
        <f t="shared" si="92"/>
        <v>0.64</v>
      </c>
      <c r="P251" s="130">
        <f t="shared" si="92"/>
        <v>0.64</v>
      </c>
      <c r="Q251" s="130">
        <f t="shared" si="92"/>
        <v>0.64</v>
      </c>
      <c r="R251" s="130">
        <f t="shared" si="92"/>
        <v>0.64</v>
      </c>
      <c r="S251" s="130">
        <f t="shared" si="92"/>
        <v>0.64</v>
      </c>
      <c r="T251" s="130">
        <f t="shared" si="93"/>
        <v>0.64</v>
      </c>
      <c r="U251" s="130">
        <f t="shared" si="93"/>
        <v>0.64</v>
      </c>
      <c r="V251" s="130">
        <f t="shared" si="93"/>
        <v>0.64</v>
      </c>
      <c r="W251" s="130">
        <f t="shared" si="93"/>
        <v>0.64</v>
      </c>
      <c r="X251" s="130">
        <f t="shared" si="93"/>
        <v>0.64</v>
      </c>
      <c r="Y251" s="130">
        <f t="shared" si="93"/>
        <v>0.64</v>
      </c>
      <c r="Z251" s="130">
        <f t="shared" si="93"/>
        <v>0.64</v>
      </c>
      <c r="AA251" s="130">
        <f t="shared" si="93"/>
        <v>0.64</v>
      </c>
      <c r="AB251" s="130">
        <f t="shared" si="93"/>
        <v>0.64</v>
      </c>
      <c r="AC251" s="130">
        <f t="shared" si="93"/>
        <v>0.64</v>
      </c>
      <c r="AD251" s="130">
        <f t="shared" si="93"/>
        <v>0.64</v>
      </c>
      <c r="AE251" s="130">
        <f t="shared" si="93"/>
        <v>0.64</v>
      </c>
      <c r="AF251" s="130">
        <f t="shared" si="93"/>
        <v>0.64</v>
      </c>
      <c r="AG251" s="141">
        <v>0.66</v>
      </c>
      <c r="AH251" s="47"/>
      <c r="AI251" s="48"/>
    </row>
    <row r="252" spans="1:37" ht="15.75" thickBot="1" x14ac:dyDescent="0.3">
      <c r="A252" s="142" t="s">
        <v>75</v>
      </c>
      <c r="B252" s="134">
        <f t="shared" ref="B252:AG252" si="94">SUM(B246:B251)</f>
        <v>3.54</v>
      </c>
      <c r="C252" s="134">
        <f t="shared" si="94"/>
        <v>3.54</v>
      </c>
      <c r="D252" s="134">
        <f t="shared" si="94"/>
        <v>3.54</v>
      </c>
      <c r="E252" s="134">
        <f t="shared" si="94"/>
        <v>3.54</v>
      </c>
      <c r="F252" s="134">
        <f t="shared" si="94"/>
        <v>3.54</v>
      </c>
      <c r="G252" s="134">
        <f t="shared" si="94"/>
        <v>3.54</v>
      </c>
      <c r="H252" s="134">
        <f t="shared" si="94"/>
        <v>3.54</v>
      </c>
      <c r="I252" s="134">
        <f t="shared" si="94"/>
        <v>3.54</v>
      </c>
      <c r="J252" s="134">
        <f t="shared" si="94"/>
        <v>3.54</v>
      </c>
      <c r="K252" s="134">
        <f t="shared" si="94"/>
        <v>3.54</v>
      </c>
      <c r="L252" s="134">
        <f t="shared" si="94"/>
        <v>3.54</v>
      </c>
      <c r="M252" s="134">
        <f t="shared" si="94"/>
        <v>3.54</v>
      </c>
      <c r="N252" s="134">
        <f t="shared" si="94"/>
        <v>3.54</v>
      </c>
      <c r="O252" s="134">
        <f t="shared" si="94"/>
        <v>3.54</v>
      </c>
      <c r="P252" s="134">
        <f t="shared" si="94"/>
        <v>3.54</v>
      </c>
      <c r="Q252" s="134">
        <f t="shared" si="94"/>
        <v>3.54</v>
      </c>
      <c r="R252" s="134">
        <f t="shared" si="94"/>
        <v>3.54</v>
      </c>
      <c r="S252" s="134">
        <f t="shared" si="94"/>
        <v>3.54</v>
      </c>
      <c r="T252" s="134">
        <f t="shared" si="94"/>
        <v>3.54</v>
      </c>
      <c r="U252" s="134">
        <f t="shared" si="94"/>
        <v>3.54</v>
      </c>
      <c r="V252" s="134">
        <f t="shared" si="94"/>
        <v>3.54</v>
      </c>
      <c r="W252" s="134">
        <f t="shared" si="94"/>
        <v>3.54</v>
      </c>
      <c r="X252" s="134">
        <f t="shared" si="94"/>
        <v>3.54</v>
      </c>
      <c r="Y252" s="134">
        <f t="shared" si="94"/>
        <v>3.54</v>
      </c>
      <c r="Z252" s="134">
        <f t="shared" si="94"/>
        <v>3.54</v>
      </c>
      <c r="AA252" s="134">
        <f t="shared" si="94"/>
        <v>3.54</v>
      </c>
      <c r="AB252" s="134">
        <f t="shared" si="94"/>
        <v>3.54</v>
      </c>
      <c r="AC252" s="134">
        <f t="shared" si="94"/>
        <v>3.54</v>
      </c>
      <c r="AD252" s="134">
        <f t="shared" si="94"/>
        <v>3.54</v>
      </c>
      <c r="AE252" s="134">
        <f t="shared" si="94"/>
        <v>3.54</v>
      </c>
      <c r="AF252" s="134">
        <f t="shared" si="94"/>
        <v>3.54</v>
      </c>
      <c r="AG252" s="143">
        <f t="shared" si="94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37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54" t="s">
        <v>243</v>
      </c>
      <c r="B256" s="155">
        <f>MAX(G99:N99)</f>
        <v>1728.7400000000002</v>
      </c>
      <c r="C256" s="156">
        <f>INDEX(G9:N9,1,MATCH(MAX(G99:N99),G99:N99,0))</f>
        <v>0.33333333333333331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50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157" t="str">
        <f ca="1">MID(CELL("filename",C7),FIND("]",CELL("filename",C7))+1,600)</f>
        <v>28</v>
      </c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50" x14ac:dyDescent="0.25">
      <c r="A258" s="257" t="s">
        <v>244</v>
      </c>
      <c r="B258" s="257"/>
      <c r="C258" s="43"/>
      <c r="D258" s="157" t="str">
        <f ca="1">"Pie Chart of Daily Peak Demand(Inclusive of Export) of Nepal ("&amp;A4&amp;" "&amp;B4&amp;")"</f>
        <v>Pie Chart of Daily Peak Demand(Inclusive of Export) of Nepal (Nepali Date: 2080/10/28)</v>
      </c>
      <c r="E258" s="43"/>
      <c r="F258" s="43"/>
      <c r="G258" s="157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157" t="str">
        <f ca="1">"Daily Load Curve(Excluding of Export) of Nepal ("&amp;A4&amp;" "&amp;B4&amp;")"</f>
        <v>Daily Load Curve(Excluding of Export) of Nepal (Nepali Date: 2080/10/28)</v>
      </c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50" ht="12.75" customHeight="1" thickBot="1" x14ac:dyDescent="0.3">
      <c r="A259" s="158" t="s">
        <v>7</v>
      </c>
      <c r="B259" s="159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50" ht="15.75" thickTop="1" x14ac:dyDescent="0.25">
      <c r="A260" s="158" t="s">
        <v>245</v>
      </c>
      <c r="B260" s="15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160" t="s">
        <v>246</v>
      </c>
      <c r="T260" s="161">
        <v>0</v>
      </c>
      <c r="U260" s="162">
        <v>4.1666666666666664E-2</v>
      </c>
      <c r="V260" s="163">
        <v>8.3333333333333301E-2</v>
      </c>
      <c r="W260" s="163">
        <v>0.125</v>
      </c>
      <c r="X260" s="163">
        <v>0.16666666666666699</v>
      </c>
      <c r="Y260" s="163">
        <v>0.20833333333333301</v>
      </c>
      <c r="Z260" s="163">
        <v>0.22916666666666666</v>
      </c>
      <c r="AA260" s="163">
        <v>0.25</v>
      </c>
      <c r="AB260" s="163">
        <v>0.27083333333333331</v>
      </c>
      <c r="AC260" s="163">
        <v>0.29166666666666669</v>
      </c>
      <c r="AD260" s="163">
        <v>0.3125</v>
      </c>
      <c r="AE260" s="164">
        <v>0.33333333333333331</v>
      </c>
      <c r="AF260" s="164">
        <v>0.375</v>
      </c>
      <c r="AG260" s="164">
        <v>0.41666666666666702</v>
      </c>
      <c r="AH260" s="164">
        <v>0.45833333333333298</v>
      </c>
      <c r="AI260" s="164">
        <v>0.5</v>
      </c>
      <c r="AJ260" s="164">
        <v>0.54166666666666696</v>
      </c>
      <c r="AK260" s="164">
        <v>0.58333333333333304</v>
      </c>
      <c r="AL260" s="164">
        <v>0.625</v>
      </c>
      <c r="AM260" s="164">
        <v>0.66666666666666696</v>
      </c>
      <c r="AN260" s="164">
        <v>0.70833333333333304</v>
      </c>
      <c r="AO260" s="164">
        <v>0.72916666666666663</v>
      </c>
      <c r="AP260" s="164">
        <v>0.75</v>
      </c>
      <c r="AQ260" s="164">
        <v>0.77083333333333337</v>
      </c>
      <c r="AR260" s="164">
        <v>0.79166666666666663</v>
      </c>
      <c r="AS260" s="164">
        <v>0.8125</v>
      </c>
      <c r="AT260" s="163">
        <v>0.83333333333333337</v>
      </c>
      <c r="AU260" s="163">
        <v>0.85416666666666663</v>
      </c>
      <c r="AV260" s="163">
        <v>0.875</v>
      </c>
      <c r="AW260" s="163">
        <v>0.91666666666666696</v>
      </c>
      <c r="AX260" s="163">
        <v>0.95833333333333304</v>
      </c>
    </row>
    <row r="261" spans="1:50" x14ac:dyDescent="0.25">
      <c r="A261" s="158" t="s">
        <v>247</v>
      </c>
      <c r="B261" s="15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 t="s">
        <v>248</v>
      </c>
      <c r="T261" s="165">
        <f t="shared" ref="T261:AX261" si="95">B99</f>
        <v>1156.3400000000001</v>
      </c>
      <c r="U261" s="165">
        <f t="shared" si="95"/>
        <v>1116.74</v>
      </c>
      <c r="V261" s="165">
        <f t="shared" si="95"/>
        <v>1111.6400000000001</v>
      </c>
      <c r="W261" s="165">
        <f t="shared" si="95"/>
        <v>1091.3400000000001</v>
      </c>
      <c r="X261" s="165">
        <f t="shared" si="95"/>
        <v>1119.1400000000001</v>
      </c>
      <c r="Y261" s="165">
        <f t="shared" si="95"/>
        <v>1202.44</v>
      </c>
      <c r="Z261" s="165">
        <f t="shared" si="95"/>
        <v>1202.7400000000002</v>
      </c>
      <c r="AA261" s="165">
        <f t="shared" si="95"/>
        <v>1326.04</v>
      </c>
      <c r="AB261" s="165">
        <f t="shared" si="95"/>
        <v>1458.6399999999999</v>
      </c>
      <c r="AC261" s="165">
        <f t="shared" si="95"/>
        <v>1563.34</v>
      </c>
      <c r="AD261" s="165">
        <f t="shared" si="95"/>
        <v>1702.7400000000002</v>
      </c>
      <c r="AE261" s="165">
        <f t="shared" si="95"/>
        <v>1728.7400000000002</v>
      </c>
      <c r="AF261" s="165">
        <f t="shared" si="95"/>
        <v>1637.24</v>
      </c>
      <c r="AG261" s="165">
        <f t="shared" si="95"/>
        <v>1595.24</v>
      </c>
      <c r="AH261" s="165">
        <f t="shared" si="95"/>
        <v>1657.74</v>
      </c>
      <c r="AI261" s="165">
        <f t="shared" si="95"/>
        <v>1496.24</v>
      </c>
      <c r="AJ261" s="165">
        <f t="shared" si="95"/>
        <v>1524.54</v>
      </c>
      <c r="AK261" s="165">
        <f t="shared" si="95"/>
        <v>1522.24</v>
      </c>
      <c r="AL261" s="165">
        <f t="shared" si="95"/>
        <v>1510.34</v>
      </c>
      <c r="AM261" s="165">
        <f t="shared" si="95"/>
        <v>1516.1399999999999</v>
      </c>
      <c r="AN261" s="165">
        <f t="shared" si="95"/>
        <v>1312.14</v>
      </c>
      <c r="AO261" s="165">
        <f t="shared" si="95"/>
        <v>1339.3400000000001</v>
      </c>
      <c r="AP261" s="165">
        <f t="shared" si="95"/>
        <v>1673.8400000000001</v>
      </c>
      <c r="AQ261" s="165">
        <f t="shared" si="95"/>
        <v>1865.84</v>
      </c>
      <c r="AR261" s="165">
        <f t="shared" si="95"/>
        <v>1875.84</v>
      </c>
      <c r="AS261" s="165">
        <f t="shared" si="95"/>
        <v>1759.0400000000002</v>
      </c>
      <c r="AT261" s="165">
        <f t="shared" si="95"/>
        <v>1702.94</v>
      </c>
      <c r="AU261" s="165">
        <f t="shared" si="95"/>
        <v>1640.54</v>
      </c>
      <c r="AV261" s="165">
        <f t="shared" si="95"/>
        <v>1585.8400000000001</v>
      </c>
      <c r="AW261" s="165">
        <f t="shared" si="95"/>
        <v>1373.7400000000002</v>
      </c>
      <c r="AX261" s="165">
        <f t="shared" si="95"/>
        <v>1251.44</v>
      </c>
    </row>
    <row r="262" spans="1:50" x14ac:dyDescent="0.25">
      <c r="A262" s="158" t="s">
        <v>249</v>
      </c>
      <c r="B262" s="15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50" x14ac:dyDescent="0.25">
      <c r="A263" s="158" t="s">
        <v>250</v>
      </c>
      <c r="B263" s="15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50" x14ac:dyDescent="0.25">
      <c r="A264" s="158" t="s">
        <v>251</v>
      </c>
      <c r="B264" s="15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50" x14ac:dyDescent="0.25">
      <c r="A265" s="158" t="s">
        <v>252</v>
      </c>
      <c r="B265" s="166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50" x14ac:dyDescent="0.25">
      <c r="A266" s="158" t="s">
        <v>253</v>
      </c>
      <c r="B266" s="15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50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50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50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50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50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50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1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1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1:34" x14ac:dyDescent="0.25">
      <c r="A282" s="167" t="s">
        <v>238</v>
      </c>
      <c r="B282" s="168">
        <f t="shared" ref="B282:AE282" si="96">C251</f>
        <v>0.64</v>
      </c>
      <c r="C282" s="168">
        <f t="shared" si="96"/>
        <v>0.64</v>
      </c>
      <c r="D282" s="168">
        <f t="shared" si="96"/>
        <v>0.64</v>
      </c>
      <c r="E282" s="168">
        <f t="shared" si="96"/>
        <v>0.64</v>
      </c>
      <c r="F282" s="168">
        <f t="shared" si="96"/>
        <v>0.64</v>
      </c>
      <c r="G282" s="168">
        <f t="shared" si="96"/>
        <v>0.64</v>
      </c>
      <c r="H282" s="168">
        <f t="shared" si="96"/>
        <v>0.64</v>
      </c>
      <c r="I282" s="168">
        <f t="shared" si="96"/>
        <v>0.64</v>
      </c>
      <c r="J282" s="168">
        <f t="shared" si="96"/>
        <v>0.64</v>
      </c>
      <c r="K282" s="168">
        <f t="shared" si="96"/>
        <v>0.64</v>
      </c>
      <c r="L282" s="168">
        <f t="shared" si="96"/>
        <v>0.64</v>
      </c>
      <c r="M282" s="168">
        <f t="shared" si="96"/>
        <v>0.64</v>
      </c>
      <c r="N282" s="168">
        <f t="shared" si="96"/>
        <v>0.64</v>
      </c>
      <c r="O282" s="168">
        <f t="shared" si="96"/>
        <v>0.64</v>
      </c>
      <c r="P282" s="168">
        <f t="shared" si="96"/>
        <v>0.64</v>
      </c>
      <c r="Q282" s="168">
        <f t="shared" si="96"/>
        <v>0.64</v>
      </c>
      <c r="R282" s="168">
        <f t="shared" si="96"/>
        <v>0.64</v>
      </c>
      <c r="S282" s="168">
        <f t="shared" si="96"/>
        <v>0.64</v>
      </c>
      <c r="T282" s="168">
        <f t="shared" si="96"/>
        <v>0.64</v>
      </c>
      <c r="U282" s="168">
        <f t="shared" si="96"/>
        <v>0.64</v>
      </c>
      <c r="V282" s="168">
        <f t="shared" si="96"/>
        <v>0.64</v>
      </c>
      <c r="W282" s="168">
        <f t="shared" si="96"/>
        <v>0.64</v>
      </c>
      <c r="X282" s="168">
        <f t="shared" si="96"/>
        <v>0.64</v>
      </c>
      <c r="Y282" s="168">
        <f t="shared" si="96"/>
        <v>0.64</v>
      </c>
      <c r="Z282" s="168">
        <f t="shared" si="96"/>
        <v>0.64</v>
      </c>
      <c r="AA282" s="168">
        <f t="shared" si="96"/>
        <v>0.64</v>
      </c>
      <c r="AB282" s="168">
        <f t="shared" si="96"/>
        <v>0.64</v>
      </c>
      <c r="AC282" s="168">
        <f t="shared" si="96"/>
        <v>0.64</v>
      </c>
      <c r="AD282" s="168">
        <f t="shared" si="96"/>
        <v>0.64</v>
      </c>
      <c r="AE282" s="168">
        <f t="shared" si="96"/>
        <v>0.64</v>
      </c>
      <c r="AF282" s="168">
        <f>B251</f>
        <v>0.64</v>
      </c>
      <c r="AG282" s="43"/>
      <c r="AH282" s="43"/>
    </row>
    <row r="283" spans="1:34" x14ac:dyDescent="0.25">
      <c r="A283" s="169" t="e">
        <f>#REF!</f>
        <v>#REF!</v>
      </c>
      <c r="B283" s="169" t="e">
        <f>IF(#REF!&lt;100,"",#REF!-520)</f>
        <v>#REF!</v>
      </c>
      <c r="C283" s="169" t="e">
        <f>IF(#REF!&lt;100,"",#REF!-520)</f>
        <v>#REF!</v>
      </c>
      <c r="D283" s="169" t="e">
        <f>IF(#REF!&lt;100,"",#REF!-520)</f>
        <v>#REF!</v>
      </c>
      <c r="E283" s="169" t="e">
        <f>IF(#REF!&lt;100,"",#REF!-520)</f>
        <v>#REF!</v>
      </c>
      <c r="F283" s="169" t="e">
        <f>IF(#REF!&lt;100,"",#REF!-520)</f>
        <v>#REF!</v>
      </c>
      <c r="G283" s="169" t="e">
        <f>IF(#REF!&lt;100,"",#REF!-520)</f>
        <v>#REF!</v>
      </c>
      <c r="H283" s="169" t="e">
        <f>IF(#REF!&lt;100,"",#REF!-520)</f>
        <v>#REF!</v>
      </c>
      <c r="I283" s="169" t="e">
        <f>IF(#REF!&lt;100,"",#REF!-520)</f>
        <v>#REF!</v>
      </c>
      <c r="J283" s="169" t="e">
        <f>IF(#REF!&lt;100,"",#REF!-520)</f>
        <v>#REF!</v>
      </c>
      <c r="K283" s="169" t="e">
        <f>IF(#REF!&lt;100,"",#REF!-520)</f>
        <v>#REF!</v>
      </c>
      <c r="L283" s="169" t="e">
        <f>IF(#REF!&lt;100,"",#REF!-520)</f>
        <v>#REF!</v>
      </c>
      <c r="M283" s="169" t="e">
        <f>IF(#REF!&lt;100,"",#REF!-520)</f>
        <v>#REF!</v>
      </c>
      <c r="N283" s="169" t="e">
        <f>IF(#REF!&lt;100,"",#REF!-520)</f>
        <v>#REF!</v>
      </c>
      <c r="O283" s="169" t="e">
        <f>IF(#REF!&lt;100,"",#REF!-520)</f>
        <v>#REF!</v>
      </c>
      <c r="P283" s="169" t="e">
        <f>IF(#REF!&lt;100,"",#REF!-520)</f>
        <v>#REF!</v>
      </c>
      <c r="Q283" s="169" t="e">
        <f>IF(#REF!&lt;100,"",#REF!-520)</f>
        <v>#REF!</v>
      </c>
      <c r="R283" s="169" t="e">
        <f>IF(#REF!&lt;100,"",#REF!-520)</f>
        <v>#REF!</v>
      </c>
      <c r="S283" s="169" t="e">
        <f>IF(#REF!&lt;100,"",#REF!-520)</f>
        <v>#REF!</v>
      </c>
      <c r="T283" s="169" t="e">
        <f>IF(#REF!&lt;100,"",#REF!-520)</f>
        <v>#REF!</v>
      </c>
      <c r="U283" s="169" t="e">
        <f>IF(#REF!&lt;100,"",#REF!-520)</f>
        <v>#REF!</v>
      </c>
      <c r="V283" s="169" t="e">
        <f>IF(#REF!&lt;100,"",#REF!-520)</f>
        <v>#REF!</v>
      </c>
      <c r="W283" s="169" t="e">
        <f>IF(#REF!&lt;100,"",#REF!-520)</f>
        <v>#REF!</v>
      </c>
      <c r="X283" s="169" t="e">
        <f>IF(#REF!&lt;100,"",#REF!-520)</f>
        <v>#REF!</v>
      </c>
      <c r="Y283" s="169" t="e">
        <f>IF(#REF!&lt;100,"",#REF!-520)</f>
        <v>#REF!</v>
      </c>
      <c r="Z283" s="169" t="e">
        <f>IF(#REF!&lt;100,"",#REF!-520)</f>
        <v>#REF!</v>
      </c>
      <c r="AA283" s="169" t="e">
        <f>IF(#REF!&lt;100,"",#REF!-520)</f>
        <v>#REF!</v>
      </c>
      <c r="AB283" s="169" t="e">
        <f>IF(#REF!&lt;100,"",#REF!-520)</f>
        <v>#REF!</v>
      </c>
      <c r="AC283" s="169" t="e">
        <f>IF(#REF!&lt;100,"",#REF!-520)</f>
        <v>#REF!</v>
      </c>
      <c r="AD283" s="169" t="e">
        <f>IF(#REF!&lt;100,"",#REF!-520)</f>
        <v>#REF!</v>
      </c>
      <c r="AE283" s="169" t="e">
        <f>IF(#REF!&lt;100,"",#REF!-520)</f>
        <v>#REF!</v>
      </c>
      <c r="AF283" s="169" t="e">
        <f>IF(#REF!&lt;100,"",#REF!-520)</f>
        <v>#REF!</v>
      </c>
      <c r="AG283" s="43"/>
      <c r="AH283" s="43"/>
    </row>
    <row r="284" spans="1:34" x14ac:dyDescent="0.25">
      <c r="A284" s="169" t="e">
        <f>#REF!</f>
        <v>#REF!</v>
      </c>
      <c r="B284" s="169" t="e">
        <f>IF(#REF!&lt;100,"",#REF!-620)</f>
        <v>#REF!</v>
      </c>
      <c r="C284" s="169" t="e">
        <f>IF(#REF!&lt;100,"",#REF!-620)</f>
        <v>#REF!</v>
      </c>
      <c r="D284" s="169" t="e">
        <f>IF(#REF!&lt;100,"",#REF!-620)</f>
        <v>#REF!</v>
      </c>
      <c r="E284" s="169" t="e">
        <f>IF(#REF!&lt;100,"",#REF!-620)</f>
        <v>#REF!</v>
      </c>
      <c r="F284" s="169" t="e">
        <f>IF(#REF!&lt;100,"",#REF!-620)</f>
        <v>#REF!</v>
      </c>
      <c r="G284" s="169" t="e">
        <f>IF(#REF!&lt;100,"",#REF!-620)</f>
        <v>#REF!</v>
      </c>
      <c r="H284" s="169" t="e">
        <f>IF(#REF!&lt;100,"",#REF!-620)</f>
        <v>#REF!</v>
      </c>
      <c r="I284" s="169" t="e">
        <f>IF(#REF!&lt;100,"",#REF!-620)</f>
        <v>#REF!</v>
      </c>
      <c r="J284" s="169" t="e">
        <f>IF(#REF!&lt;100,"",#REF!-620)</f>
        <v>#REF!</v>
      </c>
      <c r="K284" s="169" t="e">
        <f>IF(#REF!&lt;100,"",#REF!-620)</f>
        <v>#REF!</v>
      </c>
      <c r="L284" s="169" t="e">
        <f>IF(#REF!&lt;100,"",#REF!-620)</f>
        <v>#REF!</v>
      </c>
      <c r="M284" s="169" t="e">
        <f>IF(#REF!&lt;100,"",#REF!-620)</f>
        <v>#REF!</v>
      </c>
      <c r="N284" s="169" t="e">
        <f>IF(#REF!&lt;100,"",#REF!-620)</f>
        <v>#REF!</v>
      </c>
      <c r="O284" s="169" t="e">
        <f>IF(#REF!&lt;100,"",#REF!-620)</f>
        <v>#REF!</v>
      </c>
      <c r="P284" s="169" t="e">
        <f>IF(#REF!&lt;100,"",#REF!-620)</f>
        <v>#REF!</v>
      </c>
      <c r="Q284" s="169" t="e">
        <f>IF(#REF!&lt;100,"",#REF!-620)</f>
        <v>#REF!</v>
      </c>
      <c r="R284" s="169" t="e">
        <f>IF(#REF!&lt;100,"",#REF!-620)</f>
        <v>#REF!</v>
      </c>
      <c r="S284" s="169" t="e">
        <f>IF(#REF!&lt;100,"",#REF!-620)</f>
        <v>#REF!</v>
      </c>
      <c r="T284" s="169" t="e">
        <f>IF(#REF!&lt;100,"",#REF!-620)</f>
        <v>#REF!</v>
      </c>
      <c r="U284" s="169" t="e">
        <f>IF(#REF!&lt;100,"",#REF!-620)</f>
        <v>#REF!</v>
      </c>
      <c r="V284" s="169" t="e">
        <f>IF(#REF!&lt;100,"",#REF!-620)</f>
        <v>#REF!</v>
      </c>
      <c r="W284" s="169" t="e">
        <f>IF(#REF!&lt;100,"",#REF!-620)</f>
        <v>#REF!</v>
      </c>
      <c r="X284" s="169" t="e">
        <f>IF(#REF!&lt;100,"",#REF!-620)</f>
        <v>#REF!</v>
      </c>
      <c r="Y284" s="169" t="e">
        <f>IF(#REF!&lt;100,"",#REF!-620)</f>
        <v>#REF!</v>
      </c>
      <c r="Z284" s="169" t="e">
        <f>IF(#REF!&lt;100,"",#REF!-620)</f>
        <v>#REF!</v>
      </c>
      <c r="AA284" s="169" t="e">
        <f>IF(#REF!&lt;100,"",#REF!-620)</f>
        <v>#REF!</v>
      </c>
      <c r="AB284" s="169" t="e">
        <f>IF(#REF!&lt;100,"",#REF!-620)</f>
        <v>#REF!</v>
      </c>
      <c r="AC284" s="169" t="e">
        <f>IF(#REF!&lt;100,"",#REF!-620)</f>
        <v>#REF!</v>
      </c>
      <c r="AD284" s="169" t="e">
        <f>IF(#REF!&lt;100,"",#REF!-620)</f>
        <v>#REF!</v>
      </c>
      <c r="AE284" s="169" t="e">
        <f>IF(#REF!&lt;100,"",#REF!-620)</f>
        <v>#REF!</v>
      </c>
      <c r="AF284" s="169" t="e">
        <f>IF(#REF!&lt;100,"",#REF!-620)</f>
        <v>#REF!</v>
      </c>
      <c r="AG284" s="43"/>
      <c r="AH284" s="43"/>
    </row>
    <row r="285" spans="1:34" x14ac:dyDescent="0.25">
      <c r="A285" s="169" t="e">
        <f>#REF!</f>
        <v>#REF!</v>
      </c>
      <c r="B285" s="169" t="e">
        <f>IF(#REF!&lt;100,"",#REF!-330)</f>
        <v>#REF!</v>
      </c>
      <c r="C285" s="169" t="e">
        <f>IF(#REF!&lt;100,"",#REF!-330)</f>
        <v>#REF!</v>
      </c>
      <c r="D285" s="169" t="e">
        <f>IF(#REF!&lt;100,"",#REF!-330)</f>
        <v>#REF!</v>
      </c>
      <c r="E285" s="169" t="e">
        <f>IF(#REF!&lt;100,"",#REF!-330)</f>
        <v>#REF!</v>
      </c>
      <c r="F285" s="169" t="e">
        <f>IF(#REF!&lt;100,"",#REF!-330)</f>
        <v>#REF!</v>
      </c>
      <c r="G285" s="169" t="e">
        <f>IF(#REF!&lt;100,"",#REF!-330)</f>
        <v>#REF!</v>
      </c>
      <c r="H285" s="169" t="e">
        <f>IF(#REF!&lt;100,"",#REF!-330)</f>
        <v>#REF!</v>
      </c>
      <c r="I285" s="169" t="e">
        <f>IF(#REF!&lt;100,"",#REF!-330)</f>
        <v>#REF!</v>
      </c>
      <c r="J285" s="169" t="e">
        <f>IF(#REF!&lt;100,"",#REF!-330)</f>
        <v>#REF!</v>
      </c>
      <c r="K285" s="169" t="e">
        <f>IF(#REF!&lt;100,"",#REF!-330)</f>
        <v>#REF!</v>
      </c>
      <c r="L285" s="169" t="e">
        <f>IF(#REF!&lt;100,"",#REF!-330)</f>
        <v>#REF!</v>
      </c>
      <c r="M285" s="169" t="e">
        <f>IF(#REF!&lt;100,"",#REF!-330)</f>
        <v>#REF!</v>
      </c>
      <c r="N285" s="169" t="e">
        <f>IF(#REF!&lt;100,"",#REF!-330)</f>
        <v>#REF!</v>
      </c>
      <c r="O285" s="169" t="e">
        <f>IF(#REF!&lt;100,"",#REF!-330)</f>
        <v>#REF!</v>
      </c>
      <c r="P285" s="169" t="e">
        <f>IF(#REF!&lt;100,"",#REF!-330)</f>
        <v>#REF!</v>
      </c>
      <c r="Q285" s="169" t="e">
        <f>IF(#REF!&lt;100,"",#REF!-330)</f>
        <v>#REF!</v>
      </c>
      <c r="R285" s="169" t="e">
        <f>IF(#REF!&lt;100,"",#REF!-330)</f>
        <v>#REF!</v>
      </c>
      <c r="S285" s="169" t="e">
        <f>IF(#REF!&lt;100,"",#REF!-330)</f>
        <v>#REF!</v>
      </c>
      <c r="T285" s="169" t="e">
        <f>IF(#REF!&lt;100,"",#REF!-330)</f>
        <v>#REF!</v>
      </c>
      <c r="U285" s="169" t="e">
        <f>IF(#REF!&lt;100,"",#REF!-330)</f>
        <v>#REF!</v>
      </c>
      <c r="V285" s="169" t="e">
        <f>IF(#REF!&lt;100,"",#REF!-330)</f>
        <v>#REF!</v>
      </c>
      <c r="W285" s="169" t="e">
        <f>IF(#REF!&lt;100,"",#REF!-330)</f>
        <v>#REF!</v>
      </c>
      <c r="X285" s="169" t="e">
        <f>IF(#REF!&lt;100,"",#REF!-330)</f>
        <v>#REF!</v>
      </c>
      <c r="Y285" s="169" t="e">
        <f>IF(#REF!&lt;100,"",#REF!-330)</f>
        <v>#REF!</v>
      </c>
      <c r="Z285" s="169" t="e">
        <f>IF(#REF!&lt;100,"",#REF!-330)</f>
        <v>#REF!</v>
      </c>
      <c r="AA285" s="169" t="e">
        <f>IF(#REF!&lt;100,"",#REF!-330)</f>
        <v>#REF!</v>
      </c>
      <c r="AB285" s="169" t="e">
        <f>IF(#REF!&lt;100,"",#REF!-330)</f>
        <v>#REF!</v>
      </c>
      <c r="AC285" s="169" t="e">
        <f>IF(#REF!&lt;100,"",#REF!-330)</f>
        <v>#REF!</v>
      </c>
      <c r="AD285" s="169" t="e">
        <f>IF(#REF!&lt;100,"",#REF!-330)</f>
        <v>#REF!</v>
      </c>
      <c r="AE285" s="169" t="e">
        <f>IF(#REF!&lt;100,"",#REF!-330)</f>
        <v>#REF!</v>
      </c>
      <c r="AF285" s="169" t="e">
        <f>IF(#REF!&lt;100,"",#REF!-330)</f>
        <v>#REF!</v>
      </c>
      <c r="AG285" s="43"/>
      <c r="AH285" s="43"/>
    </row>
    <row r="286" spans="1:34" x14ac:dyDescent="0.25">
      <c r="A286" s="169" t="e">
        <f>#REF!</f>
        <v>#REF!</v>
      </c>
      <c r="B286" s="169" t="e">
        <f>IF(#REF!&lt;100,"",#REF!-1500)</f>
        <v>#REF!</v>
      </c>
      <c r="C286" s="169" t="e">
        <f>IF(#REF!&lt;100,"",#REF!-1500)</f>
        <v>#REF!</v>
      </c>
      <c r="D286" s="169" t="e">
        <f>IF(#REF!&lt;100,"",#REF!-1500)</f>
        <v>#REF!</v>
      </c>
      <c r="E286" s="169" t="e">
        <f>IF(#REF!&lt;100,"",#REF!-1500)</f>
        <v>#REF!</v>
      </c>
      <c r="F286" s="169" t="e">
        <f>IF(#REF!&lt;100,"",#REF!-1500)</f>
        <v>#REF!</v>
      </c>
      <c r="G286" s="169" t="e">
        <f>IF(#REF!&lt;100,"",#REF!-1500)</f>
        <v>#REF!</v>
      </c>
      <c r="H286" s="169" t="e">
        <f>IF(#REF!&lt;100,"",#REF!-1500)</f>
        <v>#REF!</v>
      </c>
      <c r="I286" s="169" t="e">
        <f>IF(#REF!&lt;100,"",#REF!-1500)</f>
        <v>#REF!</v>
      </c>
      <c r="J286" s="169" t="e">
        <f>IF(#REF!&lt;100,"",#REF!-1500)</f>
        <v>#REF!</v>
      </c>
      <c r="K286" s="169" t="e">
        <f>IF(#REF!&lt;100,"",#REF!-1500)</f>
        <v>#REF!</v>
      </c>
      <c r="L286" s="169" t="e">
        <f>IF(#REF!&lt;100,"",#REF!-1500)</f>
        <v>#REF!</v>
      </c>
      <c r="M286" s="169" t="e">
        <f>IF(#REF!&lt;100,"",#REF!-1500)</f>
        <v>#REF!</v>
      </c>
      <c r="N286" s="169" t="e">
        <f>IF(#REF!&lt;100,"",#REF!-1500)</f>
        <v>#REF!</v>
      </c>
      <c r="O286" s="169" t="e">
        <f>IF(#REF!&lt;100,"",#REF!-1500)</f>
        <v>#REF!</v>
      </c>
      <c r="P286" s="169" t="e">
        <f>IF(#REF!&lt;100,"",#REF!-1500)</f>
        <v>#REF!</v>
      </c>
      <c r="Q286" s="169" t="e">
        <f>IF(#REF!&lt;100,"",#REF!-1500)</f>
        <v>#REF!</v>
      </c>
      <c r="R286" s="169" t="e">
        <f>IF(#REF!&lt;100,"",#REF!-1500)</f>
        <v>#REF!</v>
      </c>
      <c r="S286" s="169" t="e">
        <f>IF(#REF!&lt;100,"",#REF!-1500)</f>
        <v>#REF!</v>
      </c>
      <c r="T286" s="169" t="e">
        <f>IF(#REF!&lt;100,"",#REF!-1500)</f>
        <v>#REF!</v>
      </c>
      <c r="U286" s="169" t="e">
        <f>IF(#REF!&lt;100,"",#REF!-1500)</f>
        <v>#REF!</v>
      </c>
      <c r="V286" s="169" t="e">
        <f>IF(#REF!&lt;100,"",#REF!-1500)</f>
        <v>#REF!</v>
      </c>
      <c r="W286" s="169" t="e">
        <f>IF(#REF!&lt;100,"",#REF!-1500)</f>
        <v>#REF!</v>
      </c>
      <c r="X286" s="169" t="e">
        <f>IF(#REF!&lt;100,"",#REF!-1500)</f>
        <v>#REF!</v>
      </c>
      <c r="Y286" s="169" t="e">
        <f>IF(#REF!&lt;100,"",#REF!-1500)</f>
        <v>#REF!</v>
      </c>
      <c r="Z286" s="169" t="e">
        <f>IF(#REF!&lt;100,"",#REF!-1500)</f>
        <v>#REF!</v>
      </c>
      <c r="AA286" s="169" t="e">
        <f>IF(#REF!&lt;100,"",#REF!-1500)</f>
        <v>#REF!</v>
      </c>
      <c r="AB286" s="169" t="e">
        <f>IF(#REF!&lt;100,"",#REF!-1500)</f>
        <v>#REF!</v>
      </c>
      <c r="AC286" s="169" t="e">
        <f>IF(#REF!&lt;100,"",#REF!-1500)</f>
        <v>#REF!</v>
      </c>
      <c r="AD286" s="169" t="e">
        <f>IF(#REF!&lt;100,"",#REF!-1500)</f>
        <v>#REF!</v>
      </c>
      <c r="AE286" s="169" t="e">
        <f>IF(#REF!&lt;100,"",#REF!-1500)</f>
        <v>#REF!</v>
      </c>
      <c r="AF286" s="169" t="e">
        <f>IF(#REF!&lt;100,"",#REF!-1500)</f>
        <v>#REF!</v>
      </c>
      <c r="AG286" s="43"/>
      <c r="AH286" s="43"/>
    </row>
    <row r="287" spans="1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1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2:34" x14ac:dyDescent="0.25"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2:34" x14ac:dyDescent="0.25"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2:34" x14ac:dyDescent="0.25"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2:34" x14ac:dyDescent="0.25"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2:34" x14ac:dyDescent="0.25"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3491" priority="1">
      <formula>$AH11=0</formula>
    </cfRule>
  </conditionalFormatting>
  <conditionalFormatting sqref="A132:A253">
    <cfRule type="expression" dxfId="3490" priority="6">
      <formula>$AH132=0</formula>
    </cfRule>
  </conditionalFormatting>
  <conditionalFormatting sqref="B8 M8 S8 AB8">
    <cfRule type="expression" dxfId="3489" priority="114">
      <formula>AND(C$9&gt;=14/24,C$9&lt;20/24)</formula>
    </cfRule>
    <cfRule type="expression" dxfId="3488" priority="115">
      <formula>AND(C$9&gt;=8/24,C$9&lt;14/24)</formula>
    </cfRule>
    <cfRule type="expression" dxfId="3487" priority="116">
      <formula>C$9&lt;8/24</formula>
    </cfRule>
  </conditionalFormatting>
  <conditionalFormatting sqref="J64:J74 B63:I74 E69:R74 F66:R66 S70:AF74">
    <cfRule type="expression" dxfId="3486" priority="21">
      <formula>B$9&gt;=20/24</formula>
    </cfRule>
    <cfRule type="expression" dxfId="3485" priority="22">
      <formula>AND(B$9&gt;=14/24,B$9&lt;20/24)</formula>
    </cfRule>
    <cfRule type="expression" dxfId="3484" priority="23">
      <formula>AND(B$9&gt;=8/24,B$9&lt;14/24)</formula>
    </cfRule>
    <cfRule type="expression" dxfId="3483" priority="24">
      <formula>B$9&lt;8/24</formula>
    </cfRule>
  </conditionalFormatting>
  <conditionalFormatting sqref="B51:AF54">
    <cfRule type="expression" dxfId="3482" priority="15">
      <formula>B51&gt;$AG51</formula>
    </cfRule>
  </conditionalFormatting>
  <conditionalFormatting sqref="B53:AF54">
    <cfRule type="expression" dxfId="3481" priority="14">
      <formula>B$9&lt;8/24</formula>
    </cfRule>
  </conditionalFormatting>
  <conditionalFormatting sqref="B55:AF55">
    <cfRule type="expression" dxfId="3480" priority="35">
      <formula>B55&gt;$AG55</formula>
    </cfRule>
  </conditionalFormatting>
  <conditionalFormatting sqref="B57:J57 B55:AF56">
    <cfRule type="expression" dxfId="3479" priority="34">
      <formula>B$9&lt;8/24</formula>
    </cfRule>
  </conditionalFormatting>
  <conditionalFormatting sqref="B11:AF50">
    <cfRule type="expression" dxfId="3478" priority="25">
      <formula>B11&gt;$AG11</formula>
    </cfRule>
  </conditionalFormatting>
  <conditionalFormatting sqref="B9:AF52">
    <cfRule type="expression" dxfId="3477" priority="26">
      <formula>B$9&gt;=20/24</formula>
    </cfRule>
    <cfRule type="expression" dxfId="3476" priority="27">
      <formula>AND(B$9&gt;=14/24,B$9&lt;20/24)</formula>
    </cfRule>
    <cfRule type="expression" dxfId="3475" priority="28">
      <formula>AND(B$9&gt;=8/24,B$9&lt;14/24)</formula>
    </cfRule>
    <cfRule type="expression" dxfId="3474" priority="29">
      <formula>B$9&lt;8/24</formula>
    </cfRule>
  </conditionalFormatting>
  <conditionalFormatting sqref="B53:AF54">
    <cfRule type="expression" dxfId="3473" priority="11">
      <formula>B$9&gt;=20/24</formula>
    </cfRule>
    <cfRule type="expression" dxfId="3472" priority="12">
      <formula>AND(B$9&gt;=14/24,B$9&lt;20/24)</formula>
    </cfRule>
    <cfRule type="expression" dxfId="3471" priority="13">
      <formula>AND(B$9&gt;=8/24,B$9&lt;14/24)</formula>
    </cfRule>
  </conditionalFormatting>
  <conditionalFormatting sqref="B55:AF57">
    <cfRule type="expression" dxfId="3470" priority="31">
      <formula>B$9&gt;=20/24</formula>
    </cfRule>
    <cfRule type="expression" dxfId="3469" priority="32">
      <formula>AND(B$9&gt;=14/24,B$9&lt;20/24)</formula>
    </cfRule>
    <cfRule type="expression" dxfId="3468" priority="33">
      <formula>AND(B$9&gt;=8/24,B$9&lt;14/24)</formula>
    </cfRule>
  </conditionalFormatting>
  <conditionalFormatting sqref="B56:AF61">
    <cfRule type="expression" dxfId="3467" priority="30">
      <formula>B56&gt;$AG56</formula>
    </cfRule>
  </conditionalFormatting>
  <conditionalFormatting sqref="B59:AF61">
    <cfRule type="expression" dxfId="3466" priority="41">
      <formula>B$9&gt;=20/24</formula>
    </cfRule>
    <cfRule type="expression" dxfId="3465" priority="42">
      <formula>AND(B$9&gt;=14/24,B$9&lt;20/24)</formula>
    </cfRule>
    <cfRule type="expression" dxfId="3464" priority="43">
      <formula>AND(B$9&gt;=8/24,B$9&lt;14/24)</formula>
    </cfRule>
    <cfRule type="expression" dxfId="3463" priority="44">
      <formula>B$9&lt;8/24</formula>
    </cfRule>
  </conditionalFormatting>
  <conditionalFormatting sqref="B63:AF74">
    <cfRule type="expression" dxfId="3462" priority="20">
      <formula>B63&gt;$AG63</formula>
    </cfRule>
  </conditionalFormatting>
  <conditionalFormatting sqref="B77:AF79">
    <cfRule type="expression" dxfId="3461" priority="45">
      <formula>B77&gt;$AG77</formula>
    </cfRule>
    <cfRule type="expression" dxfId="3460" priority="46">
      <formula>B$9&gt;=20/24</formula>
    </cfRule>
    <cfRule type="expression" dxfId="3459" priority="47">
      <formula>AND(B$9&gt;=14/24,B$9&lt;20/24)</formula>
    </cfRule>
    <cfRule type="expression" dxfId="3458" priority="48">
      <formula>AND(B$9&gt;=8/24,B$9&lt;14/24)</formula>
    </cfRule>
    <cfRule type="expression" dxfId="3457" priority="49">
      <formula>B$9&lt;8/24</formula>
    </cfRule>
  </conditionalFormatting>
  <conditionalFormatting sqref="B81:AF99">
    <cfRule type="expression" dxfId="3456" priority="16">
      <formula>B$9&gt;=20/24</formula>
    </cfRule>
    <cfRule type="expression" dxfId="3455" priority="17">
      <formula>AND(B$9&gt;=14/24,B$9&lt;20/24)</formula>
    </cfRule>
    <cfRule type="expression" dxfId="3454" priority="18">
      <formula>AND(B$9&gt;=8/24,B$9&lt;14/24)</formula>
    </cfRule>
    <cfRule type="expression" dxfId="3453" priority="19">
      <formula>B$9&lt;8/24</formula>
    </cfRule>
  </conditionalFormatting>
  <conditionalFormatting sqref="B101:AF117">
    <cfRule type="expression" dxfId="3452" priority="7">
      <formula>B$9&gt;=20/24</formula>
    </cfRule>
    <cfRule type="expression" dxfId="3451" priority="8">
      <formula>AND(B$9&gt;=14/24,B$9&lt;20/24)</formula>
    </cfRule>
    <cfRule type="expression" dxfId="3450" priority="9">
      <formula>AND(B$9&gt;=8/24,B$9&lt;14/24)</formula>
    </cfRule>
    <cfRule type="expression" dxfId="3449" priority="10">
      <formula>B$9&lt;8/24</formula>
    </cfRule>
  </conditionalFormatting>
  <conditionalFormatting sqref="B119:AF137">
    <cfRule type="expression" dxfId="3448" priority="2">
      <formula>B$9&gt;=20/24</formula>
    </cfRule>
    <cfRule type="expression" dxfId="3447" priority="3">
      <formula>AND(B$9&gt;=14/24,B$9&lt;20/24)</formula>
    </cfRule>
    <cfRule type="expression" dxfId="3446" priority="4">
      <formula>AND(B$9&gt;=8/24,B$9&lt;14/24)</formula>
    </cfRule>
    <cfRule type="expression" dxfId="3445" priority="5">
      <formula>B$9&lt;8/24</formula>
    </cfRule>
  </conditionalFormatting>
  <conditionalFormatting sqref="B244:AF244 B246:B252 D246:AF252 U260:AF260">
    <cfRule type="expression" dxfId="3444" priority="107">
      <formula>B$9&gt;=20/24</formula>
    </cfRule>
    <cfRule type="expression" dxfId="3443" priority="108">
      <formula>AND(B$9&gt;=14/24,B$9&lt;20/24)</formula>
    </cfRule>
    <cfRule type="expression" dxfId="3442" priority="109">
      <formula>AND(B$9&gt;=8/24,B$9&lt;14/24)</formula>
    </cfRule>
    <cfRule type="expression" dxfId="3441" priority="110">
      <formula>B$9&lt;8/24</formula>
    </cfRule>
  </conditionalFormatting>
  <conditionalFormatting sqref="B62:AG62">
    <cfRule type="expression" dxfId="3440" priority="50">
      <formula>B62&gt;$AG62</formula>
    </cfRule>
    <cfRule type="expression" dxfId="3439" priority="51">
      <formula>B$9&gt;=20/24</formula>
    </cfRule>
    <cfRule type="expression" dxfId="3438" priority="52">
      <formula>AND(B$9&gt;=14/24,B$9&lt;20/24)</formula>
    </cfRule>
    <cfRule type="expression" dxfId="3437" priority="53">
      <formula>AND(B$9&gt;=8/24,B$9&lt;14/24)</formula>
    </cfRule>
    <cfRule type="expression" dxfId="3436" priority="54">
      <formula>B$9&lt;8/24</formula>
    </cfRule>
  </conditionalFormatting>
  <conditionalFormatting sqref="B80:AG80 B75:AG76">
    <cfRule type="expression" dxfId="3435" priority="36">
      <formula>B75&gt;$AG75</formula>
    </cfRule>
  </conditionalFormatting>
  <conditionalFormatting sqref="B80:AG80">
    <cfRule type="expression" dxfId="3434" priority="37">
      <formula>B$9&gt;=20/24</formula>
    </cfRule>
    <cfRule type="expression" dxfId="3433" priority="38">
      <formula>AND(B$9&gt;=14/24,B$9&lt;20/24)</formula>
    </cfRule>
    <cfRule type="expression" dxfId="3432" priority="39">
      <formula>AND(B$9&gt;=8/24,B$9&lt;14/24)</formula>
    </cfRule>
    <cfRule type="expression" dxfId="3431" priority="40">
      <formula>B$9&lt;8/24</formula>
    </cfRule>
  </conditionalFormatting>
  <conditionalFormatting sqref="F63:L65 M64:R65">
    <cfRule type="expression" dxfId="3430" priority="88">
      <formula>F$9&gt;=20/24</formula>
    </cfRule>
    <cfRule type="expression" dxfId="3429" priority="89">
      <formula>AND(F$9&gt;=14/24,F$9&lt;20/24)</formula>
    </cfRule>
    <cfRule type="expression" dxfId="3428" priority="90">
      <formula>AND(F$9&gt;=8/24,F$9&lt;14/24)</formula>
    </cfRule>
    <cfRule type="expression" dxfId="3427" priority="91">
      <formula>F$9&lt;8/24</formula>
    </cfRule>
  </conditionalFormatting>
  <conditionalFormatting sqref="F68:R68">
    <cfRule type="expression" dxfId="3426" priority="65">
      <formula>F$9&gt;=20/24</formula>
    </cfRule>
    <cfRule type="expression" dxfId="3425" priority="66">
      <formula>AND(F$9&gt;=14/24,F$9&lt;20/24)</formula>
    </cfRule>
    <cfRule type="expression" dxfId="3424" priority="67">
      <formula>AND(F$9&gt;=8/24,F$9&lt;14/24)</formula>
    </cfRule>
    <cfRule type="expression" dxfId="3423" priority="68">
      <formula>F$9&lt;8/24</formula>
    </cfRule>
  </conditionalFormatting>
  <conditionalFormatting sqref="F69:AF74">
    <cfRule type="expression" dxfId="3422" priority="55">
      <formula>F$9&gt;=20/24</formula>
    </cfRule>
    <cfRule type="expression" dxfId="3421" priority="56">
      <formula>AND(F$9&gt;=14/24,F$9&lt;20/24)</formula>
    </cfRule>
    <cfRule type="expression" dxfId="3420" priority="57">
      <formula>AND(F$9&gt;=8/24,F$9&lt;14/24)</formula>
    </cfRule>
    <cfRule type="expression" dxfId="3419" priority="58">
      <formula>F$9&lt;8/24</formula>
    </cfRule>
  </conditionalFormatting>
  <conditionalFormatting sqref="B56:L56 K57:L57 M56:AF57">
    <cfRule type="expression" dxfId="3418" priority="63">
      <formula>B$9&lt;8/24</formula>
    </cfRule>
  </conditionalFormatting>
  <conditionalFormatting sqref="M63:R67">
    <cfRule type="expression" dxfId="3417" priority="92">
      <formula>M$9&gt;=20/24</formula>
    </cfRule>
    <cfRule type="expression" dxfId="3416" priority="93">
      <formula>AND(M$9&gt;=14/24,M$9&lt;20/24)</formula>
    </cfRule>
    <cfRule type="expression" dxfId="3415" priority="94">
      <formula>AND(M$9&gt;=8/24,M$9&lt;14/24)</formula>
    </cfRule>
    <cfRule type="expression" dxfId="3414" priority="95">
      <formula>M$9&lt;8/24</formula>
    </cfRule>
  </conditionalFormatting>
  <conditionalFormatting sqref="O3:P3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3413" priority="113">
      <formula>C$9&gt;=20/24</formula>
    </cfRule>
  </conditionalFormatting>
  <conditionalFormatting sqref="S8">
    <cfRule type="expression" dxfId="3412" priority="100">
      <formula>U$9&gt;=20/24</formula>
    </cfRule>
    <cfRule type="expression" dxfId="3411" priority="101">
      <formula>AND(U$9&gt;=14/24,U$9&lt;20/24)</formula>
    </cfRule>
    <cfRule type="expression" dxfId="3410" priority="102">
      <formula>AND(U$9&gt;=8/24,U$9&lt;14/24)</formula>
    </cfRule>
    <cfRule type="expression" dxfId="3409" priority="103">
      <formula>U$9&lt;8/24</formula>
    </cfRule>
  </conditionalFormatting>
  <conditionalFormatting sqref="S63:AF68">
    <cfRule type="expression" dxfId="3408" priority="59">
      <formula>S$9&gt;=20/24</formula>
    </cfRule>
    <cfRule type="expression" dxfId="3407" priority="60">
      <formula>AND(S$9&gt;=14/24,S$9&lt;20/24)</formula>
    </cfRule>
    <cfRule type="expression" dxfId="3406" priority="61">
      <formula>AND(S$9&gt;=8/24,S$9&lt;14/24)</formula>
    </cfRule>
    <cfRule type="expression" dxfId="3405" priority="62">
      <formula>S$9&lt;8/24</formula>
    </cfRule>
  </conditionalFormatting>
  <conditionalFormatting sqref="T260">
    <cfRule type="expression" dxfId="3404" priority="125">
      <formula>AX$9&gt;=20/24</formula>
    </cfRule>
    <cfRule type="expression" dxfId="3403" priority="126">
      <formula>AND(AX$9&gt;=14/24,AX$9&lt;20/24)</formula>
    </cfRule>
    <cfRule type="expression" dxfId="3402" priority="127">
      <formula>AND(AX$9&gt;=8/24,AX$9&lt;14/24)</formula>
    </cfRule>
    <cfRule type="expression" dxfId="3401" priority="128">
      <formula>AX$9&lt;8/24</formula>
    </cfRule>
  </conditionalFormatting>
  <conditionalFormatting sqref="V3 AB3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3400" priority="96">
      <formula>AD$9&gt;=20/24</formula>
    </cfRule>
    <cfRule type="expression" dxfId="3399" priority="97">
      <formula>AND(AD$9&gt;=14/24,AD$9&lt;20/24)</formula>
    </cfRule>
    <cfRule type="expression" dxfId="3398" priority="98">
      <formula>AND(AD$9&gt;=8/24,AD$9&lt;14/24)</formula>
    </cfRule>
    <cfRule type="expression" dxfId="3397" priority="99">
      <formula>AD$9&lt;8/24</formula>
    </cfRule>
  </conditionalFormatting>
  <conditionalFormatting sqref="AG58">
    <cfRule type="expression" dxfId="3396" priority="83">
      <formula>AG58&gt;$AG58</formula>
    </cfRule>
  </conditionalFormatting>
  <conditionalFormatting sqref="AG97">
    <cfRule type="expression" dxfId="3395" priority="84">
      <formula>AG$9&gt;=20/24</formula>
    </cfRule>
    <cfRule type="expression" dxfId="3394" priority="85">
      <formula>AND(AG$9&gt;=14/24,AG$9&lt;20/24)</formula>
    </cfRule>
    <cfRule type="expression" dxfId="3393" priority="86">
      <formula>AND(AG$9&gt;=8/24,AG$9&lt;14/24)</formula>
    </cfRule>
    <cfRule type="expression" dxfId="3392" priority="87">
      <formula>AG$9&lt;8/24</formula>
    </cfRule>
  </conditionalFormatting>
  <conditionalFormatting sqref="AG260">
    <cfRule type="expression" dxfId="3391" priority="117">
      <formula>B$9&gt;=20/24</formula>
    </cfRule>
    <cfRule type="expression" dxfId="3390" priority="118">
      <formula>AND(B$9&gt;=14/24,B$9&lt;20/24)</formula>
    </cfRule>
    <cfRule type="expression" dxfId="3389" priority="119">
      <formula>AND(B$9&gt;=8/24,B$9&lt;14/24)</formula>
    </cfRule>
    <cfRule type="expression" dxfId="3388" priority="120">
      <formula>B$9&lt;8/24</formula>
    </cfRule>
  </conditionalFormatting>
  <conditionalFormatting sqref="AH260:AX260">
    <cfRule type="expression" dxfId="3387" priority="121">
      <formula>AG$9&gt;=20/24</formula>
    </cfRule>
    <cfRule type="expression" dxfId="3386" priority="122">
      <formula>AND(AG$9&gt;=14/24,AG$9&lt;20/24)</formula>
    </cfRule>
    <cfRule type="expression" dxfId="3385" priority="123">
      <formula>AND(AG$9&gt;=8/24,AG$9&lt;14/24)</formula>
    </cfRule>
    <cfRule type="expression" dxfId="3384" priority="124">
      <formula>AG$9&lt;8/24</formula>
    </cfRule>
  </conditionalFormatting>
  <conditionalFormatting sqref="AL4:AL6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19:AL20">
    <cfRule type="iconSet" priority="71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8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70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8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82">
      <iconSet iconSet="3TrafficLights2" reverse="1">
        <cfvo type="percent" val="0"/>
        <cfvo type="num" val="1"/>
        <cfvo type="num" val="1"/>
      </iconSet>
    </cfRule>
  </conditionalFormatting>
  <conditionalFormatting sqref="AL48 AL45:AL46 AL21:AL24 AL7:AL18 AL26:AL37 AL39:AL43 AL54:AL55">
    <cfRule type="iconSet" priority="129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04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69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3383" priority="130">
      <formula>AJ$9&gt;=20/24</formula>
    </cfRule>
    <cfRule type="expression" dxfId="3382" priority="131">
      <formula>AND(AJ$9&gt;=14/24,AJ$9&lt;20/24)</formula>
    </cfRule>
    <cfRule type="expression" dxfId="3381" priority="132">
      <formula>AND(AJ$9&gt;=8/24,AJ$9&lt;14/24)</formula>
    </cfRule>
    <cfRule type="expression" dxfId="3380" priority="133">
      <formula>AJ$9&lt;8/24</formula>
    </cfRule>
  </conditionalFormatting>
  <conditionalFormatting sqref="AL88:AN88 AL94:AN94">
    <cfRule type="expression" dxfId="3379" priority="76">
      <formula>AL$9&gt;=20/24</formula>
    </cfRule>
    <cfRule type="expression" dxfId="3378" priority="77">
      <formula>AND(AL$9&gt;=14/24,AL$9&lt;20/24)</formula>
    </cfRule>
    <cfRule type="expression" dxfId="3377" priority="78">
      <formula>AND(AL$9&gt;=8/24,AL$9&lt;14/24)</formula>
    </cfRule>
    <cfRule type="expression" dxfId="3376" priority="79">
      <formula>AL$9&lt;8/24</formula>
    </cfRule>
  </conditionalFormatting>
  <conditionalFormatting sqref="AN89:AN92">
    <cfRule type="expression" dxfId="3375" priority="72">
      <formula>AN$9&gt;=20/24</formula>
    </cfRule>
    <cfRule type="expression" dxfId="3374" priority="73">
      <formula>AND(AN$9&gt;=14/24,AN$9&lt;20/24)</formula>
    </cfRule>
    <cfRule type="expression" dxfId="3373" priority="74">
      <formula>AND(AN$9&gt;=8/24,AN$9&lt;14/24)</formula>
    </cfRule>
    <cfRule type="expression" dxfId="3372" priority="75">
      <formula>AN$9&lt;8/24</formula>
    </cfRule>
  </conditionalFormatting>
  <pageMargins left="0.7" right="0.7" top="0.75" bottom="0.75" header="0.3" footer="0.3"/>
  <drawing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FA73B-ED87-4307-942C-1E9828832A4A}">
  <sheetPr codeName="Sheet35"/>
  <dimension ref="A1:CJ293"/>
  <sheetViews>
    <sheetView zoomScaleNormal="100" workbookViewId="0">
      <pane xSplit="1" ySplit="10" topLeftCell="B111" activePane="bottomRight" state="frozen"/>
      <selection activeCell="Z63" sqref="Z63"/>
      <selection pane="topRight" activeCell="Z63" sqref="Z63"/>
      <selection pane="bottomLeft" activeCell="Z63" sqref="Z63"/>
      <selection pane="bottomRight" activeCell="E132" sqref="E132"/>
    </sheetView>
  </sheetViews>
  <sheetFormatPr defaultColWidth="9.140625" defaultRowHeight="15" x14ac:dyDescent="0.25"/>
  <cols>
    <col min="1" max="1" width="35.28515625" style="1" bestFit="1" customWidth="1"/>
    <col min="2" max="2" width="7.42578125" style="1" bestFit="1" customWidth="1"/>
    <col min="3" max="3" width="7.140625" style="1" customWidth="1"/>
    <col min="4" max="4" width="9.140625" style="1" customWidth="1"/>
    <col min="5" max="7" width="7.42578125" style="1" bestFit="1" customWidth="1"/>
    <col min="8" max="8" width="6.42578125" style="1" bestFit="1" customWidth="1"/>
    <col min="9" max="9" width="7.42578125" style="1" bestFit="1" customWidth="1"/>
    <col min="10" max="10" width="6.28515625" style="1" bestFit="1" customWidth="1"/>
    <col min="11" max="11" width="7.42578125" style="1" bestFit="1" customWidth="1"/>
    <col min="12" max="12" width="6" style="1" bestFit="1" customWidth="1"/>
    <col min="13" max="13" width="7" style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8.85546875" style="1" customWidth="1"/>
    <col min="20" max="20" width="9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hidden="1" customHeight="1" thickBot="1" x14ac:dyDescent="0.3">
      <c r="A1" s="275" t="s">
        <v>0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  <c r="AD1" s="275"/>
      <c r="AE1" s="275"/>
      <c r="AF1" s="275"/>
      <c r="AG1" s="276" t="s">
        <v>1</v>
      </c>
      <c r="AH1" s="276"/>
      <c r="AI1" s="276"/>
      <c r="AL1" s="2"/>
    </row>
    <row r="2" spans="1:88" ht="20.25" hidden="1" x14ac:dyDescent="0.25">
      <c r="A2" s="3"/>
      <c r="B2" s="277" t="s">
        <v>2</v>
      </c>
      <c r="C2" s="4"/>
      <c r="D2" s="279" t="s">
        <v>3</v>
      </c>
      <c r="E2" s="4"/>
      <c r="F2" s="279" t="s">
        <v>4</v>
      </c>
      <c r="G2" s="4"/>
      <c r="H2" s="279" t="s">
        <v>5</v>
      </c>
      <c r="I2" s="5"/>
      <c r="J2" s="281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78"/>
      <c r="C3" s="16"/>
      <c r="D3" s="280"/>
      <c r="E3" s="16"/>
      <c r="F3" s="280"/>
      <c r="G3" s="16"/>
      <c r="H3" s="280"/>
      <c r="I3" s="17"/>
      <c r="J3" s="281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70" t="str">
        <f ca="1">"2080/"&amp;"10/"&amp;INT(MID(CELL("filename",D6),FIND("]",CELL("filename",D6))+1,200))</f>
        <v>2080/10/29</v>
      </c>
      <c r="C4" s="270"/>
      <c r="D4" s="270"/>
      <c r="E4" s="271" t="str">
        <f ca="1">"2080/"&amp;"10/"&amp;INT(MID(CELL("filename",G6),FIND("]",CELL("filename",G6))+1,200))</f>
        <v>2080/10/29</v>
      </c>
      <c r="F4" s="271"/>
      <c r="G4" s="271"/>
      <c r="H4" s="271" t="str">
        <f ca="1">TEXT(E4,"dddd")</f>
        <v>Tuesday</v>
      </c>
      <c r="I4" s="271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C92</f>
        <v>495.80000000000007</v>
      </c>
      <c r="C5" s="30">
        <f t="shared" si="0"/>
        <v>507.20000000000005</v>
      </c>
      <c r="D5" s="30">
        <f t="shared" si="0"/>
        <v>531.4</v>
      </c>
      <c r="E5" s="30">
        <f t="shared" si="0"/>
        <v>520.5</v>
      </c>
      <c r="F5" s="30">
        <f t="shared" si="0"/>
        <v>567.04</v>
      </c>
      <c r="G5" s="30">
        <f t="shared" si="0"/>
        <v>571.70000000000005</v>
      </c>
      <c r="H5" s="30">
        <f t="shared" si="0"/>
        <v>569.69999999999993</v>
      </c>
      <c r="I5" s="30">
        <f t="shared" si="0"/>
        <v>620.50000000000011</v>
      </c>
      <c r="J5" s="30">
        <f t="shared" si="0"/>
        <v>368.3</v>
      </c>
      <c r="K5" s="30">
        <f t="shared" si="0"/>
        <v>246.5</v>
      </c>
      <c r="L5" s="30">
        <f t="shared" si="0"/>
        <v>220.3</v>
      </c>
      <c r="M5" s="30">
        <f t="shared" si="0"/>
        <v>279.90000000000003</v>
      </c>
      <c r="N5" s="30">
        <f t="shared" si="0"/>
        <v>341.19999999999993</v>
      </c>
      <c r="O5" s="30">
        <f t="shared" si="0"/>
        <v>576.5</v>
      </c>
      <c r="P5" s="30">
        <f t="shared" si="0"/>
        <v>700.7</v>
      </c>
      <c r="Q5" s="30">
        <f t="shared" si="0"/>
        <v>643.9</v>
      </c>
      <c r="R5" s="30">
        <f t="shared" si="0"/>
        <v>714.29999999999984</v>
      </c>
      <c r="S5" s="30">
        <f t="shared" si="0"/>
        <v>763.6</v>
      </c>
      <c r="T5" s="30">
        <f t="shared" si="0"/>
        <v>612.4</v>
      </c>
      <c r="U5" s="30">
        <f t="shared" si="0"/>
        <v>542.70000000000005</v>
      </c>
      <c r="V5" s="30">
        <f t="shared" si="0"/>
        <v>475.3</v>
      </c>
      <c r="W5" s="30">
        <f t="shared" si="0"/>
        <v>363.1</v>
      </c>
      <c r="X5" s="30">
        <f t="shared" si="0"/>
        <v>295.70000000000005</v>
      </c>
      <c r="Y5" s="30">
        <f t="shared" si="0"/>
        <v>258.2</v>
      </c>
      <c r="Z5" s="30">
        <f t="shared" si="0"/>
        <v>238.4</v>
      </c>
      <c r="AA5" s="30">
        <f t="shared" si="0"/>
        <v>356.20000000000005</v>
      </c>
      <c r="AB5" s="30">
        <f t="shared" si="0"/>
        <v>489.4</v>
      </c>
      <c r="AC5" s="30">
        <f t="shared" si="0"/>
        <v>563</v>
      </c>
      <c r="AD5" s="30">
        <f t="shared" si="0"/>
        <v>611.90000000000009</v>
      </c>
      <c r="AE5" s="30">
        <f t="shared" si="0"/>
        <v>605.5</v>
      </c>
      <c r="AF5" s="30">
        <f>B92</f>
        <v>508.6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1769MW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Load=1137</v>
      </c>
      <c r="B7" s="35">
        <f>B100</f>
        <v>1163.1399999999999</v>
      </c>
      <c r="C7" s="35">
        <f t="shared" ref="C7:AF7" si="1">C100</f>
        <v>1148.2400000000002</v>
      </c>
      <c r="D7" s="35">
        <f t="shared" si="1"/>
        <v>1159.94</v>
      </c>
      <c r="E7" s="35">
        <f t="shared" si="1"/>
        <v>1149.1399999999999</v>
      </c>
      <c r="F7" s="35">
        <f t="shared" si="1"/>
        <v>1137.44</v>
      </c>
      <c r="G7" s="35">
        <f t="shared" si="1"/>
        <v>1224.48</v>
      </c>
      <c r="H7" s="35">
        <f t="shared" si="1"/>
        <v>1335.64</v>
      </c>
      <c r="I7" s="35">
        <f t="shared" si="1"/>
        <v>1422.34</v>
      </c>
      <c r="J7" s="35">
        <f t="shared" si="1"/>
        <v>1556.44</v>
      </c>
      <c r="K7" s="35">
        <f t="shared" si="1"/>
        <v>1710.44</v>
      </c>
      <c r="L7" s="35">
        <f t="shared" si="1"/>
        <v>1769.3400000000001</v>
      </c>
      <c r="M7" s="35">
        <f t="shared" si="1"/>
        <v>1765.84</v>
      </c>
      <c r="N7" s="35">
        <f t="shared" si="1"/>
        <v>1631.7400000000002</v>
      </c>
      <c r="O7" s="35">
        <f t="shared" si="1"/>
        <v>1554.2399999999998</v>
      </c>
      <c r="P7" s="35">
        <f t="shared" si="1"/>
        <v>1357.3400000000001</v>
      </c>
      <c r="Q7" s="35">
        <f t="shared" si="1"/>
        <v>1482.8400000000001</v>
      </c>
      <c r="R7" s="35">
        <f t="shared" si="1"/>
        <v>1395.2400000000002</v>
      </c>
      <c r="S7" s="35">
        <f t="shared" si="1"/>
        <v>1464.44</v>
      </c>
      <c r="T7" s="35">
        <f t="shared" si="1"/>
        <v>1464.04</v>
      </c>
      <c r="U7" s="35">
        <f t="shared" si="1"/>
        <v>1425.8400000000001</v>
      </c>
      <c r="V7" s="35">
        <f t="shared" si="1"/>
        <v>1295.2400000000002</v>
      </c>
      <c r="W7" s="35">
        <f t="shared" si="1"/>
        <v>1220.94</v>
      </c>
      <c r="X7" s="35">
        <f t="shared" si="1"/>
        <v>1393.1399999999999</v>
      </c>
      <c r="Y7" s="35">
        <f t="shared" si="1"/>
        <v>1849.8400000000001</v>
      </c>
      <c r="Z7" s="35">
        <f t="shared" si="1"/>
        <v>1781.54</v>
      </c>
      <c r="AA7" s="35">
        <f t="shared" si="1"/>
        <v>1722.94</v>
      </c>
      <c r="AB7" s="35">
        <f t="shared" si="1"/>
        <v>1706.19</v>
      </c>
      <c r="AC7" s="35">
        <f t="shared" si="1"/>
        <v>1727.8899999999999</v>
      </c>
      <c r="AD7" s="35">
        <f t="shared" si="1"/>
        <v>1690.29</v>
      </c>
      <c r="AE7" s="35">
        <f t="shared" si="1"/>
        <v>1359.19</v>
      </c>
      <c r="AF7" s="35">
        <f t="shared" si="1"/>
        <v>1223.79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72" t="s">
        <v>14</v>
      </c>
      <c r="C8" s="273"/>
      <c r="D8" s="273"/>
      <c r="E8" s="273"/>
      <c r="F8" s="273"/>
      <c r="G8" s="273"/>
      <c r="H8" s="273"/>
      <c r="I8" s="273"/>
      <c r="J8" s="273"/>
      <c r="K8" s="273"/>
      <c r="L8" s="274"/>
      <c r="M8" s="265" t="s">
        <v>15</v>
      </c>
      <c r="N8" s="266"/>
      <c r="O8" s="266"/>
      <c r="P8" s="266"/>
      <c r="Q8" s="266"/>
      <c r="R8" s="267"/>
      <c r="S8" s="265" t="s">
        <v>16</v>
      </c>
      <c r="T8" s="266"/>
      <c r="U8" s="266"/>
      <c r="V8" s="266"/>
      <c r="W8" s="266"/>
      <c r="X8" s="266"/>
      <c r="Y8" s="266"/>
      <c r="Z8" s="266"/>
      <c r="AA8" s="267"/>
      <c r="AB8" s="265" t="s">
        <v>17</v>
      </c>
      <c r="AC8" s="266"/>
      <c r="AD8" s="266"/>
      <c r="AE8" s="266"/>
      <c r="AF8" s="267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68" t="s">
        <v>18</v>
      </c>
      <c r="B9" s="264">
        <v>0</v>
      </c>
      <c r="C9" s="264">
        <v>4.1666666666666664E-2</v>
      </c>
      <c r="D9" s="264">
        <v>8.3333333333333301E-2</v>
      </c>
      <c r="E9" s="264">
        <v>0.125</v>
      </c>
      <c r="F9" s="264">
        <v>0.16666666666666699</v>
      </c>
      <c r="G9" s="264">
        <v>0.20833333333333301</v>
      </c>
      <c r="H9" s="264">
        <v>0.22916666666666666</v>
      </c>
      <c r="I9" s="264">
        <v>0.25</v>
      </c>
      <c r="J9" s="264">
        <v>0.27083333333333331</v>
      </c>
      <c r="K9" s="264">
        <v>0.29166666666666669</v>
      </c>
      <c r="L9" s="264">
        <v>0.3125</v>
      </c>
      <c r="M9" s="262">
        <v>0.33333333333333331</v>
      </c>
      <c r="N9" s="262">
        <v>0.375</v>
      </c>
      <c r="O9" s="262">
        <v>0.41666666666666702</v>
      </c>
      <c r="P9" s="262">
        <v>0.45833333333333298</v>
      </c>
      <c r="Q9" s="262">
        <v>0.5</v>
      </c>
      <c r="R9" s="262">
        <v>0.54166666666666696</v>
      </c>
      <c r="S9" s="258">
        <v>0.58333333333333304</v>
      </c>
      <c r="T9" s="258">
        <v>0.625</v>
      </c>
      <c r="U9" s="258">
        <v>0.66666666666666696</v>
      </c>
      <c r="V9" s="258">
        <v>0.70833333333333304</v>
      </c>
      <c r="W9" s="258">
        <v>0.72916666666666663</v>
      </c>
      <c r="X9" s="258">
        <v>0.75</v>
      </c>
      <c r="Y9" s="258">
        <v>0.77083333333333337</v>
      </c>
      <c r="Z9" s="258">
        <v>0.79166666666666663</v>
      </c>
      <c r="AA9" s="258">
        <v>0.8125</v>
      </c>
      <c r="AB9" s="258">
        <v>0.83333333333333337</v>
      </c>
      <c r="AC9" s="258">
        <v>0.85416666666666663</v>
      </c>
      <c r="AD9" s="258">
        <v>0.875</v>
      </c>
      <c r="AE9" s="258">
        <v>0.91666666666666696</v>
      </c>
      <c r="AF9" s="258">
        <v>0.95833333333333304</v>
      </c>
      <c r="AG9" s="260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69"/>
      <c r="B10" s="259"/>
      <c r="C10" s="259"/>
      <c r="D10" s="259"/>
      <c r="E10" s="259"/>
      <c r="F10" s="259"/>
      <c r="G10" s="259"/>
      <c r="H10" s="259"/>
      <c r="I10" s="259"/>
      <c r="J10" s="259"/>
      <c r="K10" s="259"/>
      <c r="L10" s="259"/>
      <c r="M10" s="263"/>
      <c r="N10" s="263"/>
      <c r="O10" s="263"/>
      <c r="P10" s="263"/>
      <c r="Q10" s="263"/>
      <c r="R10" s="263"/>
      <c r="S10" s="259"/>
      <c r="T10" s="259"/>
      <c r="U10" s="259"/>
      <c r="V10" s="259"/>
      <c r="W10" s="259"/>
      <c r="X10" s="259"/>
      <c r="Y10" s="259"/>
      <c r="Z10" s="259"/>
      <c r="AA10" s="259"/>
      <c r="AB10" s="259"/>
      <c r="AC10" s="259"/>
      <c r="AD10" s="259"/>
      <c r="AE10" s="259"/>
      <c r="AF10" s="259"/>
      <c r="AG10" s="261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27.6</v>
      </c>
      <c r="C11" s="45">
        <v>27.6</v>
      </c>
      <c r="D11" s="45">
        <v>27.6</v>
      </c>
      <c r="E11" s="45">
        <v>27.6</v>
      </c>
      <c r="F11" s="45">
        <v>27.6</v>
      </c>
      <c r="G11" s="45">
        <v>27.6</v>
      </c>
      <c r="H11" s="45">
        <v>27.6</v>
      </c>
      <c r="I11" s="45">
        <v>27.6</v>
      </c>
      <c r="J11" s="45">
        <v>27.6</v>
      </c>
      <c r="K11" s="45">
        <v>27.6</v>
      </c>
      <c r="L11" s="45">
        <v>27.6</v>
      </c>
      <c r="M11" s="45">
        <v>28.9</v>
      </c>
      <c r="N11" s="45">
        <v>27.2</v>
      </c>
      <c r="O11" s="45">
        <v>27.2</v>
      </c>
      <c r="P11" s="45">
        <v>26.9</v>
      </c>
      <c r="Q11" s="45">
        <v>27.2</v>
      </c>
      <c r="R11" s="45">
        <v>28.9</v>
      </c>
      <c r="S11" s="45">
        <v>28.9</v>
      </c>
      <c r="T11" s="45">
        <v>28.9</v>
      </c>
      <c r="U11" s="45">
        <v>28.9</v>
      </c>
      <c r="V11" s="45">
        <v>28.9</v>
      </c>
      <c r="W11" s="45">
        <v>28.9</v>
      </c>
      <c r="X11" s="45">
        <v>28.9</v>
      </c>
      <c r="Y11" s="45">
        <v>28.9</v>
      </c>
      <c r="Z11" s="45">
        <v>28.9</v>
      </c>
      <c r="AA11" s="45">
        <v>28.9</v>
      </c>
      <c r="AB11" s="45">
        <v>30.5</v>
      </c>
      <c r="AC11" s="45">
        <v>30.5</v>
      </c>
      <c r="AD11" s="45">
        <v>30.5</v>
      </c>
      <c r="AE11" s="45">
        <v>30.5</v>
      </c>
      <c r="AF11" s="45">
        <v>30.5</v>
      </c>
      <c r="AG11" s="46">
        <v>86</v>
      </c>
      <c r="AH11" s="47">
        <f t="shared" ref="AH11:AH84" si="2">MAX(B11:AF11)</f>
        <v>30.5</v>
      </c>
      <c r="AI11" s="48">
        <f t="shared" ref="AI11:AI84" si="3">MIN(B11:AF11)</f>
        <v>26.9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262</v>
      </c>
      <c r="B12" s="45">
        <v>9.8000000000000007</v>
      </c>
      <c r="C12" s="45">
        <v>9.8000000000000007</v>
      </c>
      <c r="D12" s="45">
        <v>9.8000000000000007</v>
      </c>
      <c r="E12" s="45">
        <v>9.8000000000000007</v>
      </c>
      <c r="F12" s="45">
        <v>9.8000000000000007</v>
      </c>
      <c r="G12" s="45">
        <v>9.8000000000000007</v>
      </c>
      <c r="H12" s="45">
        <v>9.8000000000000007</v>
      </c>
      <c r="I12" s="45">
        <v>9.8000000000000007</v>
      </c>
      <c r="J12" s="45">
        <v>9.8000000000000007</v>
      </c>
      <c r="K12" s="45">
        <v>9.8000000000000007</v>
      </c>
      <c r="L12" s="45">
        <v>9.8000000000000007</v>
      </c>
      <c r="M12" s="45">
        <v>9.8000000000000007</v>
      </c>
      <c r="N12" s="45">
        <v>9.8000000000000007</v>
      </c>
      <c r="O12" s="45">
        <v>9.8000000000000007</v>
      </c>
      <c r="P12" s="45">
        <v>9.8000000000000007</v>
      </c>
      <c r="Q12" s="45">
        <v>9.8000000000000007</v>
      </c>
      <c r="R12" s="45">
        <v>9.8000000000000007</v>
      </c>
      <c r="S12" s="45">
        <v>9.8000000000000007</v>
      </c>
      <c r="T12" s="45">
        <v>9.8000000000000007</v>
      </c>
      <c r="U12" s="45">
        <v>9.8000000000000007</v>
      </c>
      <c r="V12" s="45">
        <v>9.8000000000000007</v>
      </c>
      <c r="W12" s="45">
        <v>9.8000000000000007</v>
      </c>
      <c r="X12" s="45">
        <v>9.8000000000000007</v>
      </c>
      <c r="Y12" s="45">
        <v>9.8000000000000007</v>
      </c>
      <c r="Z12" s="45">
        <v>9.8000000000000007</v>
      </c>
      <c r="AA12" s="45">
        <v>9.8000000000000007</v>
      </c>
      <c r="AB12" s="45">
        <v>9.8000000000000007</v>
      </c>
      <c r="AC12" s="45">
        <v>9.8000000000000007</v>
      </c>
      <c r="AD12" s="45">
        <v>9.8000000000000007</v>
      </c>
      <c r="AE12" s="45">
        <v>9.8000000000000007</v>
      </c>
      <c r="AF12" s="45">
        <v>9.8000000000000007</v>
      </c>
      <c r="AG12" s="49">
        <v>54</v>
      </c>
      <c r="AH12" s="47">
        <f t="shared" si="2"/>
        <v>9.8000000000000007</v>
      </c>
      <c r="AI12" s="48">
        <f t="shared" si="3"/>
        <v>9.8000000000000007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12</v>
      </c>
      <c r="C13" s="45">
        <v>12</v>
      </c>
      <c r="D13" s="45">
        <v>12</v>
      </c>
      <c r="E13" s="45">
        <v>12</v>
      </c>
      <c r="F13" s="45">
        <v>12</v>
      </c>
      <c r="G13" s="45">
        <v>12</v>
      </c>
      <c r="H13" s="45">
        <v>12</v>
      </c>
      <c r="I13" s="45">
        <v>12</v>
      </c>
      <c r="J13" s="45">
        <v>12</v>
      </c>
      <c r="K13" s="45">
        <v>12</v>
      </c>
      <c r="L13" s="45">
        <v>12</v>
      </c>
      <c r="M13" s="45">
        <v>12</v>
      </c>
      <c r="N13" s="45">
        <v>12</v>
      </c>
      <c r="O13" s="45">
        <v>12</v>
      </c>
      <c r="P13" s="45">
        <v>12</v>
      </c>
      <c r="Q13" s="45">
        <v>12</v>
      </c>
      <c r="R13" s="45">
        <v>10.3</v>
      </c>
      <c r="S13" s="45">
        <v>10.3</v>
      </c>
      <c r="T13" s="45">
        <v>10.3</v>
      </c>
      <c r="U13" s="45">
        <v>10.3</v>
      </c>
      <c r="V13" s="45">
        <v>10.3</v>
      </c>
      <c r="W13" s="45">
        <v>10.3</v>
      </c>
      <c r="X13" s="45">
        <v>10.3</v>
      </c>
      <c r="Y13" s="45">
        <v>10.3</v>
      </c>
      <c r="Z13" s="45">
        <v>10.3</v>
      </c>
      <c r="AA13" s="45">
        <v>10.3</v>
      </c>
      <c r="AB13" s="45">
        <v>10.3</v>
      </c>
      <c r="AC13" s="45">
        <v>10.3</v>
      </c>
      <c r="AD13" s="45">
        <v>10.3</v>
      </c>
      <c r="AE13" s="45">
        <v>10.3</v>
      </c>
      <c r="AF13" s="45">
        <v>10.3</v>
      </c>
      <c r="AG13" s="49">
        <v>54</v>
      </c>
      <c r="AH13" s="47">
        <f t="shared" si="2"/>
        <v>12</v>
      </c>
      <c r="AI13" s="48">
        <f t="shared" si="3"/>
        <v>10.3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13.9</v>
      </c>
      <c r="C14" s="45">
        <v>13.9</v>
      </c>
      <c r="D14" s="45">
        <v>13.9</v>
      </c>
      <c r="E14" s="45">
        <v>13.9</v>
      </c>
      <c r="F14" s="45">
        <v>13.9</v>
      </c>
      <c r="G14" s="45">
        <v>13.9</v>
      </c>
      <c r="H14" s="45">
        <v>13.9</v>
      </c>
      <c r="I14" s="45">
        <v>13.9</v>
      </c>
      <c r="J14" s="45">
        <v>13.9</v>
      </c>
      <c r="K14" s="45">
        <v>13.9</v>
      </c>
      <c r="L14" s="45">
        <v>13.9</v>
      </c>
      <c r="M14" s="45">
        <v>12.5</v>
      </c>
      <c r="N14" s="45">
        <v>12.5</v>
      </c>
      <c r="O14" s="45">
        <v>12.5</v>
      </c>
      <c r="P14" s="45">
        <v>12.5</v>
      </c>
      <c r="Q14" s="45">
        <v>12.5</v>
      </c>
      <c r="R14" s="45">
        <v>9</v>
      </c>
      <c r="S14" s="45">
        <v>9</v>
      </c>
      <c r="T14" s="45">
        <v>9</v>
      </c>
      <c r="U14" s="45">
        <v>9</v>
      </c>
      <c r="V14" s="45">
        <v>9</v>
      </c>
      <c r="W14" s="45">
        <v>9</v>
      </c>
      <c r="X14" s="45">
        <v>9</v>
      </c>
      <c r="Y14" s="45">
        <v>9</v>
      </c>
      <c r="Z14" s="45">
        <v>9</v>
      </c>
      <c r="AA14" s="45">
        <v>9</v>
      </c>
      <c r="AB14" s="45">
        <v>16.399999999999999</v>
      </c>
      <c r="AC14" s="45">
        <v>16.399999999999999</v>
      </c>
      <c r="AD14" s="45">
        <v>16.399999999999999</v>
      </c>
      <c r="AE14" s="45">
        <v>16.399999999999999</v>
      </c>
      <c r="AF14" s="45">
        <v>16.399999999999999</v>
      </c>
      <c r="AG14" s="46">
        <v>52.4</v>
      </c>
      <c r="AH14" s="47">
        <f t="shared" si="2"/>
        <v>16.399999999999999</v>
      </c>
      <c r="AI14" s="48">
        <f t="shared" si="3"/>
        <v>9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29.8</v>
      </c>
      <c r="C15" s="45">
        <v>29.8</v>
      </c>
      <c r="D15" s="45">
        <v>29.8</v>
      </c>
      <c r="E15" s="45">
        <v>29.8</v>
      </c>
      <c r="F15" s="45">
        <v>29.8</v>
      </c>
      <c r="G15" s="45">
        <v>29.8</v>
      </c>
      <c r="H15" s="45">
        <v>29.8</v>
      </c>
      <c r="I15" s="45">
        <v>29.8</v>
      </c>
      <c r="J15" s="45">
        <v>29.8</v>
      </c>
      <c r="K15" s="45">
        <v>29.8</v>
      </c>
      <c r="L15" s="45">
        <v>29.8</v>
      </c>
      <c r="M15" s="45">
        <v>29.6</v>
      </c>
      <c r="N15" s="45">
        <v>29.6</v>
      </c>
      <c r="O15" s="45">
        <v>29.6</v>
      </c>
      <c r="P15" s="45">
        <v>29.6</v>
      </c>
      <c r="Q15" s="45">
        <v>29.6</v>
      </c>
      <c r="R15" s="45">
        <v>28.5</v>
      </c>
      <c r="S15" s="45">
        <v>28.5</v>
      </c>
      <c r="T15" s="45">
        <v>28.5</v>
      </c>
      <c r="U15" s="45">
        <v>28.5</v>
      </c>
      <c r="V15" s="45">
        <v>28.5</v>
      </c>
      <c r="W15" s="45">
        <v>28.5</v>
      </c>
      <c r="X15" s="45">
        <v>28.5</v>
      </c>
      <c r="Y15" s="51">
        <v>28.5</v>
      </c>
      <c r="Z15" s="51">
        <v>28.5</v>
      </c>
      <c r="AA15" s="51">
        <v>28.5</v>
      </c>
      <c r="AB15" s="45">
        <v>28.3</v>
      </c>
      <c r="AC15" s="45">
        <v>28.3</v>
      </c>
      <c r="AD15" s="45">
        <v>28.3</v>
      </c>
      <c r="AE15" s="45">
        <v>28.3</v>
      </c>
      <c r="AF15" s="45">
        <v>28.3</v>
      </c>
      <c r="AG15" s="49">
        <v>50</v>
      </c>
      <c r="AH15" s="47">
        <f t="shared" si="2"/>
        <v>29.8</v>
      </c>
      <c r="AI15" s="48">
        <f t="shared" si="3"/>
        <v>28.3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16.600000000000001</v>
      </c>
      <c r="C16" s="45">
        <v>16.600000000000001</v>
      </c>
      <c r="D16" s="45">
        <v>16.600000000000001</v>
      </c>
      <c r="E16" s="45">
        <v>16.600000000000001</v>
      </c>
      <c r="F16" s="45">
        <v>16.600000000000001</v>
      </c>
      <c r="G16" s="45">
        <v>16.600000000000001</v>
      </c>
      <c r="H16" s="45">
        <v>16.600000000000001</v>
      </c>
      <c r="I16" s="45">
        <v>16.600000000000001</v>
      </c>
      <c r="J16" s="45">
        <v>16.600000000000001</v>
      </c>
      <c r="K16" s="45">
        <v>16.600000000000001</v>
      </c>
      <c r="L16" s="45">
        <v>16.600000000000001</v>
      </c>
      <c r="M16" s="45">
        <v>15.2</v>
      </c>
      <c r="N16" s="45">
        <v>15.2</v>
      </c>
      <c r="O16" s="45">
        <v>15.2</v>
      </c>
      <c r="P16" s="45">
        <v>15.2</v>
      </c>
      <c r="Q16" s="45">
        <v>15.2</v>
      </c>
      <c r="R16" s="45">
        <v>14.7</v>
      </c>
      <c r="S16" s="45">
        <v>14.7</v>
      </c>
      <c r="T16" s="45">
        <v>14.7</v>
      </c>
      <c r="U16" s="45">
        <v>14.7</v>
      </c>
      <c r="V16" s="45">
        <v>14.7</v>
      </c>
      <c r="W16" s="45">
        <v>14.7</v>
      </c>
      <c r="X16" s="45">
        <v>14.7</v>
      </c>
      <c r="Y16" s="45">
        <v>14.7</v>
      </c>
      <c r="Z16" s="45">
        <v>14.7</v>
      </c>
      <c r="AA16" s="45">
        <v>14.7</v>
      </c>
      <c r="AB16" s="45">
        <v>17.2</v>
      </c>
      <c r="AC16" s="45">
        <v>17.2</v>
      </c>
      <c r="AD16" s="45">
        <v>17.2</v>
      </c>
      <c r="AE16" s="45">
        <v>17.2</v>
      </c>
      <c r="AF16" s="45">
        <v>17.2</v>
      </c>
      <c r="AG16" s="49">
        <v>45</v>
      </c>
      <c r="AH16" s="47">
        <f t="shared" si="2"/>
        <v>17.2</v>
      </c>
      <c r="AI16" s="48">
        <f t="shared" si="3"/>
        <v>14.7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14</v>
      </c>
      <c r="C17" s="45">
        <v>14</v>
      </c>
      <c r="D17" s="45">
        <v>14</v>
      </c>
      <c r="E17" s="45">
        <v>14</v>
      </c>
      <c r="F17" s="45">
        <v>14</v>
      </c>
      <c r="G17" s="45">
        <v>14</v>
      </c>
      <c r="H17" s="45">
        <v>14</v>
      </c>
      <c r="I17" s="45">
        <v>14</v>
      </c>
      <c r="J17" s="45">
        <v>14</v>
      </c>
      <c r="K17" s="45">
        <v>14</v>
      </c>
      <c r="L17" s="45">
        <v>14</v>
      </c>
      <c r="M17" s="45">
        <v>14</v>
      </c>
      <c r="N17" s="45">
        <v>14</v>
      </c>
      <c r="O17" s="45">
        <v>14</v>
      </c>
      <c r="P17" s="45">
        <v>14</v>
      </c>
      <c r="Q17" s="45">
        <v>14</v>
      </c>
      <c r="R17" s="45">
        <v>14</v>
      </c>
      <c r="S17" s="45">
        <v>14</v>
      </c>
      <c r="T17" s="45">
        <v>14</v>
      </c>
      <c r="U17" s="45">
        <v>14</v>
      </c>
      <c r="V17" s="45">
        <v>14</v>
      </c>
      <c r="W17" s="45">
        <v>14</v>
      </c>
      <c r="X17" s="45">
        <v>14</v>
      </c>
      <c r="Y17" s="45">
        <v>14</v>
      </c>
      <c r="Z17" s="45">
        <v>14</v>
      </c>
      <c r="AA17" s="45">
        <v>14</v>
      </c>
      <c r="AB17" s="45">
        <v>14</v>
      </c>
      <c r="AC17" s="45">
        <v>14</v>
      </c>
      <c r="AD17" s="45">
        <v>14</v>
      </c>
      <c r="AE17" s="45">
        <v>14</v>
      </c>
      <c r="AF17" s="45">
        <v>14</v>
      </c>
      <c r="AG17" s="49">
        <v>44</v>
      </c>
      <c r="AH17" s="47">
        <f>MAX(B17:AG17)</f>
        <v>44</v>
      </c>
      <c r="AI17" s="48">
        <f>MIN(B17:AG17)</f>
        <v>14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8.5</v>
      </c>
      <c r="C18" s="45">
        <v>8.5</v>
      </c>
      <c r="D18" s="45">
        <v>8.5</v>
      </c>
      <c r="E18" s="45">
        <v>8.5</v>
      </c>
      <c r="F18" s="45">
        <v>8.5</v>
      </c>
      <c r="G18" s="45">
        <v>8.5</v>
      </c>
      <c r="H18" s="45">
        <v>8.5</v>
      </c>
      <c r="I18" s="45">
        <v>8.5</v>
      </c>
      <c r="J18" s="45">
        <v>8.5</v>
      </c>
      <c r="K18" s="45">
        <v>8.5</v>
      </c>
      <c r="L18" s="45">
        <v>8.5</v>
      </c>
      <c r="M18" s="45">
        <v>8.5</v>
      </c>
      <c r="N18" s="45">
        <v>8.5</v>
      </c>
      <c r="O18" s="45">
        <v>8.5</v>
      </c>
      <c r="P18" s="45">
        <v>8.5</v>
      </c>
      <c r="Q18" s="45">
        <v>8.5</v>
      </c>
      <c r="R18" s="45">
        <v>8.5</v>
      </c>
      <c r="S18" s="45">
        <v>8.5</v>
      </c>
      <c r="T18" s="45">
        <v>8.5</v>
      </c>
      <c r="U18" s="45">
        <v>8.5</v>
      </c>
      <c r="V18" s="45">
        <v>8.5</v>
      </c>
      <c r="W18" s="45">
        <v>8.5</v>
      </c>
      <c r="X18" s="45">
        <v>8.5</v>
      </c>
      <c r="Y18" s="45">
        <v>8.5</v>
      </c>
      <c r="Z18" s="45">
        <v>8.5</v>
      </c>
      <c r="AA18" s="45">
        <v>8.5</v>
      </c>
      <c r="AB18" s="45">
        <v>7.5</v>
      </c>
      <c r="AC18" s="45">
        <v>7.5</v>
      </c>
      <c r="AD18" s="45">
        <v>7.5</v>
      </c>
      <c r="AE18" s="45">
        <v>7.5</v>
      </c>
      <c r="AF18" s="45">
        <v>7.5</v>
      </c>
      <c r="AG18" s="49">
        <v>42</v>
      </c>
      <c r="AH18" s="47">
        <f t="shared" si="2"/>
        <v>8.5</v>
      </c>
      <c r="AI18" s="48">
        <f t="shared" si="3"/>
        <v>7.5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263</v>
      </c>
      <c r="B19" s="45">
        <v>15</v>
      </c>
      <c r="C19" s="45">
        <v>15</v>
      </c>
      <c r="D19" s="45">
        <v>15</v>
      </c>
      <c r="E19" s="45">
        <v>15</v>
      </c>
      <c r="F19" s="45">
        <v>15</v>
      </c>
      <c r="G19" s="45">
        <v>15</v>
      </c>
      <c r="H19" s="45">
        <v>15</v>
      </c>
      <c r="I19" s="45">
        <v>15</v>
      </c>
      <c r="J19" s="45">
        <v>15</v>
      </c>
      <c r="K19" s="45">
        <v>15</v>
      </c>
      <c r="L19" s="45">
        <v>15</v>
      </c>
      <c r="M19" s="45">
        <v>15</v>
      </c>
      <c r="N19" s="45">
        <v>15</v>
      </c>
      <c r="O19" s="45">
        <v>15</v>
      </c>
      <c r="P19" s="45">
        <v>15</v>
      </c>
      <c r="Q19" s="45">
        <v>15</v>
      </c>
      <c r="R19" s="45">
        <v>15</v>
      </c>
      <c r="S19" s="45">
        <v>15</v>
      </c>
      <c r="T19" s="45">
        <v>15</v>
      </c>
      <c r="U19" s="45">
        <v>15</v>
      </c>
      <c r="V19" s="45">
        <v>15</v>
      </c>
      <c r="W19" s="45">
        <v>15</v>
      </c>
      <c r="X19" s="45">
        <v>15</v>
      </c>
      <c r="Y19" s="45">
        <v>15</v>
      </c>
      <c r="Z19" s="45">
        <v>15</v>
      </c>
      <c r="AA19" s="45">
        <v>15</v>
      </c>
      <c r="AB19" s="45">
        <v>12.2</v>
      </c>
      <c r="AC19" s="45">
        <v>12.2</v>
      </c>
      <c r="AD19" s="45">
        <v>12.2</v>
      </c>
      <c r="AE19" s="45">
        <v>12.2</v>
      </c>
      <c r="AF19" s="45">
        <v>12.2</v>
      </c>
      <c r="AG19" s="49">
        <v>38.46</v>
      </c>
      <c r="AH19" s="47">
        <f t="shared" si="2"/>
        <v>15</v>
      </c>
      <c r="AI19" s="48">
        <f t="shared" si="3"/>
        <v>12.2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10</v>
      </c>
      <c r="C20" s="45">
        <v>10</v>
      </c>
      <c r="D20" s="45">
        <v>10</v>
      </c>
      <c r="E20" s="45">
        <v>10</v>
      </c>
      <c r="F20" s="45">
        <v>10</v>
      </c>
      <c r="G20" s="45">
        <v>10</v>
      </c>
      <c r="H20" s="45">
        <v>10</v>
      </c>
      <c r="I20" s="45">
        <v>10</v>
      </c>
      <c r="J20" s="45">
        <v>10</v>
      </c>
      <c r="K20" s="45">
        <v>10</v>
      </c>
      <c r="L20" s="45">
        <v>10</v>
      </c>
      <c r="M20" s="45">
        <v>10</v>
      </c>
      <c r="N20" s="45">
        <v>10</v>
      </c>
      <c r="O20" s="45">
        <v>10</v>
      </c>
      <c r="P20" s="45">
        <v>10</v>
      </c>
      <c r="Q20" s="45">
        <v>10</v>
      </c>
      <c r="R20" s="45">
        <v>10</v>
      </c>
      <c r="S20" s="45">
        <v>10</v>
      </c>
      <c r="T20" s="45">
        <v>10</v>
      </c>
      <c r="U20" s="45">
        <v>10</v>
      </c>
      <c r="V20" s="45">
        <v>10</v>
      </c>
      <c r="W20" s="45">
        <v>10</v>
      </c>
      <c r="X20" s="45">
        <v>10</v>
      </c>
      <c r="Y20" s="45">
        <v>10</v>
      </c>
      <c r="Z20" s="45">
        <v>10</v>
      </c>
      <c r="AA20" s="45">
        <v>10</v>
      </c>
      <c r="AB20" s="45">
        <v>7.8</v>
      </c>
      <c r="AC20" s="45">
        <v>7.8</v>
      </c>
      <c r="AD20" s="45">
        <v>7.8</v>
      </c>
      <c r="AE20" s="45">
        <v>7.8</v>
      </c>
      <c r="AF20" s="45">
        <v>7.8</v>
      </c>
      <c r="AG20" s="49">
        <v>38.46</v>
      </c>
      <c r="AH20" s="47">
        <f t="shared" si="2"/>
        <v>10</v>
      </c>
      <c r="AI20" s="48">
        <f t="shared" si="3"/>
        <v>7.8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</v>
      </c>
      <c r="C21" s="45">
        <v>13</v>
      </c>
      <c r="D21" s="45">
        <v>13</v>
      </c>
      <c r="E21" s="45">
        <v>13</v>
      </c>
      <c r="F21" s="45">
        <v>13</v>
      </c>
      <c r="G21" s="45">
        <v>13</v>
      </c>
      <c r="H21" s="45">
        <v>13</v>
      </c>
      <c r="I21" s="45">
        <v>13</v>
      </c>
      <c r="J21" s="45">
        <v>13</v>
      </c>
      <c r="K21" s="45">
        <v>13</v>
      </c>
      <c r="L21" s="45">
        <v>13</v>
      </c>
      <c r="M21" s="45">
        <v>13</v>
      </c>
      <c r="N21" s="45">
        <v>13</v>
      </c>
      <c r="O21" s="45">
        <v>13</v>
      </c>
      <c r="P21" s="45">
        <v>13</v>
      </c>
      <c r="Q21" s="45">
        <v>13</v>
      </c>
      <c r="R21" s="45">
        <v>13</v>
      </c>
      <c r="S21" s="45">
        <v>13</v>
      </c>
      <c r="T21" s="45">
        <v>13</v>
      </c>
      <c r="U21" s="45">
        <v>13</v>
      </c>
      <c r="V21" s="45">
        <v>13</v>
      </c>
      <c r="W21" s="45">
        <v>13</v>
      </c>
      <c r="X21" s="45">
        <v>13</v>
      </c>
      <c r="Y21" s="45">
        <v>13</v>
      </c>
      <c r="Z21" s="45">
        <v>13</v>
      </c>
      <c r="AA21" s="45">
        <v>13</v>
      </c>
      <c r="AB21" s="45">
        <v>13</v>
      </c>
      <c r="AC21" s="45">
        <v>13</v>
      </c>
      <c r="AD21" s="45">
        <v>13</v>
      </c>
      <c r="AE21" s="45">
        <v>13</v>
      </c>
      <c r="AF21" s="45">
        <v>13</v>
      </c>
      <c r="AG21" s="49">
        <v>36</v>
      </c>
      <c r="AH21" s="47">
        <f t="shared" si="2"/>
        <v>13</v>
      </c>
      <c r="AI21" s="48">
        <f t="shared" si="3"/>
        <v>13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8.4</v>
      </c>
      <c r="C22" s="45">
        <v>8.4</v>
      </c>
      <c r="D22" s="45">
        <v>8.4</v>
      </c>
      <c r="E22" s="45">
        <v>8.4</v>
      </c>
      <c r="F22" s="45">
        <v>8.4</v>
      </c>
      <c r="G22" s="45">
        <v>8.4</v>
      </c>
      <c r="H22" s="45">
        <v>8.4</v>
      </c>
      <c r="I22" s="45">
        <v>8.4</v>
      </c>
      <c r="J22" s="45">
        <v>8.4</v>
      </c>
      <c r="K22" s="45">
        <v>8.4</v>
      </c>
      <c r="L22" s="45">
        <v>8.4</v>
      </c>
      <c r="M22" s="45">
        <v>7.8</v>
      </c>
      <c r="N22" s="45">
        <v>7.8</v>
      </c>
      <c r="O22" s="45">
        <v>7.8</v>
      </c>
      <c r="P22" s="45">
        <v>7.8</v>
      </c>
      <c r="Q22" s="45">
        <v>7.8</v>
      </c>
      <c r="R22" s="45">
        <v>7.8</v>
      </c>
      <c r="S22" s="45">
        <v>7.8</v>
      </c>
      <c r="T22" s="45">
        <v>7.8</v>
      </c>
      <c r="U22" s="45">
        <v>7.8</v>
      </c>
      <c r="V22" s="45">
        <v>7.8</v>
      </c>
      <c r="W22" s="45">
        <v>7.8</v>
      </c>
      <c r="X22" s="45">
        <v>7.8</v>
      </c>
      <c r="Y22" s="45">
        <v>7.8</v>
      </c>
      <c r="Z22" s="45">
        <v>7.8</v>
      </c>
      <c r="AA22" s="45">
        <v>7.8</v>
      </c>
      <c r="AB22" s="45">
        <v>8.8000000000000007</v>
      </c>
      <c r="AC22" s="45">
        <v>8.8000000000000007</v>
      </c>
      <c r="AD22" s="45">
        <v>8.8000000000000007</v>
      </c>
      <c r="AE22" s="45">
        <v>8.8000000000000007</v>
      </c>
      <c r="AF22" s="45">
        <v>8.8000000000000007</v>
      </c>
      <c r="AG22" s="52">
        <v>30</v>
      </c>
      <c r="AH22" s="47">
        <f t="shared" si="2"/>
        <v>8.8000000000000007</v>
      </c>
      <c r="AI22" s="48">
        <f t="shared" si="3"/>
        <v>7.8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9</v>
      </c>
      <c r="C23" s="45">
        <v>9</v>
      </c>
      <c r="D23" s="45">
        <v>9</v>
      </c>
      <c r="E23" s="45">
        <v>9</v>
      </c>
      <c r="F23" s="45">
        <v>9</v>
      </c>
      <c r="G23" s="45">
        <v>9</v>
      </c>
      <c r="H23" s="45">
        <v>9</v>
      </c>
      <c r="I23" s="45">
        <v>9</v>
      </c>
      <c r="J23" s="45">
        <v>9</v>
      </c>
      <c r="K23" s="45">
        <v>9</v>
      </c>
      <c r="L23" s="45">
        <v>9</v>
      </c>
      <c r="M23" s="45">
        <v>9</v>
      </c>
      <c r="N23" s="45">
        <v>9</v>
      </c>
      <c r="O23" s="45">
        <v>9</v>
      </c>
      <c r="P23" s="45">
        <v>9</v>
      </c>
      <c r="Q23" s="45">
        <v>9</v>
      </c>
      <c r="R23" s="45">
        <v>9</v>
      </c>
      <c r="S23" s="45">
        <v>9</v>
      </c>
      <c r="T23" s="45">
        <v>9</v>
      </c>
      <c r="U23" s="45">
        <v>9</v>
      </c>
      <c r="V23" s="45">
        <v>9</v>
      </c>
      <c r="W23" s="45">
        <v>9</v>
      </c>
      <c r="X23" s="45">
        <v>9</v>
      </c>
      <c r="Y23" s="45">
        <v>9</v>
      </c>
      <c r="Z23" s="45">
        <v>9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9</v>
      </c>
      <c r="AG23" s="49">
        <v>24.2</v>
      </c>
      <c r="AH23" s="47">
        <f t="shared" si="2"/>
        <v>9</v>
      </c>
      <c r="AI23" s="48">
        <f t="shared" si="3"/>
        <v>9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8.6</v>
      </c>
      <c r="C24" s="45">
        <v>8.6</v>
      </c>
      <c r="D24" s="45">
        <v>8.6</v>
      </c>
      <c r="E24" s="45">
        <v>8.6</v>
      </c>
      <c r="F24" s="45">
        <v>8.6</v>
      </c>
      <c r="G24" s="45">
        <v>8.6</v>
      </c>
      <c r="H24" s="45">
        <v>8.6</v>
      </c>
      <c r="I24" s="45">
        <v>8.6</v>
      </c>
      <c r="J24" s="45">
        <v>8.6</v>
      </c>
      <c r="K24" s="45">
        <v>8.6</v>
      </c>
      <c r="L24" s="45">
        <v>8.6</v>
      </c>
      <c r="M24" s="45">
        <v>8.1999999999999993</v>
      </c>
      <c r="N24" s="45">
        <v>8.1999999999999993</v>
      </c>
      <c r="O24" s="45">
        <v>8.1999999999999993</v>
      </c>
      <c r="P24" s="45">
        <v>8.1999999999999993</v>
      </c>
      <c r="Q24" s="45">
        <v>8.1999999999999993</v>
      </c>
      <c r="R24" s="45">
        <v>7.2</v>
      </c>
      <c r="S24" s="45">
        <v>7.2</v>
      </c>
      <c r="T24" s="45">
        <v>7.2</v>
      </c>
      <c r="U24" s="45">
        <v>7.2</v>
      </c>
      <c r="V24" s="45">
        <v>7.2</v>
      </c>
      <c r="W24" s="45">
        <v>7.2</v>
      </c>
      <c r="X24" s="45">
        <v>7.2</v>
      </c>
      <c r="Y24" s="45">
        <v>7.2</v>
      </c>
      <c r="Z24" s="45">
        <v>7.2</v>
      </c>
      <c r="AA24" s="45">
        <v>7.2</v>
      </c>
      <c r="AB24" s="45">
        <v>7.2</v>
      </c>
      <c r="AC24" s="45">
        <v>7.2</v>
      </c>
      <c r="AD24" s="45">
        <v>7.2</v>
      </c>
      <c r="AE24" s="45">
        <v>7.2</v>
      </c>
      <c r="AF24" s="45">
        <v>7.2</v>
      </c>
      <c r="AG24" s="49">
        <v>28</v>
      </c>
      <c r="AH24" s="47">
        <f t="shared" si="2"/>
        <v>8.6</v>
      </c>
      <c r="AI24" s="48">
        <f t="shared" si="3"/>
        <v>7.2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7.4</v>
      </c>
      <c r="N25" s="45">
        <v>7.4</v>
      </c>
      <c r="O25" s="45">
        <v>7.4</v>
      </c>
      <c r="P25" s="45">
        <v>7.4</v>
      </c>
      <c r="Q25" s="45">
        <v>7.4</v>
      </c>
      <c r="R25" s="45">
        <v>6.7</v>
      </c>
      <c r="S25" s="45">
        <v>6.7</v>
      </c>
      <c r="T25" s="45">
        <v>6.7</v>
      </c>
      <c r="U25" s="45">
        <v>6.7</v>
      </c>
      <c r="V25" s="45">
        <v>6.7</v>
      </c>
      <c r="W25" s="45">
        <v>6.7</v>
      </c>
      <c r="X25" s="45">
        <v>6.7</v>
      </c>
      <c r="Y25" s="45">
        <v>6.7</v>
      </c>
      <c r="Z25" s="45">
        <v>6.7</v>
      </c>
      <c r="AA25" s="45">
        <v>6.7</v>
      </c>
      <c r="AB25" s="45">
        <v>6.7</v>
      </c>
      <c r="AC25" s="45">
        <v>6.7</v>
      </c>
      <c r="AD25" s="45">
        <v>6.7</v>
      </c>
      <c r="AE25" s="45">
        <v>6.7</v>
      </c>
      <c r="AF25" s="45">
        <v>6.7</v>
      </c>
      <c r="AG25" s="52">
        <v>30</v>
      </c>
      <c r="AH25" s="47">
        <f t="shared" si="2"/>
        <v>7.4</v>
      </c>
      <c r="AI25" s="48">
        <f t="shared" si="3"/>
        <v>6.7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8.9</v>
      </c>
      <c r="C26" s="45">
        <v>8.9</v>
      </c>
      <c r="D26" s="45">
        <v>8.9</v>
      </c>
      <c r="E26" s="45">
        <v>8.9</v>
      </c>
      <c r="F26" s="45">
        <v>8.9</v>
      </c>
      <c r="G26" s="45">
        <v>8.9</v>
      </c>
      <c r="H26" s="45">
        <v>8.9</v>
      </c>
      <c r="I26" s="45">
        <v>8.9</v>
      </c>
      <c r="J26" s="45">
        <v>8.9</v>
      </c>
      <c r="K26" s="45">
        <v>8.9</v>
      </c>
      <c r="L26" s="45">
        <v>8.9</v>
      </c>
      <c r="M26" s="45">
        <v>8.3000000000000007</v>
      </c>
      <c r="N26" s="45">
        <v>8.3000000000000007</v>
      </c>
      <c r="O26" s="45">
        <v>8.3000000000000007</v>
      </c>
      <c r="P26" s="45">
        <v>8.3000000000000007</v>
      </c>
      <c r="Q26" s="45">
        <v>8.3000000000000007</v>
      </c>
      <c r="R26" s="45">
        <v>8.1999999999999993</v>
      </c>
      <c r="S26" s="45">
        <v>8.1999999999999993</v>
      </c>
      <c r="T26" s="45">
        <v>8.1999999999999993</v>
      </c>
      <c r="U26" s="45">
        <v>8.1999999999999993</v>
      </c>
      <c r="V26" s="45">
        <v>8.1999999999999993</v>
      </c>
      <c r="W26" s="45">
        <v>8.1999999999999993</v>
      </c>
      <c r="X26" s="45">
        <v>8.1999999999999993</v>
      </c>
      <c r="Y26" s="45">
        <v>8.1999999999999993</v>
      </c>
      <c r="Z26" s="45">
        <v>8.1999999999999993</v>
      </c>
      <c r="AA26" s="45">
        <v>8.1999999999999993</v>
      </c>
      <c r="AB26" s="45">
        <v>8.1999999999999993</v>
      </c>
      <c r="AC26" s="45">
        <v>8.1999999999999993</v>
      </c>
      <c r="AD26" s="45">
        <v>8.1999999999999993</v>
      </c>
      <c r="AE26" s="45">
        <v>8.1999999999999993</v>
      </c>
      <c r="AF26" s="45">
        <v>8.1999999999999993</v>
      </c>
      <c r="AG26" s="49">
        <v>25</v>
      </c>
      <c r="AH26" s="47">
        <f t="shared" si="2"/>
        <v>8.9</v>
      </c>
      <c r="AI26" s="48">
        <f t="shared" si="3"/>
        <v>8.1999999999999993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5</v>
      </c>
      <c r="C27" s="45">
        <v>5</v>
      </c>
      <c r="D27" s="45">
        <v>5</v>
      </c>
      <c r="E27" s="45">
        <v>5</v>
      </c>
      <c r="F27" s="45">
        <v>5</v>
      </c>
      <c r="G27" s="45">
        <v>5</v>
      </c>
      <c r="H27" s="45">
        <v>5</v>
      </c>
      <c r="I27" s="45">
        <v>5</v>
      </c>
      <c r="J27" s="45">
        <v>5</v>
      </c>
      <c r="K27" s="45">
        <v>5</v>
      </c>
      <c r="L27" s="45">
        <v>5</v>
      </c>
      <c r="M27" s="45">
        <v>5</v>
      </c>
      <c r="N27" s="45">
        <v>5</v>
      </c>
      <c r="O27" s="45">
        <v>5</v>
      </c>
      <c r="P27" s="45">
        <v>5</v>
      </c>
      <c r="Q27" s="45">
        <v>5</v>
      </c>
      <c r="R27" s="45">
        <v>5</v>
      </c>
      <c r="S27" s="45">
        <v>5</v>
      </c>
      <c r="T27" s="45">
        <v>5</v>
      </c>
      <c r="U27" s="45">
        <v>5</v>
      </c>
      <c r="V27" s="45">
        <v>5</v>
      </c>
      <c r="W27" s="45">
        <v>5</v>
      </c>
      <c r="X27" s="45">
        <v>5</v>
      </c>
      <c r="Y27" s="45">
        <v>5</v>
      </c>
      <c r="Z27" s="45">
        <v>5</v>
      </c>
      <c r="AA27" s="45">
        <v>5</v>
      </c>
      <c r="AB27" s="45">
        <v>5</v>
      </c>
      <c r="AC27" s="45">
        <v>5</v>
      </c>
      <c r="AD27" s="45">
        <v>5</v>
      </c>
      <c r="AE27" s="45">
        <v>5</v>
      </c>
      <c r="AF27" s="45">
        <v>5</v>
      </c>
      <c r="AG27" s="49">
        <v>25</v>
      </c>
      <c r="AH27" s="47">
        <f t="shared" si="2"/>
        <v>5</v>
      </c>
      <c r="AI27" s="48">
        <f t="shared" si="3"/>
        <v>5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6</v>
      </c>
      <c r="C28" s="45">
        <v>6</v>
      </c>
      <c r="D28" s="45">
        <v>6</v>
      </c>
      <c r="E28" s="45">
        <v>6</v>
      </c>
      <c r="F28" s="45">
        <v>6</v>
      </c>
      <c r="G28" s="45">
        <v>6</v>
      </c>
      <c r="H28" s="45">
        <v>6</v>
      </c>
      <c r="I28" s="45">
        <v>6</v>
      </c>
      <c r="J28" s="45">
        <v>6</v>
      </c>
      <c r="K28" s="45">
        <v>6</v>
      </c>
      <c r="L28" s="45">
        <v>6</v>
      </c>
      <c r="M28" s="45">
        <v>6</v>
      </c>
      <c r="N28" s="45">
        <v>6</v>
      </c>
      <c r="O28" s="45">
        <v>6</v>
      </c>
      <c r="P28" s="45">
        <v>6</v>
      </c>
      <c r="Q28" s="45">
        <v>6</v>
      </c>
      <c r="R28" s="45">
        <v>6</v>
      </c>
      <c r="S28" s="45">
        <v>6</v>
      </c>
      <c r="T28" s="45">
        <v>6</v>
      </c>
      <c r="U28" s="45">
        <v>6</v>
      </c>
      <c r="V28" s="45">
        <v>6</v>
      </c>
      <c r="W28" s="45">
        <v>6</v>
      </c>
      <c r="X28" s="45">
        <v>6</v>
      </c>
      <c r="Y28" s="45">
        <v>6</v>
      </c>
      <c r="Z28" s="45">
        <v>6</v>
      </c>
      <c r="AA28" s="45">
        <v>6</v>
      </c>
      <c r="AB28" s="45">
        <v>6</v>
      </c>
      <c r="AC28" s="45">
        <v>6</v>
      </c>
      <c r="AD28" s="45">
        <v>6</v>
      </c>
      <c r="AE28" s="45">
        <v>6</v>
      </c>
      <c r="AF28" s="45">
        <v>6</v>
      </c>
      <c r="AG28" s="49">
        <v>25</v>
      </c>
      <c r="AH28" s="47">
        <f t="shared" si="2"/>
        <v>6</v>
      </c>
      <c r="AI28" s="48">
        <f t="shared" si="3"/>
        <v>6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8.1</v>
      </c>
      <c r="C29" s="45">
        <v>8.1</v>
      </c>
      <c r="D29" s="45">
        <v>8.1</v>
      </c>
      <c r="E29" s="45">
        <v>8.1</v>
      </c>
      <c r="F29" s="45">
        <v>8.1</v>
      </c>
      <c r="G29" s="45">
        <v>8.1</v>
      </c>
      <c r="H29" s="45">
        <v>8.1</v>
      </c>
      <c r="I29" s="45">
        <v>8.1</v>
      </c>
      <c r="J29" s="45">
        <v>8.1</v>
      </c>
      <c r="K29" s="45">
        <v>8.1</v>
      </c>
      <c r="L29" s="45">
        <v>8.1</v>
      </c>
      <c r="M29" s="45">
        <v>7.6</v>
      </c>
      <c r="N29" s="45">
        <v>7.6</v>
      </c>
      <c r="O29" s="45">
        <v>7.6</v>
      </c>
      <c r="P29" s="45">
        <v>7.6</v>
      </c>
      <c r="Q29" s="45">
        <v>7.6</v>
      </c>
      <c r="R29" s="45">
        <v>7.4</v>
      </c>
      <c r="S29" s="45">
        <v>7.4</v>
      </c>
      <c r="T29" s="45">
        <v>7.4</v>
      </c>
      <c r="U29" s="45">
        <v>7.4</v>
      </c>
      <c r="V29" s="45">
        <v>7.4</v>
      </c>
      <c r="W29" s="45">
        <v>7.4</v>
      </c>
      <c r="X29" s="45">
        <v>7.4</v>
      </c>
      <c r="Y29" s="45">
        <v>7.4</v>
      </c>
      <c r="Z29" s="45">
        <v>7.4</v>
      </c>
      <c r="AA29" s="45">
        <v>7.4</v>
      </c>
      <c r="AB29" s="45">
        <v>7.4</v>
      </c>
      <c r="AC29" s="45">
        <v>7.4</v>
      </c>
      <c r="AD29" s="45">
        <v>7.4</v>
      </c>
      <c r="AE29" s="45">
        <v>7.4</v>
      </c>
      <c r="AF29" s="45">
        <v>7.4</v>
      </c>
      <c r="AG29" s="49">
        <v>25</v>
      </c>
      <c r="AH29" s="47">
        <f t="shared" si="2"/>
        <v>8.1</v>
      </c>
      <c r="AI29" s="48">
        <f t="shared" si="3"/>
        <v>7.4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8.1</v>
      </c>
      <c r="C30" s="45">
        <v>8.1</v>
      </c>
      <c r="D30" s="45">
        <v>8.1</v>
      </c>
      <c r="E30" s="45">
        <v>8.1</v>
      </c>
      <c r="F30" s="45">
        <v>8.1</v>
      </c>
      <c r="G30" s="45">
        <v>8.1</v>
      </c>
      <c r="H30" s="45">
        <v>8.1</v>
      </c>
      <c r="I30" s="45">
        <v>8.1</v>
      </c>
      <c r="J30" s="45">
        <v>8.1</v>
      </c>
      <c r="K30" s="45">
        <v>8.1</v>
      </c>
      <c r="L30" s="45">
        <v>8.1</v>
      </c>
      <c r="M30" s="45">
        <v>7.1</v>
      </c>
      <c r="N30" s="45">
        <v>7.1</v>
      </c>
      <c r="O30" s="45">
        <v>7.1</v>
      </c>
      <c r="P30" s="45">
        <v>7.1</v>
      </c>
      <c r="Q30" s="45">
        <v>7.1</v>
      </c>
      <c r="R30" s="45">
        <v>7.2</v>
      </c>
      <c r="S30" s="45">
        <v>7.2</v>
      </c>
      <c r="T30" s="45">
        <v>7.2</v>
      </c>
      <c r="U30" s="45">
        <v>7.2</v>
      </c>
      <c r="V30" s="45">
        <v>7.2</v>
      </c>
      <c r="W30" s="45">
        <v>7.2</v>
      </c>
      <c r="X30" s="45">
        <v>7.2</v>
      </c>
      <c r="Y30" s="45">
        <v>7.2</v>
      </c>
      <c r="Z30" s="45">
        <v>7.2</v>
      </c>
      <c r="AA30" s="45">
        <v>7.2</v>
      </c>
      <c r="AB30" s="45">
        <v>7.2</v>
      </c>
      <c r="AC30" s="45">
        <v>7.2</v>
      </c>
      <c r="AD30" s="45">
        <v>7.2</v>
      </c>
      <c r="AE30" s="45">
        <v>7.2</v>
      </c>
      <c r="AF30" s="45">
        <v>7.2</v>
      </c>
      <c r="AG30" s="49">
        <v>23.5</v>
      </c>
      <c r="AH30" s="47">
        <f t="shared" si="2"/>
        <v>8.1</v>
      </c>
      <c r="AI30" s="48">
        <f t="shared" si="3"/>
        <v>7.1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4.5</v>
      </c>
      <c r="C31" s="45">
        <v>4.5</v>
      </c>
      <c r="D31" s="45">
        <v>4.5</v>
      </c>
      <c r="E31" s="45">
        <v>4.5</v>
      </c>
      <c r="F31" s="45">
        <v>4.5</v>
      </c>
      <c r="G31" s="45">
        <v>4.5</v>
      </c>
      <c r="H31" s="45">
        <v>4.5</v>
      </c>
      <c r="I31" s="45">
        <v>4.5</v>
      </c>
      <c r="J31" s="45">
        <v>4.5</v>
      </c>
      <c r="K31" s="45">
        <v>4.5</v>
      </c>
      <c r="L31" s="45">
        <v>4.5</v>
      </c>
      <c r="M31" s="45">
        <v>4.5</v>
      </c>
      <c r="N31" s="45">
        <v>4.5</v>
      </c>
      <c r="O31" s="45">
        <v>4.5</v>
      </c>
      <c r="P31" s="45">
        <v>4.5</v>
      </c>
      <c r="Q31" s="45">
        <v>4.5</v>
      </c>
      <c r="R31" s="45">
        <v>4.5</v>
      </c>
      <c r="S31" s="45">
        <v>4.5</v>
      </c>
      <c r="T31" s="45">
        <v>4.5</v>
      </c>
      <c r="U31" s="45">
        <v>4.5</v>
      </c>
      <c r="V31" s="45">
        <v>4.5</v>
      </c>
      <c r="W31" s="45">
        <v>4.5</v>
      </c>
      <c r="X31" s="45">
        <v>4.5</v>
      </c>
      <c r="Y31" s="45">
        <v>4.5</v>
      </c>
      <c r="Z31" s="45">
        <v>4.5</v>
      </c>
      <c r="AA31" s="45">
        <v>4.5</v>
      </c>
      <c r="AB31" s="45">
        <v>4.5</v>
      </c>
      <c r="AC31" s="45">
        <v>4.5</v>
      </c>
      <c r="AD31" s="45">
        <v>4.5</v>
      </c>
      <c r="AE31" s="45">
        <v>4.5</v>
      </c>
      <c r="AF31" s="45">
        <v>4.5</v>
      </c>
      <c r="AG31" s="49">
        <v>22.2</v>
      </c>
      <c r="AH31" s="47">
        <f t="shared" si="2"/>
        <v>4.5</v>
      </c>
      <c r="AI31" s="48">
        <f t="shared" si="3"/>
        <v>4.5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>
        <v>5.5</v>
      </c>
      <c r="N32" s="45">
        <v>5.5</v>
      </c>
      <c r="O32" s="45">
        <v>5.5</v>
      </c>
      <c r="P32" s="45">
        <v>5.5</v>
      </c>
      <c r="Q32" s="45">
        <v>5.5</v>
      </c>
      <c r="R32" s="45">
        <v>5.5</v>
      </c>
      <c r="S32" s="45">
        <v>5.5</v>
      </c>
      <c r="T32" s="45">
        <v>5.5</v>
      </c>
      <c r="U32" s="45">
        <v>5.5</v>
      </c>
      <c r="V32" s="45">
        <v>5.5</v>
      </c>
      <c r="W32" s="45">
        <v>5.5</v>
      </c>
      <c r="X32" s="45">
        <v>5.5</v>
      </c>
      <c r="Y32" s="45">
        <v>5.5</v>
      </c>
      <c r="Z32" s="45">
        <v>5.5</v>
      </c>
      <c r="AA32" s="45">
        <v>5.5</v>
      </c>
      <c r="AB32" s="45">
        <v>5.5</v>
      </c>
      <c r="AC32" s="45">
        <v>5.5</v>
      </c>
      <c r="AD32" s="45">
        <v>5.5</v>
      </c>
      <c r="AE32" s="45">
        <v>5.5</v>
      </c>
      <c r="AF32" s="45">
        <v>5.5</v>
      </c>
      <c r="AG32" s="49">
        <v>22.1</v>
      </c>
      <c r="AH32" s="47">
        <f t="shared" si="2"/>
        <v>5.5</v>
      </c>
      <c r="AI32" s="48">
        <f t="shared" si="3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22</v>
      </c>
      <c r="AH33" s="47">
        <f t="shared" si="2"/>
        <v>6</v>
      </c>
      <c r="AI33" s="48">
        <f t="shared" si="3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11.5</v>
      </c>
      <c r="C34" s="45">
        <v>11.5</v>
      </c>
      <c r="D34" s="45">
        <v>11.5</v>
      </c>
      <c r="E34" s="45">
        <v>11.5</v>
      </c>
      <c r="F34" s="45">
        <v>11.5</v>
      </c>
      <c r="G34" s="45">
        <v>11.5</v>
      </c>
      <c r="H34" s="45">
        <v>11.5</v>
      </c>
      <c r="I34" s="45">
        <v>11.5</v>
      </c>
      <c r="J34" s="45">
        <v>11.5</v>
      </c>
      <c r="K34" s="45">
        <v>11.5</v>
      </c>
      <c r="L34" s="45">
        <v>11.5</v>
      </c>
      <c r="M34" s="45">
        <v>8.1999999999999993</v>
      </c>
      <c r="N34" s="45">
        <v>8.1999999999999993</v>
      </c>
      <c r="O34" s="45">
        <v>8.1999999999999993</v>
      </c>
      <c r="P34" s="45">
        <v>8.1999999999999993</v>
      </c>
      <c r="Q34" s="45">
        <v>8.1999999999999993</v>
      </c>
      <c r="R34" s="45">
        <v>6.3</v>
      </c>
      <c r="S34" s="45">
        <v>6.3</v>
      </c>
      <c r="T34" s="45">
        <v>6.3</v>
      </c>
      <c r="U34" s="45">
        <v>6.3</v>
      </c>
      <c r="V34" s="45">
        <v>6.3</v>
      </c>
      <c r="W34" s="45">
        <v>6.3</v>
      </c>
      <c r="X34" s="45">
        <v>6.3</v>
      </c>
      <c r="Y34" s="45">
        <v>6.3</v>
      </c>
      <c r="Z34" s="45">
        <v>6.3</v>
      </c>
      <c r="AA34" s="45">
        <v>6.3</v>
      </c>
      <c r="AB34" s="45">
        <v>6.3</v>
      </c>
      <c r="AC34" s="45">
        <v>6.3</v>
      </c>
      <c r="AD34" s="45">
        <v>6.3</v>
      </c>
      <c r="AE34" s="45">
        <v>6.3</v>
      </c>
      <c r="AF34" s="45">
        <v>6.3</v>
      </c>
      <c r="AG34" s="49">
        <v>22</v>
      </c>
      <c r="AH34" s="47">
        <f t="shared" si="2"/>
        <v>11.5</v>
      </c>
      <c r="AI34" s="48">
        <f t="shared" si="3"/>
        <v>6.3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6.5</v>
      </c>
      <c r="C35" s="45">
        <v>6.5</v>
      </c>
      <c r="D35" s="45">
        <v>6.5</v>
      </c>
      <c r="E35" s="45">
        <v>6.5</v>
      </c>
      <c r="F35" s="45">
        <v>6.5</v>
      </c>
      <c r="G35" s="45">
        <v>6.5</v>
      </c>
      <c r="H35" s="45">
        <v>6.5</v>
      </c>
      <c r="I35" s="45">
        <v>6.5</v>
      </c>
      <c r="J35" s="45">
        <v>6.5</v>
      </c>
      <c r="K35" s="45">
        <v>6.5</v>
      </c>
      <c r="L35" s="45">
        <v>6.5</v>
      </c>
      <c r="M35" s="45">
        <v>6.5</v>
      </c>
      <c r="N35" s="45">
        <v>6.5</v>
      </c>
      <c r="O35" s="45">
        <v>6.5</v>
      </c>
      <c r="P35" s="45">
        <v>6.5</v>
      </c>
      <c r="Q35" s="45">
        <v>6.5</v>
      </c>
      <c r="R35" s="45">
        <v>6.5</v>
      </c>
      <c r="S35" s="45">
        <v>6.5</v>
      </c>
      <c r="T35" s="45">
        <v>6.5</v>
      </c>
      <c r="U35" s="45">
        <v>6.5</v>
      </c>
      <c r="V35" s="45">
        <v>6.5</v>
      </c>
      <c r="W35" s="45">
        <v>6.5</v>
      </c>
      <c r="X35" s="45">
        <v>6.5</v>
      </c>
      <c r="Y35" s="45">
        <v>6.5</v>
      </c>
      <c r="Z35" s="45">
        <v>6.5</v>
      </c>
      <c r="AA35" s="45">
        <v>6.5</v>
      </c>
      <c r="AB35" s="45">
        <v>6.5</v>
      </c>
      <c r="AC35" s="45">
        <v>6.5</v>
      </c>
      <c r="AD35" s="45">
        <v>6.5</v>
      </c>
      <c r="AE35" s="45">
        <v>6.5</v>
      </c>
      <c r="AF35" s="45">
        <v>6.5</v>
      </c>
      <c r="AG35" s="49">
        <v>20</v>
      </c>
      <c r="AH35" s="47">
        <f t="shared" si="2"/>
        <v>6.5</v>
      </c>
      <c r="AI35" s="48">
        <f t="shared" si="3"/>
        <v>6.5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264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2"/>
        <v>4</v>
      </c>
      <c r="AI36" s="48">
        <f t="shared" si="3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5.5</v>
      </c>
      <c r="C37" s="45">
        <v>5.5</v>
      </c>
      <c r="D37" s="45">
        <v>5.5</v>
      </c>
      <c r="E37" s="45">
        <v>5.5</v>
      </c>
      <c r="F37" s="45">
        <v>5.5</v>
      </c>
      <c r="G37" s="45">
        <v>5.5</v>
      </c>
      <c r="H37" s="45">
        <v>5.5</v>
      </c>
      <c r="I37" s="45">
        <v>5.5</v>
      </c>
      <c r="J37" s="45">
        <v>5.5</v>
      </c>
      <c r="K37" s="45">
        <v>5.5</v>
      </c>
      <c r="L37" s="45">
        <v>5.5</v>
      </c>
      <c r="M37" s="45">
        <v>5.5</v>
      </c>
      <c r="N37" s="45">
        <v>5.5</v>
      </c>
      <c r="O37" s="45">
        <v>5.5</v>
      </c>
      <c r="P37" s="45">
        <v>5.5</v>
      </c>
      <c r="Q37" s="45">
        <v>5.5</v>
      </c>
      <c r="R37" s="45">
        <v>5.5</v>
      </c>
      <c r="S37" s="45">
        <v>5.5</v>
      </c>
      <c r="T37" s="45">
        <v>5.5</v>
      </c>
      <c r="U37" s="45">
        <v>5.5</v>
      </c>
      <c r="V37" s="45">
        <v>5.5</v>
      </c>
      <c r="W37" s="45">
        <v>5.5</v>
      </c>
      <c r="X37" s="45">
        <v>5.5</v>
      </c>
      <c r="Y37" s="45">
        <v>5.5</v>
      </c>
      <c r="Z37" s="45">
        <v>5.5</v>
      </c>
      <c r="AA37" s="45">
        <v>5.5</v>
      </c>
      <c r="AB37" s="45">
        <v>5.7</v>
      </c>
      <c r="AC37" s="45">
        <v>5.7</v>
      </c>
      <c r="AD37" s="45">
        <v>5.7</v>
      </c>
      <c r="AE37" s="45">
        <v>5.7</v>
      </c>
      <c r="AF37" s="45">
        <v>5.7</v>
      </c>
      <c r="AG37" s="49">
        <v>18</v>
      </c>
      <c r="AH37" s="47">
        <f t="shared" si="2"/>
        <v>5.7</v>
      </c>
      <c r="AI37" s="48">
        <f t="shared" si="3"/>
        <v>5.5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>
        <v>7.2</v>
      </c>
      <c r="N38" s="45">
        <v>7.2</v>
      </c>
      <c r="O38" s="45">
        <v>7.2</v>
      </c>
      <c r="P38" s="45">
        <v>7.2</v>
      </c>
      <c r="Q38" s="45">
        <v>7.2</v>
      </c>
      <c r="R38" s="45">
        <v>7.2</v>
      </c>
      <c r="S38" s="45">
        <v>7.2</v>
      </c>
      <c r="T38" s="45">
        <v>7.2</v>
      </c>
      <c r="U38" s="45">
        <v>7.2</v>
      </c>
      <c r="V38" s="45">
        <v>7.2</v>
      </c>
      <c r="W38" s="45">
        <v>7.2</v>
      </c>
      <c r="X38" s="45">
        <v>7.2</v>
      </c>
      <c r="Y38" s="45">
        <v>7.2</v>
      </c>
      <c r="Z38" s="45">
        <v>7.2</v>
      </c>
      <c r="AA38" s="45">
        <v>7.2</v>
      </c>
      <c r="AB38" s="45">
        <v>7.2</v>
      </c>
      <c r="AC38" s="45">
        <v>7.2</v>
      </c>
      <c r="AD38" s="45">
        <v>7.2</v>
      </c>
      <c r="AE38" s="45">
        <v>7.2</v>
      </c>
      <c r="AF38" s="45">
        <v>7.2</v>
      </c>
      <c r="AG38" s="49">
        <v>14.9</v>
      </c>
      <c r="AH38" s="47">
        <f t="shared" si="2"/>
        <v>7.2</v>
      </c>
      <c r="AI38" s="48">
        <f t="shared" si="3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265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2"/>
        <v>5</v>
      </c>
      <c r="AI40" s="48">
        <f t="shared" si="3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266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>
        <v>4</v>
      </c>
      <c r="N41" s="45">
        <v>4</v>
      </c>
      <c r="O41" s="45">
        <v>4</v>
      </c>
      <c r="P41" s="45">
        <v>4</v>
      </c>
      <c r="Q41" s="45">
        <v>4</v>
      </c>
      <c r="R41" s="45">
        <v>4</v>
      </c>
      <c r="S41" s="45">
        <v>4</v>
      </c>
      <c r="T41" s="45">
        <v>4</v>
      </c>
      <c r="U41" s="45">
        <v>4</v>
      </c>
      <c r="V41" s="45">
        <v>4</v>
      </c>
      <c r="W41" s="45">
        <v>4</v>
      </c>
      <c r="X41" s="45">
        <v>4</v>
      </c>
      <c r="Y41" s="45">
        <v>4</v>
      </c>
      <c r="Z41" s="45">
        <v>4</v>
      </c>
      <c r="AA41" s="45">
        <v>4</v>
      </c>
      <c r="AB41" s="45">
        <v>4</v>
      </c>
      <c r="AC41" s="45">
        <v>4</v>
      </c>
      <c r="AD41" s="45">
        <v>4</v>
      </c>
      <c r="AE41" s="45">
        <v>4</v>
      </c>
      <c r="AF41" s="45">
        <v>4</v>
      </c>
      <c r="AG41" s="49">
        <v>14.9</v>
      </c>
      <c r="AH41" s="47">
        <f t="shared" si="2"/>
        <v>4</v>
      </c>
      <c r="AI41" s="48">
        <f t="shared" si="3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2"/>
        <v>1.8</v>
      </c>
      <c r="AI42" s="48">
        <f t="shared" si="3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2"/>
        <v>3.8</v>
      </c>
      <c r="AI43" s="48">
        <f t="shared" si="3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4</v>
      </c>
      <c r="C44" s="45">
        <v>4</v>
      </c>
      <c r="D44" s="45">
        <v>4</v>
      </c>
      <c r="E44" s="45">
        <v>4</v>
      </c>
      <c r="F44" s="45">
        <v>4</v>
      </c>
      <c r="G44" s="45">
        <v>4</v>
      </c>
      <c r="H44" s="45">
        <v>4</v>
      </c>
      <c r="I44" s="45">
        <v>4</v>
      </c>
      <c r="J44" s="45">
        <v>4</v>
      </c>
      <c r="K44" s="45">
        <v>4</v>
      </c>
      <c r="L44" s="45">
        <v>4</v>
      </c>
      <c r="M44" s="45">
        <v>4</v>
      </c>
      <c r="N44" s="45">
        <v>4</v>
      </c>
      <c r="O44" s="45">
        <v>4</v>
      </c>
      <c r="P44" s="45">
        <v>4</v>
      </c>
      <c r="Q44" s="45">
        <v>4</v>
      </c>
      <c r="R44" s="45">
        <v>4</v>
      </c>
      <c r="S44" s="45">
        <v>4</v>
      </c>
      <c r="T44" s="45">
        <v>4</v>
      </c>
      <c r="U44" s="45">
        <v>4</v>
      </c>
      <c r="V44" s="45">
        <v>4</v>
      </c>
      <c r="W44" s="45">
        <v>4</v>
      </c>
      <c r="X44" s="45">
        <v>4</v>
      </c>
      <c r="Y44" s="45">
        <v>4</v>
      </c>
      <c r="Z44" s="45">
        <v>4</v>
      </c>
      <c r="AA44" s="45">
        <v>4</v>
      </c>
      <c r="AB44" s="45">
        <v>4</v>
      </c>
      <c r="AC44" s="45">
        <v>4</v>
      </c>
      <c r="AD44" s="45">
        <v>4</v>
      </c>
      <c r="AE44" s="45">
        <v>4</v>
      </c>
      <c r="AF44" s="45">
        <v>4</v>
      </c>
      <c r="AG44" s="49">
        <v>12</v>
      </c>
      <c r="AH44" s="47">
        <f t="shared" si="2"/>
        <v>4</v>
      </c>
      <c r="AI44" s="48">
        <f t="shared" si="3"/>
        <v>4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49">
        <v>12</v>
      </c>
      <c r="AH45" s="47">
        <f t="shared" si="2"/>
        <v>9</v>
      </c>
      <c r="AI45" s="48">
        <f t="shared" si="3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2"/>
        <v>3</v>
      </c>
      <c r="AI46" s="48">
        <f t="shared" si="3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2"/>
        <v>3.5</v>
      </c>
      <c r="AI47" s="48">
        <f t="shared" si="3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>
        <v>5</v>
      </c>
      <c r="N48" s="45">
        <v>5</v>
      </c>
      <c r="O48" s="45">
        <v>5</v>
      </c>
      <c r="P48" s="45">
        <v>5</v>
      </c>
      <c r="Q48" s="45">
        <v>5</v>
      </c>
      <c r="R48" s="45">
        <v>5</v>
      </c>
      <c r="S48" s="45">
        <v>5</v>
      </c>
      <c r="T48" s="45">
        <v>5</v>
      </c>
      <c r="U48" s="45">
        <v>5</v>
      </c>
      <c r="V48" s="45">
        <v>5</v>
      </c>
      <c r="W48" s="45">
        <v>5</v>
      </c>
      <c r="X48" s="45">
        <v>5</v>
      </c>
      <c r="Y48" s="45">
        <v>5</v>
      </c>
      <c r="Z48" s="45">
        <v>5</v>
      </c>
      <c r="AA48" s="45">
        <v>5</v>
      </c>
      <c r="AB48" s="45">
        <v>5</v>
      </c>
      <c r="AC48" s="45">
        <v>5</v>
      </c>
      <c r="AD48" s="45">
        <v>5</v>
      </c>
      <c r="AE48" s="45">
        <v>5</v>
      </c>
      <c r="AF48" s="45">
        <v>5</v>
      </c>
      <c r="AG48" s="52">
        <v>11.88</v>
      </c>
      <c r="AH48" s="47">
        <f t="shared" si="2"/>
        <v>5</v>
      </c>
      <c r="AI48" s="48">
        <f t="shared" si="3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>
        <v>3</v>
      </c>
      <c r="N49" s="45">
        <v>3</v>
      </c>
      <c r="O49" s="45">
        <v>3</v>
      </c>
      <c r="P49" s="45">
        <v>3</v>
      </c>
      <c r="Q49" s="45">
        <v>3</v>
      </c>
      <c r="R49" s="45">
        <v>3</v>
      </c>
      <c r="S49" s="45">
        <v>3</v>
      </c>
      <c r="T49" s="45">
        <v>3</v>
      </c>
      <c r="U49" s="45">
        <v>3</v>
      </c>
      <c r="V49" s="45">
        <v>3</v>
      </c>
      <c r="W49" s="45">
        <v>3</v>
      </c>
      <c r="X49" s="45">
        <v>3</v>
      </c>
      <c r="Y49" s="45">
        <v>3</v>
      </c>
      <c r="Z49" s="45">
        <v>3</v>
      </c>
      <c r="AA49" s="45">
        <v>3</v>
      </c>
      <c r="AB49" s="45">
        <v>3</v>
      </c>
      <c r="AC49" s="45">
        <v>3</v>
      </c>
      <c r="AD49" s="45">
        <v>3</v>
      </c>
      <c r="AE49" s="45">
        <v>3</v>
      </c>
      <c r="AF49" s="45">
        <v>3</v>
      </c>
      <c r="AG49" s="55">
        <v>11</v>
      </c>
      <c r="AH49" s="47">
        <f t="shared" si="2"/>
        <v>3</v>
      </c>
      <c r="AI49" s="48">
        <f t="shared" si="3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267</v>
      </c>
      <c r="B50" s="45">
        <v>3.3</v>
      </c>
      <c r="C50" s="45">
        <v>3.3</v>
      </c>
      <c r="D50" s="45">
        <v>3.3</v>
      </c>
      <c r="E50" s="45">
        <v>3.3</v>
      </c>
      <c r="F50" s="45">
        <v>3.3</v>
      </c>
      <c r="G50" s="45">
        <v>3.3</v>
      </c>
      <c r="H50" s="45">
        <v>3.3</v>
      </c>
      <c r="I50" s="45">
        <v>3.3</v>
      </c>
      <c r="J50" s="45">
        <v>3.3</v>
      </c>
      <c r="K50" s="45">
        <v>3.3</v>
      </c>
      <c r="L50" s="45">
        <v>3.3</v>
      </c>
      <c r="M50" s="45">
        <v>3.3</v>
      </c>
      <c r="N50" s="45">
        <v>3.3</v>
      </c>
      <c r="O50" s="45">
        <v>3.3</v>
      </c>
      <c r="P50" s="45">
        <v>3.3</v>
      </c>
      <c r="Q50" s="45">
        <v>3.3</v>
      </c>
      <c r="R50" s="45">
        <v>3.3</v>
      </c>
      <c r="S50" s="45">
        <v>3.3</v>
      </c>
      <c r="T50" s="45">
        <v>3.3</v>
      </c>
      <c r="U50" s="45">
        <v>3.3</v>
      </c>
      <c r="V50" s="45">
        <v>3.3</v>
      </c>
      <c r="W50" s="45">
        <v>3.3</v>
      </c>
      <c r="X50" s="45">
        <v>3.3</v>
      </c>
      <c r="Y50" s="45">
        <v>3.3</v>
      </c>
      <c r="Z50" s="45">
        <v>3.3</v>
      </c>
      <c r="AA50" s="45">
        <v>3.3</v>
      </c>
      <c r="AB50" s="45">
        <v>2.4500000000000002</v>
      </c>
      <c r="AC50" s="45">
        <v>2.4500000000000002</v>
      </c>
      <c r="AD50" s="45">
        <v>2.4500000000000002</v>
      </c>
      <c r="AE50" s="45">
        <v>2.4500000000000002</v>
      </c>
      <c r="AF50" s="45">
        <v>2.4500000000000002</v>
      </c>
      <c r="AG50" s="55">
        <v>11</v>
      </c>
      <c r="AH50" s="47">
        <f t="shared" si="2"/>
        <v>3.3</v>
      </c>
      <c r="AI50" s="48">
        <f t="shared" si="3"/>
        <v>2.4500000000000002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268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"/>
        <v>3</v>
      </c>
      <c r="AI51" s="48">
        <f t="shared" si="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2"/>
        <v>4</v>
      </c>
      <c r="AI52" s="48">
        <f t="shared" si="3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"/>
        <v>4.5</v>
      </c>
      <c r="AI53" s="48">
        <f t="shared" si="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269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"/>
        <v>0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150</v>
      </c>
      <c r="C56" s="57">
        <v>150</v>
      </c>
      <c r="D56" s="57">
        <v>150</v>
      </c>
      <c r="E56" s="57">
        <v>150</v>
      </c>
      <c r="F56" s="57">
        <v>150</v>
      </c>
      <c r="G56" s="57">
        <v>150</v>
      </c>
      <c r="H56" s="57">
        <v>150</v>
      </c>
      <c r="I56" s="57">
        <v>150</v>
      </c>
      <c r="J56" s="57">
        <v>150</v>
      </c>
      <c r="K56" s="57">
        <v>150</v>
      </c>
      <c r="L56" s="57">
        <v>150</v>
      </c>
      <c r="M56" s="57">
        <v>150</v>
      </c>
      <c r="N56" s="57">
        <v>150</v>
      </c>
      <c r="O56" s="57">
        <v>150</v>
      </c>
      <c r="P56" s="57">
        <v>150</v>
      </c>
      <c r="Q56" s="57">
        <v>150</v>
      </c>
      <c r="R56" s="57">
        <v>150</v>
      </c>
      <c r="S56" s="57">
        <v>150</v>
      </c>
      <c r="T56" s="57">
        <v>150</v>
      </c>
      <c r="U56" s="57">
        <v>150</v>
      </c>
      <c r="V56" s="57">
        <v>150</v>
      </c>
      <c r="W56" s="57">
        <v>150</v>
      </c>
      <c r="X56" s="57">
        <v>150</v>
      </c>
      <c r="Y56" s="57">
        <v>150</v>
      </c>
      <c r="Z56" s="57">
        <v>150</v>
      </c>
      <c r="AA56" s="57">
        <v>150</v>
      </c>
      <c r="AB56" s="57">
        <v>150</v>
      </c>
      <c r="AC56" s="57">
        <v>150</v>
      </c>
      <c r="AD56" s="57">
        <v>150</v>
      </c>
      <c r="AE56" s="57">
        <v>150</v>
      </c>
      <c r="AF56" s="57">
        <v>150</v>
      </c>
      <c r="AG56" s="55">
        <v>85</v>
      </c>
      <c r="AH56" s="47">
        <f t="shared" si="2"/>
        <v>150</v>
      </c>
      <c r="AI56" s="48">
        <f t="shared" si="3"/>
        <v>150</v>
      </c>
      <c r="AK56" s="50"/>
    </row>
    <row r="57" spans="1:88" ht="15.75" thickBot="1" x14ac:dyDescent="0.3">
      <c r="A57" s="58" t="s">
        <v>57</v>
      </c>
      <c r="B57" s="57">
        <v>25</v>
      </c>
      <c r="C57" s="57">
        <v>25</v>
      </c>
      <c r="D57" s="57">
        <v>25</v>
      </c>
      <c r="E57" s="57">
        <v>25</v>
      </c>
      <c r="F57" s="57">
        <v>25</v>
      </c>
      <c r="G57" s="57">
        <v>25</v>
      </c>
      <c r="H57" s="57">
        <v>25</v>
      </c>
      <c r="I57" s="57">
        <v>25</v>
      </c>
      <c r="J57" s="57">
        <v>25</v>
      </c>
      <c r="K57" s="57">
        <v>25</v>
      </c>
      <c r="L57" s="57">
        <v>25</v>
      </c>
      <c r="M57" s="57">
        <f>2.8+11.7</f>
        <v>14.5</v>
      </c>
      <c r="N57" s="51">
        <f>13.8+3.8</f>
        <v>17.600000000000001</v>
      </c>
      <c r="O57" s="51">
        <f>14+4.1</f>
        <v>18.100000000000001</v>
      </c>
      <c r="P57" s="51">
        <f>13.8+4</f>
        <v>17.8</v>
      </c>
      <c r="Q57" s="51">
        <f>14.4+4.6</f>
        <v>19</v>
      </c>
      <c r="R57" s="51">
        <f>3.9+12.7</f>
        <v>16.599999999999998</v>
      </c>
      <c r="S57" s="51">
        <v>21.6</v>
      </c>
      <c r="T57" s="51">
        <v>21.6</v>
      </c>
      <c r="U57" s="51">
        <v>21.6</v>
      </c>
      <c r="V57" s="51">
        <v>21.6</v>
      </c>
      <c r="W57" s="51">
        <v>21.6</v>
      </c>
      <c r="X57" s="51">
        <v>21.6</v>
      </c>
      <c r="Y57" s="57">
        <v>21.6</v>
      </c>
      <c r="Z57" s="57">
        <v>21.6</v>
      </c>
      <c r="AA57" s="57">
        <v>21.6</v>
      </c>
      <c r="AB57" s="57">
        <v>18.100000000000001</v>
      </c>
      <c r="AC57" s="57">
        <v>18.100000000000001</v>
      </c>
      <c r="AD57" s="57">
        <v>18.100000000000001</v>
      </c>
      <c r="AE57" s="57">
        <v>18.100000000000001</v>
      </c>
      <c r="AF57" s="57">
        <v>18.100000000000001</v>
      </c>
      <c r="AG57" s="55">
        <v>240</v>
      </c>
      <c r="AH57" s="47">
        <f t="shared" si="2"/>
        <v>25</v>
      </c>
      <c r="AI57" s="48">
        <f t="shared" si="3"/>
        <v>14.5</v>
      </c>
      <c r="AK57" s="50"/>
    </row>
    <row r="58" spans="1:88" ht="15.75" thickBot="1" x14ac:dyDescent="0.3">
      <c r="A58" s="59" t="s">
        <v>58</v>
      </c>
      <c r="B58" s="60">
        <f>SUM(B11:B56)</f>
        <v>496.90000000000003</v>
      </c>
      <c r="C58" s="60">
        <f>SUM(C11:C56)</f>
        <v>496.90000000000003</v>
      </c>
      <c r="D58" s="60">
        <f t="shared" ref="D58:AF58" si="4">SUM(D11:D56)</f>
        <v>496.90000000000003</v>
      </c>
      <c r="E58" s="60">
        <f t="shared" si="4"/>
        <v>496.90000000000003</v>
      </c>
      <c r="F58" s="60">
        <f t="shared" si="4"/>
        <v>496.90000000000003</v>
      </c>
      <c r="G58" s="60">
        <f t="shared" si="4"/>
        <v>496.90000000000003</v>
      </c>
      <c r="H58" s="60">
        <f t="shared" si="4"/>
        <v>496.90000000000003</v>
      </c>
      <c r="I58" s="60">
        <f t="shared" si="4"/>
        <v>496.90000000000003</v>
      </c>
      <c r="J58" s="60">
        <f t="shared" si="4"/>
        <v>496.90000000000003</v>
      </c>
      <c r="K58" s="60">
        <f t="shared" si="4"/>
        <v>496.90000000000003</v>
      </c>
      <c r="L58" s="60">
        <f t="shared" si="4"/>
        <v>496.90000000000003</v>
      </c>
      <c r="M58" s="60">
        <f t="shared" ref="M58" si="5">SUM(M11:M56)</f>
        <v>489.20000000000005</v>
      </c>
      <c r="N58" s="60">
        <f t="shared" si="4"/>
        <v>487.50000000000006</v>
      </c>
      <c r="O58" s="60">
        <f t="shared" si="4"/>
        <v>487.50000000000006</v>
      </c>
      <c r="P58" s="60">
        <f t="shared" si="4"/>
        <v>487.20000000000005</v>
      </c>
      <c r="Q58" s="60">
        <f t="shared" si="4"/>
        <v>487.50000000000006</v>
      </c>
      <c r="R58" s="60">
        <f t="shared" ref="R58:S58" si="6">SUM(R11:R56)</f>
        <v>478.6</v>
      </c>
      <c r="S58" s="60">
        <f t="shared" si="6"/>
        <v>478.6</v>
      </c>
      <c r="T58" s="60">
        <f t="shared" ref="T58:U58" si="7">SUM(T11:T56)</f>
        <v>478.6</v>
      </c>
      <c r="U58" s="60">
        <f t="shared" si="7"/>
        <v>478.6</v>
      </c>
      <c r="V58" s="60">
        <f t="shared" ref="V58:W58" si="8">SUM(V11:V56)</f>
        <v>478.6</v>
      </c>
      <c r="W58" s="60">
        <f t="shared" si="8"/>
        <v>478.6</v>
      </c>
      <c r="X58" s="60">
        <f t="shared" ref="X58:Y58" si="9">SUM(X11:X56)</f>
        <v>478.6</v>
      </c>
      <c r="Y58" s="60">
        <f t="shared" si="9"/>
        <v>478.6</v>
      </c>
      <c r="Z58" s="60">
        <f t="shared" ref="Z58" si="10">SUM(Z11:Z56)</f>
        <v>478.6</v>
      </c>
      <c r="AA58" s="60">
        <f t="shared" si="4"/>
        <v>478.6</v>
      </c>
      <c r="AB58" s="60">
        <f t="shared" si="4"/>
        <v>484.24999999999994</v>
      </c>
      <c r="AC58" s="60">
        <f t="shared" si="4"/>
        <v>484.24999999999994</v>
      </c>
      <c r="AD58" s="60">
        <f t="shared" si="4"/>
        <v>484.24999999999994</v>
      </c>
      <c r="AE58" s="60">
        <f t="shared" si="4"/>
        <v>484.24999999999994</v>
      </c>
      <c r="AF58" s="60">
        <f t="shared" si="4"/>
        <v>484.24999999999994</v>
      </c>
      <c r="AG58" s="61">
        <f>SUM(AG14:AG56)</f>
        <v>1042.4000000000001</v>
      </c>
      <c r="AH58" s="47">
        <f t="shared" si="2"/>
        <v>496.90000000000003</v>
      </c>
      <c r="AI58" s="48">
        <f t="shared" si="3"/>
        <v>478.6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60</v>
      </c>
      <c r="I59" s="45">
        <v>75</v>
      </c>
      <c r="J59" s="45">
        <v>120</v>
      </c>
      <c r="K59" s="45">
        <v>260</v>
      </c>
      <c r="L59" s="45">
        <v>420</v>
      </c>
      <c r="M59" s="45">
        <v>405</v>
      </c>
      <c r="N59" s="63">
        <v>225</v>
      </c>
      <c r="O59" s="63">
        <v>125</v>
      </c>
      <c r="P59" s="63">
        <v>15</v>
      </c>
      <c r="Q59" s="63">
        <v>15</v>
      </c>
      <c r="R59" s="63">
        <v>0</v>
      </c>
      <c r="S59" s="63">
        <v>0</v>
      </c>
      <c r="T59" s="63">
        <v>0</v>
      </c>
      <c r="U59" s="63">
        <v>0</v>
      </c>
      <c r="V59" s="63">
        <v>0</v>
      </c>
      <c r="W59" s="63">
        <v>30</v>
      </c>
      <c r="X59" s="63">
        <v>210</v>
      </c>
      <c r="Y59" s="45">
        <v>345</v>
      </c>
      <c r="Z59" s="45">
        <v>340</v>
      </c>
      <c r="AA59" s="45">
        <v>350</v>
      </c>
      <c r="AB59" s="45">
        <v>235</v>
      </c>
      <c r="AC59" s="45">
        <v>200</v>
      </c>
      <c r="AD59" s="45">
        <v>100</v>
      </c>
      <c r="AE59" s="45">
        <v>0</v>
      </c>
      <c r="AF59" s="45">
        <v>0</v>
      </c>
      <c r="AG59" s="52">
        <v>456</v>
      </c>
      <c r="AH59" s="47">
        <f t="shared" si="2"/>
        <v>420</v>
      </c>
      <c r="AI59" s="48">
        <f t="shared" si="3"/>
        <v>0</v>
      </c>
      <c r="AK59" s="50"/>
    </row>
    <row r="60" spans="1:88" x14ac:dyDescent="0.25">
      <c r="A60" s="64" t="s">
        <v>60</v>
      </c>
      <c r="B60" s="65">
        <v>30</v>
      </c>
      <c r="C60" s="65">
        <v>30</v>
      </c>
      <c r="D60" s="65">
        <v>30</v>
      </c>
      <c r="E60" s="65">
        <v>30</v>
      </c>
      <c r="F60" s="65">
        <v>30</v>
      </c>
      <c r="G60" s="65">
        <v>30</v>
      </c>
      <c r="H60" s="65">
        <v>30</v>
      </c>
      <c r="I60" s="65">
        <v>30</v>
      </c>
      <c r="J60" s="65">
        <v>30</v>
      </c>
      <c r="K60" s="65">
        <v>30</v>
      </c>
      <c r="L60" s="65">
        <v>30</v>
      </c>
      <c r="M60" s="65">
        <v>30</v>
      </c>
      <c r="N60" s="65">
        <v>30</v>
      </c>
      <c r="O60" s="65">
        <v>30</v>
      </c>
      <c r="P60" s="65">
        <v>30</v>
      </c>
      <c r="Q60" s="65">
        <v>30</v>
      </c>
      <c r="R60" s="65">
        <v>30</v>
      </c>
      <c r="S60" s="65">
        <v>30</v>
      </c>
      <c r="T60" s="65">
        <v>30</v>
      </c>
      <c r="U60" s="65">
        <v>30</v>
      </c>
      <c r="V60" s="65">
        <v>30</v>
      </c>
      <c r="W60" s="65">
        <v>30</v>
      </c>
      <c r="X60" s="65">
        <v>30</v>
      </c>
      <c r="Y60" s="65">
        <v>30</v>
      </c>
      <c r="Z60" s="65">
        <v>30</v>
      </c>
      <c r="AA60" s="65">
        <v>30</v>
      </c>
      <c r="AB60" s="65">
        <v>30</v>
      </c>
      <c r="AC60" s="65">
        <v>30</v>
      </c>
      <c r="AD60" s="65">
        <v>30</v>
      </c>
      <c r="AE60" s="65">
        <v>30</v>
      </c>
      <c r="AF60" s="65">
        <v>30</v>
      </c>
      <c r="AG60" s="55">
        <v>60</v>
      </c>
      <c r="AH60" s="47">
        <f t="shared" si="2"/>
        <v>30</v>
      </c>
      <c r="AI60" s="48">
        <f t="shared" si="3"/>
        <v>30</v>
      </c>
      <c r="AK60" s="50"/>
    </row>
    <row r="61" spans="1:88" ht="15.75" thickBot="1" x14ac:dyDescent="0.3">
      <c r="A61" s="66" t="s">
        <v>61</v>
      </c>
      <c r="B61" s="67">
        <v>10.199999999999999</v>
      </c>
      <c r="C61" s="67">
        <v>10.199999999999999</v>
      </c>
      <c r="D61" s="67">
        <v>10.199999999999999</v>
      </c>
      <c r="E61" s="67">
        <v>10.199999999999999</v>
      </c>
      <c r="F61" s="67">
        <v>10.199999999999999</v>
      </c>
      <c r="G61" s="67">
        <v>10.199999999999999</v>
      </c>
      <c r="H61" s="67">
        <v>10.199999999999999</v>
      </c>
      <c r="I61" s="67">
        <v>10.199999999999999</v>
      </c>
      <c r="J61" s="67">
        <v>10.199999999999999</v>
      </c>
      <c r="K61" s="67">
        <v>10.199999999999999</v>
      </c>
      <c r="L61" s="67">
        <v>10.199999999999999</v>
      </c>
      <c r="M61" s="67">
        <v>10.199999999999999</v>
      </c>
      <c r="N61" s="67">
        <v>10.199999999999999</v>
      </c>
      <c r="O61" s="67">
        <v>10.199999999999999</v>
      </c>
      <c r="P61" s="67">
        <v>10.199999999999999</v>
      </c>
      <c r="Q61" s="67">
        <v>10.199999999999999</v>
      </c>
      <c r="R61" s="67">
        <v>10.199999999999999</v>
      </c>
      <c r="S61" s="67">
        <v>10.199999999999999</v>
      </c>
      <c r="T61" s="67">
        <v>10.199999999999999</v>
      </c>
      <c r="U61" s="67">
        <v>10.199999999999999</v>
      </c>
      <c r="V61" s="67">
        <v>10.199999999999999</v>
      </c>
      <c r="W61" s="67">
        <v>10.199999999999999</v>
      </c>
      <c r="X61" s="67">
        <v>10.199999999999999</v>
      </c>
      <c r="Y61" s="67">
        <v>16</v>
      </c>
      <c r="Z61" s="67">
        <v>10.199999999999999</v>
      </c>
      <c r="AA61" s="67">
        <v>10.199999999999999</v>
      </c>
      <c r="AB61" s="67">
        <v>10.199999999999999</v>
      </c>
      <c r="AC61" s="67">
        <v>10.199999999999999</v>
      </c>
      <c r="AD61" s="67">
        <v>10</v>
      </c>
      <c r="AE61" s="67">
        <v>10</v>
      </c>
      <c r="AF61" s="67">
        <v>10</v>
      </c>
      <c r="AG61" s="68">
        <v>22.1</v>
      </c>
      <c r="AH61" s="47">
        <f t="shared" si="2"/>
        <v>16</v>
      </c>
      <c r="AI61" s="48">
        <f t="shared" si="3"/>
        <v>10</v>
      </c>
      <c r="AK61" s="50"/>
    </row>
    <row r="62" spans="1:88" ht="15.75" thickBot="1" x14ac:dyDescent="0.3">
      <c r="A62" s="69" t="s">
        <v>62</v>
      </c>
      <c r="B62" s="60">
        <f t="shared" ref="B62:AG62" si="11">SUM(B59:B61)</f>
        <v>40.200000000000003</v>
      </c>
      <c r="C62" s="60">
        <f t="shared" si="11"/>
        <v>40.200000000000003</v>
      </c>
      <c r="D62" s="60">
        <f t="shared" si="11"/>
        <v>40.200000000000003</v>
      </c>
      <c r="E62" s="60">
        <f t="shared" si="11"/>
        <v>40.200000000000003</v>
      </c>
      <c r="F62" s="60">
        <f t="shared" si="11"/>
        <v>40.200000000000003</v>
      </c>
      <c r="G62" s="60">
        <f t="shared" si="11"/>
        <v>40.200000000000003</v>
      </c>
      <c r="H62" s="60">
        <f t="shared" si="11"/>
        <v>100.2</v>
      </c>
      <c r="I62" s="60">
        <f t="shared" si="11"/>
        <v>115.2</v>
      </c>
      <c r="J62" s="60">
        <f t="shared" si="11"/>
        <v>160.19999999999999</v>
      </c>
      <c r="K62" s="60">
        <f t="shared" si="11"/>
        <v>300.2</v>
      </c>
      <c r="L62" s="60">
        <f t="shared" si="11"/>
        <v>460.2</v>
      </c>
      <c r="M62" s="60">
        <f t="shared" ref="M62" si="12">SUM(M59:M61)</f>
        <v>445.2</v>
      </c>
      <c r="N62" s="60">
        <f t="shared" si="11"/>
        <v>265.2</v>
      </c>
      <c r="O62" s="60">
        <f t="shared" si="11"/>
        <v>165.2</v>
      </c>
      <c r="P62" s="60">
        <f t="shared" si="11"/>
        <v>55.2</v>
      </c>
      <c r="Q62" s="60">
        <f t="shared" si="11"/>
        <v>55.2</v>
      </c>
      <c r="R62" s="60">
        <f t="shared" ref="R62:S62" si="13">SUM(R59:R61)</f>
        <v>40.200000000000003</v>
      </c>
      <c r="S62" s="60">
        <f t="shared" si="13"/>
        <v>40.200000000000003</v>
      </c>
      <c r="T62" s="60">
        <f t="shared" ref="T62:U62" si="14">SUM(T59:T61)</f>
        <v>40.200000000000003</v>
      </c>
      <c r="U62" s="60">
        <f t="shared" si="14"/>
        <v>40.200000000000003</v>
      </c>
      <c r="V62" s="60">
        <f t="shared" ref="V62:W62" si="15">SUM(V59:V61)</f>
        <v>40.200000000000003</v>
      </c>
      <c r="W62" s="60">
        <f t="shared" si="15"/>
        <v>70.2</v>
      </c>
      <c r="X62" s="60">
        <f t="shared" ref="X62:Y62" si="16">SUM(X59:X61)</f>
        <v>250.2</v>
      </c>
      <c r="Y62" s="60">
        <f t="shared" si="16"/>
        <v>391</v>
      </c>
      <c r="Z62" s="60">
        <f t="shared" ref="Z62" si="17">SUM(Z59:Z61)</f>
        <v>380.2</v>
      </c>
      <c r="AA62" s="60">
        <f t="shared" si="11"/>
        <v>390.2</v>
      </c>
      <c r="AB62" s="60">
        <f t="shared" si="11"/>
        <v>275.2</v>
      </c>
      <c r="AC62" s="60">
        <f t="shared" si="11"/>
        <v>240.2</v>
      </c>
      <c r="AD62" s="60">
        <f t="shared" si="11"/>
        <v>140</v>
      </c>
      <c r="AE62" s="60">
        <f t="shared" si="11"/>
        <v>40</v>
      </c>
      <c r="AF62" s="60">
        <f t="shared" si="11"/>
        <v>40</v>
      </c>
      <c r="AG62" s="61">
        <f t="shared" si="11"/>
        <v>538.1</v>
      </c>
      <c r="AH62" s="47">
        <f t="shared" si="2"/>
        <v>460.2</v>
      </c>
      <c r="AI62" s="48">
        <f t="shared" si="3"/>
        <v>40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30.5</v>
      </c>
      <c r="H63" s="45">
        <v>47</v>
      </c>
      <c r="I63" s="45">
        <v>96.7</v>
      </c>
      <c r="J63" s="45">
        <v>97.7</v>
      </c>
      <c r="K63" s="45">
        <v>83.2</v>
      </c>
      <c r="L63" s="45">
        <v>81.5</v>
      </c>
      <c r="M63" s="45">
        <v>97.7</v>
      </c>
      <c r="N63" s="45">
        <v>81.7</v>
      </c>
      <c r="O63" s="45">
        <v>65.2</v>
      </c>
      <c r="P63" s="45">
        <v>61.5</v>
      </c>
      <c r="Q63" s="45">
        <v>61.5</v>
      </c>
      <c r="R63" s="45">
        <v>61.2</v>
      </c>
      <c r="S63" s="45">
        <v>61.2</v>
      </c>
      <c r="T63" s="45">
        <v>60.2</v>
      </c>
      <c r="U63" s="45">
        <v>132.6</v>
      </c>
      <c r="V63" s="45">
        <v>91.7</v>
      </c>
      <c r="W63" s="45">
        <v>61.2</v>
      </c>
      <c r="X63" s="45">
        <v>105.8</v>
      </c>
      <c r="Y63" s="45">
        <v>143.9</v>
      </c>
      <c r="Z63" s="45">
        <v>143.9</v>
      </c>
      <c r="AA63" s="45">
        <v>143</v>
      </c>
      <c r="AB63" s="45">
        <v>136.19999999999999</v>
      </c>
      <c r="AC63" s="45">
        <v>98</v>
      </c>
      <c r="AD63" s="45">
        <v>97</v>
      </c>
      <c r="AE63" s="45">
        <v>77</v>
      </c>
      <c r="AF63" s="45">
        <v>0</v>
      </c>
      <c r="AG63" s="52">
        <v>144</v>
      </c>
      <c r="AH63" s="47">
        <f t="shared" si="2"/>
        <v>143.9</v>
      </c>
      <c r="AI63" s="48">
        <f t="shared" si="3"/>
        <v>0</v>
      </c>
      <c r="AK63" s="50"/>
    </row>
    <row r="64" spans="1:88" x14ac:dyDescent="0.25">
      <c r="A64" s="54" t="s">
        <v>64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25</v>
      </c>
      <c r="I64" s="65">
        <v>35</v>
      </c>
      <c r="J64" s="65">
        <v>35</v>
      </c>
      <c r="K64" s="65">
        <v>35</v>
      </c>
      <c r="L64" s="65">
        <v>50</v>
      </c>
      <c r="M64" s="65">
        <v>60</v>
      </c>
      <c r="N64" s="65">
        <v>60</v>
      </c>
      <c r="O64" s="65">
        <v>60</v>
      </c>
      <c r="P64" s="65">
        <v>43</v>
      </c>
      <c r="Q64" s="65">
        <v>43</v>
      </c>
      <c r="R64" s="65">
        <v>43</v>
      </c>
      <c r="S64" s="65">
        <v>45</v>
      </c>
      <c r="T64" s="65">
        <v>0</v>
      </c>
      <c r="U64" s="65">
        <v>25</v>
      </c>
      <c r="V64" s="65">
        <v>25</v>
      </c>
      <c r="W64" s="65">
        <v>25</v>
      </c>
      <c r="X64" s="65">
        <v>45</v>
      </c>
      <c r="Y64" s="45">
        <v>69</v>
      </c>
      <c r="Z64" s="45">
        <v>69</v>
      </c>
      <c r="AA64" s="45">
        <v>50</v>
      </c>
      <c r="AB64" s="45">
        <v>50</v>
      </c>
      <c r="AC64" s="45">
        <v>35</v>
      </c>
      <c r="AD64" s="45">
        <v>35</v>
      </c>
      <c r="AE64" s="45">
        <v>35</v>
      </c>
      <c r="AF64" s="45">
        <v>0</v>
      </c>
      <c r="AG64" s="55">
        <v>70</v>
      </c>
      <c r="AH64" s="47">
        <f t="shared" si="2"/>
        <v>69</v>
      </c>
      <c r="AI64" s="48">
        <f t="shared" si="3"/>
        <v>0</v>
      </c>
      <c r="AK64" s="50"/>
    </row>
    <row r="65" spans="1:41" x14ac:dyDescent="0.25">
      <c r="A65" s="54" t="s">
        <v>65</v>
      </c>
      <c r="B65" s="65">
        <v>34.5</v>
      </c>
      <c r="C65" s="65">
        <v>34.700000000000003</v>
      </c>
      <c r="D65" s="65">
        <v>34.799999999999997</v>
      </c>
      <c r="E65" s="65">
        <v>0</v>
      </c>
      <c r="F65" s="65">
        <v>0</v>
      </c>
      <c r="G65" s="65">
        <v>0</v>
      </c>
      <c r="H65" s="65">
        <v>0</v>
      </c>
      <c r="I65" s="65">
        <v>0</v>
      </c>
      <c r="J65" s="65">
        <v>43.3</v>
      </c>
      <c r="K65" s="65">
        <v>45.4</v>
      </c>
      <c r="L65" s="65">
        <v>45.9</v>
      </c>
      <c r="M65" s="65">
        <v>61.9</v>
      </c>
      <c r="N65" s="65">
        <v>61.5</v>
      </c>
      <c r="O65" s="65">
        <v>61.1</v>
      </c>
      <c r="P65" s="65">
        <v>37.299999999999997</v>
      </c>
      <c r="Q65" s="65">
        <v>36.9</v>
      </c>
      <c r="R65" s="65">
        <v>36.6</v>
      </c>
      <c r="S65" s="65">
        <v>36.6</v>
      </c>
      <c r="T65" s="65">
        <v>36.700000000000003</v>
      </c>
      <c r="U65" s="65">
        <v>54.8</v>
      </c>
      <c r="V65" s="65">
        <v>40.4</v>
      </c>
      <c r="W65" s="65">
        <v>35.299999999999997</v>
      </c>
      <c r="X65" s="65">
        <v>52.1</v>
      </c>
      <c r="Y65" s="45">
        <v>67.3</v>
      </c>
      <c r="Z65" s="45">
        <v>67.3</v>
      </c>
      <c r="AA65" s="45">
        <v>67.7</v>
      </c>
      <c r="AB65" s="45">
        <v>67.3</v>
      </c>
      <c r="AC65" s="45">
        <v>44</v>
      </c>
      <c r="AD65" s="45">
        <v>34</v>
      </c>
      <c r="AE65" s="45">
        <v>34</v>
      </c>
      <c r="AF65" s="45">
        <v>17</v>
      </c>
      <c r="AG65" s="55">
        <v>69</v>
      </c>
      <c r="AH65" s="47">
        <f t="shared" si="2"/>
        <v>67.7</v>
      </c>
      <c r="AI65" s="48">
        <f t="shared" si="3"/>
        <v>0</v>
      </c>
      <c r="AK65" s="50"/>
    </row>
    <row r="66" spans="1:41" x14ac:dyDescent="0.25">
      <c r="A66" s="54" t="s">
        <v>66</v>
      </c>
      <c r="B66" s="65">
        <v>42.1</v>
      </c>
      <c r="C66" s="65">
        <v>39.799999999999997</v>
      </c>
      <c r="D66" s="65">
        <v>40</v>
      </c>
      <c r="E66" s="65">
        <v>39.799999999999997</v>
      </c>
      <c r="F66" s="65">
        <v>39</v>
      </c>
      <c r="G66" s="65">
        <v>39</v>
      </c>
      <c r="H66" s="65">
        <v>39</v>
      </c>
      <c r="I66" s="65">
        <v>39</v>
      </c>
      <c r="J66" s="65">
        <v>39</v>
      </c>
      <c r="K66" s="57">
        <v>37.299999999999997</v>
      </c>
      <c r="L66" s="57">
        <v>37.299999999999997</v>
      </c>
      <c r="M66" s="65">
        <v>37.6</v>
      </c>
      <c r="N66" s="65">
        <v>39.299999999999997</v>
      </c>
      <c r="O66" s="65">
        <v>40.299999999999997</v>
      </c>
      <c r="P66" s="65">
        <v>40</v>
      </c>
      <c r="Q66" s="65">
        <v>40</v>
      </c>
      <c r="R66" s="65">
        <v>36.299999999999997</v>
      </c>
      <c r="S66" s="65">
        <v>36.299999999999997</v>
      </c>
      <c r="T66" s="65">
        <v>36.299999999999997</v>
      </c>
      <c r="U66" s="65">
        <v>36.299999999999997</v>
      </c>
      <c r="V66" s="65">
        <v>36.299999999999997</v>
      </c>
      <c r="W66" s="65">
        <v>36.299999999999997</v>
      </c>
      <c r="X66" s="65">
        <v>36.299999999999997</v>
      </c>
      <c r="Y66" s="45">
        <v>36.299999999999997</v>
      </c>
      <c r="Z66" s="45">
        <v>36.299999999999997</v>
      </c>
      <c r="AA66" s="45">
        <v>38</v>
      </c>
      <c r="AB66" s="45">
        <v>38</v>
      </c>
      <c r="AC66" s="45">
        <v>38</v>
      </c>
      <c r="AD66" s="45">
        <v>38</v>
      </c>
      <c r="AE66" s="45">
        <v>38</v>
      </c>
      <c r="AF66" s="45">
        <v>38</v>
      </c>
      <c r="AG66" s="55">
        <v>60</v>
      </c>
      <c r="AH66" s="47">
        <f t="shared" si="2"/>
        <v>42.1</v>
      </c>
      <c r="AI66" s="48">
        <f t="shared" si="3"/>
        <v>36.299999999999997</v>
      </c>
      <c r="AK66" s="50"/>
    </row>
    <row r="67" spans="1:41" x14ac:dyDescent="0.25">
      <c r="A67" s="54" t="s">
        <v>67</v>
      </c>
      <c r="B67" s="65">
        <v>0</v>
      </c>
      <c r="C67" s="65">
        <v>0</v>
      </c>
      <c r="D67" s="65">
        <v>0</v>
      </c>
      <c r="E67" s="65">
        <v>0</v>
      </c>
      <c r="F67" s="65">
        <v>0</v>
      </c>
      <c r="G67" s="65">
        <v>10</v>
      </c>
      <c r="H67" s="65">
        <v>15</v>
      </c>
      <c r="I67" s="65">
        <v>29</v>
      </c>
      <c r="J67" s="65">
        <v>23</v>
      </c>
      <c r="K67" s="57">
        <v>23</v>
      </c>
      <c r="L67" s="57">
        <v>29</v>
      </c>
      <c r="M67" s="65">
        <v>29</v>
      </c>
      <c r="N67" s="65">
        <v>27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23</v>
      </c>
      <c r="Y67" s="45">
        <v>29</v>
      </c>
      <c r="Z67" s="45">
        <v>29</v>
      </c>
      <c r="AA67" s="45">
        <v>28</v>
      </c>
      <c r="AB67" s="45">
        <v>10</v>
      </c>
      <c r="AC67" s="45">
        <v>10</v>
      </c>
      <c r="AD67" s="45">
        <v>10</v>
      </c>
      <c r="AE67" s="45">
        <v>0</v>
      </c>
      <c r="AF67" s="45">
        <v>0</v>
      </c>
      <c r="AG67" s="55">
        <v>30</v>
      </c>
      <c r="AH67" s="47">
        <f t="shared" si="2"/>
        <v>29</v>
      </c>
      <c r="AI67" s="48">
        <f t="shared" si="3"/>
        <v>0</v>
      </c>
      <c r="AK67" s="50"/>
    </row>
    <row r="68" spans="1:41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65">
        <v>0.3</v>
      </c>
      <c r="L68" s="65">
        <v>1.2</v>
      </c>
      <c r="M68" s="65">
        <v>4.5999999999999996</v>
      </c>
      <c r="N68" s="65">
        <v>9.3000000000000007</v>
      </c>
      <c r="O68" s="65">
        <v>13.4</v>
      </c>
      <c r="P68" s="65">
        <v>16.3</v>
      </c>
      <c r="Q68" s="65">
        <v>17.7</v>
      </c>
      <c r="R68" s="65">
        <v>16.399999999999999</v>
      </c>
      <c r="S68" s="65">
        <v>13.2</v>
      </c>
      <c r="T68" s="65">
        <v>9.4</v>
      </c>
      <c r="U68" s="65">
        <v>6.9</v>
      </c>
      <c r="V68" s="65">
        <v>1.3</v>
      </c>
      <c r="W68" s="65">
        <v>0</v>
      </c>
      <c r="X68" s="65">
        <v>0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55">
        <v>25</v>
      </c>
      <c r="AH68" s="47">
        <f t="shared" si="2"/>
        <v>17.7</v>
      </c>
      <c r="AI68" s="48">
        <f t="shared" si="3"/>
        <v>0</v>
      </c>
      <c r="AK68" s="50"/>
    </row>
    <row r="69" spans="1:41" x14ac:dyDescent="0.25">
      <c r="A69" s="54" t="s">
        <v>69</v>
      </c>
      <c r="B69" s="65">
        <v>15</v>
      </c>
      <c r="C69" s="65">
        <v>15</v>
      </c>
      <c r="D69" s="65">
        <v>15</v>
      </c>
      <c r="E69" s="65">
        <v>15</v>
      </c>
      <c r="F69" s="65">
        <v>15</v>
      </c>
      <c r="G69" s="65">
        <v>15</v>
      </c>
      <c r="H69" s="65">
        <v>15</v>
      </c>
      <c r="I69" s="65">
        <v>15</v>
      </c>
      <c r="J69" s="65">
        <v>15</v>
      </c>
      <c r="K69" s="65">
        <v>15</v>
      </c>
      <c r="L69" s="65">
        <v>15</v>
      </c>
      <c r="M69" s="65">
        <v>15</v>
      </c>
      <c r="N69" s="65">
        <v>15</v>
      </c>
      <c r="O69" s="65">
        <v>15</v>
      </c>
      <c r="P69" s="65">
        <v>15</v>
      </c>
      <c r="Q69" s="65">
        <v>15</v>
      </c>
      <c r="R69" s="65">
        <v>15</v>
      </c>
      <c r="S69" s="65">
        <v>15</v>
      </c>
      <c r="T69" s="65">
        <v>15</v>
      </c>
      <c r="U69" s="65">
        <v>15</v>
      </c>
      <c r="V69" s="65">
        <v>15</v>
      </c>
      <c r="W69" s="65">
        <v>15</v>
      </c>
      <c r="X69" s="65">
        <v>15</v>
      </c>
      <c r="Y69" s="65">
        <v>15</v>
      </c>
      <c r="Z69" s="65">
        <v>15</v>
      </c>
      <c r="AA69" s="65">
        <v>15</v>
      </c>
      <c r="AB69" s="65">
        <v>15</v>
      </c>
      <c r="AC69" s="65">
        <v>15</v>
      </c>
      <c r="AD69" s="65">
        <v>15</v>
      </c>
      <c r="AE69" s="65">
        <v>15</v>
      </c>
      <c r="AF69" s="65">
        <v>15</v>
      </c>
      <c r="AG69" s="55">
        <v>24</v>
      </c>
      <c r="AH69" s="47">
        <f t="shared" si="2"/>
        <v>15</v>
      </c>
      <c r="AI69" s="48">
        <f t="shared" si="3"/>
        <v>15</v>
      </c>
      <c r="AK69" s="50"/>
    </row>
    <row r="70" spans="1:41" x14ac:dyDescent="0.25">
      <c r="A70" s="54" t="s">
        <v>70</v>
      </c>
      <c r="B70" s="65">
        <v>4</v>
      </c>
      <c r="C70" s="65">
        <v>4</v>
      </c>
      <c r="D70" s="65">
        <v>4</v>
      </c>
      <c r="E70" s="65">
        <v>4</v>
      </c>
      <c r="F70" s="65">
        <v>4</v>
      </c>
      <c r="G70" s="65">
        <v>4</v>
      </c>
      <c r="H70" s="65">
        <v>4</v>
      </c>
      <c r="I70" s="65">
        <v>4</v>
      </c>
      <c r="J70" s="65">
        <v>4</v>
      </c>
      <c r="K70" s="65">
        <v>4</v>
      </c>
      <c r="L70" s="65">
        <v>4</v>
      </c>
      <c r="M70" s="65">
        <v>4</v>
      </c>
      <c r="N70" s="65">
        <v>4</v>
      </c>
      <c r="O70" s="65">
        <v>4</v>
      </c>
      <c r="P70" s="65">
        <v>4</v>
      </c>
      <c r="Q70" s="65">
        <v>4</v>
      </c>
      <c r="R70" s="65">
        <v>4</v>
      </c>
      <c r="S70" s="65">
        <v>4</v>
      </c>
      <c r="T70" s="65">
        <v>4</v>
      </c>
      <c r="U70" s="65">
        <v>4</v>
      </c>
      <c r="V70" s="65">
        <v>4</v>
      </c>
      <c r="W70" s="65">
        <v>4</v>
      </c>
      <c r="X70" s="65">
        <v>4</v>
      </c>
      <c r="Y70" s="65">
        <v>4</v>
      </c>
      <c r="Z70" s="65">
        <v>4</v>
      </c>
      <c r="AA70" s="65">
        <v>4</v>
      </c>
      <c r="AB70" s="65">
        <v>4</v>
      </c>
      <c r="AC70" s="65">
        <v>4</v>
      </c>
      <c r="AD70" s="65">
        <v>4</v>
      </c>
      <c r="AE70" s="65">
        <v>4</v>
      </c>
      <c r="AF70" s="65">
        <v>4</v>
      </c>
      <c r="AG70" s="55">
        <v>15</v>
      </c>
      <c r="AH70" s="47">
        <f t="shared" si="2"/>
        <v>4</v>
      </c>
      <c r="AI70" s="48">
        <f t="shared" si="3"/>
        <v>4</v>
      </c>
      <c r="AK70" s="50"/>
      <c r="AL70" s="70"/>
      <c r="AO70" s="70"/>
    </row>
    <row r="71" spans="1:41" s="70" customFormat="1" x14ac:dyDescent="0.25">
      <c r="A71" s="54" t="s">
        <v>71</v>
      </c>
      <c r="B71" s="65">
        <v>9.3000000000000007</v>
      </c>
      <c r="C71" s="65">
        <v>9.3000000000000007</v>
      </c>
      <c r="D71" s="65">
        <v>9.3000000000000007</v>
      </c>
      <c r="E71" s="65">
        <v>9.3000000000000007</v>
      </c>
      <c r="F71" s="65">
        <v>9.3000000000000007</v>
      </c>
      <c r="G71" s="65">
        <v>9.3000000000000007</v>
      </c>
      <c r="H71" s="65">
        <v>9.3000000000000007</v>
      </c>
      <c r="I71" s="65">
        <v>9.3000000000000007</v>
      </c>
      <c r="J71" s="65">
        <v>9.3000000000000007</v>
      </c>
      <c r="K71" s="65">
        <v>9.3000000000000007</v>
      </c>
      <c r="L71" s="65">
        <v>9.3000000000000007</v>
      </c>
      <c r="M71" s="65">
        <v>9.9</v>
      </c>
      <c r="N71" s="65">
        <v>9.9</v>
      </c>
      <c r="O71" s="65">
        <v>9.9</v>
      </c>
      <c r="P71" s="65">
        <v>9.9</v>
      </c>
      <c r="Q71" s="65">
        <v>9.9</v>
      </c>
      <c r="R71" s="65">
        <v>8.4</v>
      </c>
      <c r="S71" s="65">
        <v>8.4</v>
      </c>
      <c r="T71" s="65">
        <v>8.4</v>
      </c>
      <c r="U71" s="65">
        <v>8.4</v>
      </c>
      <c r="V71" s="65">
        <v>8.4</v>
      </c>
      <c r="W71" s="65">
        <v>8.4</v>
      </c>
      <c r="X71" s="65">
        <v>8.4</v>
      </c>
      <c r="Y71" s="65">
        <v>8.4</v>
      </c>
      <c r="Z71" s="65">
        <v>8.4</v>
      </c>
      <c r="AA71" s="65">
        <v>8.4</v>
      </c>
      <c r="AB71" s="65">
        <v>8.4</v>
      </c>
      <c r="AC71" s="65">
        <v>8.4</v>
      </c>
      <c r="AD71" s="65">
        <v>8.4</v>
      </c>
      <c r="AE71" s="65">
        <v>8.4</v>
      </c>
      <c r="AF71" s="65">
        <v>8.4</v>
      </c>
      <c r="AG71" s="55">
        <v>14.1</v>
      </c>
      <c r="AH71" s="47">
        <f t="shared" si="2"/>
        <v>9.9</v>
      </c>
      <c r="AI71" s="48">
        <f t="shared" si="3"/>
        <v>8.4</v>
      </c>
      <c r="AJ71" s="1"/>
      <c r="AK71" s="50"/>
      <c r="AL71" s="1"/>
      <c r="AM71" s="1"/>
      <c r="AN71" s="1"/>
      <c r="AO71" s="1"/>
    </row>
    <row r="72" spans="1:41" x14ac:dyDescent="0.25">
      <c r="A72" s="71" t="s">
        <v>72</v>
      </c>
      <c r="B72" s="65">
        <v>4.5</v>
      </c>
      <c r="C72" s="65">
        <v>4.5</v>
      </c>
      <c r="D72" s="65">
        <v>4.5</v>
      </c>
      <c r="E72" s="65">
        <v>4.5</v>
      </c>
      <c r="F72" s="65">
        <v>4.5</v>
      </c>
      <c r="G72" s="65">
        <v>4.5</v>
      </c>
      <c r="H72" s="65">
        <v>4.5</v>
      </c>
      <c r="I72" s="65">
        <v>4.5</v>
      </c>
      <c r="J72" s="65">
        <v>4.5</v>
      </c>
      <c r="K72" s="65">
        <v>4.5</v>
      </c>
      <c r="L72" s="65">
        <v>4.5</v>
      </c>
      <c r="M72" s="65">
        <v>3.4</v>
      </c>
      <c r="N72" s="65">
        <v>3.4</v>
      </c>
      <c r="O72" s="65">
        <v>3.4</v>
      </c>
      <c r="P72" s="65">
        <v>3.4</v>
      </c>
      <c r="Q72" s="65">
        <v>3.4</v>
      </c>
      <c r="R72" s="65">
        <v>3.6</v>
      </c>
      <c r="S72" s="65">
        <v>3.6</v>
      </c>
      <c r="T72" s="65">
        <v>3.6</v>
      </c>
      <c r="U72" s="65">
        <v>3.6</v>
      </c>
      <c r="V72" s="65">
        <v>3.6</v>
      </c>
      <c r="W72" s="65">
        <v>3.6</v>
      </c>
      <c r="X72" s="65">
        <v>3.6</v>
      </c>
      <c r="Y72" s="65">
        <v>3.6</v>
      </c>
      <c r="Z72" s="65">
        <v>3.6</v>
      </c>
      <c r="AA72" s="65">
        <v>3.6</v>
      </c>
      <c r="AB72" s="65">
        <v>3.6</v>
      </c>
      <c r="AC72" s="65">
        <v>3.6</v>
      </c>
      <c r="AD72" s="65">
        <v>3.6</v>
      </c>
      <c r="AE72" s="65">
        <v>3.6</v>
      </c>
      <c r="AF72" s="65">
        <v>3.6</v>
      </c>
      <c r="AG72" s="55">
        <v>14</v>
      </c>
      <c r="AH72" s="47">
        <f t="shared" si="2"/>
        <v>4.5</v>
      </c>
      <c r="AI72" s="48">
        <f t="shared" si="3"/>
        <v>3.4</v>
      </c>
      <c r="AK72" s="50"/>
    </row>
    <row r="73" spans="1:41" x14ac:dyDescent="0.25">
      <c r="A73" s="54" t="s">
        <v>73</v>
      </c>
      <c r="B73" s="65">
        <v>2.5</v>
      </c>
      <c r="C73" s="65">
        <v>2.5</v>
      </c>
      <c r="D73" s="65">
        <v>2.5</v>
      </c>
      <c r="E73" s="65">
        <v>2.5</v>
      </c>
      <c r="F73" s="65">
        <v>2.5</v>
      </c>
      <c r="G73" s="65">
        <v>2.5</v>
      </c>
      <c r="H73" s="65">
        <v>2.5</v>
      </c>
      <c r="I73" s="65">
        <v>2.5</v>
      </c>
      <c r="J73" s="65">
        <v>2.5</v>
      </c>
      <c r="K73" s="65">
        <v>2.5</v>
      </c>
      <c r="L73" s="65">
        <v>2.5</v>
      </c>
      <c r="M73" s="65">
        <v>2.5</v>
      </c>
      <c r="N73" s="65">
        <v>2.5</v>
      </c>
      <c r="O73" s="65">
        <v>2.5</v>
      </c>
      <c r="P73" s="65">
        <v>2.5</v>
      </c>
      <c r="Q73" s="65">
        <v>2.5</v>
      </c>
      <c r="R73" s="65">
        <v>2.5</v>
      </c>
      <c r="S73" s="65">
        <v>2.5</v>
      </c>
      <c r="T73" s="65">
        <v>2.5</v>
      </c>
      <c r="U73" s="65">
        <v>2.5</v>
      </c>
      <c r="V73" s="65">
        <v>2.5</v>
      </c>
      <c r="W73" s="65">
        <v>2.5</v>
      </c>
      <c r="X73" s="65">
        <v>2.5</v>
      </c>
      <c r="Y73" s="65">
        <v>2.5</v>
      </c>
      <c r="Z73" s="65">
        <v>2.5</v>
      </c>
      <c r="AA73" s="65">
        <v>2.5</v>
      </c>
      <c r="AB73" s="65">
        <v>2.5</v>
      </c>
      <c r="AC73" s="65">
        <v>2.5</v>
      </c>
      <c r="AD73" s="65">
        <v>2.5</v>
      </c>
      <c r="AE73" s="65">
        <v>2.5</v>
      </c>
      <c r="AF73" s="65">
        <v>2.5</v>
      </c>
      <c r="AG73" s="55">
        <v>10.050000000000001</v>
      </c>
      <c r="AH73" s="47">
        <f t="shared" si="2"/>
        <v>2.5</v>
      </c>
      <c r="AI73" s="48">
        <f t="shared" si="3"/>
        <v>2.5</v>
      </c>
      <c r="AK73" s="50"/>
    </row>
    <row r="74" spans="1:41" x14ac:dyDescent="0.25">
      <c r="A74" s="54" t="s">
        <v>74</v>
      </c>
      <c r="B74" s="65">
        <v>2</v>
      </c>
      <c r="C74" s="65">
        <v>2</v>
      </c>
      <c r="D74" s="65">
        <v>2</v>
      </c>
      <c r="E74" s="65">
        <v>2</v>
      </c>
      <c r="F74" s="65">
        <v>2</v>
      </c>
      <c r="G74" s="65">
        <v>2</v>
      </c>
      <c r="H74" s="65">
        <v>2</v>
      </c>
      <c r="I74" s="65">
        <v>2</v>
      </c>
      <c r="J74" s="65">
        <v>2</v>
      </c>
      <c r="K74" s="65">
        <v>2</v>
      </c>
      <c r="L74" s="65">
        <v>2</v>
      </c>
      <c r="M74" s="65">
        <v>2</v>
      </c>
      <c r="N74" s="65">
        <v>2</v>
      </c>
      <c r="O74" s="65">
        <v>2</v>
      </c>
      <c r="P74" s="65">
        <v>2</v>
      </c>
      <c r="Q74" s="65">
        <v>2</v>
      </c>
      <c r="R74" s="65">
        <v>2</v>
      </c>
      <c r="S74" s="65">
        <v>2</v>
      </c>
      <c r="T74" s="65">
        <v>2</v>
      </c>
      <c r="U74" s="65">
        <v>2</v>
      </c>
      <c r="V74" s="65">
        <v>2</v>
      </c>
      <c r="W74" s="65">
        <v>2</v>
      </c>
      <c r="X74" s="65">
        <v>2</v>
      </c>
      <c r="Y74" s="65">
        <v>2</v>
      </c>
      <c r="Z74" s="65">
        <v>2</v>
      </c>
      <c r="AA74" s="65">
        <v>2</v>
      </c>
      <c r="AB74" s="65">
        <v>2</v>
      </c>
      <c r="AC74" s="65">
        <v>2</v>
      </c>
      <c r="AD74" s="65">
        <v>2</v>
      </c>
      <c r="AE74" s="65">
        <v>2</v>
      </c>
      <c r="AF74" s="65">
        <v>2</v>
      </c>
      <c r="AG74" s="55">
        <v>6.2</v>
      </c>
      <c r="AH74" s="47">
        <f t="shared" si="2"/>
        <v>2</v>
      </c>
      <c r="AI74" s="48">
        <f t="shared" si="3"/>
        <v>2</v>
      </c>
      <c r="AK74" s="50"/>
    </row>
    <row r="75" spans="1:41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3.54</v>
      </c>
      <c r="Z75" s="72">
        <v>3.54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2"/>
        <v>3.54</v>
      </c>
      <c r="AI75" s="48">
        <f t="shared" si="3"/>
        <v>3.54</v>
      </c>
      <c r="AK75" s="50"/>
    </row>
    <row r="76" spans="1:41" ht="15.75" thickBot="1" x14ac:dyDescent="0.3">
      <c r="A76" s="74" t="s">
        <v>76</v>
      </c>
      <c r="B76" s="60">
        <f t="shared" ref="B76:AG76" si="18">SUM(B63:B75)</f>
        <v>117.44</v>
      </c>
      <c r="C76" s="60">
        <f t="shared" si="18"/>
        <v>115.34</v>
      </c>
      <c r="D76" s="60">
        <f t="shared" si="18"/>
        <v>115.64</v>
      </c>
      <c r="E76" s="60">
        <f t="shared" si="18"/>
        <v>80.64</v>
      </c>
      <c r="F76" s="60">
        <f t="shared" si="18"/>
        <v>79.84</v>
      </c>
      <c r="G76" s="60">
        <f t="shared" si="18"/>
        <v>120.34</v>
      </c>
      <c r="H76" s="60">
        <f t="shared" si="18"/>
        <v>166.84</v>
      </c>
      <c r="I76" s="60">
        <f t="shared" si="18"/>
        <v>240.54</v>
      </c>
      <c r="J76" s="60">
        <f t="shared" si="18"/>
        <v>278.84000000000003</v>
      </c>
      <c r="K76" s="60">
        <f t="shared" si="18"/>
        <v>265.04000000000002</v>
      </c>
      <c r="L76" s="60">
        <f t="shared" si="18"/>
        <v>285.74</v>
      </c>
      <c r="M76" s="60">
        <f t="shared" ref="M76" si="19">SUM(M63:M75)</f>
        <v>331.14</v>
      </c>
      <c r="N76" s="60">
        <f t="shared" si="18"/>
        <v>319.14</v>
      </c>
      <c r="O76" s="60">
        <f t="shared" si="18"/>
        <v>280.33999999999997</v>
      </c>
      <c r="P76" s="60">
        <f t="shared" si="18"/>
        <v>238.44000000000003</v>
      </c>
      <c r="Q76" s="60">
        <f t="shared" si="18"/>
        <v>239.44</v>
      </c>
      <c r="R76" s="60">
        <f t="shared" ref="R76:S76" si="20">SUM(R63:R75)</f>
        <v>232.54000000000002</v>
      </c>
      <c r="S76" s="60">
        <f t="shared" si="20"/>
        <v>231.34</v>
      </c>
      <c r="T76" s="60">
        <f t="shared" ref="T76:U76" si="21">SUM(T63:T75)</f>
        <v>181.64</v>
      </c>
      <c r="U76" s="60">
        <f t="shared" si="21"/>
        <v>294.64000000000004</v>
      </c>
      <c r="V76" s="60">
        <f t="shared" ref="V76:W76" si="22">SUM(V63:V75)</f>
        <v>233.73999999999998</v>
      </c>
      <c r="W76" s="60">
        <f t="shared" si="22"/>
        <v>196.84</v>
      </c>
      <c r="X76" s="60">
        <f t="shared" ref="X76:Y76" si="23">SUM(X63:X75)</f>
        <v>301.24</v>
      </c>
      <c r="Y76" s="60">
        <f t="shared" si="23"/>
        <v>384.54</v>
      </c>
      <c r="Z76" s="60">
        <f t="shared" ref="Z76" si="24">SUM(Z63:Z75)</f>
        <v>384.54</v>
      </c>
      <c r="AA76" s="60">
        <f t="shared" si="18"/>
        <v>365.74</v>
      </c>
      <c r="AB76" s="60">
        <f t="shared" si="18"/>
        <v>340.54</v>
      </c>
      <c r="AC76" s="60">
        <f t="shared" si="18"/>
        <v>264.04000000000002</v>
      </c>
      <c r="AD76" s="60">
        <f t="shared" si="18"/>
        <v>253.04</v>
      </c>
      <c r="AE76" s="60">
        <f t="shared" si="18"/>
        <v>223.04</v>
      </c>
      <c r="AF76" s="60">
        <f t="shared" si="18"/>
        <v>94.04</v>
      </c>
      <c r="AG76" s="61">
        <f t="shared" si="18"/>
        <v>489.91</v>
      </c>
      <c r="AH76" s="47">
        <f t="shared" si="2"/>
        <v>384.54</v>
      </c>
      <c r="AI76" s="48">
        <f t="shared" si="3"/>
        <v>79.84</v>
      </c>
      <c r="AK76" s="50"/>
    </row>
    <row r="77" spans="1:41" x14ac:dyDescent="0.25">
      <c r="A77" s="44" t="s">
        <v>77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52">
        <v>60</v>
      </c>
      <c r="AH77" s="47">
        <f t="shared" si="2"/>
        <v>0</v>
      </c>
      <c r="AI77" s="48">
        <f t="shared" si="3"/>
        <v>0</v>
      </c>
      <c r="AK77" s="50"/>
    </row>
    <row r="78" spans="1:41" x14ac:dyDescent="0.25">
      <c r="A78" s="54" t="s">
        <v>78</v>
      </c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55">
        <v>32</v>
      </c>
      <c r="AH78" s="47">
        <f t="shared" si="2"/>
        <v>0</v>
      </c>
      <c r="AI78" s="48">
        <f t="shared" si="3"/>
        <v>0</v>
      </c>
      <c r="AK78" s="50"/>
    </row>
    <row r="79" spans="1:41" ht="15.75" thickBot="1" x14ac:dyDescent="0.3">
      <c r="A79" s="71" t="s">
        <v>79</v>
      </c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8">
        <v>14</v>
      </c>
      <c r="AH79" s="47">
        <f t="shared" si="2"/>
        <v>0</v>
      </c>
      <c r="AI79" s="48">
        <f t="shared" si="3"/>
        <v>0</v>
      </c>
      <c r="AK79" s="50"/>
    </row>
    <row r="80" spans="1:41" ht="15.75" thickBot="1" x14ac:dyDescent="0.3">
      <c r="A80" s="74" t="s">
        <v>80</v>
      </c>
      <c r="B80" s="60">
        <f t="shared" ref="B80:AF80" si="25">B77+B78+B79</f>
        <v>0</v>
      </c>
      <c r="C80" s="60">
        <f t="shared" si="25"/>
        <v>0</v>
      </c>
      <c r="D80" s="60">
        <f t="shared" si="25"/>
        <v>0</v>
      </c>
      <c r="E80" s="60">
        <f t="shared" si="25"/>
        <v>0</v>
      </c>
      <c r="F80" s="60">
        <f t="shared" si="25"/>
        <v>0</v>
      </c>
      <c r="G80" s="60">
        <f t="shared" si="25"/>
        <v>0</v>
      </c>
      <c r="H80" s="60">
        <f t="shared" si="25"/>
        <v>0</v>
      </c>
      <c r="I80" s="60">
        <f t="shared" si="25"/>
        <v>0</v>
      </c>
      <c r="J80" s="60">
        <f t="shared" si="25"/>
        <v>0</v>
      </c>
      <c r="K80" s="60">
        <f t="shared" si="25"/>
        <v>0</v>
      </c>
      <c r="L80" s="60">
        <f t="shared" si="25"/>
        <v>0</v>
      </c>
      <c r="M80" s="60">
        <f t="shared" ref="M80" si="26">M77+M78+M79</f>
        <v>0</v>
      </c>
      <c r="N80" s="60">
        <f t="shared" si="25"/>
        <v>0</v>
      </c>
      <c r="O80" s="60">
        <f t="shared" si="25"/>
        <v>0</v>
      </c>
      <c r="P80" s="60">
        <f t="shared" si="25"/>
        <v>0</v>
      </c>
      <c r="Q80" s="60">
        <f t="shared" si="25"/>
        <v>0</v>
      </c>
      <c r="R80" s="60">
        <f t="shared" ref="R80:S80" si="27">R77+R78+R79</f>
        <v>0</v>
      </c>
      <c r="S80" s="60">
        <f t="shared" si="27"/>
        <v>0</v>
      </c>
      <c r="T80" s="60">
        <f t="shared" ref="T80:U80" si="28">T77+T78+T79</f>
        <v>0</v>
      </c>
      <c r="U80" s="60">
        <f t="shared" si="28"/>
        <v>0</v>
      </c>
      <c r="V80" s="60">
        <f t="shared" ref="V80:W80" si="29">V77+V78+V79</f>
        <v>0</v>
      </c>
      <c r="W80" s="60">
        <f t="shared" si="29"/>
        <v>0</v>
      </c>
      <c r="X80" s="60">
        <f t="shared" ref="X80:Y80" si="30">X77+X78+X79</f>
        <v>0</v>
      </c>
      <c r="Y80" s="60">
        <f t="shared" si="30"/>
        <v>0</v>
      </c>
      <c r="Z80" s="60">
        <f t="shared" ref="Z80" si="31">Z77+Z78+Z79</f>
        <v>0</v>
      </c>
      <c r="AA80" s="60">
        <f t="shared" si="25"/>
        <v>0</v>
      </c>
      <c r="AB80" s="60">
        <f t="shared" si="25"/>
        <v>0</v>
      </c>
      <c r="AC80" s="60">
        <f t="shared" si="25"/>
        <v>0</v>
      </c>
      <c r="AD80" s="60">
        <f t="shared" si="25"/>
        <v>0</v>
      </c>
      <c r="AE80" s="60">
        <f t="shared" si="25"/>
        <v>0</v>
      </c>
      <c r="AF80" s="60">
        <f t="shared" si="25"/>
        <v>0</v>
      </c>
      <c r="AG80" s="61">
        <f>SUM(AG77:AG79)</f>
        <v>106</v>
      </c>
      <c r="AH80" s="47">
        <f t="shared" si="2"/>
        <v>0</v>
      </c>
      <c r="AI80" s="48">
        <f t="shared" si="3"/>
        <v>0</v>
      </c>
      <c r="AK80" s="50"/>
    </row>
    <row r="81" spans="1:40" x14ac:dyDescent="0.25">
      <c r="A81" s="44" t="s">
        <v>81</v>
      </c>
      <c r="B81" s="45">
        <v>71</v>
      </c>
      <c r="C81" s="45">
        <v>68.099999999999994</v>
      </c>
      <c r="D81" s="45">
        <v>63.8</v>
      </c>
      <c r="E81" s="45">
        <v>60.5</v>
      </c>
      <c r="F81" s="45">
        <v>64.8</v>
      </c>
      <c r="G81" s="45">
        <v>64.900000000000006</v>
      </c>
      <c r="H81" s="45">
        <v>75</v>
      </c>
      <c r="I81" s="45">
        <v>76.8</v>
      </c>
      <c r="J81" s="45">
        <v>65.400000000000006</v>
      </c>
      <c r="K81" s="45">
        <v>71</v>
      </c>
      <c r="L81" s="45">
        <v>61.5</v>
      </c>
      <c r="M81" s="45">
        <v>49.3</v>
      </c>
      <c r="N81" s="45">
        <v>39.700000000000003</v>
      </c>
      <c r="O81" s="45">
        <v>46.4</v>
      </c>
      <c r="P81" s="45">
        <v>55.6</v>
      </c>
      <c r="Q81" s="45">
        <v>57</v>
      </c>
      <c r="R81" s="45">
        <v>58.9</v>
      </c>
      <c r="S81" s="45">
        <v>65.400000000000006</v>
      </c>
      <c r="T81" s="45">
        <v>68.8</v>
      </c>
      <c r="U81" s="45">
        <v>63.7</v>
      </c>
      <c r="V81" s="45">
        <v>68.400000000000006</v>
      </c>
      <c r="W81" s="45">
        <v>63.9</v>
      </c>
      <c r="X81" s="45">
        <v>55.5</v>
      </c>
      <c r="Y81" s="45">
        <v>64.400000000000006</v>
      </c>
      <c r="Z81" s="45">
        <v>47.7</v>
      </c>
      <c r="AA81" s="45">
        <v>34.299999999999997</v>
      </c>
      <c r="AB81" s="45">
        <v>49.1</v>
      </c>
      <c r="AC81" s="45">
        <v>56.2</v>
      </c>
      <c r="AD81" s="45">
        <v>59</v>
      </c>
      <c r="AE81" s="45">
        <v>59.7</v>
      </c>
      <c r="AF81" s="45">
        <v>54.5</v>
      </c>
      <c r="AG81" s="52"/>
      <c r="AH81" s="47">
        <f t="shared" si="2"/>
        <v>76.8</v>
      </c>
      <c r="AI81" s="48">
        <f t="shared" si="3"/>
        <v>34.299999999999997</v>
      </c>
      <c r="AK81" s="50"/>
    </row>
    <row r="82" spans="1:40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55"/>
      <c r="AH82" s="47">
        <f t="shared" si="2"/>
        <v>0</v>
      </c>
      <c r="AI82" s="48">
        <f t="shared" si="3"/>
        <v>0</v>
      </c>
      <c r="AK82" s="50"/>
    </row>
    <row r="83" spans="1:40" x14ac:dyDescent="0.25">
      <c r="A83" s="54" t="s">
        <v>83</v>
      </c>
      <c r="B83" s="65">
        <v>404</v>
      </c>
      <c r="C83" s="65">
        <v>391.1</v>
      </c>
      <c r="D83" s="65">
        <v>405.8</v>
      </c>
      <c r="E83" s="65">
        <v>434</v>
      </c>
      <c r="F83" s="65">
        <v>417.6</v>
      </c>
      <c r="G83" s="65">
        <v>430</v>
      </c>
      <c r="H83" s="65">
        <v>425.6</v>
      </c>
      <c r="I83" s="65">
        <v>415.3</v>
      </c>
      <c r="J83" s="65">
        <v>405</v>
      </c>
      <c r="K83" s="65">
        <v>173.9</v>
      </c>
      <c r="L83" s="65">
        <v>64.3</v>
      </c>
      <c r="M83" s="65">
        <v>52.6</v>
      </c>
      <c r="N83" s="65">
        <v>143.4</v>
      </c>
      <c r="O83" s="65">
        <v>203.2</v>
      </c>
      <c r="P83" s="65">
        <v>410.9</v>
      </c>
      <c r="Q83" s="65">
        <v>430.2</v>
      </c>
      <c r="R83" s="65">
        <v>402.8</v>
      </c>
      <c r="S83" s="65">
        <v>417</v>
      </c>
      <c r="T83" s="65">
        <v>456.4</v>
      </c>
      <c r="U83" s="65">
        <v>425.9</v>
      </c>
      <c r="V83" s="65">
        <v>387</v>
      </c>
      <c r="W83" s="65">
        <v>339</v>
      </c>
      <c r="X83" s="65">
        <v>231</v>
      </c>
      <c r="Y83" s="65">
        <v>145.5</v>
      </c>
      <c r="Z83" s="65">
        <v>127.1</v>
      </c>
      <c r="AA83" s="65">
        <v>121.5</v>
      </c>
      <c r="AB83" s="65">
        <v>215</v>
      </c>
      <c r="AC83" s="65">
        <v>338</v>
      </c>
      <c r="AD83" s="65">
        <v>397</v>
      </c>
      <c r="AE83" s="65">
        <v>421</v>
      </c>
      <c r="AF83" s="65">
        <v>427</v>
      </c>
      <c r="AG83" s="75"/>
      <c r="AH83" s="47">
        <f t="shared" si="2"/>
        <v>456.4</v>
      </c>
      <c r="AI83" s="48">
        <f t="shared" si="3"/>
        <v>52.6</v>
      </c>
      <c r="AK83" s="50"/>
    </row>
    <row r="84" spans="1:40" x14ac:dyDescent="0.25">
      <c r="A84" s="54" t="s">
        <v>84</v>
      </c>
      <c r="B84" s="65">
        <v>15.6</v>
      </c>
      <c r="C84" s="65">
        <v>15.6</v>
      </c>
      <c r="D84" s="65">
        <v>16</v>
      </c>
      <c r="E84" s="76">
        <v>15.5</v>
      </c>
      <c r="F84" s="76">
        <v>16.5</v>
      </c>
      <c r="G84" s="76">
        <v>49.74</v>
      </c>
      <c r="H84" s="76">
        <v>49.5</v>
      </c>
      <c r="I84" s="76">
        <v>54.8</v>
      </c>
      <c r="J84" s="76">
        <v>52.7</v>
      </c>
      <c r="K84" s="76">
        <v>21</v>
      </c>
      <c r="L84" s="76">
        <v>17.600000000000001</v>
      </c>
      <c r="M84" s="76">
        <v>17.100000000000001</v>
      </c>
      <c r="N84" s="76">
        <v>16.3</v>
      </c>
      <c r="O84" s="76">
        <v>16.3</v>
      </c>
      <c r="P84" s="76">
        <v>31.4</v>
      </c>
      <c r="Q84" s="76">
        <v>45</v>
      </c>
      <c r="R84" s="76">
        <v>47</v>
      </c>
      <c r="S84" s="76">
        <v>51.8</v>
      </c>
      <c r="T84" s="76">
        <v>48.2</v>
      </c>
      <c r="U84" s="76">
        <v>43.8</v>
      </c>
      <c r="V84" s="76">
        <v>20.6</v>
      </c>
      <c r="W84" s="76">
        <v>11.6</v>
      </c>
      <c r="X84" s="76">
        <v>11.5</v>
      </c>
      <c r="Y84" s="76">
        <v>13.3</v>
      </c>
      <c r="Z84" s="76">
        <v>13.1</v>
      </c>
      <c r="AA84" s="76">
        <v>16</v>
      </c>
      <c r="AB84" s="76">
        <v>23.1</v>
      </c>
      <c r="AC84" s="76">
        <v>27.8</v>
      </c>
      <c r="AD84" s="65">
        <v>38</v>
      </c>
      <c r="AE84" s="76">
        <v>54</v>
      </c>
      <c r="AF84" s="76">
        <v>42</v>
      </c>
      <c r="AG84" s="75"/>
      <c r="AH84" s="47">
        <f t="shared" si="2"/>
        <v>54.8</v>
      </c>
      <c r="AI84" s="48">
        <f t="shared" si="3"/>
        <v>11.5</v>
      </c>
      <c r="AK84" s="50"/>
    </row>
    <row r="85" spans="1:40" x14ac:dyDescent="0.25">
      <c r="A85" s="54" t="s">
        <v>85</v>
      </c>
      <c r="B85" s="45">
        <v>18</v>
      </c>
      <c r="C85" s="45">
        <v>21</v>
      </c>
      <c r="D85" s="45">
        <v>21.6</v>
      </c>
      <c r="E85" s="45">
        <v>21.4</v>
      </c>
      <c r="F85" s="45">
        <v>21.6</v>
      </c>
      <c r="G85" s="45">
        <v>22.4</v>
      </c>
      <c r="H85" s="45">
        <v>21.6</v>
      </c>
      <c r="I85" s="45">
        <v>22.8</v>
      </c>
      <c r="J85" s="45">
        <v>23.2</v>
      </c>
      <c r="K85" s="45">
        <v>23.6</v>
      </c>
      <c r="L85" s="45">
        <v>25</v>
      </c>
      <c r="M85" s="45">
        <v>26.8</v>
      </c>
      <c r="N85" s="45">
        <v>10.8</v>
      </c>
      <c r="O85" s="45">
        <v>11.4</v>
      </c>
      <c r="P85" s="45">
        <v>12.4</v>
      </c>
      <c r="Q85" s="45">
        <v>98</v>
      </c>
      <c r="R85" s="45">
        <v>58.3</v>
      </c>
      <c r="S85" s="45">
        <f>55.9*2</f>
        <v>111.8</v>
      </c>
      <c r="T85" s="45">
        <f>56.5*2</f>
        <v>113</v>
      </c>
      <c r="U85" s="45">
        <v>0</v>
      </c>
      <c r="V85" s="45">
        <v>0</v>
      </c>
      <c r="W85" s="45">
        <v>0</v>
      </c>
      <c r="X85" s="45">
        <v>0</v>
      </c>
      <c r="Y85" s="45">
        <v>0</v>
      </c>
      <c r="Z85" s="45">
        <v>0</v>
      </c>
      <c r="AA85" s="45">
        <v>0</v>
      </c>
      <c r="AB85" s="45">
        <v>0</v>
      </c>
      <c r="AC85" s="45">
        <v>0</v>
      </c>
      <c r="AD85" s="45">
        <v>0</v>
      </c>
      <c r="AE85" s="45">
        <v>0</v>
      </c>
      <c r="AF85" s="45">
        <v>16</v>
      </c>
      <c r="AG85" s="75"/>
      <c r="AH85" s="47">
        <f t="shared" ref="AH85:AH130" si="32">MAX(B85:AF85)</f>
        <v>113</v>
      </c>
      <c r="AI85" s="48">
        <f t="shared" ref="AI85:AI130" si="33">MIN(B85:AF85)</f>
        <v>0</v>
      </c>
      <c r="AK85" s="50"/>
    </row>
    <row r="86" spans="1:40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5"/>
      <c r="AH86" s="47">
        <f t="shared" si="32"/>
        <v>0</v>
      </c>
      <c r="AI86" s="48">
        <f t="shared" si="33"/>
        <v>0</v>
      </c>
      <c r="AK86" s="50"/>
    </row>
    <row r="87" spans="1:40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5"/>
      <c r="AH87" s="47">
        <f t="shared" si="32"/>
        <v>0</v>
      </c>
      <c r="AI87" s="48">
        <f t="shared" si="33"/>
        <v>0</v>
      </c>
      <c r="AK87" s="50"/>
      <c r="AL87" s="78" t="s">
        <v>88</v>
      </c>
      <c r="AM87" s="78"/>
    </row>
    <row r="88" spans="1:40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5"/>
      <c r="AH88" s="47">
        <f t="shared" si="32"/>
        <v>0</v>
      </c>
      <c r="AI88" s="48">
        <f t="shared" si="33"/>
        <v>0</v>
      </c>
      <c r="AK88" s="79"/>
      <c r="AL88" s="80"/>
      <c r="AM88" s="80"/>
      <c r="AN88" s="81"/>
    </row>
    <row r="89" spans="1:40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5"/>
      <c r="AH89" s="47">
        <f t="shared" si="32"/>
        <v>0</v>
      </c>
      <c r="AI89" s="48">
        <f t="shared" si="33"/>
        <v>0</v>
      </c>
      <c r="AK89" s="82" t="s">
        <v>91</v>
      </c>
      <c r="AL89" s="65"/>
      <c r="AM89" s="76"/>
      <c r="AN89" s="83"/>
    </row>
    <row r="90" spans="1:40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85"/>
      <c r="AH90" s="47">
        <f t="shared" si="32"/>
        <v>0</v>
      </c>
      <c r="AI90" s="48">
        <f t="shared" si="33"/>
        <v>0</v>
      </c>
      <c r="AK90" s="82" t="s">
        <v>93</v>
      </c>
      <c r="AL90" s="76"/>
      <c r="AM90" s="76"/>
      <c r="AN90" s="83"/>
    </row>
    <row r="91" spans="1:40" ht="15.75" thickBot="1" x14ac:dyDescent="0.3">
      <c r="A91" s="84" t="s">
        <v>421</v>
      </c>
      <c r="B91" s="77">
        <v>0</v>
      </c>
      <c r="C91" s="77">
        <v>0</v>
      </c>
      <c r="D91" s="77">
        <v>0</v>
      </c>
      <c r="E91" s="77">
        <v>0</v>
      </c>
      <c r="F91" s="77">
        <v>0</v>
      </c>
      <c r="G91" s="77">
        <v>0</v>
      </c>
      <c r="H91" s="77">
        <v>0</v>
      </c>
      <c r="I91" s="77">
        <v>0</v>
      </c>
      <c r="J91" s="77">
        <v>74.2</v>
      </c>
      <c r="K91" s="77">
        <v>78.8</v>
      </c>
      <c r="L91" s="77">
        <v>78.099999999999994</v>
      </c>
      <c r="M91" s="77">
        <v>74.5</v>
      </c>
      <c r="N91" s="77">
        <v>69.7</v>
      </c>
      <c r="O91" s="77">
        <v>63.9</v>
      </c>
      <c r="P91" s="77">
        <v>66.2</v>
      </c>
      <c r="Q91" s="77">
        <v>70.5</v>
      </c>
      <c r="R91" s="77">
        <v>76.900000000000006</v>
      </c>
      <c r="S91" s="77">
        <v>68.3</v>
      </c>
      <c r="T91" s="77">
        <v>77.2</v>
      </c>
      <c r="U91" s="77">
        <v>79</v>
      </c>
      <c r="V91" s="77">
        <v>66.7</v>
      </c>
      <c r="W91" s="77">
        <v>60.8</v>
      </c>
      <c r="X91" s="77">
        <v>65.099999999999994</v>
      </c>
      <c r="Y91" s="77">
        <v>72.5</v>
      </c>
      <c r="Z91" s="77">
        <v>70.3</v>
      </c>
      <c r="AA91" s="77">
        <v>66.599999999999994</v>
      </c>
      <c r="AB91" s="77">
        <v>69</v>
      </c>
      <c r="AC91" s="77">
        <v>67.400000000000006</v>
      </c>
      <c r="AD91" s="77">
        <v>69</v>
      </c>
      <c r="AE91" s="77">
        <v>77.2</v>
      </c>
      <c r="AF91" s="77">
        <v>66</v>
      </c>
      <c r="AG91" s="85"/>
      <c r="AH91" s="47">
        <f t="shared" si="32"/>
        <v>79</v>
      </c>
      <c r="AI91" s="48">
        <f t="shared" si="33"/>
        <v>0</v>
      </c>
      <c r="AK91" s="86"/>
      <c r="AL91" s="45"/>
      <c r="AM91" s="45"/>
      <c r="AN91" s="87"/>
    </row>
    <row r="92" spans="1:40" ht="15.75" thickBot="1" x14ac:dyDescent="0.3">
      <c r="A92" s="74" t="s">
        <v>95</v>
      </c>
      <c r="B92" s="60">
        <f t="shared" ref="B92:AF92" si="34">SUMIF(B81:B91,"&gt;0")</f>
        <v>508.6</v>
      </c>
      <c r="C92" s="60">
        <f t="shared" si="34"/>
        <v>495.80000000000007</v>
      </c>
      <c r="D92" s="60">
        <f t="shared" si="34"/>
        <v>507.20000000000005</v>
      </c>
      <c r="E92" s="60">
        <f t="shared" si="34"/>
        <v>531.4</v>
      </c>
      <c r="F92" s="60">
        <f t="shared" si="34"/>
        <v>520.5</v>
      </c>
      <c r="G92" s="60">
        <f t="shared" si="34"/>
        <v>567.04</v>
      </c>
      <c r="H92" s="60">
        <f t="shared" si="34"/>
        <v>571.70000000000005</v>
      </c>
      <c r="I92" s="60">
        <f t="shared" si="34"/>
        <v>569.69999999999993</v>
      </c>
      <c r="J92" s="60">
        <f t="shared" si="34"/>
        <v>620.50000000000011</v>
      </c>
      <c r="K92" s="60">
        <f t="shared" si="34"/>
        <v>368.3</v>
      </c>
      <c r="L92" s="60">
        <f t="shared" si="34"/>
        <v>246.5</v>
      </c>
      <c r="M92" s="60">
        <f t="shared" si="34"/>
        <v>220.3</v>
      </c>
      <c r="N92" s="60">
        <f t="shared" si="34"/>
        <v>279.90000000000003</v>
      </c>
      <c r="O92" s="60">
        <f t="shared" si="34"/>
        <v>341.19999999999993</v>
      </c>
      <c r="P92" s="60">
        <f t="shared" si="34"/>
        <v>576.5</v>
      </c>
      <c r="Q92" s="60">
        <f t="shared" si="34"/>
        <v>700.7</v>
      </c>
      <c r="R92" s="60">
        <f t="shared" si="34"/>
        <v>643.9</v>
      </c>
      <c r="S92" s="60">
        <f t="shared" ref="S92:T92" si="35">SUMIF(S81:S91,"&gt;0")</f>
        <v>714.29999999999984</v>
      </c>
      <c r="T92" s="60">
        <f t="shared" si="35"/>
        <v>763.6</v>
      </c>
      <c r="U92" s="60">
        <f t="shared" ref="U92:V92" si="36">SUMIF(U81:U91,"&gt;0")</f>
        <v>612.4</v>
      </c>
      <c r="V92" s="60">
        <f t="shared" si="36"/>
        <v>542.70000000000005</v>
      </c>
      <c r="W92" s="60">
        <f t="shared" ref="W92:Y92" si="37">SUMIF(W81:W91,"&gt;0")</f>
        <v>475.3</v>
      </c>
      <c r="X92" s="60">
        <f t="shared" si="37"/>
        <v>363.1</v>
      </c>
      <c r="Y92" s="60">
        <f t="shared" si="37"/>
        <v>295.70000000000005</v>
      </c>
      <c r="Z92" s="60">
        <f t="shared" ref="Z92" si="38">SUMIF(Z81:Z91,"&gt;0")</f>
        <v>258.2</v>
      </c>
      <c r="AA92" s="60">
        <f t="shared" si="34"/>
        <v>238.4</v>
      </c>
      <c r="AB92" s="60">
        <f t="shared" si="34"/>
        <v>356.20000000000005</v>
      </c>
      <c r="AC92" s="60">
        <f t="shared" si="34"/>
        <v>489.4</v>
      </c>
      <c r="AD92" s="60">
        <f t="shared" si="34"/>
        <v>563</v>
      </c>
      <c r="AE92" s="60">
        <f t="shared" si="34"/>
        <v>611.90000000000009</v>
      </c>
      <c r="AF92" s="60">
        <f t="shared" si="34"/>
        <v>605.5</v>
      </c>
      <c r="AG92" s="88">
        <f>SUM(AG81:AG91)</f>
        <v>0</v>
      </c>
      <c r="AH92" s="47">
        <f t="shared" si="32"/>
        <v>763.6</v>
      </c>
      <c r="AI92" s="48">
        <f t="shared" si="33"/>
        <v>220.3</v>
      </c>
      <c r="AK92" s="86"/>
      <c r="AL92" s="77"/>
      <c r="AM92" s="89"/>
      <c r="AN92" s="255"/>
    </row>
    <row r="93" spans="1:40" x14ac:dyDescent="0.25">
      <c r="A93" s="44" t="s">
        <v>96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32"/>
        <v>0</v>
      </c>
      <c r="AI93" s="48">
        <f t="shared" si="33"/>
        <v>0</v>
      </c>
      <c r="AK93" s="86"/>
      <c r="AL93" s="77"/>
      <c r="AM93" s="77"/>
      <c r="AN93" s="256"/>
    </row>
    <row r="94" spans="1:40" ht="15.75" thickBot="1" x14ac:dyDescent="0.3">
      <c r="A94" s="54" t="s">
        <v>97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32"/>
        <v>0</v>
      </c>
      <c r="AI94" s="48">
        <f t="shared" si="33"/>
        <v>0</v>
      </c>
      <c r="AK94" s="91"/>
      <c r="AL94" s="92"/>
      <c r="AM94" s="92"/>
      <c r="AN94" s="93"/>
    </row>
    <row r="95" spans="1:40" ht="15.75" thickBot="1" x14ac:dyDescent="0.3">
      <c r="A95" s="84" t="s">
        <v>98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32"/>
        <v>0</v>
      </c>
      <c r="AI95" s="48">
        <f t="shared" si="33"/>
        <v>0</v>
      </c>
    </row>
    <row r="96" spans="1:40" ht="15.75" thickBot="1" x14ac:dyDescent="0.3">
      <c r="A96" s="74" t="s">
        <v>99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32"/>
        <v>0</v>
      </c>
      <c r="AI96" s="48">
        <f t="shared" si="33"/>
        <v>0</v>
      </c>
    </row>
    <row r="97" spans="1:37" ht="15.75" thickBot="1" x14ac:dyDescent="0.3">
      <c r="A97" s="74" t="s">
        <v>100</v>
      </c>
      <c r="B97" s="95">
        <f t="shared" ref="B97:AG97" si="39">B58+B62+B80+B76+B92+B96</f>
        <v>1163.1399999999999</v>
      </c>
      <c r="C97" s="95">
        <f t="shared" si="39"/>
        <v>1148.2400000000002</v>
      </c>
      <c r="D97" s="95">
        <f t="shared" si="39"/>
        <v>1159.94</v>
      </c>
      <c r="E97" s="95">
        <f t="shared" si="39"/>
        <v>1149.1399999999999</v>
      </c>
      <c r="F97" s="95">
        <f t="shared" si="39"/>
        <v>1137.44</v>
      </c>
      <c r="G97" s="95">
        <f t="shared" si="39"/>
        <v>1224.48</v>
      </c>
      <c r="H97" s="95">
        <f t="shared" si="39"/>
        <v>1335.64</v>
      </c>
      <c r="I97" s="95">
        <f t="shared" si="39"/>
        <v>1422.34</v>
      </c>
      <c r="J97" s="95">
        <f t="shared" si="39"/>
        <v>1556.44</v>
      </c>
      <c r="K97" s="95">
        <f t="shared" si="39"/>
        <v>1430.44</v>
      </c>
      <c r="L97" s="95">
        <f t="shared" si="39"/>
        <v>1489.3400000000001</v>
      </c>
      <c r="M97" s="95">
        <f t="shared" si="39"/>
        <v>1485.84</v>
      </c>
      <c r="N97" s="95">
        <f t="shared" si="39"/>
        <v>1351.7400000000002</v>
      </c>
      <c r="O97" s="95">
        <f t="shared" si="39"/>
        <v>1274.2399999999998</v>
      </c>
      <c r="P97" s="95">
        <f t="shared" si="39"/>
        <v>1357.3400000000001</v>
      </c>
      <c r="Q97" s="95">
        <f t="shared" si="39"/>
        <v>1482.8400000000001</v>
      </c>
      <c r="R97" s="95">
        <f t="shared" si="39"/>
        <v>1395.2400000000002</v>
      </c>
      <c r="S97" s="95">
        <f t="shared" ref="S97:T97" si="40">S58+S62+S80+S76+S92+S96</f>
        <v>1464.44</v>
      </c>
      <c r="T97" s="95">
        <f t="shared" si="40"/>
        <v>1464.04</v>
      </c>
      <c r="U97" s="95">
        <f t="shared" ref="U97:V97" si="41">U58+U62+U80+U76+U92+U96</f>
        <v>1425.8400000000001</v>
      </c>
      <c r="V97" s="95">
        <f t="shared" si="41"/>
        <v>1295.2400000000002</v>
      </c>
      <c r="W97" s="95">
        <f t="shared" ref="W97:Y97" si="42">W58+W62+W80+W76+W92+W96</f>
        <v>1220.94</v>
      </c>
      <c r="X97" s="95">
        <f t="shared" si="42"/>
        <v>1393.1399999999999</v>
      </c>
      <c r="Y97" s="95">
        <f t="shared" si="42"/>
        <v>1549.8400000000001</v>
      </c>
      <c r="Z97" s="95">
        <f t="shared" ref="Z97" si="43">Z58+Z62+Z80+Z76+Z92+Z96</f>
        <v>1501.54</v>
      </c>
      <c r="AA97" s="95">
        <f t="shared" si="39"/>
        <v>1472.94</v>
      </c>
      <c r="AB97" s="95">
        <f t="shared" si="39"/>
        <v>1456.19</v>
      </c>
      <c r="AC97" s="95">
        <f t="shared" si="39"/>
        <v>1477.8899999999999</v>
      </c>
      <c r="AD97" s="95">
        <f t="shared" si="39"/>
        <v>1440.29</v>
      </c>
      <c r="AE97" s="95">
        <f t="shared" si="39"/>
        <v>1359.19</v>
      </c>
      <c r="AF97" s="95">
        <f t="shared" si="39"/>
        <v>1223.79</v>
      </c>
      <c r="AG97" s="61">
        <f t="shared" si="39"/>
        <v>2231.81</v>
      </c>
      <c r="AH97" s="47">
        <f t="shared" si="32"/>
        <v>1556.44</v>
      </c>
      <c r="AI97" s="48">
        <f t="shared" si="33"/>
        <v>1137.44</v>
      </c>
    </row>
    <row r="98" spans="1:37" ht="15.75" thickBot="1" x14ac:dyDescent="0.3">
      <c r="A98" s="96" t="s">
        <v>101</v>
      </c>
      <c r="B98" s="97"/>
      <c r="C98" s="97"/>
      <c r="D98" s="97"/>
      <c r="E98" s="97"/>
      <c r="F98" s="97"/>
      <c r="G98" s="97"/>
      <c r="H98" s="97"/>
      <c r="I98" s="97"/>
      <c r="J98" s="97"/>
      <c r="K98" s="97">
        <v>280</v>
      </c>
      <c r="L98" s="97">
        <v>280</v>
      </c>
      <c r="M98" s="97">
        <v>280</v>
      </c>
      <c r="N98" s="97">
        <v>280</v>
      </c>
      <c r="O98" s="97">
        <v>280</v>
      </c>
      <c r="P98" s="97"/>
      <c r="Q98" s="97"/>
      <c r="R98" s="97"/>
      <c r="S98" s="97"/>
      <c r="T98" s="97"/>
      <c r="U98" s="97"/>
      <c r="V98" s="97"/>
      <c r="W98" s="97"/>
      <c r="X98" s="97"/>
      <c r="Y98" s="97">
        <v>300</v>
      </c>
      <c r="Z98" s="97">
        <v>280</v>
      </c>
      <c r="AA98" s="97">
        <v>250</v>
      </c>
      <c r="AB98" s="97">
        <v>250</v>
      </c>
      <c r="AC98" s="97">
        <v>250</v>
      </c>
      <c r="AD98" s="97">
        <v>250</v>
      </c>
      <c r="AE98" s="97"/>
      <c r="AF98" s="97"/>
      <c r="AG98" s="88"/>
      <c r="AH98" s="47">
        <f t="shared" si="32"/>
        <v>300</v>
      </c>
      <c r="AI98" s="48">
        <f t="shared" si="33"/>
        <v>250</v>
      </c>
    </row>
    <row r="99" spans="1:37" ht="15.75" thickBot="1" x14ac:dyDescent="0.3">
      <c r="A99" s="74" t="s">
        <v>102</v>
      </c>
      <c r="B99" s="95">
        <f t="shared" ref="B99:AF99" si="44">B97+B98</f>
        <v>1163.1399999999999</v>
      </c>
      <c r="C99" s="95">
        <f t="shared" si="44"/>
        <v>1148.2400000000002</v>
      </c>
      <c r="D99" s="95">
        <f t="shared" si="44"/>
        <v>1159.94</v>
      </c>
      <c r="E99" s="95">
        <f t="shared" si="44"/>
        <v>1149.1399999999999</v>
      </c>
      <c r="F99" s="95">
        <f t="shared" si="44"/>
        <v>1137.44</v>
      </c>
      <c r="G99" s="95">
        <f t="shared" si="44"/>
        <v>1224.48</v>
      </c>
      <c r="H99" s="95">
        <f t="shared" si="44"/>
        <v>1335.64</v>
      </c>
      <c r="I99" s="95">
        <f t="shared" si="44"/>
        <v>1422.34</v>
      </c>
      <c r="J99" s="95">
        <f t="shared" si="44"/>
        <v>1556.44</v>
      </c>
      <c r="K99" s="95">
        <f t="shared" si="44"/>
        <v>1710.44</v>
      </c>
      <c r="L99" s="95">
        <f t="shared" si="44"/>
        <v>1769.3400000000001</v>
      </c>
      <c r="M99" s="95">
        <f t="shared" si="44"/>
        <v>1765.84</v>
      </c>
      <c r="N99" s="95">
        <f t="shared" si="44"/>
        <v>1631.7400000000002</v>
      </c>
      <c r="O99" s="95">
        <f t="shared" si="44"/>
        <v>1554.2399999999998</v>
      </c>
      <c r="P99" s="95">
        <f t="shared" si="44"/>
        <v>1357.3400000000001</v>
      </c>
      <c r="Q99" s="95">
        <f t="shared" si="44"/>
        <v>1482.8400000000001</v>
      </c>
      <c r="R99" s="95">
        <f t="shared" si="44"/>
        <v>1395.2400000000002</v>
      </c>
      <c r="S99" s="95">
        <f t="shared" ref="S99:T99" si="45">S97+S98</f>
        <v>1464.44</v>
      </c>
      <c r="T99" s="95">
        <f t="shared" si="45"/>
        <v>1464.04</v>
      </c>
      <c r="U99" s="95">
        <f t="shared" ref="U99:V99" si="46">U97+U98</f>
        <v>1425.8400000000001</v>
      </c>
      <c r="V99" s="95">
        <f t="shared" si="46"/>
        <v>1295.2400000000002</v>
      </c>
      <c r="W99" s="95">
        <f t="shared" ref="W99:Y99" si="47">W97+W98</f>
        <v>1220.94</v>
      </c>
      <c r="X99" s="95">
        <f t="shared" si="47"/>
        <v>1393.1399999999999</v>
      </c>
      <c r="Y99" s="95">
        <f t="shared" si="47"/>
        <v>1849.8400000000001</v>
      </c>
      <c r="Z99" s="95">
        <f t="shared" ref="Z99" si="48">Z97+Z98</f>
        <v>1781.54</v>
      </c>
      <c r="AA99" s="95">
        <f t="shared" si="44"/>
        <v>1722.94</v>
      </c>
      <c r="AB99" s="95">
        <f t="shared" si="44"/>
        <v>1706.19</v>
      </c>
      <c r="AC99" s="95">
        <f t="shared" si="44"/>
        <v>1727.8899999999999</v>
      </c>
      <c r="AD99" s="95">
        <f t="shared" si="44"/>
        <v>1690.29</v>
      </c>
      <c r="AE99" s="95">
        <f t="shared" si="44"/>
        <v>1359.19</v>
      </c>
      <c r="AF99" s="95">
        <f t="shared" si="44"/>
        <v>1223.79</v>
      </c>
      <c r="AG99" s="88">
        <f>AG96+AG92+AG80+AG76+AG58+AG98</f>
        <v>1693.71</v>
      </c>
      <c r="AH99" s="47">
        <f t="shared" si="32"/>
        <v>1849.8400000000001</v>
      </c>
      <c r="AI99" s="48">
        <f t="shared" si="33"/>
        <v>1137.44</v>
      </c>
    </row>
    <row r="100" spans="1:37" ht="15.75" thickBot="1" x14ac:dyDescent="0.3">
      <c r="A100" s="74" t="s">
        <v>103</v>
      </c>
      <c r="B100" s="95">
        <f t="shared" ref="B100:M100" si="49">B99-(B107)</f>
        <v>1163.1399999999999</v>
      </c>
      <c r="C100" s="95">
        <f t="shared" si="49"/>
        <v>1148.2400000000002</v>
      </c>
      <c r="D100" s="95">
        <f t="shared" si="49"/>
        <v>1159.94</v>
      </c>
      <c r="E100" s="95">
        <f t="shared" si="49"/>
        <v>1149.1399999999999</v>
      </c>
      <c r="F100" s="95">
        <f t="shared" si="49"/>
        <v>1137.44</v>
      </c>
      <c r="G100" s="95">
        <f t="shared" si="49"/>
        <v>1224.48</v>
      </c>
      <c r="H100" s="95">
        <f t="shared" si="49"/>
        <v>1335.64</v>
      </c>
      <c r="I100" s="95">
        <f t="shared" si="49"/>
        <v>1422.34</v>
      </c>
      <c r="J100" s="95">
        <f t="shared" si="49"/>
        <v>1556.44</v>
      </c>
      <c r="K100" s="95">
        <f t="shared" si="49"/>
        <v>1710.44</v>
      </c>
      <c r="L100" s="95">
        <f t="shared" si="49"/>
        <v>1769.3400000000001</v>
      </c>
      <c r="M100" s="95">
        <f t="shared" si="49"/>
        <v>1765.84</v>
      </c>
      <c r="N100" s="95">
        <f>N99-(N107)</f>
        <v>1631.7400000000002</v>
      </c>
      <c r="O100" s="95">
        <f t="shared" ref="O100:AF100" si="50">O99-(O107)</f>
        <v>1554.2399999999998</v>
      </c>
      <c r="P100" s="95">
        <f t="shared" si="50"/>
        <v>1357.3400000000001</v>
      </c>
      <c r="Q100" s="95">
        <f t="shared" si="50"/>
        <v>1482.8400000000001</v>
      </c>
      <c r="R100" s="95">
        <f t="shared" si="50"/>
        <v>1395.2400000000002</v>
      </c>
      <c r="S100" s="95">
        <f t="shared" ref="S100:T100" si="51">S99-(S107)</f>
        <v>1464.44</v>
      </c>
      <c r="T100" s="95">
        <f t="shared" si="51"/>
        <v>1464.04</v>
      </c>
      <c r="U100" s="95">
        <f t="shared" ref="U100:V100" si="52">U99-(U107)</f>
        <v>1425.8400000000001</v>
      </c>
      <c r="V100" s="95">
        <f t="shared" si="52"/>
        <v>1295.2400000000002</v>
      </c>
      <c r="W100" s="95">
        <f t="shared" ref="W100:Y100" si="53">W99-(W107)</f>
        <v>1220.94</v>
      </c>
      <c r="X100" s="95">
        <f t="shared" si="53"/>
        <v>1393.1399999999999</v>
      </c>
      <c r="Y100" s="95">
        <f t="shared" si="53"/>
        <v>1849.8400000000001</v>
      </c>
      <c r="Z100" s="95">
        <f t="shared" ref="Z100" si="54">Z99-(Z107)</f>
        <v>1781.54</v>
      </c>
      <c r="AA100" s="95">
        <f t="shared" si="50"/>
        <v>1722.94</v>
      </c>
      <c r="AB100" s="95">
        <f t="shared" si="50"/>
        <v>1706.19</v>
      </c>
      <c r="AC100" s="95">
        <f t="shared" si="50"/>
        <v>1727.8899999999999</v>
      </c>
      <c r="AD100" s="95">
        <f t="shared" si="50"/>
        <v>1690.29</v>
      </c>
      <c r="AE100" s="95">
        <f t="shared" si="50"/>
        <v>1359.19</v>
      </c>
      <c r="AF100" s="95">
        <f t="shared" si="50"/>
        <v>1223.79</v>
      </c>
      <c r="AG100" s="88"/>
      <c r="AH100" s="47">
        <f t="shared" si="32"/>
        <v>1849.8400000000001</v>
      </c>
      <c r="AI100" s="48">
        <f t="shared" si="33"/>
        <v>1137.44</v>
      </c>
    </row>
    <row r="101" spans="1:37" x14ac:dyDescent="0.25">
      <c r="A101" s="44" t="s">
        <v>84</v>
      </c>
      <c r="B101" s="76">
        <f>IF(B84&lt;0,B84*-1,0)</f>
        <v>0</v>
      </c>
      <c r="C101" s="76">
        <f t="shared" ref="C101:AF101" si="55">IF(C84&lt;0,C84*-1,0)</f>
        <v>0</v>
      </c>
      <c r="D101" s="76">
        <f t="shared" si="55"/>
        <v>0</v>
      </c>
      <c r="E101" s="76">
        <f t="shared" si="55"/>
        <v>0</v>
      </c>
      <c r="F101" s="76">
        <f t="shared" si="55"/>
        <v>0</v>
      </c>
      <c r="G101" s="76">
        <f t="shared" si="55"/>
        <v>0</v>
      </c>
      <c r="H101" s="76">
        <f t="shared" si="55"/>
        <v>0</v>
      </c>
      <c r="I101" s="76">
        <f t="shared" si="55"/>
        <v>0</v>
      </c>
      <c r="J101" s="76">
        <f t="shared" si="55"/>
        <v>0</v>
      </c>
      <c r="K101" s="76">
        <f t="shared" si="55"/>
        <v>0</v>
      </c>
      <c r="L101" s="76">
        <f t="shared" si="55"/>
        <v>0</v>
      </c>
      <c r="M101" s="76">
        <f t="shared" si="55"/>
        <v>0</v>
      </c>
      <c r="N101" s="76">
        <f t="shared" si="55"/>
        <v>0</v>
      </c>
      <c r="O101" s="76">
        <f t="shared" si="55"/>
        <v>0</v>
      </c>
      <c r="P101" s="76">
        <f t="shared" si="55"/>
        <v>0</v>
      </c>
      <c r="Q101" s="76">
        <f t="shared" si="55"/>
        <v>0</v>
      </c>
      <c r="R101" s="76">
        <f t="shared" si="55"/>
        <v>0</v>
      </c>
      <c r="S101" s="76">
        <f t="shared" ref="S101:T101" si="56">IF(S84&lt;0,S84*-1,0)</f>
        <v>0</v>
      </c>
      <c r="T101" s="76">
        <f t="shared" si="56"/>
        <v>0</v>
      </c>
      <c r="U101" s="76">
        <f t="shared" ref="U101:V101" si="57">IF(U84&lt;0,U84*-1,0)</f>
        <v>0</v>
      </c>
      <c r="V101" s="76">
        <f t="shared" si="57"/>
        <v>0</v>
      </c>
      <c r="W101" s="76">
        <f t="shared" ref="W101:Y101" si="58">IF(W84&lt;0,W84*-1,0)</f>
        <v>0</v>
      </c>
      <c r="X101" s="76">
        <f t="shared" si="58"/>
        <v>0</v>
      </c>
      <c r="Y101" s="76">
        <f t="shared" si="58"/>
        <v>0</v>
      </c>
      <c r="Z101" s="76">
        <f t="shared" ref="Z101" si="59">IF(Z84&lt;0,Z84*-1,0)</f>
        <v>0</v>
      </c>
      <c r="AA101" s="76">
        <f t="shared" si="55"/>
        <v>0</v>
      </c>
      <c r="AB101" s="76">
        <f t="shared" si="55"/>
        <v>0</v>
      </c>
      <c r="AC101" s="76">
        <f t="shared" si="55"/>
        <v>0</v>
      </c>
      <c r="AD101" s="76">
        <f t="shared" si="55"/>
        <v>0</v>
      </c>
      <c r="AE101" s="76">
        <f t="shared" si="55"/>
        <v>0</v>
      </c>
      <c r="AF101" s="76">
        <f t="shared" si="55"/>
        <v>0</v>
      </c>
      <c r="AG101" s="52"/>
      <c r="AH101" s="47">
        <f t="shared" si="32"/>
        <v>0</v>
      </c>
      <c r="AI101" s="48">
        <f t="shared" si="33"/>
        <v>0</v>
      </c>
    </row>
    <row r="102" spans="1:37" x14ac:dyDescent="0.25">
      <c r="A102" s="54" t="s">
        <v>82</v>
      </c>
      <c r="B102" s="76">
        <f>IF(B82&lt;0,B82*-1,0)</f>
        <v>0</v>
      </c>
      <c r="C102" s="76">
        <f t="shared" ref="C102:AF102" si="60">IF(C82&lt;0,C82*-1,0)</f>
        <v>0</v>
      </c>
      <c r="D102" s="76">
        <f t="shared" si="60"/>
        <v>0</v>
      </c>
      <c r="E102" s="76">
        <f t="shared" si="60"/>
        <v>0</v>
      </c>
      <c r="F102" s="76">
        <f t="shared" si="60"/>
        <v>0</v>
      </c>
      <c r="G102" s="76">
        <f t="shared" si="60"/>
        <v>0</v>
      </c>
      <c r="H102" s="76">
        <f t="shared" si="60"/>
        <v>0</v>
      </c>
      <c r="I102" s="76">
        <f t="shared" si="60"/>
        <v>0</v>
      </c>
      <c r="J102" s="76">
        <f t="shared" si="60"/>
        <v>0</v>
      </c>
      <c r="K102" s="76">
        <f t="shared" si="60"/>
        <v>0</v>
      </c>
      <c r="L102" s="76">
        <f t="shared" si="60"/>
        <v>0</v>
      </c>
      <c r="M102" s="76">
        <f t="shared" si="60"/>
        <v>0</v>
      </c>
      <c r="N102" s="76">
        <f t="shared" si="60"/>
        <v>0</v>
      </c>
      <c r="O102" s="76">
        <f t="shared" si="60"/>
        <v>0</v>
      </c>
      <c r="P102" s="76">
        <f t="shared" si="60"/>
        <v>0</v>
      </c>
      <c r="Q102" s="76">
        <f t="shared" si="60"/>
        <v>0</v>
      </c>
      <c r="R102" s="76">
        <f t="shared" si="60"/>
        <v>0</v>
      </c>
      <c r="S102" s="76">
        <f t="shared" ref="S102:T102" si="61">IF(S82&lt;0,S82*-1,0)</f>
        <v>0</v>
      </c>
      <c r="T102" s="76">
        <f t="shared" si="61"/>
        <v>0</v>
      </c>
      <c r="U102" s="76">
        <f t="shared" ref="U102:V102" si="62">IF(U82&lt;0,U82*-1,0)</f>
        <v>0</v>
      </c>
      <c r="V102" s="76">
        <f t="shared" si="62"/>
        <v>0</v>
      </c>
      <c r="W102" s="76">
        <f t="shared" ref="W102:Y102" si="63">IF(W82&lt;0,W82*-1,0)</f>
        <v>0</v>
      </c>
      <c r="X102" s="76">
        <f t="shared" si="63"/>
        <v>0</v>
      </c>
      <c r="Y102" s="76">
        <f t="shared" si="63"/>
        <v>0</v>
      </c>
      <c r="Z102" s="76">
        <f t="shared" ref="Z102" si="64">IF(Z82&lt;0,Z82*-1,0)</f>
        <v>0</v>
      </c>
      <c r="AA102" s="76">
        <f t="shared" si="60"/>
        <v>0</v>
      </c>
      <c r="AB102" s="76">
        <f t="shared" si="60"/>
        <v>0</v>
      </c>
      <c r="AC102" s="76">
        <f t="shared" si="60"/>
        <v>0</v>
      </c>
      <c r="AD102" s="76">
        <f t="shared" si="60"/>
        <v>0</v>
      </c>
      <c r="AE102" s="76">
        <f t="shared" si="60"/>
        <v>0</v>
      </c>
      <c r="AF102" s="76">
        <f t="shared" si="60"/>
        <v>0</v>
      </c>
      <c r="AG102" s="55"/>
      <c r="AH102" s="47">
        <f t="shared" si="32"/>
        <v>0</v>
      </c>
      <c r="AI102" s="48">
        <f t="shared" si="33"/>
        <v>0</v>
      </c>
    </row>
    <row r="103" spans="1:37" x14ac:dyDescent="0.25">
      <c r="A103" s="84" t="s">
        <v>104</v>
      </c>
      <c r="B103" s="76">
        <f>IF(B85&lt;0,B85*-1,0)</f>
        <v>0</v>
      </c>
      <c r="C103" s="76">
        <f t="shared" ref="C103:AF103" si="65">IF(C85&lt;0,C85*-1,0)</f>
        <v>0</v>
      </c>
      <c r="D103" s="76">
        <f t="shared" si="65"/>
        <v>0</v>
      </c>
      <c r="E103" s="76">
        <f t="shared" si="65"/>
        <v>0</v>
      </c>
      <c r="F103" s="76">
        <f t="shared" si="65"/>
        <v>0</v>
      </c>
      <c r="G103" s="76">
        <f t="shared" si="65"/>
        <v>0</v>
      </c>
      <c r="H103" s="76">
        <f t="shared" si="65"/>
        <v>0</v>
      </c>
      <c r="I103" s="76">
        <f t="shared" si="65"/>
        <v>0</v>
      </c>
      <c r="J103" s="76">
        <f t="shared" si="65"/>
        <v>0</v>
      </c>
      <c r="K103" s="76">
        <f t="shared" si="65"/>
        <v>0</v>
      </c>
      <c r="L103" s="76">
        <f t="shared" si="65"/>
        <v>0</v>
      </c>
      <c r="M103" s="76">
        <f t="shared" si="65"/>
        <v>0</v>
      </c>
      <c r="N103" s="76">
        <f t="shared" si="65"/>
        <v>0</v>
      </c>
      <c r="O103" s="76">
        <f t="shared" si="65"/>
        <v>0</v>
      </c>
      <c r="P103" s="76">
        <f t="shared" si="65"/>
        <v>0</v>
      </c>
      <c r="Q103" s="76">
        <f t="shared" si="65"/>
        <v>0</v>
      </c>
      <c r="R103" s="76">
        <f t="shared" si="65"/>
        <v>0</v>
      </c>
      <c r="S103" s="76">
        <f t="shared" ref="S103:T103" si="66">IF(S85&lt;0,S85*-1,0)</f>
        <v>0</v>
      </c>
      <c r="T103" s="76">
        <f t="shared" si="66"/>
        <v>0</v>
      </c>
      <c r="U103" s="76">
        <f t="shared" ref="U103:V103" si="67">IF(U85&lt;0,U85*-1,0)</f>
        <v>0</v>
      </c>
      <c r="V103" s="76">
        <f t="shared" si="67"/>
        <v>0</v>
      </c>
      <c r="W103" s="76">
        <f t="shared" ref="W103:Y103" si="68">IF(W85&lt;0,W85*-1,0)</f>
        <v>0</v>
      </c>
      <c r="X103" s="76">
        <f t="shared" si="68"/>
        <v>0</v>
      </c>
      <c r="Y103" s="76">
        <f t="shared" si="68"/>
        <v>0</v>
      </c>
      <c r="Z103" s="76">
        <f t="shared" ref="Z103" si="69">IF(Z85&lt;0,Z85*-1,0)</f>
        <v>0</v>
      </c>
      <c r="AA103" s="76">
        <f t="shared" si="65"/>
        <v>0</v>
      </c>
      <c r="AB103" s="76">
        <f t="shared" si="65"/>
        <v>0</v>
      </c>
      <c r="AC103" s="76">
        <f t="shared" si="65"/>
        <v>0</v>
      </c>
      <c r="AD103" s="76">
        <f t="shared" si="65"/>
        <v>0</v>
      </c>
      <c r="AE103" s="76">
        <f t="shared" si="65"/>
        <v>0</v>
      </c>
      <c r="AF103" s="76">
        <f t="shared" si="65"/>
        <v>0</v>
      </c>
      <c r="AG103" s="98"/>
      <c r="AH103" s="47">
        <f t="shared" si="32"/>
        <v>0</v>
      </c>
      <c r="AI103" s="48">
        <f t="shared" si="33"/>
        <v>0</v>
      </c>
    </row>
    <row r="104" spans="1:37" x14ac:dyDescent="0.25">
      <c r="A104" s="84" t="s">
        <v>105</v>
      </c>
      <c r="B104" s="76">
        <f>IF(B83&lt;0,B83*-1,0)</f>
        <v>0</v>
      </c>
      <c r="C104" s="76">
        <f t="shared" ref="C104:AF104" si="70">IF(C83&lt;0,C83*-1,0)</f>
        <v>0</v>
      </c>
      <c r="D104" s="76">
        <f t="shared" si="70"/>
        <v>0</v>
      </c>
      <c r="E104" s="76">
        <f t="shared" si="70"/>
        <v>0</v>
      </c>
      <c r="F104" s="76">
        <f t="shared" si="70"/>
        <v>0</v>
      </c>
      <c r="G104" s="76">
        <f t="shared" si="70"/>
        <v>0</v>
      </c>
      <c r="H104" s="76">
        <f t="shared" si="70"/>
        <v>0</v>
      </c>
      <c r="I104" s="76">
        <f t="shared" si="70"/>
        <v>0</v>
      </c>
      <c r="J104" s="76">
        <f t="shared" si="70"/>
        <v>0</v>
      </c>
      <c r="K104" s="76">
        <f t="shared" si="70"/>
        <v>0</v>
      </c>
      <c r="L104" s="76">
        <f t="shared" si="70"/>
        <v>0</v>
      </c>
      <c r="M104" s="76">
        <f t="shared" si="70"/>
        <v>0</v>
      </c>
      <c r="N104" s="76">
        <f t="shared" si="70"/>
        <v>0</v>
      </c>
      <c r="O104" s="76">
        <f t="shared" si="70"/>
        <v>0</v>
      </c>
      <c r="P104" s="76">
        <f t="shared" si="70"/>
        <v>0</v>
      </c>
      <c r="Q104" s="76">
        <f t="shared" si="70"/>
        <v>0</v>
      </c>
      <c r="R104" s="76">
        <f t="shared" si="70"/>
        <v>0</v>
      </c>
      <c r="S104" s="76">
        <f t="shared" ref="S104:T104" si="71">IF(S83&lt;0,S83*-1,0)</f>
        <v>0</v>
      </c>
      <c r="T104" s="76">
        <f t="shared" si="71"/>
        <v>0</v>
      </c>
      <c r="U104" s="76">
        <f t="shared" ref="U104:V104" si="72">IF(U83&lt;0,U83*-1,0)</f>
        <v>0</v>
      </c>
      <c r="V104" s="76">
        <f t="shared" si="72"/>
        <v>0</v>
      </c>
      <c r="W104" s="76">
        <f t="shared" ref="W104:Y104" si="73">IF(W83&lt;0,W83*-1,0)</f>
        <v>0</v>
      </c>
      <c r="X104" s="76">
        <f t="shared" si="73"/>
        <v>0</v>
      </c>
      <c r="Y104" s="76">
        <f t="shared" si="73"/>
        <v>0</v>
      </c>
      <c r="Z104" s="76">
        <f t="shared" ref="Z104" si="74">IF(Z83&lt;0,Z83*-1,0)</f>
        <v>0</v>
      </c>
      <c r="AA104" s="76">
        <f t="shared" si="70"/>
        <v>0</v>
      </c>
      <c r="AB104" s="76">
        <f t="shared" si="70"/>
        <v>0</v>
      </c>
      <c r="AC104" s="76">
        <f t="shared" si="70"/>
        <v>0</v>
      </c>
      <c r="AD104" s="76">
        <f t="shared" si="70"/>
        <v>0</v>
      </c>
      <c r="AE104" s="76">
        <f t="shared" si="70"/>
        <v>0</v>
      </c>
      <c r="AF104" s="76">
        <f t="shared" si="70"/>
        <v>0</v>
      </c>
      <c r="AG104" s="98"/>
      <c r="AH104" s="47">
        <f t="shared" si="32"/>
        <v>0</v>
      </c>
      <c r="AI104" s="48">
        <f t="shared" si="33"/>
        <v>0</v>
      </c>
    </row>
    <row r="105" spans="1:37" x14ac:dyDescent="0.25">
      <c r="A105" s="84" t="s">
        <v>81</v>
      </c>
      <c r="B105" s="76">
        <f>IF(B81&lt;0,B81*-1,0)</f>
        <v>0</v>
      </c>
      <c r="C105" s="76">
        <f t="shared" ref="C105:AF105" si="75">IF(C81&lt;0,C81*-1,0)</f>
        <v>0</v>
      </c>
      <c r="D105" s="76">
        <f t="shared" si="75"/>
        <v>0</v>
      </c>
      <c r="E105" s="76">
        <f t="shared" si="75"/>
        <v>0</v>
      </c>
      <c r="F105" s="76">
        <f t="shared" si="75"/>
        <v>0</v>
      </c>
      <c r="G105" s="76">
        <f t="shared" si="75"/>
        <v>0</v>
      </c>
      <c r="H105" s="76">
        <f t="shared" si="75"/>
        <v>0</v>
      </c>
      <c r="I105" s="76">
        <f t="shared" si="75"/>
        <v>0</v>
      </c>
      <c r="J105" s="76">
        <f t="shared" si="75"/>
        <v>0</v>
      </c>
      <c r="K105" s="76">
        <f t="shared" si="75"/>
        <v>0</v>
      </c>
      <c r="L105" s="76">
        <f t="shared" si="75"/>
        <v>0</v>
      </c>
      <c r="M105" s="76">
        <f t="shared" si="75"/>
        <v>0</v>
      </c>
      <c r="N105" s="76">
        <f t="shared" si="75"/>
        <v>0</v>
      </c>
      <c r="O105" s="76">
        <f t="shared" si="75"/>
        <v>0</v>
      </c>
      <c r="P105" s="76">
        <f t="shared" si="75"/>
        <v>0</v>
      </c>
      <c r="Q105" s="76">
        <f t="shared" si="75"/>
        <v>0</v>
      </c>
      <c r="R105" s="76">
        <f t="shared" si="75"/>
        <v>0</v>
      </c>
      <c r="S105" s="76">
        <f t="shared" ref="S105:T105" si="76">IF(S81&lt;0,S81*-1,0)</f>
        <v>0</v>
      </c>
      <c r="T105" s="76">
        <f t="shared" si="76"/>
        <v>0</v>
      </c>
      <c r="U105" s="76">
        <f t="shared" ref="U105:V105" si="77">IF(U81&lt;0,U81*-1,0)</f>
        <v>0</v>
      </c>
      <c r="V105" s="76">
        <f t="shared" si="77"/>
        <v>0</v>
      </c>
      <c r="W105" s="76">
        <f t="shared" ref="W105:Y105" si="78">IF(W81&lt;0,W81*-1,0)</f>
        <v>0</v>
      </c>
      <c r="X105" s="76">
        <f t="shared" si="78"/>
        <v>0</v>
      </c>
      <c r="Y105" s="76">
        <f t="shared" si="78"/>
        <v>0</v>
      </c>
      <c r="Z105" s="76">
        <f t="shared" ref="Z105" si="79">IF(Z81&lt;0,Z81*-1,0)</f>
        <v>0</v>
      </c>
      <c r="AA105" s="76">
        <f t="shared" si="75"/>
        <v>0</v>
      </c>
      <c r="AB105" s="76">
        <f t="shared" si="75"/>
        <v>0</v>
      </c>
      <c r="AC105" s="76">
        <f t="shared" si="75"/>
        <v>0</v>
      </c>
      <c r="AD105" s="76">
        <f t="shared" si="75"/>
        <v>0</v>
      </c>
      <c r="AE105" s="76">
        <f t="shared" si="75"/>
        <v>0</v>
      </c>
      <c r="AF105" s="76">
        <f t="shared" si="75"/>
        <v>0</v>
      </c>
      <c r="AG105" s="98"/>
      <c r="AH105" s="47">
        <f t="shared" si="32"/>
        <v>0</v>
      </c>
      <c r="AI105" s="48">
        <f t="shared" si="33"/>
        <v>0</v>
      </c>
    </row>
    <row r="106" spans="1:37" ht="15.75" thickBot="1" x14ac:dyDescent="0.3">
      <c r="A106" s="84" t="s">
        <v>106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1</v>
      </c>
      <c r="V106" s="94">
        <v>2</v>
      </c>
      <c r="W106" s="94">
        <v>3</v>
      </c>
      <c r="X106" s="94">
        <v>4</v>
      </c>
      <c r="Y106" s="94">
        <v>0</v>
      </c>
      <c r="Z106" s="94">
        <v>0</v>
      </c>
      <c r="AA106" s="94">
        <v>0</v>
      </c>
      <c r="AB106" s="94">
        <v>0</v>
      </c>
      <c r="AC106" s="94">
        <v>0</v>
      </c>
      <c r="AD106" s="94">
        <v>0</v>
      </c>
      <c r="AE106" s="94">
        <v>0</v>
      </c>
      <c r="AF106" s="94">
        <v>0</v>
      </c>
      <c r="AG106" s="85"/>
      <c r="AH106" s="47">
        <f t="shared" si="32"/>
        <v>4</v>
      </c>
      <c r="AI106" s="48">
        <f t="shared" si="33"/>
        <v>0</v>
      </c>
    </row>
    <row r="107" spans="1:37" ht="15.75" thickBot="1" x14ac:dyDescent="0.3">
      <c r="A107" s="99" t="s">
        <v>107</v>
      </c>
      <c r="B107" s="60">
        <f>SUM(B101:B106)</f>
        <v>0</v>
      </c>
      <c r="C107" s="60">
        <f t="shared" ref="C107:AF107" si="80">SUM(C101:C106)</f>
        <v>0</v>
      </c>
      <c r="D107" s="60">
        <f t="shared" si="80"/>
        <v>0</v>
      </c>
      <c r="E107" s="60">
        <f t="shared" si="80"/>
        <v>0</v>
      </c>
      <c r="F107" s="60">
        <f t="shared" si="80"/>
        <v>0</v>
      </c>
      <c r="G107" s="60">
        <f t="shared" si="80"/>
        <v>0</v>
      </c>
      <c r="H107" s="60">
        <f t="shared" si="80"/>
        <v>0</v>
      </c>
      <c r="I107" s="60">
        <f t="shared" si="80"/>
        <v>0</v>
      </c>
      <c r="J107" s="60">
        <f t="shared" si="80"/>
        <v>0</v>
      </c>
      <c r="K107" s="60">
        <f t="shared" si="80"/>
        <v>0</v>
      </c>
      <c r="L107" s="60">
        <f t="shared" si="80"/>
        <v>0</v>
      </c>
      <c r="M107" s="60">
        <f t="shared" si="80"/>
        <v>0</v>
      </c>
      <c r="N107" s="60">
        <f t="shared" si="80"/>
        <v>0</v>
      </c>
      <c r="O107" s="60">
        <f t="shared" si="80"/>
        <v>0</v>
      </c>
      <c r="P107" s="60">
        <f t="shared" si="80"/>
        <v>0</v>
      </c>
      <c r="Q107" s="60">
        <f t="shared" si="80"/>
        <v>0</v>
      </c>
      <c r="R107" s="60">
        <f t="shared" si="80"/>
        <v>0</v>
      </c>
      <c r="S107" s="60">
        <f t="shared" ref="S107:T107" si="81">SUM(S101:S106)</f>
        <v>0</v>
      </c>
      <c r="T107" s="60">
        <f t="shared" si="81"/>
        <v>0</v>
      </c>
      <c r="U107" s="60">
        <v>0</v>
      </c>
      <c r="V107" s="60">
        <v>0</v>
      </c>
      <c r="W107" s="60">
        <v>0</v>
      </c>
      <c r="X107" s="60">
        <v>0</v>
      </c>
      <c r="Y107" s="60">
        <v>0</v>
      </c>
      <c r="Z107" s="60">
        <v>0</v>
      </c>
      <c r="AA107" s="60">
        <f t="shared" si="80"/>
        <v>0</v>
      </c>
      <c r="AB107" s="60">
        <f t="shared" si="80"/>
        <v>0</v>
      </c>
      <c r="AC107" s="60">
        <f t="shared" si="80"/>
        <v>0</v>
      </c>
      <c r="AD107" s="60">
        <f t="shared" si="80"/>
        <v>0</v>
      </c>
      <c r="AE107" s="60">
        <f t="shared" si="80"/>
        <v>0</v>
      </c>
      <c r="AF107" s="60">
        <f t="shared" si="80"/>
        <v>0</v>
      </c>
      <c r="AG107" s="88"/>
      <c r="AH107" s="47">
        <f t="shared" si="32"/>
        <v>0</v>
      </c>
      <c r="AI107" s="48">
        <f t="shared" si="33"/>
        <v>0</v>
      </c>
      <c r="AK107" s="50"/>
    </row>
    <row r="108" spans="1:37" ht="15.75" thickBot="1" x14ac:dyDescent="0.3">
      <c r="A108" s="74" t="s">
        <v>108</v>
      </c>
      <c r="B108" s="60">
        <f t="shared" ref="B108:AF108" si="82">B92-B107</f>
        <v>508.6</v>
      </c>
      <c r="C108" s="60">
        <f t="shared" si="82"/>
        <v>495.80000000000007</v>
      </c>
      <c r="D108" s="60">
        <f t="shared" si="82"/>
        <v>507.20000000000005</v>
      </c>
      <c r="E108" s="60">
        <f t="shared" si="82"/>
        <v>531.4</v>
      </c>
      <c r="F108" s="60">
        <f t="shared" si="82"/>
        <v>520.5</v>
      </c>
      <c r="G108" s="60">
        <f t="shared" si="82"/>
        <v>567.04</v>
      </c>
      <c r="H108" s="60">
        <f t="shared" si="82"/>
        <v>571.70000000000005</v>
      </c>
      <c r="I108" s="60">
        <f t="shared" si="82"/>
        <v>569.69999999999993</v>
      </c>
      <c r="J108" s="60">
        <f t="shared" si="82"/>
        <v>620.50000000000011</v>
      </c>
      <c r="K108" s="60">
        <f t="shared" si="82"/>
        <v>368.3</v>
      </c>
      <c r="L108" s="60">
        <f t="shared" si="82"/>
        <v>246.5</v>
      </c>
      <c r="M108" s="60">
        <f t="shared" si="82"/>
        <v>220.3</v>
      </c>
      <c r="N108" s="60">
        <f t="shared" si="82"/>
        <v>279.90000000000003</v>
      </c>
      <c r="O108" s="60">
        <f t="shared" si="82"/>
        <v>341.19999999999993</v>
      </c>
      <c r="P108" s="60">
        <f t="shared" si="82"/>
        <v>576.5</v>
      </c>
      <c r="Q108" s="60">
        <f t="shared" si="82"/>
        <v>700.7</v>
      </c>
      <c r="R108" s="60">
        <f t="shared" si="82"/>
        <v>643.9</v>
      </c>
      <c r="S108" s="60">
        <f t="shared" ref="S108:T108" si="83">S92-S107</f>
        <v>714.29999999999984</v>
      </c>
      <c r="T108" s="60">
        <f t="shared" si="83"/>
        <v>763.6</v>
      </c>
      <c r="U108" s="60">
        <f t="shared" ref="U108:V108" si="84">U92-U107</f>
        <v>612.4</v>
      </c>
      <c r="V108" s="60">
        <f t="shared" si="84"/>
        <v>542.70000000000005</v>
      </c>
      <c r="W108" s="60">
        <f t="shared" ref="W108:Y108" si="85">W92-W107</f>
        <v>475.3</v>
      </c>
      <c r="X108" s="60">
        <f t="shared" si="85"/>
        <v>363.1</v>
      </c>
      <c r="Y108" s="60">
        <f t="shared" si="85"/>
        <v>295.70000000000005</v>
      </c>
      <c r="Z108" s="60">
        <f t="shared" ref="Z108" si="86">Z92-Z107</f>
        <v>258.2</v>
      </c>
      <c r="AA108" s="60">
        <f t="shared" si="82"/>
        <v>238.4</v>
      </c>
      <c r="AB108" s="60">
        <f t="shared" si="82"/>
        <v>356.20000000000005</v>
      </c>
      <c r="AC108" s="60">
        <f t="shared" si="82"/>
        <v>489.4</v>
      </c>
      <c r="AD108" s="60">
        <f t="shared" si="82"/>
        <v>563</v>
      </c>
      <c r="AE108" s="60">
        <f t="shared" si="82"/>
        <v>611.90000000000009</v>
      </c>
      <c r="AF108" s="60">
        <f t="shared" si="82"/>
        <v>605.5</v>
      </c>
      <c r="AG108" s="88"/>
      <c r="AH108" s="47">
        <f t="shared" si="32"/>
        <v>763.6</v>
      </c>
      <c r="AI108" s="48">
        <f t="shared" si="33"/>
        <v>220.3</v>
      </c>
    </row>
    <row r="109" spans="1:37" x14ac:dyDescent="0.25">
      <c r="A109" s="100" t="s">
        <v>109</v>
      </c>
      <c r="B109" s="101">
        <v>50.076000000000001</v>
      </c>
      <c r="C109" s="101">
        <v>50.069000000000003</v>
      </c>
      <c r="D109" s="101">
        <v>50.026000000000003</v>
      </c>
      <c r="E109" s="101">
        <v>50.042999999999999</v>
      </c>
      <c r="F109" s="101">
        <v>50.061999999999998</v>
      </c>
      <c r="G109" s="101">
        <v>50.055999999999997</v>
      </c>
      <c r="H109" s="101">
        <v>49.948</v>
      </c>
      <c r="I109" s="101">
        <v>50.061999999999998</v>
      </c>
      <c r="J109" s="101">
        <v>50.030999999999999</v>
      </c>
      <c r="K109" s="101">
        <v>49.994999999999997</v>
      </c>
      <c r="L109" s="101">
        <v>49.972999999999999</v>
      </c>
      <c r="M109" s="101">
        <v>50.014000000000003</v>
      </c>
      <c r="N109" s="101">
        <v>50.046999999999997</v>
      </c>
      <c r="O109" s="101">
        <v>49.850999999999999</v>
      </c>
      <c r="P109" s="101">
        <v>50.054000000000002</v>
      </c>
      <c r="Q109" s="101">
        <v>50.01</v>
      </c>
      <c r="R109" s="101">
        <v>50.06</v>
      </c>
      <c r="S109" s="101">
        <v>49.84</v>
      </c>
      <c r="T109" s="101">
        <v>49.95</v>
      </c>
      <c r="U109" s="101">
        <v>49.99</v>
      </c>
      <c r="V109" s="101">
        <v>50.05</v>
      </c>
      <c r="W109" s="101">
        <v>50.07</v>
      </c>
      <c r="X109" s="101">
        <v>50.04</v>
      </c>
      <c r="Y109" s="101">
        <v>50.04</v>
      </c>
      <c r="Z109" s="101">
        <v>50.03</v>
      </c>
      <c r="AA109" s="101">
        <v>50.061999999999998</v>
      </c>
      <c r="AB109" s="101">
        <v>50.012</v>
      </c>
      <c r="AC109" s="101">
        <v>49.947000000000003</v>
      </c>
      <c r="AD109" s="101">
        <v>50.018000000000001</v>
      </c>
      <c r="AE109" s="101">
        <v>50.13</v>
      </c>
      <c r="AF109" s="101">
        <v>49.945</v>
      </c>
      <c r="AG109" s="102"/>
      <c r="AH109" s="47">
        <f t="shared" si="32"/>
        <v>50.13</v>
      </c>
      <c r="AI109" s="48">
        <f t="shared" si="33"/>
        <v>49.84</v>
      </c>
    </row>
    <row r="110" spans="1:37" x14ac:dyDescent="0.25">
      <c r="A110" s="103" t="s">
        <v>110</v>
      </c>
      <c r="B110" s="65">
        <v>126.1</v>
      </c>
      <c r="C110" s="65">
        <v>128.19999999999999</v>
      </c>
      <c r="D110" s="65">
        <v>128</v>
      </c>
      <c r="E110" s="65">
        <v>128</v>
      </c>
      <c r="F110" s="65">
        <v>129</v>
      </c>
      <c r="G110" s="65">
        <v>129</v>
      </c>
      <c r="H110" s="65">
        <v>126.9</v>
      </c>
      <c r="I110" s="65">
        <v>126.9</v>
      </c>
      <c r="J110" s="65">
        <v>125.5</v>
      </c>
      <c r="K110" s="65">
        <v>127.8</v>
      </c>
      <c r="L110" s="65">
        <v>125.5</v>
      </c>
      <c r="M110" s="65">
        <v>125.4</v>
      </c>
      <c r="N110" s="65">
        <v>125.8</v>
      </c>
      <c r="O110" s="65">
        <v>126.1</v>
      </c>
      <c r="P110" s="65">
        <v>124.2</v>
      </c>
      <c r="Q110" s="65">
        <v>126.4</v>
      </c>
      <c r="R110" s="65">
        <v>125.8</v>
      </c>
      <c r="S110" s="65">
        <v>125.1</v>
      </c>
      <c r="T110" s="65">
        <v>124.4</v>
      </c>
      <c r="U110" s="65">
        <v>124.7</v>
      </c>
      <c r="V110" s="65">
        <v>128.9</v>
      </c>
      <c r="W110" s="65">
        <v>128.9</v>
      </c>
      <c r="X110" s="65">
        <v>126.5</v>
      </c>
      <c r="Y110" s="65">
        <v>124.4</v>
      </c>
      <c r="Z110" s="65">
        <v>126.1</v>
      </c>
      <c r="AA110" s="65">
        <v>126.6</v>
      </c>
      <c r="AB110" s="65">
        <v>127.4</v>
      </c>
      <c r="AC110" s="65">
        <v>126.8</v>
      </c>
      <c r="AD110" s="65">
        <v>125.4</v>
      </c>
      <c r="AE110" s="65">
        <v>126.5</v>
      </c>
      <c r="AF110" s="65">
        <v>127.6</v>
      </c>
      <c r="AG110" s="104"/>
      <c r="AH110" s="47">
        <f t="shared" si="32"/>
        <v>129</v>
      </c>
      <c r="AI110" s="48">
        <f t="shared" si="33"/>
        <v>124.2</v>
      </c>
    </row>
    <row r="111" spans="1:37" x14ac:dyDescent="0.25">
      <c r="A111" s="103" t="s">
        <v>111</v>
      </c>
      <c r="B111" s="65">
        <v>130.69999999999999</v>
      </c>
      <c r="C111" s="65">
        <v>132.5</v>
      </c>
      <c r="D111" s="65">
        <v>131.80000000000001</v>
      </c>
      <c r="E111" s="65">
        <v>131.80000000000001</v>
      </c>
      <c r="F111" s="65">
        <v>132.9</v>
      </c>
      <c r="G111" s="65">
        <v>132.9</v>
      </c>
      <c r="H111" s="65">
        <v>130.69999999999999</v>
      </c>
      <c r="I111" s="65">
        <v>130.69999999999999</v>
      </c>
      <c r="J111" s="65">
        <v>128</v>
      </c>
      <c r="K111" s="65">
        <v>128.80000000000001</v>
      </c>
      <c r="L111" s="65">
        <v>126</v>
      </c>
      <c r="M111" s="65">
        <v>126.1</v>
      </c>
      <c r="N111" s="65">
        <v>127.6</v>
      </c>
      <c r="O111" s="65">
        <v>127.8</v>
      </c>
      <c r="P111" s="65">
        <v>126.7</v>
      </c>
      <c r="Q111" s="65">
        <v>128.80000000000001</v>
      </c>
      <c r="R111" s="65">
        <v>128.69999999999999</v>
      </c>
      <c r="S111" s="65">
        <v>128.19999999999999</v>
      </c>
      <c r="T111" s="65">
        <v>127.5</v>
      </c>
      <c r="U111" s="65">
        <v>127.9</v>
      </c>
      <c r="V111" s="65">
        <v>130.80000000000001</v>
      </c>
      <c r="W111" s="65">
        <v>130.80000000000001</v>
      </c>
      <c r="X111" s="65">
        <v>128.30000000000001</v>
      </c>
      <c r="Y111" s="65">
        <v>125.8</v>
      </c>
      <c r="Z111" s="65">
        <v>127.3</v>
      </c>
      <c r="AA111" s="65">
        <v>127.8</v>
      </c>
      <c r="AB111" s="65">
        <v>128.80000000000001</v>
      </c>
      <c r="AC111" s="65">
        <v>128.6</v>
      </c>
      <c r="AD111" s="65">
        <v>127.8</v>
      </c>
      <c r="AE111" s="65">
        <v>130.19999999999999</v>
      </c>
      <c r="AF111" s="65">
        <v>131.4</v>
      </c>
      <c r="AG111" s="104"/>
      <c r="AH111" s="47">
        <f t="shared" si="32"/>
        <v>132.9</v>
      </c>
      <c r="AI111" s="48">
        <f t="shared" si="33"/>
        <v>125.8</v>
      </c>
    </row>
    <row r="112" spans="1:37" x14ac:dyDescent="0.25">
      <c r="A112" s="103" t="s">
        <v>112</v>
      </c>
      <c r="B112" s="65">
        <v>128</v>
      </c>
      <c r="C112" s="65">
        <v>129.6</v>
      </c>
      <c r="D112" s="65">
        <v>131.69999999999999</v>
      </c>
      <c r="E112" s="65">
        <v>131.69999999999999</v>
      </c>
      <c r="F112" s="65">
        <v>132</v>
      </c>
      <c r="G112" s="65">
        <v>132</v>
      </c>
      <c r="H112" s="65">
        <v>126.9</v>
      </c>
      <c r="I112" s="65">
        <v>126.9</v>
      </c>
      <c r="J112" s="65">
        <v>127</v>
      </c>
      <c r="K112" s="65">
        <v>131.6</v>
      </c>
      <c r="L112" s="65">
        <v>128</v>
      </c>
      <c r="M112" s="65">
        <v>127.1</v>
      </c>
      <c r="N112" s="65">
        <v>129.6</v>
      </c>
      <c r="O112" s="65">
        <v>129.9</v>
      </c>
      <c r="P112" s="65">
        <v>127.4</v>
      </c>
      <c r="Q112" s="65">
        <v>127.7</v>
      </c>
      <c r="R112" s="65" t="s">
        <v>625</v>
      </c>
      <c r="S112" s="65">
        <v>125.8</v>
      </c>
      <c r="T112" s="65">
        <v>127.6</v>
      </c>
      <c r="U112" s="65">
        <v>128.19999999999999</v>
      </c>
      <c r="V112" s="65">
        <v>131.80000000000001</v>
      </c>
      <c r="W112" s="65">
        <v>131.80000000000001</v>
      </c>
      <c r="X112" s="65">
        <v>126.7</v>
      </c>
      <c r="Y112" s="65">
        <v>128</v>
      </c>
      <c r="Z112" s="65">
        <v>129.30000000000001</v>
      </c>
      <c r="AA112" s="65">
        <v>130</v>
      </c>
      <c r="AB112" s="65">
        <v>130.6</v>
      </c>
      <c r="AC112" s="65">
        <v>132</v>
      </c>
      <c r="AD112" s="65">
        <v>126.9</v>
      </c>
      <c r="AE112" s="65">
        <v>130</v>
      </c>
      <c r="AF112" s="65">
        <v>128.5</v>
      </c>
      <c r="AG112" s="104"/>
      <c r="AH112" s="47">
        <f t="shared" si="32"/>
        <v>132</v>
      </c>
      <c r="AI112" s="48">
        <f t="shared" si="33"/>
        <v>125.8</v>
      </c>
    </row>
    <row r="113" spans="1:35" x14ac:dyDescent="0.25">
      <c r="A113" s="105" t="s">
        <v>113</v>
      </c>
      <c r="B113" s="65">
        <v>130.4</v>
      </c>
      <c r="C113" s="65">
        <v>131.4</v>
      </c>
      <c r="D113" s="65">
        <v>134.1</v>
      </c>
      <c r="E113" s="65">
        <v>134.1</v>
      </c>
      <c r="F113" s="65">
        <v>134</v>
      </c>
      <c r="G113" s="65">
        <v>134</v>
      </c>
      <c r="H113" s="65">
        <v>128.4</v>
      </c>
      <c r="I113" s="65">
        <v>128.4</v>
      </c>
      <c r="J113" s="65">
        <v>129</v>
      </c>
      <c r="K113" s="65">
        <v>132</v>
      </c>
      <c r="L113" s="65">
        <v>128</v>
      </c>
      <c r="M113" s="65">
        <v>126.7</v>
      </c>
      <c r="N113" s="65">
        <v>129.1</v>
      </c>
      <c r="O113" s="65">
        <v>129.6</v>
      </c>
      <c r="P113" s="65">
        <v>127.7</v>
      </c>
      <c r="Q113" s="65">
        <v>129</v>
      </c>
      <c r="R113" s="65">
        <v>130.19999999999999</v>
      </c>
      <c r="S113" s="65">
        <v>127.4</v>
      </c>
      <c r="T113" s="65">
        <v>127.4</v>
      </c>
      <c r="U113" s="65">
        <v>128.80000000000001</v>
      </c>
      <c r="V113" s="65">
        <v>131.69999999999999</v>
      </c>
      <c r="W113" s="65">
        <v>131.69999999999999</v>
      </c>
      <c r="X113" s="65">
        <v>125.9</v>
      </c>
      <c r="Y113" s="65">
        <v>127.4</v>
      </c>
      <c r="Z113" s="65">
        <v>130</v>
      </c>
      <c r="AA113" s="65">
        <v>132.5</v>
      </c>
      <c r="AB113" s="65">
        <v>133.6</v>
      </c>
      <c r="AC113" s="65">
        <v>134.30000000000001</v>
      </c>
      <c r="AD113" s="65">
        <v>129</v>
      </c>
      <c r="AE113" s="65">
        <v>132.1</v>
      </c>
      <c r="AF113" s="65">
        <v>131.5</v>
      </c>
      <c r="AG113" s="104"/>
      <c r="AH113" s="47">
        <f t="shared" si="32"/>
        <v>134.30000000000001</v>
      </c>
      <c r="AI113" s="48">
        <f t="shared" si="33"/>
        <v>125.9</v>
      </c>
    </row>
    <row r="114" spans="1:35" x14ac:dyDescent="0.25">
      <c r="A114" s="105" t="s">
        <v>114</v>
      </c>
      <c r="B114" s="106">
        <v>125.4</v>
      </c>
      <c r="C114" s="106">
        <v>131.4</v>
      </c>
      <c r="D114" s="106">
        <v>128</v>
      </c>
      <c r="E114" s="106">
        <v>128</v>
      </c>
      <c r="F114" s="106">
        <v>131</v>
      </c>
      <c r="G114" s="106">
        <v>131</v>
      </c>
      <c r="H114" s="106">
        <v>133</v>
      </c>
      <c r="I114" s="106">
        <v>133</v>
      </c>
      <c r="J114" s="106">
        <v>133.6</v>
      </c>
      <c r="K114" s="106">
        <v>133</v>
      </c>
      <c r="L114" s="106">
        <v>132.9</v>
      </c>
      <c r="M114" s="106">
        <v>133.30000000000001</v>
      </c>
      <c r="N114" s="106">
        <v>133.6</v>
      </c>
      <c r="O114" s="106">
        <v>132</v>
      </c>
      <c r="P114" s="106">
        <v>131.5</v>
      </c>
      <c r="Q114" s="106">
        <v>136.4</v>
      </c>
      <c r="R114" s="106">
        <v>135.9</v>
      </c>
      <c r="S114" s="106">
        <v>135.19999999999999</v>
      </c>
      <c r="T114" s="106">
        <v>135.19999999999999</v>
      </c>
      <c r="U114" s="106">
        <v>134.5</v>
      </c>
      <c r="V114" s="106">
        <v>136.1</v>
      </c>
      <c r="W114" s="106">
        <v>136.1</v>
      </c>
      <c r="X114" s="106">
        <v>135</v>
      </c>
      <c r="Y114" s="106">
        <v>133.69999999999999</v>
      </c>
      <c r="Z114" s="106">
        <v>135.69999999999999</v>
      </c>
      <c r="AA114" s="106">
        <v>131.19999999999999</v>
      </c>
      <c r="AB114" s="106">
        <v>135.5</v>
      </c>
      <c r="AC114" s="106">
        <v>135</v>
      </c>
      <c r="AD114" s="106">
        <v>134</v>
      </c>
      <c r="AE114" s="106">
        <v>135.30000000000001</v>
      </c>
      <c r="AF114" s="106">
        <v>133.80000000000001</v>
      </c>
      <c r="AG114" s="107"/>
      <c r="AH114" s="47">
        <f t="shared" si="32"/>
        <v>136.4</v>
      </c>
      <c r="AI114" s="48">
        <f t="shared" si="33"/>
        <v>125.4</v>
      </c>
    </row>
    <row r="115" spans="1:35" x14ac:dyDescent="0.25">
      <c r="A115" s="103" t="s">
        <v>115</v>
      </c>
      <c r="B115" s="65">
        <v>128.5</v>
      </c>
      <c r="C115" s="65">
        <v>131.19999999999999</v>
      </c>
      <c r="D115" s="65">
        <v>131.80000000000001</v>
      </c>
      <c r="E115" s="65">
        <v>131.80000000000001</v>
      </c>
      <c r="F115" s="65">
        <v>132.9</v>
      </c>
      <c r="G115" s="65">
        <v>132.9</v>
      </c>
      <c r="H115" s="65">
        <v>130</v>
      </c>
      <c r="I115" s="65">
        <v>130</v>
      </c>
      <c r="J115" s="65">
        <v>126.8</v>
      </c>
      <c r="K115" s="65">
        <v>130.5</v>
      </c>
      <c r="L115" s="65">
        <v>131.69999999999999</v>
      </c>
      <c r="M115" s="65">
        <v>132.9</v>
      </c>
      <c r="N115" s="65">
        <v>134.69999999999999</v>
      </c>
      <c r="O115" s="65">
        <v>135</v>
      </c>
      <c r="P115" s="65">
        <v>132.19999999999999</v>
      </c>
      <c r="Q115" s="65">
        <v>133.30000000000001</v>
      </c>
      <c r="R115" s="65">
        <v>130.5</v>
      </c>
      <c r="S115" s="65">
        <v>132.19999999999999</v>
      </c>
      <c r="T115" s="65">
        <v>132.19999999999999</v>
      </c>
      <c r="U115" s="65">
        <v>133.1</v>
      </c>
      <c r="V115" s="65">
        <v>132.19999999999999</v>
      </c>
      <c r="W115" s="65">
        <v>132.19999999999999</v>
      </c>
      <c r="X115" s="65">
        <v>132</v>
      </c>
      <c r="Y115" s="65">
        <v>130.5</v>
      </c>
      <c r="Z115" s="65">
        <v>128.80000000000001</v>
      </c>
      <c r="AA115" s="65">
        <v>131.19999999999999</v>
      </c>
      <c r="AB115" s="65">
        <v>133.80000000000001</v>
      </c>
      <c r="AC115" s="65">
        <v>134.4</v>
      </c>
      <c r="AD115" s="65">
        <v>134.69999999999999</v>
      </c>
      <c r="AE115" s="65">
        <v>133.4</v>
      </c>
      <c r="AF115" s="65">
        <v>131.9</v>
      </c>
      <c r="AG115" s="104"/>
      <c r="AH115" s="47">
        <f t="shared" si="32"/>
        <v>135</v>
      </c>
      <c r="AI115" s="48">
        <f t="shared" si="33"/>
        <v>126.8</v>
      </c>
    </row>
    <row r="116" spans="1:35" ht="15.75" thickBot="1" x14ac:dyDescent="0.3">
      <c r="A116" s="103" t="s">
        <v>116</v>
      </c>
      <c r="B116" s="92">
        <v>65.8</v>
      </c>
      <c r="C116" s="92">
        <v>66.7</v>
      </c>
      <c r="D116" s="92">
        <v>66.5</v>
      </c>
      <c r="E116" s="92">
        <v>66.5</v>
      </c>
      <c r="F116" s="92">
        <v>66.849999999999994</v>
      </c>
      <c r="G116" s="92">
        <v>66.849999999999994</v>
      </c>
      <c r="H116" s="92">
        <v>65.7</v>
      </c>
      <c r="I116" s="92">
        <v>65.7</v>
      </c>
      <c r="J116" s="92">
        <v>64.400000000000006</v>
      </c>
      <c r="K116" s="92">
        <v>65</v>
      </c>
      <c r="L116" s="92">
        <v>63.6</v>
      </c>
      <c r="M116" s="92">
        <v>63.5</v>
      </c>
      <c r="N116" s="92">
        <v>64.2</v>
      </c>
      <c r="O116" s="92">
        <v>64.3</v>
      </c>
      <c r="P116" s="92">
        <v>63.7</v>
      </c>
      <c r="Q116" s="92">
        <v>64.5</v>
      </c>
      <c r="R116" s="92">
        <v>64.8</v>
      </c>
      <c r="S116" s="92">
        <v>64.5</v>
      </c>
      <c r="T116" s="92">
        <v>64.5</v>
      </c>
      <c r="U116" s="92">
        <v>64.5</v>
      </c>
      <c r="V116" s="92">
        <v>66.099999999999994</v>
      </c>
      <c r="W116" s="92">
        <v>66.099999999999994</v>
      </c>
      <c r="X116" s="92">
        <v>64.7</v>
      </c>
      <c r="Y116" s="92">
        <v>63.4</v>
      </c>
      <c r="Z116" s="92">
        <v>64.3</v>
      </c>
      <c r="AA116" s="92">
        <v>64.3</v>
      </c>
      <c r="AB116" s="92">
        <v>64.900000000000006</v>
      </c>
      <c r="AC116" s="92">
        <v>64.7</v>
      </c>
      <c r="AD116" s="92">
        <v>64.3</v>
      </c>
      <c r="AE116" s="92">
        <v>65.5</v>
      </c>
      <c r="AF116" s="92">
        <v>66.099999999999994</v>
      </c>
      <c r="AG116" s="108"/>
      <c r="AH116" s="47">
        <f t="shared" si="32"/>
        <v>66.849999999999994</v>
      </c>
      <c r="AI116" s="48">
        <f t="shared" si="33"/>
        <v>63.4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32"/>
        <v>0</v>
      </c>
      <c r="AI117" s="48">
        <f t="shared" si="33"/>
        <v>0</v>
      </c>
    </row>
    <row r="118" spans="1:35" ht="15.75" thickBot="1" x14ac:dyDescent="0.3">
      <c r="A118" s="110" t="s">
        <v>118</v>
      </c>
      <c r="B118" s="111">
        <f t="shared" ref="B118:O118" si="87">SUM(B22,B28,B31:B32,B66,B68:B69,B71,B73,B119:B123,B155,B161,B167,B176,B178,B190,B197,B200:B201,B208,B210,B212,B216:B218,B220:B222,B227,B233:B234,B236:B238,B246,B251)</f>
        <v>156.02799999999999</v>
      </c>
      <c r="C118" s="111">
        <f t="shared" si="87"/>
        <v>143.01399999999998</v>
      </c>
      <c r="D118" s="111">
        <f t="shared" si="87"/>
        <v>134.559</v>
      </c>
      <c r="E118" s="111">
        <f t="shared" si="87"/>
        <v>124.43999999999998</v>
      </c>
      <c r="F118" s="111">
        <f t="shared" si="87"/>
        <v>133.34</v>
      </c>
      <c r="G118" s="111">
        <f t="shared" si="87"/>
        <v>172.54000000000002</v>
      </c>
      <c r="H118" s="111">
        <f t="shared" si="87"/>
        <v>208.54000000000002</v>
      </c>
      <c r="I118" s="111">
        <f t="shared" si="87"/>
        <v>243.84</v>
      </c>
      <c r="J118" s="111">
        <f t="shared" si="87"/>
        <v>307.74</v>
      </c>
      <c r="K118" s="111">
        <f t="shared" si="87"/>
        <v>361.48</v>
      </c>
      <c r="L118" s="111">
        <f t="shared" si="87"/>
        <v>409.14</v>
      </c>
      <c r="M118" s="111">
        <f t="shared" si="87"/>
        <v>401.5800000000001</v>
      </c>
      <c r="N118" s="111">
        <f t="shared" si="87"/>
        <v>373.26</v>
      </c>
      <c r="O118" s="111">
        <f t="shared" si="87"/>
        <v>365.18</v>
      </c>
      <c r="P118" s="111">
        <v>42</v>
      </c>
      <c r="Q118" s="111">
        <f t="shared" ref="Q118:AF118" si="88">SUM(Q22,Q28,Q31:Q32,Q66,Q68:Q69,Q71,Q73,Q119:Q123,Q155,Q161,Q167,Q176,Q178,Q190,Q197,Q200:Q201,Q208,Q210,Q212,Q216:Q218,Q220:Q222,Q227,Q233:Q234,Q236:Q238,Q246,Q251)</f>
        <v>298.33999999999997</v>
      </c>
      <c r="R118" s="111">
        <f t="shared" si="88"/>
        <v>301.68000000000006</v>
      </c>
      <c r="S118" s="111">
        <f t="shared" ref="S118:T118" si="89">SUM(S22,S28,S31:S32,S66,S68:S69,S71,S73,S119:S123,S155,S161,S167,S176,S178,S190,S197,S200:S201,S208,S210,S212,S216:S218,S220:S222,S227,S233:S234,S236:S238,S246,S251)</f>
        <v>290.68</v>
      </c>
      <c r="T118" s="111">
        <f t="shared" si="89"/>
        <v>296.36</v>
      </c>
      <c r="U118" s="111">
        <f t="shared" ref="U118:V118" si="90">SUM(U22,U28,U31:U32,U66,U68:U69,U71,U73,U119:U123,U155,U161,U167,U176,U178,U190,U197,U200:U201,U208,U210,U212,U216:U218,U220:U222,U227,U233:U234,U236:U238,U246,U251)</f>
        <v>306.97999999999996</v>
      </c>
      <c r="V118" s="111">
        <f t="shared" si="90"/>
        <v>314.94</v>
      </c>
      <c r="W118" s="111">
        <f t="shared" ref="W118:Y118" si="91">SUM(W22,W28,W31:W32,W66,W68:W69,W71,W73,W119:W123,W155,W161,W167,W176,W178,W190,W197,W200:W201,W208,W210,W212,W216:W218,W220:W222,W227,W233:W234,W236:W238,W246,W251)</f>
        <v>326.35999999999996</v>
      </c>
      <c r="X118" s="111">
        <f t="shared" si="91"/>
        <v>379.98000000000008</v>
      </c>
      <c r="Y118" s="111">
        <f t="shared" si="91"/>
        <v>437.46</v>
      </c>
      <c r="Z118" s="111">
        <f t="shared" ref="Z118" si="92">SUM(Z22,Z28,Z31:Z32,Z66,Z68:Z69,Z71,Z73,Z119:Z123,Z155,Z161,Z167,Z176,Z178,Z190,Z197,Z200:Z201,Z208,Z210,Z212,Z216:Z218,Z220:Z222,Z227,Z233:Z234,Z236:Z238,Z246,Z251)</f>
        <v>435.82</v>
      </c>
      <c r="AA118" s="111">
        <f t="shared" si="88"/>
        <v>417.47300000000001</v>
      </c>
      <c r="AB118" s="111">
        <f t="shared" si="88"/>
        <v>398.89999999999992</v>
      </c>
      <c r="AC118" s="111">
        <f t="shared" si="88"/>
        <v>359.04</v>
      </c>
      <c r="AD118" s="111">
        <f t="shared" si="88"/>
        <v>315.04000000000002</v>
      </c>
      <c r="AE118" s="111">
        <f t="shared" si="88"/>
        <v>243.73999999999998</v>
      </c>
      <c r="AF118" s="111">
        <f t="shared" si="88"/>
        <v>207.94</v>
      </c>
      <c r="AG118" s="112"/>
      <c r="AH118" s="47">
        <f t="shared" si="32"/>
        <v>437.46</v>
      </c>
      <c r="AI118" s="48">
        <f t="shared" si="33"/>
        <v>42</v>
      </c>
    </row>
    <row r="119" spans="1:35" x14ac:dyDescent="0.25">
      <c r="A119" s="172" t="s">
        <v>119</v>
      </c>
      <c r="B119" s="113">
        <v>-1.9</v>
      </c>
      <c r="C119" s="113">
        <v>-1.6</v>
      </c>
      <c r="D119" s="113">
        <v>-4.8</v>
      </c>
      <c r="E119" s="113">
        <v>-12.9</v>
      </c>
      <c r="F119" s="113">
        <v>-9.9</v>
      </c>
      <c r="G119" s="113">
        <v>1.4</v>
      </c>
      <c r="H119" s="113">
        <v>5</v>
      </c>
      <c r="I119" s="113">
        <v>12.2</v>
      </c>
      <c r="J119" s="113">
        <v>37.200000000000003</v>
      </c>
      <c r="K119" s="113">
        <v>32.6</v>
      </c>
      <c r="L119" s="113">
        <v>40.9</v>
      </c>
      <c r="M119" s="113">
        <v>46.4</v>
      </c>
      <c r="N119" s="113">
        <v>46.6</v>
      </c>
      <c r="O119" s="113">
        <v>44.7</v>
      </c>
      <c r="P119" s="113">
        <v>37</v>
      </c>
      <c r="Q119" s="113">
        <v>33.1</v>
      </c>
      <c r="R119" s="113">
        <v>32.9</v>
      </c>
      <c r="S119" s="113">
        <v>33.299999999999997</v>
      </c>
      <c r="T119" s="113">
        <v>19.7</v>
      </c>
      <c r="U119" s="113">
        <v>47.3</v>
      </c>
      <c r="V119" s="113">
        <v>39.1</v>
      </c>
      <c r="W119" s="113">
        <v>30.2</v>
      </c>
      <c r="X119" s="113">
        <v>45.9</v>
      </c>
      <c r="Y119" s="113">
        <v>57</v>
      </c>
      <c r="Z119" s="113">
        <v>56.2</v>
      </c>
      <c r="AA119" s="113">
        <v>53</v>
      </c>
      <c r="AB119" s="113">
        <v>52.9</v>
      </c>
      <c r="AC119" s="113">
        <v>35.799999999999997</v>
      </c>
      <c r="AD119" s="113">
        <v>34.5</v>
      </c>
      <c r="AE119" s="113">
        <v>30.4</v>
      </c>
      <c r="AF119" s="113">
        <v>14</v>
      </c>
      <c r="AG119" s="114">
        <v>75</v>
      </c>
      <c r="AH119" s="47">
        <f t="shared" si="32"/>
        <v>57</v>
      </c>
      <c r="AI119" s="48">
        <f t="shared" si="33"/>
        <v>-12.9</v>
      </c>
    </row>
    <row r="120" spans="1:35" x14ac:dyDescent="0.25">
      <c r="A120" s="173" t="s">
        <v>120</v>
      </c>
      <c r="B120" s="115">
        <v>-4</v>
      </c>
      <c r="C120" s="115">
        <v>-4.5</v>
      </c>
      <c r="D120" s="115">
        <v>-9.1999999999999993</v>
      </c>
      <c r="E120" s="115">
        <v>-19</v>
      </c>
      <c r="F120" s="115">
        <v>-14.7</v>
      </c>
      <c r="G120" s="115">
        <v>0.8</v>
      </c>
      <c r="H120" s="115">
        <v>7.4</v>
      </c>
      <c r="I120" s="115">
        <v>16.7</v>
      </c>
      <c r="J120" s="115">
        <v>49.7</v>
      </c>
      <c r="K120" s="115">
        <v>46.74</v>
      </c>
      <c r="L120" s="115">
        <v>55.8</v>
      </c>
      <c r="M120" s="115">
        <v>63.4</v>
      </c>
      <c r="N120" s="115">
        <v>64.3</v>
      </c>
      <c r="O120" s="115">
        <v>62.4</v>
      </c>
      <c r="P120" s="115">
        <v>49</v>
      </c>
      <c r="Q120" s="115">
        <v>42.7</v>
      </c>
      <c r="R120" s="115">
        <v>42.5</v>
      </c>
      <c r="S120" s="115">
        <v>44.2</v>
      </c>
      <c r="T120" s="115">
        <v>22.8</v>
      </c>
      <c r="U120" s="115">
        <v>62.4</v>
      </c>
      <c r="V120" s="115">
        <v>54.5</v>
      </c>
      <c r="W120" s="115">
        <v>43</v>
      </c>
      <c r="X120" s="115">
        <v>63.2</v>
      </c>
      <c r="Y120" s="115">
        <v>78.7</v>
      </c>
      <c r="Z120" s="115">
        <v>76.8</v>
      </c>
      <c r="AA120" s="115">
        <v>72.400000000000006</v>
      </c>
      <c r="AB120" s="115">
        <v>70.8</v>
      </c>
      <c r="AC120" s="115">
        <v>48.6</v>
      </c>
      <c r="AD120" s="115">
        <v>42.9</v>
      </c>
      <c r="AE120" s="115">
        <v>40</v>
      </c>
      <c r="AF120" s="115">
        <v>17.3</v>
      </c>
      <c r="AG120" s="114">
        <v>240</v>
      </c>
      <c r="AH120" s="47">
        <f t="shared" si="32"/>
        <v>78.7</v>
      </c>
      <c r="AI120" s="48">
        <f t="shared" si="33"/>
        <v>-19</v>
      </c>
    </row>
    <row r="121" spans="1:35" x14ac:dyDescent="0.25">
      <c r="A121" s="173" t="s">
        <v>121</v>
      </c>
      <c r="B121" s="115">
        <v>-36</v>
      </c>
      <c r="C121" s="115">
        <v>-38</v>
      </c>
      <c r="D121" s="115">
        <v>-40.5</v>
      </c>
      <c r="E121" s="115">
        <v>-34.4</v>
      </c>
      <c r="F121" s="115">
        <v>-33.799999999999997</v>
      </c>
      <c r="G121" s="115">
        <v>-33.4</v>
      </c>
      <c r="H121" s="115">
        <v>-24.8</v>
      </c>
      <c r="I121" s="115">
        <v>-14</v>
      </c>
      <c r="J121" s="115">
        <v>-4.8</v>
      </c>
      <c r="K121" s="115">
        <v>25</v>
      </c>
      <c r="L121" s="115">
        <v>40</v>
      </c>
      <c r="M121" s="115">
        <f>15.7+18.5</f>
        <v>34.200000000000003</v>
      </c>
      <c r="N121" s="115">
        <f>11.2+12.8</f>
        <v>24</v>
      </c>
      <c r="O121" s="115">
        <f>11.2+13.4</f>
        <v>24.6</v>
      </c>
      <c r="P121" s="115">
        <f>11.4+13.4</f>
        <v>24.8</v>
      </c>
      <c r="Q121" s="115">
        <f>-8-10.5</f>
        <v>-18.5</v>
      </c>
      <c r="R121" s="115">
        <f>5+5.8</f>
        <v>10.8</v>
      </c>
      <c r="S121" s="115">
        <v>7.3</v>
      </c>
      <c r="T121" s="115">
        <v>16.399999999999999</v>
      </c>
      <c r="U121" s="115">
        <v>-9.8000000000000007</v>
      </c>
      <c r="V121" s="115">
        <v>17</v>
      </c>
      <c r="W121" s="115">
        <v>33.1</v>
      </c>
      <c r="X121" s="115">
        <v>34.299999999999997</v>
      </c>
      <c r="Y121" s="115">
        <v>43.5</v>
      </c>
      <c r="Z121" s="115">
        <v>43.9</v>
      </c>
      <c r="AA121" s="115">
        <v>34</v>
      </c>
      <c r="AB121" s="115">
        <v>29.5</v>
      </c>
      <c r="AC121" s="115">
        <v>33</v>
      </c>
      <c r="AD121" s="115">
        <v>18</v>
      </c>
      <c r="AE121" s="115">
        <v>-15</v>
      </c>
      <c r="AF121" s="115">
        <v>-10</v>
      </c>
      <c r="AG121" s="114">
        <v>240</v>
      </c>
      <c r="AH121" s="47">
        <f t="shared" si="32"/>
        <v>43.9</v>
      </c>
      <c r="AI121" s="48">
        <f t="shared" si="33"/>
        <v>-40.5</v>
      </c>
    </row>
    <row r="122" spans="1:35" ht="15.75" thickBot="1" x14ac:dyDescent="0.3">
      <c r="A122" s="173" t="s">
        <v>122</v>
      </c>
      <c r="B122" s="115">
        <v>-7.2</v>
      </c>
      <c r="C122" s="115">
        <v>-8.6999999999999993</v>
      </c>
      <c r="D122" s="115">
        <v>-12.8</v>
      </c>
      <c r="E122" s="115">
        <v>-13.2</v>
      </c>
      <c r="F122" s="115">
        <v>-9.4</v>
      </c>
      <c r="G122" s="115">
        <v>-7.4</v>
      </c>
      <c r="H122" s="115">
        <v>-10.199999999999999</v>
      </c>
      <c r="I122" s="115">
        <v>-5.2</v>
      </c>
      <c r="J122" s="115">
        <v>1.5</v>
      </c>
      <c r="K122" s="115">
        <v>17.399999999999999</v>
      </c>
      <c r="L122" s="115">
        <v>21.8</v>
      </c>
      <c r="M122" s="115">
        <v>21.8</v>
      </c>
      <c r="N122" s="115">
        <v>17.899999999999999</v>
      </c>
      <c r="O122" s="115">
        <v>19.399999999999999</v>
      </c>
      <c r="P122" s="115">
        <v>9.3000000000000007</v>
      </c>
      <c r="Q122" s="115">
        <v>8.1999999999999993</v>
      </c>
      <c r="R122" s="115">
        <v>4.3</v>
      </c>
      <c r="S122" s="115">
        <v>1.9</v>
      </c>
      <c r="T122" s="115">
        <v>5.6</v>
      </c>
      <c r="U122" s="115">
        <v>3</v>
      </c>
      <c r="V122" s="115">
        <v>13.7</v>
      </c>
      <c r="W122" s="115">
        <v>19.2</v>
      </c>
      <c r="X122" s="115">
        <v>21.8</v>
      </c>
      <c r="Y122" s="115">
        <v>24.6</v>
      </c>
      <c r="Z122" s="115">
        <v>25.9</v>
      </c>
      <c r="AA122" s="115">
        <v>24.2</v>
      </c>
      <c r="AB122" s="115">
        <v>22.4</v>
      </c>
      <c r="AC122" s="115">
        <v>22</v>
      </c>
      <c r="AD122" s="115">
        <v>10</v>
      </c>
      <c r="AE122" s="115">
        <v>-1.3</v>
      </c>
      <c r="AF122" s="115">
        <v>-3</v>
      </c>
      <c r="AG122" s="114">
        <v>60</v>
      </c>
      <c r="AH122" s="47">
        <f t="shared" si="32"/>
        <v>25.9</v>
      </c>
      <c r="AI122" s="48">
        <f t="shared" si="33"/>
        <v>-13.2</v>
      </c>
    </row>
    <row r="123" spans="1:35" x14ac:dyDescent="0.25">
      <c r="A123" s="172" t="s">
        <v>260</v>
      </c>
      <c r="B123" s="117">
        <f>66.4*1.67</f>
        <v>110.88800000000001</v>
      </c>
      <c r="C123" s="117">
        <f>62.2*1.67</f>
        <v>103.874</v>
      </c>
      <c r="D123" s="117">
        <f>65.7*1.67</f>
        <v>109.71899999999999</v>
      </c>
      <c r="E123" s="117">
        <v>112</v>
      </c>
      <c r="F123" s="117">
        <v>110</v>
      </c>
      <c r="G123" s="117">
        <v>120</v>
      </c>
      <c r="H123" s="117">
        <v>140</v>
      </c>
      <c r="I123" s="117">
        <v>143</v>
      </c>
      <c r="J123" s="117">
        <v>133</v>
      </c>
      <c r="K123" s="117">
        <v>150</v>
      </c>
      <c r="L123" s="117">
        <v>160</v>
      </c>
      <c r="M123" s="117">
        <f>88.4*1.6</f>
        <v>141.44000000000003</v>
      </c>
      <c r="N123" s="117">
        <f>73*1.64</f>
        <v>119.72</v>
      </c>
      <c r="O123" s="117">
        <f>66*1.64</f>
        <v>108.24</v>
      </c>
      <c r="P123" s="117">
        <f>75*1.64</f>
        <v>122.99999999999999</v>
      </c>
      <c r="Q123" s="117">
        <f>75*1.64</f>
        <v>122.99999999999999</v>
      </c>
      <c r="R123" s="117">
        <f>67.4*1.6</f>
        <v>107.84000000000002</v>
      </c>
      <c r="S123" s="117">
        <f>64.9*1.6</f>
        <v>103.84000000000002</v>
      </c>
      <c r="T123" s="117">
        <f>84.7*1.6</f>
        <v>135.52000000000001</v>
      </c>
      <c r="U123" s="117">
        <f>68.9*1.6</f>
        <v>110.24000000000001</v>
      </c>
      <c r="V123" s="117">
        <f>64*1.6</f>
        <v>102.4</v>
      </c>
      <c r="W123" s="117">
        <f>71.2*1.6</f>
        <v>113.92000000000002</v>
      </c>
      <c r="X123" s="117">
        <f>79.9*1.6</f>
        <v>127.84000000000002</v>
      </c>
      <c r="Y123" s="117">
        <f>91.7*1.6</f>
        <v>146.72</v>
      </c>
      <c r="Z123" s="117">
        <f>91.3*1.6</f>
        <v>146.08000000000001</v>
      </c>
      <c r="AA123" s="117">
        <f>89.1*1.63</f>
        <v>145.23299999999998</v>
      </c>
      <c r="AB123" s="117">
        <f>1.64*81.5</f>
        <v>133.66</v>
      </c>
      <c r="AC123" s="117">
        <v>130</v>
      </c>
      <c r="AD123" s="117">
        <v>120</v>
      </c>
      <c r="AE123" s="117">
        <v>100</v>
      </c>
      <c r="AF123" s="117">
        <v>100</v>
      </c>
      <c r="AG123" s="118">
        <v>120</v>
      </c>
      <c r="AH123" s="47">
        <f t="shared" si="32"/>
        <v>160</v>
      </c>
      <c r="AI123" s="48">
        <f t="shared" si="33"/>
        <v>100</v>
      </c>
    </row>
    <row r="124" spans="1:35" x14ac:dyDescent="0.25">
      <c r="A124" s="173" t="s">
        <v>259</v>
      </c>
      <c r="B124" s="117">
        <v>78.400000000000006</v>
      </c>
      <c r="C124" s="117">
        <v>76.7</v>
      </c>
      <c r="D124" s="117">
        <v>76.599999999999994</v>
      </c>
      <c r="E124" s="117">
        <v>85.9</v>
      </c>
      <c r="F124" s="117">
        <v>84.2</v>
      </c>
      <c r="G124" s="117">
        <v>79.5</v>
      </c>
      <c r="H124" s="117">
        <v>93.4</v>
      </c>
      <c r="I124" s="117">
        <v>95.7</v>
      </c>
      <c r="J124" s="117">
        <v>92</v>
      </c>
      <c r="K124" s="117">
        <v>98.1</v>
      </c>
      <c r="L124" s="117">
        <v>103.2</v>
      </c>
      <c r="M124" s="117">
        <v>95.6</v>
      </c>
      <c r="N124" s="117">
        <v>82.6</v>
      </c>
      <c r="O124" s="117">
        <v>77</v>
      </c>
      <c r="P124" s="117">
        <v>81.2</v>
      </c>
      <c r="Q124" s="117">
        <v>82.9</v>
      </c>
      <c r="R124" s="117">
        <v>78.8</v>
      </c>
      <c r="S124" s="117">
        <v>76.099999999999994</v>
      </c>
      <c r="T124" s="117">
        <v>91.6</v>
      </c>
      <c r="U124" s="117">
        <v>78.599999999999994</v>
      </c>
      <c r="V124" s="117">
        <v>76.099999999999994</v>
      </c>
      <c r="W124" s="117">
        <v>82.5</v>
      </c>
      <c r="X124" s="117">
        <v>87.8</v>
      </c>
      <c r="Y124" s="117">
        <v>97.8</v>
      </c>
      <c r="Z124" s="117">
        <v>97.1</v>
      </c>
      <c r="AA124" s="117">
        <v>96.7</v>
      </c>
      <c r="AB124" s="117">
        <v>90.4</v>
      </c>
      <c r="AC124" s="117">
        <v>98</v>
      </c>
      <c r="AD124" s="117">
        <v>97</v>
      </c>
      <c r="AE124" s="117">
        <v>81</v>
      </c>
      <c r="AF124" s="117">
        <v>80</v>
      </c>
      <c r="AG124" s="118"/>
      <c r="AH124" s="47"/>
      <c r="AI124" s="48"/>
    </row>
    <row r="125" spans="1:35" x14ac:dyDescent="0.25">
      <c r="A125" s="173" t="s">
        <v>256</v>
      </c>
      <c r="B125" s="117">
        <v>55.7</v>
      </c>
      <c r="C125" s="117">
        <v>59.8</v>
      </c>
      <c r="D125" s="117">
        <v>64</v>
      </c>
      <c r="E125" s="117">
        <v>76</v>
      </c>
      <c r="F125" s="117">
        <v>75.5</v>
      </c>
      <c r="G125" s="117">
        <v>54.1</v>
      </c>
      <c r="H125" s="117">
        <v>54.8</v>
      </c>
      <c r="I125" s="117">
        <v>39.4</v>
      </c>
      <c r="J125" s="117">
        <v>-11.5</v>
      </c>
      <c r="K125" s="117">
        <v>-20.3</v>
      </c>
      <c r="L125" s="117">
        <v>-32</v>
      </c>
      <c r="M125" s="117">
        <v>39.200000000000003</v>
      </c>
      <c r="N125" s="117">
        <v>-37.700000000000003</v>
      </c>
      <c r="O125" s="117">
        <v>-38.9</v>
      </c>
      <c r="P125" s="117">
        <v>-16.7</v>
      </c>
      <c r="Q125" s="117">
        <v>-7</v>
      </c>
      <c r="R125" s="117">
        <v>-3.8</v>
      </c>
      <c r="S125" s="117">
        <v>-7.5</v>
      </c>
      <c r="T125" s="117">
        <v>16.5</v>
      </c>
      <c r="U125" s="117">
        <v>-11.6</v>
      </c>
      <c r="V125" s="117">
        <v>-28.5</v>
      </c>
      <c r="W125" s="117">
        <v>-25.3</v>
      </c>
      <c r="X125" s="117">
        <v>-45.5</v>
      </c>
      <c r="Y125" s="117">
        <v>-62.5</v>
      </c>
      <c r="Z125" s="117">
        <v>-62.1</v>
      </c>
      <c r="AA125" s="117">
        <v>-52.3</v>
      </c>
      <c r="AB125" s="117">
        <v>-45.8</v>
      </c>
      <c r="AC125" s="117">
        <v>-26</v>
      </c>
      <c r="AD125" s="117">
        <v>-5</v>
      </c>
      <c r="AE125" s="117">
        <v>-5</v>
      </c>
      <c r="AF125" s="117">
        <v>30.6</v>
      </c>
      <c r="AG125" s="118"/>
      <c r="AH125" s="47"/>
      <c r="AI125" s="48"/>
    </row>
    <row r="126" spans="1:35" ht="15.75" thickBot="1" x14ac:dyDescent="0.3">
      <c r="A126" s="173" t="s">
        <v>255</v>
      </c>
      <c r="B126" s="117">
        <v>93</v>
      </c>
      <c r="C126" s="117">
        <v>91.8</v>
      </c>
      <c r="D126" s="117">
        <v>90.8</v>
      </c>
      <c r="E126" s="117">
        <v>104</v>
      </c>
      <c r="F126" s="117">
        <v>99.3</v>
      </c>
      <c r="G126" s="117">
        <v>98.7</v>
      </c>
      <c r="H126" s="117">
        <v>109.7</v>
      </c>
      <c r="I126" s="117">
        <v>109.4</v>
      </c>
      <c r="J126" s="117">
        <v>92</v>
      </c>
      <c r="K126" s="117">
        <v>91.3</v>
      </c>
      <c r="L126" s="117">
        <v>84.5</v>
      </c>
      <c r="M126" s="117">
        <v>75.599999999999994</v>
      </c>
      <c r="N126" s="117">
        <v>62</v>
      </c>
      <c r="O126" s="117">
        <v>61.6</v>
      </c>
      <c r="P126" s="117">
        <v>75.2</v>
      </c>
      <c r="Q126" s="117">
        <v>75.7</v>
      </c>
      <c r="R126" s="117">
        <v>70.3</v>
      </c>
      <c r="S126" s="117">
        <v>67</v>
      </c>
      <c r="T126" s="117">
        <v>88.6</v>
      </c>
      <c r="U126" s="117">
        <v>97.3</v>
      </c>
      <c r="V126" s="117">
        <v>75</v>
      </c>
      <c r="W126" s="117">
        <v>68.900000000000006</v>
      </c>
      <c r="X126" s="117">
        <v>66.3</v>
      </c>
      <c r="Y126" s="117">
        <v>70.2</v>
      </c>
      <c r="Z126" s="117">
        <v>70.2</v>
      </c>
      <c r="AA126" s="117">
        <v>75.2</v>
      </c>
      <c r="AB126" s="117">
        <v>81.3</v>
      </c>
      <c r="AC126" s="117">
        <v>92</v>
      </c>
      <c r="AD126" s="117">
        <v>105</v>
      </c>
      <c r="AE126" s="117">
        <v>89.4</v>
      </c>
      <c r="AF126" s="117">
        <v>86.7</v>
      </c>
      <c r="AG126" s="114"/>
      <c r="AH126" s="47">
        <f t="shared" si="32"/>
        <v>109.7</v>
      </c>
      <c r="AI126" s="48">
        <f t="shared" si="33"/>
        <v>61.6</v>
      </c>
    </row>
    <row r="127" spans="1:35" x14ac:dyDescent="0.25">
      <c r="A127" s="172" t="s">
        <v>257</v>
      </c>
      <c r="B127" s="117">
        <v>0</v>
      </c>
      <c r="C127" s="117">
        <v>0</v>
      </c>
      <c r="D127" s="117">
        <v>0</v>
      </c>
      <c r="E127" s="117">
        <v>0</v>
      </c>
      <c r="F127" s="117">
        <v>0</v>
      </c>
      <c r="G127" s="117">
        <v>0</v>
      </c>
      <c r="H127" s="117">
        <v>0</v>
      </c>
      <c r="I127" s="117">
        <v>0</v>
      </c>
      <c r="J127" s="117">
        <v>0</v>
      </c>
      <c r="K127" s="117">
        <v>0</v>
      </c>
      <c r="L127" s="117">
        <v>0</v>
      </c>
      <c r="M127" s="117">
        <v>0</v>
      </c>
      <c r="N127" s="117">
        <v>0</v>
      </c>
      <c r="O127" s="117">
        <v>0</v>
      </c>
      <c r="P127" s="117">
        <v>0</v>
      </c>
      <c r="Q127" s="117">
        <v>0</v>
      </c>
      <c r="R127" s="117">
        <v>0</v>
      </c>
      <c r="S127" s="117">
        <v>0</v>
      </c>
      <c r="T127" s="117">
        <v>0</v>
      </c>
      <c r="U127" s="117">
        <v>0</v>
      </c>
      <c r="V127" s="117">
        <v>0</v>
      </c>
      <c r="W127" s="117">
        <v>0</v>
      </c>
      <c r="X127" s="117">
        <v>0</v>
      </c>
      <c r="Y127" s="117">
        <v>0</v>
      </c>
      <c r="Z127" s="117">
        <v>0</v>
      </c>
      <c r="AA127" s="117">
        <v>0</v>
      </c>
      <c r="AB127" s="117">
        <v>0</v>
      </c>
      <c r="AC127" s="117">
        <v>0</v>
      </c>
      <c r="AD127" s="117">
        <v>0</v>
      </c>
      <c r="AE127" s="117">
        <v>0</v>
      </c>
      <c r="AF127" s="106">
        <v>0</v>
      </c>
      <c r="AG127" s="114"/>
      <c r="AH127" s="47">
        <f t="shared" si="32"/>
        <v>0</v>
      </c>
      <c r="AI127" s="48">
        <f t="shared" si="33"/>
        <v>0</v>
      </c>
    </row>
    <row r="128" spans="1:35" x14ac:dyDescent="0.25">
      <c r="A128" s="173" t="s">
        <v>124</v>
      </c>
      <c r="B128" s="106">
        <v>-4.7</v>
      </c>
      <c r="C128" s="106">
        <v>-4.5999999999999996</v>
      </c>
      <c r="D128" s="106">
        <v>-4.0999999999999996</v>
      </c>
      <c r="E128" s="106">
        <v>-3.3</v>
      </c>
      <c r="F128" s="106">
        <v>-4.0999999999999996</v>
      </c>
      <c r="G128" s="106">
        <v>-9.3000000000000007</v>
      </c>
      <c r="H128" s="106">
        <v>-15.5</v>
      </c>
      <c r="I128" s="106">
        <v>-22.9</v>
      </c>
      <c r="J128" s="106">
        <v>-36.1</v>
      </c>
      <c r="K128" s="106">
        <v>-40.5</v>
      </c>
      <c r="L128" s="106">
        <v>-45.1</v>
      </c>
      <c r="M128" s="106">
        <v>-46.9</v>
      </c>
      <c r="N128" s="106">
        <v>-36</v>
      </c>
      <c r="O128" s="106">
        <v>-31.1</v>
      </c>
      <c r="P128" s="106">
        <v>-27</v>
      </c>
      <c r="Q128" s="106">
        <v>-20.7</v>
      </c>
      <c r="R128" s="106">
        <v>-19.8</v>
      </c>
      <c r="S128" s="106">
        <v>-17</v>
      </c>
      <c r="T128" s="106">
        <v>-20.6</v>
      </c>
      <c r="U128" s="106">
        <v>-25</v>
      </c>
      <c r="V128" s="106">
        <v>-30.2</v>
      </c>
      <c r="W128" s="106">
        <v>-33.6</v>
      </c>
      <c r="X128" s="106">
        <v>-49.7</v>
      </c>
      <c r="Y128" s="106">
        <v>-52</v>
      </c>
      <c r="Z128" s="106">
        <v>-42.7</v>
      </c>
      <c r="AA128" s="106">
        <v>-39.4</v>
      </c>
      <c r="AB128" s="106">
        <v>-33.4</v>
      </c>
      <c r="AC128" s="106">
        <v>-31</v>
      </c>
      <c r="AD128" s="106">
        <v>-21</v>
      </c>
      <c r="AE128" s="106">
        <v>-14.7</v>
      </c>
      <c r="AF128" s="106">
        <v>-10</v>
      </c>
      <c r="AG128" s="114"/>
      <c r="AH128" s="47">
        <f t="shared" si="32"/>
        <v>-3.3</v>
      </c>
      <c r="AI128" s="48">
        <f t="shared" si="33"/>
        <v>-52</v>
      </c>
    </row>
    <row r="129" spans="1:37" x14ac:dyDescent="0.25">
      <c r="A129" s="173" t="s">
        <v>261</v>
      </c>
      <c r="B129" s="106">
        <v>26.6</v>
      </c>
      <c r="C129" s="106">
        <v>25.9</v>
      </c>
      <c r="D129" s="106">
        <v>26.1</v>
      </c>
      <c r="E129" s="106">
        <v>25.2</v>
      </c>
      <c r="F129" s="106">
        <v>26.5</v>
      </c>
      <c r="G129" s="106">
        <v>27.4</v>
      </c>
      <c r="H129" s="106">
        <v>27.8</v>
      </c>
      <c r="I129" s="106">
        <v>28.9</v>
      </c>
      <c r="J129" s="106">
        <v>31.4</v>
      </c>
      <c r="K129" s="106">
        <v>11.8</v>
      </c>
      <c r="L129" s="106">
        <v>12</v>
      </c>
      <c r="M129" s="106">
        <v>11.8</v>
      </c>
      <c r="N129" s="106">
        <v>11.7</v>
      </c>
      <c r="O129" s="106">
        <v>10.199999999999999</v>
      </c>
      <c r="P129" s="106">
        <v>13</v>
      </c>
      <c r="Q129" s="106">
        <v>21.4</v>
      </c>
      <c r="R129" s="106">
        <v>26.1</v>
      </c>
      <c r="S129" s="106">
        <v>26.1</v>
      </c>
      <c r="T129" s="106">
        <v>30.2</v>
      </c>
      <c r="U129" s="106">
        <v>22.1</v>
      </c>
      <c r="V129" s="106">
        <v>11.8</v>
      </c>
      <c r="W129" s="106">
        <v>10.1</v>
      </c>
      <c r="X129" s="106">
        <v>10.3</v>
      </c>
      <c r="Y129" s="106">
        <v>11</v>
      </c>
      <c r="Z129" s="106">
        <v>10.1</v>
      </c>
      <c r="AA129" s="106">
        <v>10</v>
      </c>
      <c r="AB129" s="106">
        <v>9.9</v>
      </c>
      <c r="AC129" s="106">
        <v>9.6999999999999993</v>
      </c>
      <c r="AD129" s="106">
        <v>9.6</v>
      </c>
      <c r="AE129" s="106">
        <v>26.3</v>
      </c>
      <c r="AF129" s="106">
        <v>26.5</v>
      </c>
      <c r="AG129" s="114"/>
      <c r="AH129" s="47">
        <f t="shared" si="32"/>
        <v>31.4</v>
      </c>
      <c r="AI129" s="48">
        <f t="shared" si="33"/>
        <v>9.6</v>
      </c>
    </row>
    <row r="130" spans="1:37" ht="15.75" thickBot="1" x14ac:dyDescent="0.3">
      <c r="A130" s="173" t="s">
        <v>258</v>
      </c>
      <c r="B130" s="106">
        <v>89.8</v>
      </c>
      <c r="C130" s="106">
        <v>90.8</v>
      </c>
      <c r="D130" s="106">
        <v>86.1</v>
      </c>
      <c r="E130" s="106">
        <v>85.3</v>
      </c>
      <c r="F130" s="106">
        <v>83.6</v>
      </c>
      <c r="G130" s="106">
        <v>89.7</v>
      </c>
      <c r="H130" s="106">
        <v>96.2</v>
      </c>
      <c r="I130" s="106">
        <v>105.5</v>
      </c>
      <c r="J130" s="106">
        <v>112.4</v>
      </c>
      <c r="K130" s="106">
        <v>105.6</v>
      </c>
      <c r="L130" s="106">
        <v>94.3</v>
      </c>
      <c r="M130" s="106">
        <v>95</v>
      </c>
      <c r="N130" s="106">
        <v>84.4</v>
      </c>
      <c r="O130" s="106">
        <v>77.7</v>
      </c>
      <c r="P130" s="106">
        <v>107.8</v>
      </c>
      <c r="Q130" s="106">
        <v>99</v>
      </c>
      <c r="R130" s="106">
        <v>103.2</v>
      </c>
      <c r="S130" s="106">
        <v>107.4</v>
      </c>
      <c r="T130" s="106">
        <v>108.1</v>
      </c>
      <c r="U130" s="106">
        <v>95.2</v>
      </c>
      <c r="V130" s="106">
        <v>95.6</v>
      </c>
      <c r="W130" s="106">
        <v>80.099999999999994</v>
      </c>
      <c r="X130" s="106">
        <v>106.9</v>
      </c>
      <c r="Y130" s="106">
        <v>111.9</v>
      </c>
      <c r="Z130" s="106">
        <v>106.7</v>
      </c>
      <c r="AA130" s="106">
        <v>105</v>
      </c>
      <c r="AB130" s="106">
        <v>103.8</v>
      </c>
      <c r="AC130" s="106">
        <v>94</v>
      </c>
      <c r="AD130" s="106">
        <v>102</v>
      </c>
      <c r="AE130" s="106">
        <v>102.5</v>
      </c>
      <c r="AF130" s="106">
        <v>105</v>
      </c>
      <c r="AG130" s="114"/>
      <c r="AH130" s="47">
        <f t="shared" si="32"/>
        <v>112.4</v>
      </c>
      <c r="AI130" s="48">
        <f t="shared" si="33"/>
        <v>77.7</v>
      </c>
    </row>
    <row r="131" spans="1:37" x14ac:dyDescent="0.25">
      <c r="A131" s="144" t="s">
        <v>238</v>
      </c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6"/>
      <c r="AG131" s="43"/>
      <c r="AH131" s="47"/>
      <c r="AI131" s="48"/>
    </row>
    <row r="132" spans="1:37" ht="16.5" x14ac:dyDescent="0.25">
      <c r="A132" s="189" t="s">
        <v>368</v>
      </c>
      <c r="B132" s="205">
        <v>1984.7</v>
      </c>
      <c r="C132" s="205">
        <v>1984.92</v>
      </c>
      <c r="D132" s="205">
        <v>1985.15</v>
      </c>
      <c r="E132" s="205">
        <v>1985.38</v>
      </c>
      <c r="F132" s="205">
        <v>1985.62</v>
      </c>
      <c r="G132" s="205">
        <v>1985.82</v>
      </c>
      <c r="H132" s="205"/>
      <c r="I132" s="205">
        <v>1985.9</v>
      </c>
      <c r="J132" s="205"/>
      <c r="K132" s="205">
        <v>1985.72</v>
      </c>
      <c r="L132" s="205"/>
      <c r="M132" s="106">
        <v>1984.98</v>
      </c>
      <c r="N132" s="106">
        <v>1984.12</v>
      </c>
      <c r="O132" s="106">
        <v>1983.72</v>
      </c>
      <c r="P132" s="106">
        <v>1983.7</v>
      </c>
      <c r="Q132" s="106">
        <v>1983.9</v>
      </c>
      <c r="R132" s="106">
        <v>1984.12</v>
      </c>
      <c r="S132" s="147">
        <v>1984.33</v>
      </c>
      <c r="T132" s="147">
        <v>1984.55</v>
      </c>
      <c r="U132" s="147">
        <v>1984.75</v>
      </c>
      <c r="V132" s="147">
        <v>1984.95</v>
      </c>
      <c r="W132" s="147">
        <v>1985.05</v>
      </c>
      <c r="X132" s="147">
        <v>1985.05</v>
      </c>
      <c r="Y132" s="147"/>
      <c r="Z132" s="147">
        <v>1984.43</v>
      </c>
      <c r="AA132" s="147"/>
      <c r="AB132" s="147">
        <v>1983.64</v>
      </c>
      <c r="AC132" s="147"/>
      <c r="AD132" s="147">
        <v>1983.43</v>
      </c>
      <c r="AE132" s="147">
        <v>1983.59</v>
      </c>
      <c r="AF132" s="148">
        <v>1983.89</v>
      </c>
      <c r="AG132" s="149"/>
      <c r="AH132" s="47"/>
      <c r="AI132" s="48"/>
    </row>
    <row r="133" spans="1:37" ht="16.5" x14ac:dyDescent="0.25">
      <c r="A133" s="189" t="s">
        <v>239</v>
      </c>
      <c r="B133" s="206">
        <v>522.08000000000004</v>
      </c>
      <c r="C133" s="206">
        <v>522.4</v>
      </c>
      <c r="D133" s="206">
        <v>522.71</v>
      </c>
      <c r="E133" s="206">
        <v>523.08000000000004</v>
      </c>
      <c r="F133" s="206">
        <v>523.29999999999995</v>
      </c>
      <c r="G133" s="206">
        <v>523.5</v>
      </c>
      <c r="H133" s="206"/>
      <c r="I133" s="206">
        <v>523.51</v>
      </c>
      <c r="J133" s="206"/>
      <c r="K133" s="206">
        <v>523.36</v>
      </c>
      <c r="L133" s="206"/>
      <c r="M133" s="106">
        <v>523.17999999999995</v>
      </c>
      <c r="N133" s="106">
        <v>522.96</v>
      </c>
      <c r="O133" s="106">
        <v>522.9</v>
      </c>
      <c r="P133" s="106">
        <v>522.86</v>
      </c>
      <c r="Q133" s="106">
        <v>522.82000000000005</v>
      </c>
      <c r="R133" s="106">
        <v>522.79999999999995</v>
      </c>
      <c r="S133" s="150">
        <v>522.77</v>
      </c>
      <c r="T133" s="150">
        <v>522.73</v>
      </c>
      <c r="U133" s="150">
        <v>522.49</v>
      </c>
      <c r="V133" s="150">
        <v>522.04</v>
      </c>
      <c r="W133" s="150"/>
      <c r="X133" s="150">
        <v>521.9</v>
      </c>
      <c r="Y133" s="150"/>
      <c r="Z133" s="150">
        <v>521.46</v>
      </c>
      <c r="AA133" s="150"/>
      <c r="AB133" s="150">
        <v>520.85</v>
      </c>
      <c r="AC133" s="150"/>
      <c r="AD133" s="150">
        <v>520.44000000000005</v>
      </c>
      <c r="AE133" s="150">
        <v>520.21</v>
      </c>
      <c r="AF133" s="151">
        <v>520.32000000000005</v>
      </c>
      <c r="AG133" s="149"/>
      <c r="AH133" s="47"/>
      <c r="AI133" s="48"/>
    </row>
    <row r="134" spans="1:37" ht="16.5" x14ac:dyDescent="0.25">
      <c r="A134" s="189" t="s">
        <v>240</v>
      </c>
      <c r="B134" s="206">
        <v>623.47</v>
      </c>
      <c r="C134" s="206">
        <v>623.76</v>
      </c>
      <c r="D134" s="206">
        <v>624.12</v>
      </c>
      <c r="E134" s="206">
        <v>624.52</v>
      </c>
      <c r="F134" s="206">
        <v>624.79</v>
      </c>
      <c r="G134" s="206">
        <v>625.1</v>
      </c>
      <c r="H134" s="206"/>
      <c r="I134" s="206">
        <v>625.16999999999996</v>
      </c>
      <c r="J134" s="206"/>
      <c r="K134" s="206">
        <v>625.05999999999995</v>
      </c>
      <c r="L134" s="206"/>
      <c r="M134" s="106">
        <v>624.66999999999996</v>
      </c>
      <c r="N134" s="106">
        <v>624.30999999999995</v>
      </c>
      <c r="O134" s="106">
        <v>623.96</v>
      </c>
      <c r="P134" s="106">
        <v>623.69000000000005</v>
      </c>
      <c r="Q134" s="106">
        <v>623.4</v>
      </c>
      <c r="R134" s="106">
        <v>623.16999999999996</v>
      </c>
      <c r="S134" s="150">
        <v>622.85</v>
      </c>
      <c r="T134" s="150">
        <v>623.1</v>
      </c>
      <c r="U134" s="150">
        <v>623.19000000000005</v>
      </c>
      <c r="V134" s="150">
        <v>623.24</v>
      </c>
      <c r="W134" s="150"/>
      <c r="X134" s="150">
        <v>623.16</v>
      </c>
      <c r="Y134" s="150"/>
      <c r="Z134" s="150">
        <v>622.49</v>
      </c>
      <c r="AA134" s="150"/>
      <c r="AB134" s="150">
        <v>621.72</v>
      </c>
      <c r="AC134" s="150"/>
      <c r="AD134" s="150">
        <v>621.92999999999995</v>
      </c>
      <c r="AE134" s="150">
        <v>622.22</v>
      </c>
      <c r="AF134" s="151">
        <v>622.71</v>
      </c>
      <c r="AG134" s="149"/>
      <c r="AH134" s="47"/>
      <c r="AI134" s="48"/>
    </row>
    <row r="135" spans="1:37" ht="16.5" x14ac:dyDescent="0.25">
      <c r="A135" s="189" t="s">
        <v>241</v>
      </c>
      <c r="B135" s="206">
        <v>335.55</v>
      </c>
      <c r="C135" s="206">
        <v>335.77</v>
      </c>
      <c r="D135" s="206">
        <v>335.99</v>
      </c>
      <c r="E135" s="206">
        <v>336.14</v>
      </c>
      <c r="F135" s="206">
        <v>336.45</v>
      </c>
      <c r="G135" s="206">
        <v>336.72</v>
      </c>
      <c r="H135" s="206"/>
      <c r="I135" s="206">
        <v>336.9</v>
      </c>
      <c r="J135" s="206"/>
      <c r="K135" s="206">
        <v>336.89</v>
      </c>
      <c r="L135" s="206"/>
      <c r="M135" s="106">
        <v>336.6</v>
      </c>
      <c r="N135" s="106">
        <v>336.18</v>
      </c>
      <c r="O135" s="106">
        <v>335.69</v>
      </c>
      <c r="P135" s="106">
        <v>335.25</v>
      </c>
      <c r="Q135" s="106">
        <v>334.98</v>
      </c>
      <c r="R135" s="106">
        <v>334.89</v>
      </c>
      <c r="S135" s="150">
        <v>335.14</v>
      </c>
      <c r="T135" s="150">
        <v>335.4</v>
      </c>
      <c r="U135" s="150">
        <v>335.48</v>
      </c>
      <c r="V135" s="150">
        <v>335.42</v>
      </c>
      <c r="W135" s="150"/>
      <c r="X135" s="150">
        <v>335.48</v>
      </c>
      <c r="Y135" s="150"/>
      <c r="Z135" s="150">
        <v>335.29</v>
      </c>
      <c r="AA135" s="150"/>
      <c r="AB135" s="150">
        <v>334.99</v>
      </c>
      <c r="AC135" s="150"/>
      <c r="AD135" s="150">
        <v>334.7</v>
      </c>
      <c r="AE135" s="150">
        <v>334.55</v>
      </c>
      <c r="AF135" s="151">
        <v>334.56</v>
      </c>
      <c r="AG135" s="149"/>
      <c r="AH135" s="47"/>
      <c r="AI135" s="48"/>
    </row>
    <row r="136" spans="1:37" ht="16.5" x14ac:dyDescent="0.25">
      <c r="A136" s="189" t="s">
        <v>407</v>
      </c>
      <c r="B136" s="206">
        <v>885</v>
      </c>
      <c r="C136" s="206">
        <v>885.5</v>
      </c>
      <c r="D136" s="206">
        <v>886</v>
      </c>
      <c r="E136" s="206">
        <v>886.6</v>
      </c>
      <c r="F136" s="206">
        <v>887</v>
      </c>
      <c r="G136" s="206">
        <v>887.3</v>
      </c>
      <c r="H136" s="206"/>
      <c r="I136" s="206">
        <v>886.6</v>
      </c>
      <c r="J136" s="206"/>
      <c r="K136" s="206">
        <v>885.9</v>
      </c>
      <c r="L136" s="206"/>
      <c r="M136" s="106">
        <v>884.7</v>
      </c>
      <c r="N136" s="106">
        <v>883</v>
      </c>
      <c r="O136" s="106">
        <v>882.1</v>
      </c>
      <c r="P136" s="106">
        <v>883.2</v>
      </c>
      <c r="Q136" s="106">
        <v>883.9</v>
      </c>
      <c r="R136" s="106">
        <v>884.7</v>
      </c>
      <c r="S136" s="150">
        <v>885.2</v>
      </c>
      <c r="T136" s="150">
        <v>885.8</v>
      </c>
      <c r="U136" s="150">
        <v>886.3</v>
      </c>
      <c r="V136" s="150">
        <v>886.7</v>
      </c>
      <c r="W136" s="150"/>
      <c r="X136" s="150">
        <v>886.6</v>
      </c>
      <c r="Y136" s="150"/>
      <c r="Z136" s="150">
        <v>885.4</v>
      </c>
      <c r="AA136" s="150"/>
      <c r="AB136" s="150">
        <v>884</v>
      </c>
      <c r="AC136" s="150"/>
      <c r="AD136" s="150">
        <v>884</v>
      </c>
      <c r="AE136" s="150">
        <v>885.3</v>
      </c>
      <c r="AF136" s="151">
        <v>885.7</v>
      </c>
      <c r="AG136" s="149"/>
      <c r="AH136" s="47"/>
      <c r="AI136" s="48"/>
    </row>
    <row r="137" spans="1:37" ht="17.25" thickBot="1" x14ac:dyDescent="0.3">
      <c r="A137" s="189" t="s">
        <v>242</v>
      </c>
      <c r="B137" s="207">
        <v>1518.87</v>
      </c>
      <c r="C137" s="207"/>
      <c r="D137" s="207"/>
      <c r="E137" s="207"/>
      <c r="F137" s="207"/>
      <c r="G137" s="207">
        <v>1518.87</v>
      </c>
      <c r="H137" s="207"/>
      <c r="I137" s="207">
        <v>1518.88</v>
      </c>
      <c r="J137" s="207"/>
      <c r="K137" s="207"/>
      <c r="L137" s="207"/>
      <c r="M137" s="106">
        <v>1518.88</v>
      </c>
      <c r="N137" s="106"/>
      <c r="O137" s="106"/>
      <c r="P137" s="106"/>
      <c r="Q137" s="106"/>
      <c r="R137" s="106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>
        <v>1518.9</v>
      </c>
      <c r="AC137" s="152"/>
      <c r="AD137" s="152"/>
      <c r="AE137" s="152"/>
      <c r="AF137" s="153"/>
      <c r="AG137" s="149"/>
      <c r="AH137" s="47"/>
      <c r="AI137" s="48"/>
    </row>
    <row r="138" spans="1:37" ht="15.75" thickBot="1" x14ac:dyDescent="0.3">
      <c r="A138" s="120" t="s">
        <v>125</v>
      </c>
      <c r="B138" s="121"/>
      <c r="C138" s="121"/>
      <c r="D138" s="121"/>
      <c r="E138" s="121"/>
      <c r="F138" s="170" t="s">
        <v>254</v>
      </c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74"/>
      <c r="AH138" s="47"/>
      <c r="AI138" s="48"/>
      <c r="AK138" s="50"/>
    </row>
    <row r="139" spans="1:37" x14ac:dyDescent="0.25">
      <c r="A139" s="122" t="s">
        <v>126</v>
      </c>
      <c r="B139" s="123">
        <v>1983.58</v>
      </c>
      <c r="C139" s="124">
        <v>1983.85</v>
      </c>
      <c r="D139" s="123">
        <v>1984.12</v>
      </c>
      <c r="E139" s="123">
        <v>1984.38</v>
      </c>
      <c r="F139" s="123">
        <v>1984.6</v>
      </c>
      <c r="G139" s="123">
        <v>1984.8</v>
      </c>
      <c r="H139" s="123"/>
      <c r="I139" s="123">
        <v>1985.02</v>
      </c>
      <c r="J139" s="123"/>
      <c r="K139" s="123">
        <v>1985.22</v>
      </c>
      <c r="L139" s="123"/>
      <c r="M139" s="123">
        <v>1984.98</v>
      </c>
      <c r="N139" s="123">
        <v>1984.17</v>
      </c>
      <c r="O139" s="123">
        <v>1983.81</v>
      </c>
      <c r="P139" s="123">
        <v>1983.8</v>
      </c>
      <c r="Q139" s="123">
        <v>1983.85</v>
      </c>
      <c r="R139" s="123">
        <v>1983.81</v>
      </c>
      <c r="S139" s="123">
        <v>1984</v>
      </c>
      <c r="T139" s="123">
        <v>1984.22</v>
      </c>
      <c r="U139" s="123">
        <v>1984.55</v>
      </c>
      <c r="V139" s="123">
        <v>1984.65</v>
      </c>
      <c r="W139" s="123"/>
      <c r="X139" s="123">
        <v>1984.8</v>
      </c>
      <c r="Y139" s="123"/>
      <c r="Z139" s="123">
        <v>1984.6</v>
      </c>
      <c r="AA139" s="123"/>
      <c r="AB139" s="123">
        <v>1984.3</v>
      </c>
      <c r="AC139" s="123"/>
      <c r="AD139" s="123">
        <v>1984.12</v>
      </c>
      <c r="AE139" s="123">
        <v>1984.23</v>
      </c>
      <c r="AF139" s="123">
        <v>1984.45</v>
      </c>
      <c r="AG139" s="125">
        <v>9.94</v>
      </c>
      <c r="AH139" s="47"/>
      <c r="AI139" s="48"/>
      <c r="AK139" s="50"/>
    </row>
    <row r="140" spans="1:37" x14ac:dyDescent="0.25">
      <c r="A140" s="103" t="s">
        <v>127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5"/>
      <c r="AH140" s="47"/>
      <c r="AI140" s="48"/>
      <c r="AK140" s="50"/>
    </row>
    <row r="141" spans="1:37" x14ac:dyDescent="0.25">
      <c r="A141" s="103" t="s">
        <v>128</v>
      </c>
      <c r="B141" s="123"/>
      <c r="C141" s="124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5"/>
      <c r="AH141" s="47"/>
      <c r="AI141" s="48"/>
      <c r="AK141" s="50"/>
    </row>
    <row r="142" spans="1:37" x14ac:dyDescent="0.25">
      <c r="A142" s="103" t="s">
        <v>129</v>
      </c>
      <c r="B142" s="123"/>
      <c r="C142" s="124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5"/>
      <c r="AH142" s="47"/>
      <c r="AI142" s="48"/>
      <c r="AK142" s="50"/>
    </row>
    <row r="143" spans="1:37" x14ac:dyDescent="0.25">
      <c r="A143" s="103" t="s">
        <v>130</v>
      </c>
      <c r="B143" s="123"/>
      <c r="C143" s="124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5"/>
      <c r="AH143" s="47"/>
      <c r="AI143" s="48"/>
      <c r="AK143" s="50"/>
    </row>
    <row r="144" spans="1:37" x14ac:dyDescent="0.25">
      <c r="A144" s="103" t="s">
        <v>131</v>
      </c>
      <c r="B144" s="123"/>
      <c r="C144" s="124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5"/>
      <c r="AH144" s="47"/>
      <c r="AI144" s="48"/>
      <c r="AK144" s="50"/>
    </row>
    <row r="145" spans="1:37" x14ac:dyDescent="0.25">
      <c r="A145" s="103" t="s">
        <v>132</v>
      </c>
      <c r="B145" s="123"/>
      <c r="C145" s="124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5"/>
      <c r="AH145" s="47"/>
      <c r="AI145" s="48"/>
      <c r="AK145" s="50"/>
    </row>
    <row r="146" spans="1:37" x14ac:dyDescent="0.25">
      <c r="A146" s="103" t="s">
        <v>133</v>
      </c>
      <c r="B146" s="123"/>
      <c r="C146" s="124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5"/>
      <c r="AH146" s="47"/>
      <c r="AI146" s="48"/>
      <c r="AK146" s="50"/>
    </row>
    <row r="147" spans="1:37" x14ac:dyDescent="0.25">
      <c r="A147" s="103" t="s">
        <v>134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5"/>
      <c r="AH147" s="47"/>
      <c r="AI147" s="48"/>
      <c r="AK147" s="50"/>
    </row>
    <row r="148" spans="1:37" x14ac:dyDescent="0.25">
      <c r="A148" s="103" t="s">
        <v>135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>
        <v>5087</v>
      </c>
      <c r="T148" s="123">
        <f>S148+S149+S151+S152+S153</f>
        <v>33470</v>
      </c>
      <c r="U148" s="123">
        <f t="shared" ref="U148:U153" si="93">S148/24</f>
        <v>211.95833333333334</v>
      </c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5"/>
      <c r="AH148" s="47"/>
      <c r="AI148" s="48"/>
      <c r="AK148" s="50"/>
    </row>
    <row r="149" spans="1:37" x14ac:dyDescent="0.25">
      <c r="A149" s="103" t="s">
        <v>136</v>
      </c>
      <c r="B149" s="123"/>
      <c r="C149" s="124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>
        <v>2383</v>
      </c>
      <c r="T149" s="123">
        <f>T148/24</f>
        <v>1394.5833333333333</v>
      </c>
      <c r="U149" s="123">
        <f t="shared" si="93"/>
        <v>99.291666666666671</v>
      </c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5"/>
      <c r="AH149" s="47"/>
      <c r="AI149" s="48"/>
      <c r="AK149" s="50"/>
    </row>
    <row r="150" spans="1:37" x14ac:dyDescent="0.25">
      <c r="A150" s="103" t="s">
        <v>137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>
        <v>1507</v>
      </c>
      <c r="T150" s="123"/>
      <c r="U150" s="123">
        <f t="shared" si="93"/>
        <v>62.791666666666664</v>
      </c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5"/>
      <c r="AH150" s="47"/>
      <c r="AI150" s="48"/>
      <c r="AK150" s="50"/>
    </row>
    <row r="151" spans="1:37" x14ac:dyDescent="0.25">
      <c r="A151" s="103" t="s">
        <v>138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>
        <v>10990</v>
      </c>
      <c r="T151" s="123"/>
      <c r="U151" s="123">
        <f t="shared" si="93"/>
        <v>457.91666666666669</v>
      </c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5"/>
      <c r="AH151" s="47"/>
      <c r="AI151" s="48"/>
      <c r="AK151" s="50"/>
    </row>
    <row r="152" spans="1:37" x14ac:dyDescent="0.25">
      <c r="A152" s="103" t="s">
        <v>139</v>
      </c>
      <c r="B152" s="123"/>
      <c r="C152" s="124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>
        <v>12850</v>
      </c>
      <c r="T152" s="123"/>
      <c r="U152" s="123">
        <f t="shared" si="93"/>
        <v>535.41666666666663</v>
      </c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5"/>
      <c r="AH152" s="47"/>
      <c r="AI152" s="48"/>
      <c r="AK152" s="50"/>
    </row>
    <row r="153" spans="1:37" x14ac:dyDescent="0.25">
      <c r="A153" s="103" t="s">
        <v>140</v>
      </c>
      <c r="B153" s="123"/>
      <c r="C153" s="124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>
        <v>2160</v>
      </c>
      <c r="T153" s="123"/>
      <c r="U153" s="123">
        <f t="shared" si="93"/>
        <v>90</v>
      </c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5"/>
      <c r="AH153" s="47"/>
      <c r="AI153" s="48"/>
      <c r="AK153" s="50"/>
    </row>
    <row r="154" spans="1:37" x14ac:dyDescent="0.25">
      <c r="A154" s="103" t="s">
        <v>141</v>
      </c>
      <c r="B154" s="123"/>
      <c r="C154" s="124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5"/>
      <c r="AH154" s="47"/>
      <c r="AI154" s="48"/>
      <c r="AK154" s="50"/>
    </row>
    <row r="155" spans="1:37" x14ac:dyDescent="0.25">
      <c r="A155" s="103" t="s">
        <v>142</v>
      </c>
      <c r="B155" s="126"/>
      <c r="C155" s="127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8">
        <v>9.9</v>
      </c>
      <c r="AH155" s="47"/>
      <c r="AI155" s="48"/>
      <c r="AK155" s="50"/>
    </row>
    <row r="156" spans="1:37" x14ac:dyDescent="0.25">
      <c r="A156" s="116" t="s">
        <v>143</v>
      </c>
      <c r="B156" s="126"/>
      <c r="C156" s="127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9">
        <v>9.6579999999999995</v>
      </c>
      <c r="AH156" s="47"/>
      <c r="AI156" s="48"/>
      <c r="AK156" s="50"/>
    </row>
    <row r="157" spans="1:37" x14ac:dyDescent="0.25">
      <c r="A157" s="116" t="s">
        <v>144</v>
      </c>
      <c r="B157" s="126"/>
      <c r="C157" s="127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9">
        <v>9.6</v>
      </c>
      <c r="AH157" s="47"/>
      <c r="AI157" s="48"/>
      <c r="AK157" s="50"/>
    </row>
    <row r="158" spans="1:37" x14ac:dyDescent="0.25">
      <c r="A158" s="116" t="s">
        <v>145</v>
      </c>
      <c r="B158" s="126"/>
      <c r="C158" s="127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9">
        <v>9.51</v>
      </c>
      <c r="AH158" s="47"/>
      <c r="AI158" s="48"/>
      <c r="AK158" s="50"/>
    </row>
    <row r="159" spans="1:37" x14ac:dyDescent="0.25">
      <c r="A159" s="116" t="s">
        <v>146</v>
      </c>
      <c r="B159" s="126"/>
      <c r="C159" s="127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9">
        <v>9.4</v>
      </c>
      <c r="AH159" s="47"/>
      <c r="AI159" s="48"/>
      <c r="AK159" s="50"/>
    </row>
    <row r="160" spans="1:37" x14ac:dyDescent="0.25">
      <c r="A160" s="116" t="s">
        <v>147</v>
      </c>
      <c r="B160" s="126"/>
      <c r="C160" s="127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9">
        <v>8.8000000000000007</v>
      </c>
      <c r="AH160" s="47"/>
      <c r="AI160" s="48"/>
      <c r="AK160" s="50"/>
    </row>
    <row r="161" spans="1:37" x14ac:dyDescent="0.25">
      <c r="A161" s="116" t="s">
        <v>148</v>
      </c>
      <c r="B161" s="126"/>
      <c r="C161" s="127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9">
        <v>8.5</v>
      </c>
      <c r="AH161" s="47"/>
      <c r="AI161" s="48"/>
      <c r="AK161" s="50"/>
    </row>
    <row r="162" spans="1:37" x14ac:dyDescent="0.25">
      <c r="A162" s="116" t="s">
        <v>149</v>
      </c>
      <c r="B162" s="126"/>
      <c r="C162" s="127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9">
        <v>8.5</v>
      </c>
      <c r="AH162" s="47"/>
      <c r="AI162" s="48"/>
      <c r="AK162" s="50"/>
    </row>
    <row r="163" spans="1:37" x14ac:dyDescent="0.25">
      <c r="A163" s="116" t="s">
        <v>150</v>
      </c>
      <c r="B163" s="126"/>
      <c r="C163" s="127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9">
        <v>8.4</v>
      </c>
      <c r="AH163" s="47"/>
      <c r="AI163" s="48"/>
      <c r="AK163" s="50"/>
    </row>
    <row r="164" spans="1:37" ht="13.5" customHeight="1" x14ac:dyDescent="0.25">
      <c r="A164" s="116" t="s">
        <v>151</v>
      </c>
      <c r="B164" s="126"/>
      <c r="C164" s="127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9">
        <v>8</v>
      </c>
      <c r="AH164" s="47"/>
      <c r="AI164" s="48"/>
      <c r="AK164" s="50"/>
    </row>
    <row r="165" spans="1:37" x14ac:dyDescent="0.25">
      <c r="A165" s="116" t="s">
        <v>152</v>
      </c>
      <c r="B165" s="126"/>
      <c r="C165" s="127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9">
        <v>8</v>
      </c>
      <c r="AH165" s="47"/>
      <c r="AI165" s="48"/>
      <c r="AK165" s="50"/>
    </row>
    <row r="166" spans="1:37" x14ac:dyDescent="0.25">
      <c r="A166" s="116" t="s">
        <v>153</v>
      </c>
      <c r="B166" s="126"/>
      <c r="C166" s="127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9">
        <v>8</v>
      </c>
      <c r="AH166" s="47"/>
      <c r="AI166" s="48"/>
      <c r="AK166" s="50"/>
    </row>
    <row r="167" spans="1:37" x14ac:dyDescent="0.25">
      <c r="A167" s="116" t="s">
        <v>154</v>
      </c>
      <c r="B167" s="126"/>
      <c r="C167" s="127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9">
        <v>7.8</v>
      </c>
      <c r="AH167" s="47"/>
      <c r="AI167" s="48"/>
      <c r="AK167" s="50"/>
    </row>
    <row r="168" spans="1:37" x14ac:dyDescent="0.25">
      <c r="A168" s="116" t="s">
        <v>155</v>
      </c>
      <c r="B168" s="126"/>
      <c r="C168" s="127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9">
        <v>7.6</v>
      </c>
      <c r="AH168" s="47"/>
      <c r="AI168" s="48"/>
      <c r="AK168" s="50"/>
    </row>
    <row r="169" spans="1:37" x14ac:dyDescent="0.25">
      <c r="A169" s="116" t="s">
        <v>156</v>
      </c>
      <c r="B169" s="126"/>
      <c r="C169" s="127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9">
        <v>7.5</v>
      </c>
      <c r="AH169" s="47"/>
      <c r="AI169" s="48"/>
      <c r="AK169" s="50"/>
    </row>
    <row r="170" spans="1:37" x14ac:dyDescent="0.25">
      <c r="A170" s="116" t="s">
        <v>157</v>
      </c>
      <c r="B170" s="126"/>
      <c r="C170" s="127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9">
        <v>7.5</v>
      </c>
      <c r="AH170" s="47"/>
      <c r="AI170" s="48"/>
      <c r="AK170" s="50"/>
    </row>
    <row r="171" spans="1:37" x14ac:dyDescent="0.25">
      <c r="A171" s="116" t="s">
        <v>158</v>
      </c>
      <c r="B171" s="126"/>
      <c r="C171" s="127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9">
        <v>7</v>
      </c>
      <c r="AH171" s="47"/>
      <c r="AI171" s="48"/>
      <c r="AK171" s="50"/>
    </row>
    <row r="172" spans="1:37" x14ac:dyDescent="0.25">
      <c r="A172" s="116" t="s">
        <v>159</v>
      </c>
      <c r="B172" s="126"/>
      <c r="C172" s="127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9">
        <v>7</v>
      </c>
      <c r="AH172" s="47"/>
      <c r="AI172" s="48"/>
      <c r="AK172" s="50"/>
    </row>
    <row r="173" spans="1:37" x14ac:dyDescent="0.25">
      <c r="A173" s="116" t="s">
        <v>160</v>
      </c>
      <c r="B173" s="126"/>
      <c r="C173" s="127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9">
        <v>7</v>
      </c>
      <c r="AH173" s="47"/>
      <c r="AI173" s="48"/>
      <c r="AK173" s="50"/>
    </row>
    <row r="174" spans="1:37" x14ac:dyDescent="0.25">
      <c r="A174" s="116" t="s">
        <v>161</v>
      </c>
      <c r="B174" s="126"/>
      <c r="C174" s="127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9">
        <v>7</v>
      </c>
      <c r="AH174" s="47"/>
      <c r="AI174" s="48"/>
      <c r="AK174" s="50"/>
    </row>
    <row r="175" spans="1:37" x14ac:dyDescent="0.25">
      <c r="A175" s="116" t="s">
        <v>162</v>
      </c>
      <c r="B175" s="126"/>
      <c r="C175" s="127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9">
        <v>6.6</v>
      </c>
      <c r="AH175" s="47"/>
      <c r="AI175" s="48"/>
      <c r="AK175" s="50"/>
    </row>
    <row r="176" spans="1:37" x14ac:dyDescent="0.25">
      <c r="A176" s="116" t="s">
        <v>163</v>
      </c>
      <c r="B176" s="126"/>
      <c r="C176" s="127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9">
        <v>6.6</v>
      </c>
      <c r="AH176" s="47"/>
      <c r="AI176" s="48"/>
      <c r="AK176" s="50"/>
    </row>
    <row r="177" spans="1:37" x14ac:dyDescent="0.25">
      <c r="A177" s="116" t="s">
        <v>164</v>
      </c>
      <c r="B177" s="126"/>
      <c r="C177" s="127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9">
        <v>6.4</v>
      </c>
      <c r="AH177" s="47"/>
      <c r="AI177" s="48"/>
      <c r="AK177" s="50"/>
    </row>
    <row r="178" spans="1:37" x14ac:dyDescent="0.25">
      <c r="A178" s="116" t="s">
        <v>165</v>
      </c>
      <c r="B178" s="126"/>
      <c r="C178" s="127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9">
        <v>6</v>
      </c>
      <c r="AH178" s="47"/>
      <c r="AI178" s="48"/>
      <c r="AK178" s="50"/>
    </row>
    <row r="179" spans="1:37" x14ac:dyDescent="0.25">
      <c r="A179" s="116" t="s">
        <v>166</v>
      </c>
      <c r="B179" s="126"/>
      <c r="C179" s="127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9">
        <v>5.0999999999999996</v>
      </c>
      <c r="AH179" s="47"/>
      <c r="AI179" s="48"/>
      <c r="AK179" s="50"/>
    </row>
    <row r="180" spans="1:37" x14ac:dyDescent="0.25">
      <c r="A180" s="116" t="s">
        <v>167</v>
      </c>
      <c r="B180" s="126"/>
      <c r="C180" s="127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9">
        <v>5</v>
      </c>
      <c r="AH180" s="47"/>
      <c r="AI180" s="48"/>
      <c r="AK180" s="50"/>
    </row>
    <row r="181" spans="1:37" x14ac:dyDescent="0.25">
      <c r="A181" s="103" t="s">
        <v>168</v>
      </c>
      <c r="B181" s="126"/>
      <c r="C181" s="127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8">
        <v>5</v>
      </c>
      <c r="AH181" s="47"/>
      <c r="AI181" s="48"/>
      <c r="AK181" s="50"/>
    </row>
    <row r="182" spans="1:37" x14ac:dyDescent="0.25">
      <c r="A182" s="116" t="s">
        <v>169</v>
      </c>
      <c r="B182" s="126"/>
      <c r="C182" s="127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9">
        <v>5</v>
      </c>
      <c r="AH182" s="47"/>
      <c r="AI182" s="48"/>
      <c r="AK182" s="50"/>
    </row>
    <row r="183" spans="1:37" x14ac:dyDescent="0.25">
      <c r="A183" s="116" t="s">
        <v>170</v>
      </c>
      <c r="B183" s="126"/>
      <c r="C183" s="127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9">
        <v>5</v>
      </c>
      <c r="AH183" s="47"/>
      <c r="AI183" s="48"/>
      <c r="AK183" s="50"/>
    </row>
    <row r="184" spans="1:37" x14ac:dyDescent="0.25">
      <c r="A184" s="116" t="s">
        <v>171</v>
      </c>
      <c r="B184" s="126"/>
      <c r="C184" s="127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9">
        <v>5</v>
      </c>
      <c r="AH184" s="47"/>
      <c r="AI184" s="48"/>
      <c r="AK184" s="50"/>
    </row>
    <row r="185" spans="1:37" x14ac:dyDescent="0.25">
      <c r="A185" s="116" t="s">
        <v>172</v>
      </c>
      <c r="B185" s="126"/>
      <c r="C185" s="127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9">
        <v>5</v>
      </c>
      <c r="AH185" s="47"/>
      <c r="AI185" s="48"/>
      <c r="AK185" s="50"/>
    </row>
    <row r="186" spans="1:37" x14ac:dyDescent="0.25">
      <c r="A186" s="116" t="s">
        <v>173</v>
      </c>
      <c r="B186" s="126"/>
      <c r="C186" s="127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9">
        <v>5</v>
      </c>
      <c r="AH186" s="47"/>
      <c r="AI186" s="48"/>
      <c r="AK186" s="50"/>
    </row>
    <row r="187" spans="1:37" x14ac:dyDescent="0.25">
      <c r="A187" s="116" t="s">
        <v>174</v>
      </c>
      <c r="B187" s="126"/>
      <c r="C187" s="127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9">
        <v>4.9930000000000003</v>
      </c>
      <c r="AH187" s="47"/>
      <c r="AI187" s="48"/>
      <c r="AK187" s="50"/>
    </row>
    <row r="188" spans="1:37" x14ac:dyDescent="0.25">
      <c r="A188" s="116" t="s">
        <v>175</v>
      </c>
      <c r="B188" s="126"/>
      <c r="C188" s="127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9">
        <v>4.9800000000000004</v>
      </c>
      <c r="AH188" s="47"/>
      <c r="AI188" s="48"/>
      <c r="AK188" s="50"/>
    </row>
    <row r="189" spans="1:37" x14ac:dyDescent="0.25">
      <c r="A189" s="116" t="s">
        <v>176</v>
      </c>
      <c r="B189" s="126"/>
      <c r="C189" s="127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9">
        <v>4.95</v>
      </c>
      <c r="AH189" s="47"/>
      <c r="AI189" s="48"/>
      <c r="AK189" s="50"/>
    </row>
    <row r="190" spans="1:37" x14ac:dyDescent="0.25">
      <c r="A190" s="116" t="s">
        <v>177</v>
      </c>
      <c r="B190" s="126"/>
      <c r="C190" s="127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9">
        <v>4.95</v>
      </c>
      <c r="AH190" s="47"/>
      <c r="AI190" s="48"/>
      <c r="AK190" s="50"/>
    </row>
    <row r="191" spans="1:37" x14ac:dyDescent="0.25">
      <c r="A191" s="116" t="s">
        <v>178</v>
      </c>
      <c r="B191" s="126"/>
      <c r="C191" s="127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9">
        <v>4.8</v>
      </c>
      <c r="AH191" s="47"/>
      <c r="AI191" s="48"/>
      <c r="AK191" s="50"/>
    </row>
    <row r="192" spans="1:37" x14ac:dyDescent="0.25">
      <c r="A192" s="116" t="s">
        <v>179</v>
      </c>
      <c r="B192" s="126"/>
      <c r="C192" s="127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9">
        <v>4.8</v>
      </c>
      <c r="AH192" s="47"/>
      <c r="AI192" s="48"/>
      <c r="AK192" s="50"/>
    </row>
    <row r="193" spans="1:37" x14ac:dyDescent="0.25">
      <c r="A193" s="116" t="s">
        <v>180</v>
      </c>
      <c r="B193" s="126"/>
      <c r="C193" s="127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9">
        <v>4.8</v>
      </c>
      <c r="AH193" s="47"/>
      <c r="AI193" s="48"/>
      <c r="AK193" s="50"/>
    </row>
    <row r="194" spans="1:37" x14ac:dyDescent="0.25">
      <c r="A194" s="116" t="s">
        <v>181</v>
      </c>
      <c r="B194" s="126"/>
      <c r="C194" s="127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9">
        <v>4.5</v>
      </c>
      <c r="AH194" s="47"/>
      <c r="AI194" s="48"/>
      <c r="AK194" s="50"/>
    </row>
    <row r="195" spans="1:37" x14ac:dyDescent="0.25">
      <c r="A195" s="116" t="s">
        <v>182</v>
      </c>
      <c r="B195" s="126"/>
      <c r="C195" s="127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9">
        <v>4.5</v>
      </c>
      <c r="AH195" s="47"/>
      <c r="AI195" s="48"/>
      <c r="AK195" s="50"/>
    </row>
    <row r="196" spans="1:37" x14ac:dyDescent="0.25">
      <c r="A196" s="116" t="s">
        <v>183</v>
      </c>
      <c r="B196" s="126"/>
      <c r="C196" s="127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9">
        <v>4.4550000000000001</v>
      </c>
      <c r="AH196" s="47"/>
      <c r="AI196" s="48"/>
      <c r="AK196" s="50"/>
    </row>
    <row r="197" spans="1:37" x14ac:dyDescent="0.25">
      <c r="A197" s="116" t="s">
        <v>184</v>
      </c>
      <c r="B197" s="126"/>
      <c r="C197" s="127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9">
        <v>4.41</v>
      </c>
      <c r="AH197" s="47"/>
      <c r="AI197" s="48"/>
      <c r="AK197" s="50"/>
    </row>
    <row r="198" spans="1:37" x14ac:dyDescent="0.25">
      <c r="A198" s="116" t="s">
        <v>185</v>
      </c>
      <c r="B198" s="126"/>
      <c r="C198" s="127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9">
        <v>4.4000000000000004</v>
      </c>
      <c r="AH198" s="47"/>
      <c r="AI198" s="48"/>
      <c r="AK198" s="50"/>
    </row>
    <row r="199" spans="1:37" x14ac:dyDescent="0.25">
      <c r="A199" s="116" t="s">
        <v>186</v>
      </c>
      <c r="B199" s="126"/>
      <c r="C199" s="127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9">
        <v>4.3600000000000003</v>
      </c>
      <c r="AH199" s="47"/>
      <c r="AI199" s="48"/>
      <c r="AK199" s="50"/>
    </row>
    <row r="200" spans="1:37" x14ac:dyDescent="0.25">
      <c r="A200" s="116" t="s">
        <v>187</v>
      </c>
      <c r="B200" s="126"/>
      <c r="C200" s="127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9">
        <v>4.2</v>
      </c>
      <c r="AH200" s="47"/>
      <c r="AI200" s="48"/>
      <c r="AK200" s="50"/>
    </row>
    <row r="201" spans="1:37" x14ac:dyDescent="0.25">
      <c r="A201" s="116" t="s">
        <v>188</v>
      </c>
      <c r="B201" s="126"/>
      <c r="C201" s="127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9">
        <v>4</v>
      </c>
      <c r="AH201" s="47"/>
      <c r="AI201" s="48"/>
      <c r="AK201" s="50"/>
    </row>
    <row r="202" spans="1:37" x14ac:dyDescent="0.25">
      <c r="A202" s="116" t="s">
        <v>189</v>
      </c>
      <c r="B202" s="126"/>
      <c r="C202" s="127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9">
        <v>4</v>
      </c>
      <c r="AH202" s="47"/>
      <c r="AI202" s="48"/>
      <c r="AK202" s="50"/>
    </row>
    <row r="203" spans="1:37" x14ac:dyDescent="0.25">
      <c r="A203" s="116" t="s">
        <v>190</v>
      </c>
      <c r="B203" s="126"/>
      <c r="C203" s="127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9">
        <v>4</v>
      </c>
      <c r="AH203" s="47"/>
      <c r="AI203" s="48"/>
      <c r="AK203" s="50"/>
    </row>
    <row r="204" spans="1:37" x14ac:dyDescent="0.25">
      <c r="A204" s="116" t="s">
        <v>191</v>
      </c>
      <c r="B204" s="126"/>
      <c r="C204" s="127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9">
        <v>4</v>
      </c>
      <c r="AH204" s="47"/>
      <c r="AI204" s="48"/>
      <c r="AK204" s="50"/>
    </row>
    <row r="205" spans="1:37" x14ac:dyDescent="0.25">
      <c r="A205" s="116" t="s">
        <v>192</v>
      </c>
      <c r="B205" s="126"/>
      <c r="C205" s="127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9">
        <v>4</v>
      </c>
      <c r="AH205" s="47"/>
      <c r="AI205" s="48"/>
      <c r="AK205" s="50"/>
    </row>
    <row r="206" spans="1:37" x14ac:dyDescent="0.25">
      <c r="A206" s="116" t="s">
        <v>193</v>
      </c>
      <c r="B206" s="126"/>
      <c r="C206" s="127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9">
        <v>4</v>
      </c>
      <c r="AH206" s="47"/>
      <c r="AI206" s="48"/>
      <c r="AK206" s="50"/>
    </row>
    <row r="207" spans="1:37" x14ac:dyDescent="0.25">
      <c r="A207" s="116" t="s">
        <v>194</v>
      </c>
      <c r="B207" s="126"/>
      <c r="C207" s="127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9">
        <v>4</v>
      </c>
      <c r="AH207" s="47"/>
      <c r="AI207" s="48"/>
      <c r="AK207" s="50"/>
    </row>
    <row r="208" spans="1:37" x14ac:dyDescent="0.25">
      <c r="A208" s="116" t="s">
        <v>195</v>
      </c>
      <c r="B208" s="126"/>
      <c r="C208" s="127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9">
        <v>4</v>
      </c>
      <c r="AH208" s="47"/>
      <c r="AI208" s="48"/>
      <c r="AK208" s="50"/>
    </row>
    <row r="209" spans="1:37" x14ac:dyDescent="0.25">
      <c r="A209" s="116" t="s">
        <v>196</v>
      </c>
      <c r="B209" s="126"/>
      <c r="C209" s="127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9">
        <v>3.75</v>
      </c>
      <c r="AH209" s="47"/>
      <c r="AI209" s="48"/>
      <c r="AK209" s="50"/>
    </row>
    <row r="210" spans="1:37" x14ac:dyDescent="0.25">
      <c r="A210" s="116" t="s">
        <v>197</v>
      </c>
      <c r="B210" s="126"/>
      <c r="C210" s="127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9">
        <v>3.52</v>
      </c>
      <c r="AH210" s="47"/>
      <c r="AI210" s="48"/>
      <c r="AK210" s="50"/>
    </row>
    <row r="211" spans="1:37" x14ac:dyDescent="0.25">
      <c r="A211" s="116" t="s">
        <v>198</v>
      </c>
      <c r="B211" s="126"/>
      <c r="C211" s="127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9">
        <v>3.33</v>
      </c>
      <c r="AH211" s="47"/>
      <c r="AI211" s="48"/>
      <c r="AK211" s="50"/>
    </row>
    <row r="212" spans="1:37" x14ac:dyDescent="0.25">
      <c r="A212" s="116" t="s">
        <v>199</v>
      </c>
      <c r="B212" s="126"/>
      <c r="C212" s="127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9">
        <v>3.2</v>
      </c>
      <c r="AH212" s="47"/>
      <c r="AI212" s="48"/>
      <c r="AK212" s="50"/>
    </row>
    <row r="213" spans="1:37" x14ac:dyDescent="0.25">
      <c r="A213" s="116" t="s">
        <v>200</v>
      </c>
      <c r="B213" s="126"/>
      <c r="C213" s="127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9">
        <v>3</v>
      </c>
      <c r="AH213" s="47"/>
      <c r="AI213" s="48"/>
      <c r="AK213" s="50"/>
    </row>
    <row r="214" spans="1:37" x14ac:dyDescent="0.25">
      <c r="A214" s="116" t="s">
        <v>201</v>
      </c>
      <c r="B214" s="126"/>
      <c r="C214" s="127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9">
        <v>3</v>
      </c>
      <c r="AH214" s="47"/>
      <c r="AI214" s="48"/>
      <c r="AK214" s="50"/>
    </row>
    <row r="215" spans="1:37" x14ac:dyDescent="0.25">
      <c r="A215" s="116" t="s">
        <v>202</v>
      </c>
      <c r="B215" s="126"/>
      <c r="C215" s="127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9">
        <v>3</v>
      </c>
      <c r="AH215" s="47"/>
      <c r="AI215" s="48"/>
      <c r="AK215" s="50"/>
    </row>
    <row r="216" spans="1:37" x14ac:dyDescent="0.25">
      <c r="A216" s="116" t="s">
        <v>203</v>
      </c>
      <c r="B216" s="126"/>
      <c r="C216" s="127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9">
        <v>3</v>
      </c>
      <c r="AH216" s="47"/>
      <c r="AI216" s="48"/>
      <c r="AK216" s="50"/>
    </row>
    <row r="217" spans="1:37" x14ac:dyDescent="0.25">
      <c r="A217" s="116" t="s">
        <v>204</v>
      </c>
      <c r="B217" s="126"/>
      <c r="C217" s="127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9">
        <v>3</v>
      </c>
      <c r="AH217" s="47"/>
      <c r="AI217" s="48"/>
      <c r="AK217" s="50"/>
    </row>
    <row r="218" spans="1:37" x14ac:dyDescent="0.25">
      <c r="A218" s="116" t="s">
        <v>205</v>
      </c>
      <c r="B218" s="126"/>
      <c r="C218" s="127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9">
        <v>3</v>
      </c>
      <c r="AH218" s="47"/>
      <c r="AI218" s="48"/>
      <c r="AK218" s="50"/>
    </row>
    <row r="219" spans="1:37" x14ac:dyDescent="0.25">
      <c r="A219" s="116" t="s">
        <v>206</v>
      </c>
      <c r="B219" s="126"/>
      <c r="C219" s="127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9">
        <v>3</v>
      </c>
      <c r="AH219" s="47"/>
      <c r="AI219" s="48"/>
      <c r="AK219" s="50"/>
    </row>
    <row r="220" spans="1:37" x14ac:dyDescent="0.25">
      <c r="A220" s="116" t="s">
        <v>207</v>
      </c>
      <c r="B220" s="126"/>
      <c r="C220" s="127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9">
        <v>3</v>
      </c>
      <c r="AH220" s="47"/>
      <c r="AI220" s="48"/>
      <c r="AK220" s="50"/>
    </row>
    <row r="221" spans="1:37" x14ac:dyDescent="0.25">
      <c r="A221" s="116" t="s">
        <v>208</v>
      </c>
      <c r="B221" s="126"/>
      <c r="C221" s="127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9">
        <v>2.83</v>
      </c>
      <c r="AH221" s="47"/>
      <c r="AI221" s="48"/>
      <c r="AK221" s="50"/>
    </row>
    <row r="222" spans="1:37" x14ac:dyDescent="0.25">
      <c r="A222" s="116" t="s">
        <v>209</v>
      </c>
      <c r="B222" s="126"/>
      <c r="C222" s="127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9">
        <v>2.5</v>
      </c>
      <c r="AH222" s="47"/>
      <c r="AI222" s="48"/>
      <c r="AK222" s="50"/>
    </row>
    <row r="223" spans="1:37" x14ac:dyDescent="0.25">
      <c r="A223" s="116" t="s">
        <v>210</v>
      </c>
      <c r="B223" s="126"/>
      <c r="C223" s="127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9">
        <v>2.5</v>
      </c>
      <c r="AH223" s="47"/>
      <c r="AI223" s="48"/>
      <c r="AK223" s="50"/>
    </row>
    <row r="224" spans="1:37" x14ac:dyDescent="0.25">
      <c r="A224" s="116" t="s">
        <v>211</v>
      </c>
      <c r="B224" s="126"/>
      <c r="C224" s="127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9">
        <v>2.4</v>
      </c>
      <c r="AH224" s="47"/>
      <c r="AI224" s="48"/>
      <c r="AK224" s="50"/>
    </row>
    <row r="225" spans="1:37" x14ac:dyDescent="0.25">
      <c r="A225" s="116" t="s">
        <v>212</v>
      </c>
      <c r="B225" s="126"/>
      <c r="C225" s="127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9">
        <v>2.4</v>
      </c>
      <c r="AH225" s="47"/>
      <c r="AI225" s="48"/>
      <c r="AK225" s="50"/>
    </row>
    <row r="226" spans="1:37" x14ac:dyDescent="0.25">
      <c r="A226" s="116" t="s">
        <v>213</v>
      </c>
      <c r="B226" s="126"/>
      <c r="C226" s="127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9">
        <v>2.2000000000000002</v>
      </c>
      <c r="AH226" s="47"/>
      <c r="AI226" s="48"/>
      <c r="AK226" s="50"/>
    </row>
    <row r="227" spans="1:37" x14ac:dyDescent="0.25">
      <c r="A227" s="116" t="s">
        <v>214</v>
      </c>
      <c r="B227" s="126"/>
      <c r="C227" s="127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9">
        <v>2</v>
      </c>
      <c r="AH227" s="47"/>
      <c r="AI227" s="48"/>
      <c r="AK227" s="50"/>
    </row>
    <row r="228" spans="1:37" x14ac:dyDescent="0.25">
      <c r="A228" s="116" t="s">
        <v>215</v>
      </c>
      <c r="B228" s="126"/>
      <c r="C228" s="127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9">
        <v>2</v>
      </c>
      <c r="AH228" s="47"/>
      <c r="AI228" s="48"/>
      <c r="AK228" s="50"/>
    </row>
    <row r="229" spans="1:37" x14ac:dyDescent="0.25">
      <c r="A229" s="116" t="s">
        <v>216</v>
      </c>
      <c r="B229" s="126"/>
      <c r="C229" s="127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9">
        <v>2</v>
      </c>
      <c r="AH229" s="47"/>
      <c r="AI229" s="48"/>
      <c r="AK229" s="50"/>
    </row>
    <row r="230" spans="1:37" x14ac:dyDescent="0.25">
      <c r="A230" s="116" t="s">
        <v>217</v>
      </c>
      <c r="B230" s="126"/>
      <c r="C230" s="127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9">
        <v>1.8</v>
      </c>
      <c r="AH230" s="47"/>
      <c r="AI230" s="48"/>
      <c r="AK230" s="50"/>
    </row>
    <row r="231" spans="1:37" x14ac:dyDescent="0.25">
      <c r="A231" s="116" t="s">
        <v>218</v>
      </c>
      <c r="B231" s="126"/>
      <c r="C231" s="127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9">
        <v>1.8</v>
      </c>
      <c r="AH231" s="47"/>
      <c r="AI231" s="48"/>
      <c r="AK231" s="50"/>
    </row>
    <row r="232" spans="1:37" x14ac:dyDescent="0.25">
      <c r="A232" s="116" t="s">
        <v>219</v>
      </c>
      <c r="B232" s="126"/>
      <c r="C232" s="127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9">
        <v>1.65</v>
      </c>
      <c r="AH232" s="47"/>
      <c r="AI232" s="48"/>
      <c r="AK232" s="50"/>
    </row>
    <row r="233" spans="1:37" x14ac:dyDescent="0.25">
      <c r="A233" s="116" t="s">
        <v>220</v>
      </c>
      <c r="B233" s="126"/>
      <c r="C233" s="127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9">
        <v>1.5</v>
      </c>
      <c r="AH233" s="47"/>
      <c r="AI233" s="48"/>
      <c r="AK233" s="50"/>
    </row>
    <row r="234" spans="1:37" x14ac:dyDescent="0.25">
      <c r="A234" s="116" t="s">
        <v>221</v>
      </c>
      <c r="B234" s="126"/>
      <c r="C234" s="127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9">
        <v>0.998</v>
      </c>
      <c r="AH234" s="47"/>
      <c r="AI234" s="48"/>
      <c r="AK234" s="50"/>
    </row>
    <row r="235" spans="1:37" x14ac:dyDescent="0.25">
      <c r="A235" s="116" t="s">
        <v>222</v>
      </c>
      <c r="B235" s="126"/>
      <c r="C235" s="127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9">
        <v>0.997</v>
      </c>
      <c r="AH235" s="47"/>
      <c r="AI235" s="48"/>
      <c r="AK235" s="50"/>
    </row>
    <row r="236" spans="1:37" x14ac:dyDescent="0.25">
      <c r="A236" s="116" t="s">
        <v>223</v>
      </c>
      <c r="B236" s="126"/>
      <c r="C236" s="127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9">
        <v>0.997</v>
      </c>
      <c r="AH236" s="47"/>
      <c r="AI236" s="48"/>
      <c r="AK236" s="50"/>
    </row>
    <row r="237" spans="1:37" x14ac:dyDescent="0.25">
      <c r="A237" s="116" t="s">
        <v>224</v>
      </c>
      <c r="B237" s="126"/>
      <c r="C237" s="127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9">
        <v>0.996</v>
      </c>
      <c r="AH237" s="47"/>
      <c r="AI237" s="48"/>
      <c r="AK237" s="50"/>
    </row>
    <row r="238" spans="1:37" x14ac:dyDescent="0.25">
      <c r="A238" s="116" t="s">
        <v>225</v>
      </c>
      <c r="B238" s="126"/>
      <c r="C238" s="127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9">
        <v>0.996</v>
      </c>
      <c r="AH238" s="47"/>
      <c r="AI238" s="48"/>
      <c r="AK238" s="50"/>
    </row>
    <row r="239" spans="1:37" x14ac:dyDescent="0.25">
      <c r="A239" s="116" t="s">
        <v>226</v>
      </c>
      <c r="B239" s="126"/>
      <c r="C239" s="127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9">
        <v>0.996</v>
      </c>
      <c r="AH239" s="47"/>
      <c r="AI239" s="48"/>
      <c r="AK239" s="50"/>
    </row>
    <row r="240" spans="1:37" x14ac:dyDescent="0.25">
      <c r="A240" s="116" t="s">
        <v>227</v>
      </c>
      <c r="B240" s="126"/>
      <c r="C240" s="127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9">
        <v>0.995</v>
      </c>
      <c r="AH240" s="47"/>
      <c r="AI240" s="48"/>
      <c r="AK240" s="50"/>
    </row>
    <row r="241" spans="1:37" x14ac:dyDescent="0.25">
      <c r="A241" s="116" t="s">
        <v>228</v>
      </c>
      <c r="B241" s="126"/>
      <c r="C241" s="127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9">
        <v>0.99299999999999999</v>
      </c>
      <c r="AH241" s="47"/>
      <c r="AI241" s="48"/>
      <c r="AK241" s="50"/>
    </row>
    <row r="242" spans="1:37" x14ac:dyDescent="0.25">
      <c r="A242" s="116" t="s">
        <v>229</v>
      </c>
      <c r="B242" s="126"/>
      <c r="C242" s="124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9">
        <v>0.99</v>
      </c>
      <c r="AH242" s="47"/>
      <c r="AI242" s="48"/>
      <c r="AK242" s="50"/>
    </row>
    <row r="243" spans="1:37" ht="15.75" thickBot="1" x14ac:dyDescent="0.3">
      <c r="A243" s="116" t="s">
        <v>230</v>
      </c>
      <c r="B243" s="130"/>
      <c r="C243" s="131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29">
        <v>0.97899999999999998</v>
      </c>
      <c r="AH243" s="47"/>
      <c r="AI243" s="48"/>
      <c r="AK243" s="50"/>
    </row>
    <row r="244" spans="1:37" ht="15.75" thickBot="1" x14ac:dyDescent="0.3">
      <c r="A244" s="132" t="s">
        <v>231</v>
      </c>
      <c r="B244" s="133">
        <f t="shared" ref="B244:AG244" si="94">SUM(B139:B243)</f>
        <v>1983.58</v>
      </c>
      <c r="C244" s="134">
        <f t="shared" si="94"/>
        <v>1983.85</v>
      </c>
      <c r="D244" s="134">
        <f t="shared" si="94"/>
        <v>1984.12</v>
      </c>
      <c r="E244" s="134">
        <f t="shared" si="94"/>
        <v>1984.38</v>
      </c>
      <c r="F244" s="134">
        <f t="shared" si="94"/>
        <v>1984.6</v>
      </c>
      <c r="G244" s="134">
        <f t="shared" si="94"/>
        <v>1984.8</v>
      </c>
      <c r="H244" s="134">
        <f t="shared" si="94"/>
        <v>0</v>
      </c>
      <c r="I244" s="134">
        <f t="shared" si="94"/>
        <v>1985.02</v>
      </c>
      <c r="J244" s="134">
        <f t="shared" si="94"/>
        <v>0</v>
      </c>
      <c r="K244" s="134">
        <f t="shared" si="94"/>
        <v>1985.22</v>
      </c>
      <c r="L244" s="134">
        <f t="shared" si="94"/>
        <v>0</v>
      </c>
      <c r="M244" s="134">
        <f t="shared" si="94"/>
        <v>1984.98</v>
      </c>
      <c r="N244" s="134">
        <f t="shared" si="94"/>
        <v>1984.17</v>
      </c>
      <c r="O244" s="134">
        <f t="shared" si="94"/>
        <v>1983.81</v>
      </c>
      <c r="P244" s="134">
        <f t="shared" si="94"/>
        <v>1983.8</v>
      </c>
      <c r="Q244" s="134">
        <f t="shared" si="94"/>
        <v>1983.85</v>
      </c>
      <c r="R244" s="134">
        <f t="shared" si="94"/>
        <v>1983.81</v>
      </c>
      <c r="S244" s="134">
        <f t="shared" si="94"/>
        <v>36961</v>
      </c>
      <c r="T244" s="134">
        <f t="shared" si="94"/>
        <v>36848.803333333337</v>
      </c>
      <c r="U244" s="134">
        <f t="shared" si="94"/>
        <v>3441.9249999999993</v>
      </c>
      <c r="V244" s="134">
        <f t="shared" si="94"/>
        <v>1984.65</v>
      </c>
      <c r="W244" s="134">
        <f t="shared" si="94"/>
        <v>0</v>
      </c>
      <c r="X244" s="134">
        <f t="shared" si="94"/>
        <v>1984.8</v>
      </c>
      <c r="Y244" s="134">
        <f t="shared" si="94"/>
        <v>0</v>
      </c>
      <c r="Z244" s="134">
        <f t="shared" si="94"/>
        <v>1984.6</v>
      </c>
      <c r="AA244" s="134">
        <f t="shared" si="94"/>
        <v>0</v>
      </c>
      <c r="AB244" s="134">
        <f t="shared" si="94"/>
        <v>1984.3</v>
      </c>
      <c r="AC244" s="134">
        <f t="shared" si="94"/>
        <v>0</v>
      </c>
      <c r="AD244" s="134">
        <f t="shared" si="94"/>
        <v>1984.12</v>
      </c>
      <c r="AE244" s="134">
        <f t="shared" si="94"/>
        <v>1984.23</v>
      </c>
      <c r="AF244" s="135">
        <f t="shared" si="94"/>
        <v>1984.45</v>
      </c>
      <c r="AG244" s="136">
        <f t="shared" si="94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19"/>
      <c r="AH245" s="47"/>
      <c r="AI245" s="48"/>
      <c r="AK245" s="50"/>
    </row>
    <row r="246" spans="1:37" x14ac:dyDescent="0.25">
      <c r="A246" s="100" t="s">
        <v>232</v>
      </c>
      <c r="B246" s="138">
        <f t="shared" ref="B246:B251" si="95">AF246</f>
        <v>0.3</v>
      </c>
      <c r="C246" s="138">
        <v>0.3</v>
      </c>
      <c r="D246" s="138">
        <f t="shared" ref="D246:S251" si="96">C246</f>
        <v>0.3</v>
      </c>
      <c r="E246" s="138">
        <f t="shared" si="96"/>
        <v>0.3</v>
      </c>
      <c r="F246" s="138">
        <f t="shared" si="96"/>
        <v>0.3</v>
      </c>
      <c r="G246" s="138">
        <f t="shared" si="96"/>
        <v>0.3</v>
      </c>
      <c r="H246" s="138">
        <f t="shared" si="96"/>
        <v>0.3</v>
      </c>
      <c r="I246" s="138">
        <f t="shared" si="96"/>
        <v>0.3</v>
      </c>
      <c r="J246" s="138">
        <f t="shared" si="96"/>
        <v>0.3</v>
      </c>
      <c r="K246" s="138">
        <f t="shared" si="96"/>
        <v>0.3</v>
      </c>
      <c r="L246" s="138">
        <f t="shared" si="96"/>
        <v>0.3</v>
      </c>
      <c r="M246" s="138">
        <f t="shared" si="96"/>
        <v>0.3</v>
      </c>
      <c r="N246" s="138">
        <f t="shared" si="96"/>
        <v>0.3</v>
      </c>
      <c r="O246" s="138">
        <f t="shared" si="96"/>
        <v>0.3</v>
      </c>
      <c r="P246" s="138">
        <f t="shared" si="96"/>
        <v>0.3</v>
      </c>
      <c r="Q246" s="138">
        <f t="shared" si="96"/>
        <v>0.3</v>
      </c>
      <c r="R246" s="138">
        <f t="shared" si="96"/>
        <v>0.3</v>
      </c>
      <c r="S246" s="138">
        <f t="shared" si="96"/>
        <v>0.3</v>
      </c>
      <c r="T246" s="138">
        <f t="shared" ref="T246:AF251" si="97">S246</f>
        <v>0.3</v>
      </c>
      <c r="U246" s="138">
        <f t="shared" si="97"/>
        <v>0.3</v>
      </c>
      <c r="V246" s="138">
        <f t="shared" si="97"/>
        <v>0.3</v>
      </c>
      <c r="W246" s="138">
        <f t="shared" si="97"/>
        <v>0.3</v>
      </c>
      <c r="X246" s="138">
        <f t="shared" si="97"/>
        <v>0.3</v>
      </c>
      <c r="Y246" s="138">
        <f t="shared" si="97"/>
        <v>0.3</v>
      </c>
      <c r="Z246" s="138">
        <f t="shared" si="97"/>
        <v>0.3</v>
      </c>
      <c r="AA246" s="138">
        <f t="shared" si="97"/>
        <v>0.3</v>
      </c>
      <c r="AB246" s="138">
        <f t="shared" si="97"/>
        <v>0.3</v>
      </c>
      <c r="AC246" s="138">
        <f t="shared" si="97"/>
        <v>0.3</v>
      </c>
      <c r="AD246" s="138">
        <f t="shared" si="97"/>
        <v>0.3</v>
      </c>
      <c r="AE246" s="138">
        <f t="shared" si="97"/>
        <v>0.3</v>
      </c>
      <c r="AF246" s="138">
        <f t="shared" si="97"/>
        <v>0.3</v>
      </c>
      <c r="AG246" s="139">
        <v>2.4</v>
      </c>
      <c r="AH246" s="47"/>
      <c r="AI246" s="48"/>
      <c r="AK246" s="50"/>
    </row>
    <row r="247" spans="1:37" x14ac:dyDescent="0.25">
      <c r="A247" s="103" t="s">
        <v>233</v>
      </c>
      <c r="B247" s="126">
        <f t="shared" si="95"/>
        <v>0.4</v>
      </c>
      <c r="C247" s="126">
        <v>0.4</v>
      </c>
      <c r="D247" s="126">
        <f t="shared" si="96"/>
        <v>0.4</v>
      </c>
      <c r="E247" s="126">
        <f t="shared" si="96"/>
        <v>0.4</v>
      </c>
      <c r="F247" s="126">
        <f t="shared" si="96"/>
        <v>0.4</v>
      </c>
      <c r="G247" s="126">
        <f t="shared" si="96"/>
        <v>0.4</v>
      </c>
      <c r="H247" s="126">
        <f t="shared" si="96"/>
        <v>0.4</v>
      </c>
      <c r="I247" s="126">
        <f t="shared" si="96"/>
        <v>0.4</v>
      </c>
      <c r="J247" s="126">
        <f t="shared" si="96"/>
        <v>0.4</v>
      </c>
      <c r="K247" s="126">
        <f t="shared" si="96"/>
        <v>0.4</v>
      </c>
      <c r="L247" s="126">
        <f t="shared" si="96"/>
        <v>0.4</v>
      </c>
      <c r="M247" s="126">
        <f t="shared" si="96"/>
        <v>0.4</v>
      </c>
      <c r="N247" s="126">
        <f t="shared" si="96"/>
        <v>0.4</v>
      </c>
      <c r="O247" s="126">
        <f t="shared" si="96"/>
        <v>0.4</v>
      </c>
      <c r="P247" s="126">
        <f t="shared" si="96"/>
        <v>0.4</v>
      </c>
      <c r="Q247" s="126">
        <f t="shared" si="96"/>
        <v>0.4</v>
      </c>
      <c r="R247" s="126">
        <f t="shared" si="96"/>
        <v>0.4</v>
      </c>
      <c r="S247" s="126">
        <f t="shared" si="96"/>
        <v>0.4</v>
      </c>
      <c r="T247" s="126">
        <f t="shared" si="97"/>
        <v>0.4</v>
      </c>
      <c r="U247" s="126">
        <f t="shared" si="97"/>
        <v>0.4</v>
      </c>
      <c r="V247" s="126">
        <f t="shared" si="97"/>
        <v>0.4</v>
      </c>
      <c r="W247" s="126">
        <f t="shared" si="97"/>
        <v>0.4</v>
      </c>
      <c r="X247" s="126">
        <f t="shared" si="97"/>
        <v>0.4</v>
      </c>
      <c r="Y247" s="126">
        <f t="shared" si="97"/>
        <v>0.4</v>
      </c>
      <c r="Z247" s="126">
        <f t="shared" si="97"/>
        <v>0.4</v>
      </c>
      <c r="AA247" s="126">
        <f t="shared" si="97"/>
        <v>0.4</v>
      </c>
      <c r="AB247" s="126">
        <f t="shared" si="97"/>
        <v>0.4</v>
      </c>
      <c r="AC247" s="126">
        <f t="shared" si="97"/>
        <v>0.4</v>
      </c>
      <c r="AD247" s="126">
        <f t="shared" si="97"/>
        <v>0.4</v>
      </c>
      <c r="AE247" s="126">
        <f t="shared" si="97"/>
        <v>0.4</v>
      </c>
      <c r="AF247" s="126">
        <f t="shared" si="97"/>
        <v>0.4</v>
      </c>
      <c r="AG247" s="140">
        <v>2</v>
      </c>
      <c r="AH247" s="47"/>
      <c r="AI247" s="48"/>
      <c r="AK247" s="50"/>
    </row>
    <row r="248" spans="1:37" x14ac:dyDescent="0.25">
      <c r="A248" s="103" t="s">
        <v>234</v>
      </c>
      <c r="B248" s="126">
        <f t="shared" si="95"/>
        <v>1.5</v>
      </c>
      <c r="C248" s="126">
        <v>1.5</v>
      </c>
      <c r="D248" s="126">
        <f t="shared" si="96"/>
        <v>1.5</v>
      </c>
      <c r="E248" s="126">
        <f t="shared" si="96"/>
        <v>1.5</v>
      </c>
      <c r="F248" s="126">
        <f t="shared" si="96"/>
        <v>1.5</v>
      </c>
      <c r="G248" s="126">
        <f t="shared" si="96"/>
        <v>1.5</v>
      </c>
      <c r="H248" s="126">
        <f t="shared" si="96"/>
        <v>1.5</v>
      </c>
      <c r="I248" s="126">
        <f t="shared" si="96"/>
        <v>1.5</v>
      </c>
      <c r="J248" s="126">
        <f t="shared" si="96"/>
        <v>1.5</v>
      </c>
      <c r="K248" s="126">
        <f t="shared" si="96"/>
        <v>1.5</v>
      </c>
      <c r="L248" s="126">
        <f t="shared" si="96"/>
        <v>1.5</v>
      </c>
      <c r="M248" s="126">
        <f t="shared" si="96"/>
        <v>1.5</v>
      </c>
      <c r="N248" s="126">
        <f t="shared" si="96"/>
        <v>1.5</v>
      </c>
      <c r="O248" s="126">
        <f t="shared" si="96"/>
        <v>1.5</v>
      </c>
      <c r="P248" s="126">
        <f t="shared" si="96"/>
        <v>1.5</v>
      </c>
      <c r="Q248" s="126">
        <f t="shared" si="96"/>
        <v>1.5</v>
      </c>
      <c r="R248" s="126">
        <f t="shared" si="96"/>
        <v>1.5</v>
      </c>
      <c r="S248" s="126">
        <f t="shared" si="96"/>
        <v>1.5</v>
      </c>
      <c r="T248" s="126">
        <f t="shared" si="97"/>
        <v>1.5</v>
      </c>
      <c r="U248" s="126">
        <f t="shared" si="97"/>
        <v>1.5</v>
      </c>
      <c r="V248" s="126">
        <f t="shared" si="97"/>
        <v>1.5</v>
      </c>
      <c r="W248" s="126">
        <f t="shared" si="97"/>
        <v>1.5</v>
      </c>
      <c r="X248" s="126">
        <f t="shared" si="97"/>
        <v>1.5</v>
      </c>
      <c r="Y248" s="126">
        <f t="shared" si="97"/>
        <v>1.5</v>
      </c>
      <c r="Z248" s="126">
        <f t="shared" si="97"/>
        <v>1.5</v>
      </c>
      <c r="AA248" s="126">
        <f t="shared" si="97"/>
        <v>1.5</v>
      </c>
      <c r="AB248" s="126">
        <f t="shared" si="97"/>
        <v>1.5</v>
      </c>
      <c r="AC248" s="126">
        <f t="shared" si="97"/>
        <v>1.5</v>
      </c>
      <c r="AD248" s="126">
        <f t="shared" si="97"/>
        <v>1.5</v>
      </c>
      <c r="AE248" s="126">
        <f t="shared" si="97"/>
        <v>1.5</v>
      </c>
      <c r="AF248" s="126">
        <f t="shared" si="97"/>
        <v>1.5</v>
      </c>
      <c r="AG248" s="140">
        <v>1.5</v>
      </c>
      <c r="AH248" s="47"/>
      <c r="AI248" s="48"/>
      <c r="AK248" s="50"/>
    </row>
    <row r="249" spans="1:37" x14ac:dyDescent="0.25">
      <c r="A249" s="103" t="s">
        <v>235</v>
      </c>
      <c r="B249" s="126">
        <f t="shared" si="95"/>
        <v>0.3</v>
      </c>
      <c r="C249" s="126">
        <v>0.3</v>
      </c>
      <c r="D249" s="126">
        <f t="shared" si="96"/>
        <v>0.3</v>
      </c>
      <c r="E249" s="126">
        <f t="shared" si="96"/>
        <v>0.3</v>
      </c>
      <c r="F249" s="126">
        <f t="shared" si="96"/>
        <v>0.3</v>
      </c>
      <c r="G249" s="126">
        <f t="shared" si="96"/>
        <v>0.3</v>
      </c>
      <c r="H249" s="126">
        <f t="shared" si="96"/>
        <v>0.3</v>
      </c>
      <c r="I249" s="126">
        <f t="shared" si="96"/>
        <v>0.3</v>
      </c>
      <c r="J249" s="126">
        <f t="shared" si="96"/>
        <v>0.3</v>
      </c>
      <c r="K249" s="126">
        <f t="shared" si="96"/>
        <v>0.3</v>
      </c>
      <c r="L249" s="126">
        <f t="shared" si="96"/>
        <v>0.3</v>
      </c>
      <c r="M249" s="126">
        <f t="shared" si="96"/>
        <v>0.3</v>
      </c>
      <c r="N249" s="126">
        <f t="shared" si="96"/>
        <v>0.3</v>
      </c>
      <c r="O249" s="126">
        <f t="shared" si="96"/>
        <v>0.3</v>
      </c>
      <c r="P249" s="126">
        <f t="shared" si="96"/>
        <v>0.3</v>
      </c>
      <c r="Q249" s="126">
        <f t="shared" si="96"/>
        <v>0.3</v>
      </c>
      <c r="R249" s="126">
        <f t="shared" si="96"/>
        <v>0.3</v>
      </c>
      <c r="S249" s="126">
        <f t="shared" si="96"/>
        <v>0.3</v>
      </c>
      <c r="T249" s="126">
        <f t="shared" si="97"/>
        <v>0.3</v>
      </c>
      <c r="U249" s="126">
        <f t="shared" si="97"/>
        <v>0.3</v>
      </c>
      <c r="V249" s="126">
        <f t="shared" si="97"/>
        <v>0.3</v>
      </c>
      <c r="W249" s="126">
        <f t="shared" si="97"/>
        <v>0.3</v>
      </c>
      <c r="X249" s="126">
        <f t="shared" si="97"/>
        <v>0.3</v>
      </c>
      <c r="Y249" s="126">
        <f t="shared" si="97"/>
        <v>0.3</v>
      </c>
      <c r="Z249" s="126">
        <f t="shared" si="97"/>
        <v>0.3</v>
      </c>
      <c r="AA249" s="126">
        <f t="shared" si="97"/>
        <v>0.3</v>
      </c>
      <c r="AB249" s="126">
        <f t="shared" si="97"/>
        <v>0.3</v>
      </c>
      <c r="AC249" s="126">
        <f t="shared" si="97"/>
        <v>0.3</v>
      </c>
      <c r="AD249" s="126">
        <f t="shared" si="97"/>
        <v>0.3</v>
      </c>
      <c r="AE249" s="126">
        <f t="shared" si="97"/>
        <v>0.3</v>
      </c>
      <c r="AF249" s="126">
        <f t="shared" si="97"/>
        <v>0.3</v>
      </c>
      <c r="AG249" s="140">
        <v>1</v>
      </c>
      <c r="AH249" s="47"/>
      <c r="AI249" s="48"/>
      <c r="AK249" s="50"/>
    </row>
    <row r="250" spans="1:37" x14ac:dyDescent="0.25">
      <c r="A250" s="103" t="s">
        <v>236</v>
      </c>
      <c r="B250" s="126">
        <f t="shared" si="95"/>
        <v>0.4</v>
      </c>
      <c r="C250" s="126">
        <v>0.4</v>
      </c>
      <c r="D250" s="126">
        <f t="shared" si="96"/>
        <v>0.4</v>
      </c>
      <c r="E250" s="126">
        <f t="shared" si="96"/>
        <v>0.4</v>
      </c>
      <c r="F250" s="126">
        <f t="shared" si="96"/>
        <v>0.4</v>
      </c>
      <c r="G250" s="126">
        <f t="shared" si="96"/>
        <v>0.4</v>
      </c>
      <c r="H250" s="126">
        <f t="shared" si="96"/>
        <v>0.4</v>
      </c>
      <c r="I250" s="126">
        <f t="shared" si="96"/>
        <v>0.4</v>
      </c>
      <c r="J250" s="126">
        <f t="shared" si="96"/>
        <v>0.4</v>
      </c>
      <c r="K250" s="126">
        <f t="shared" si="96"/>
        <v>0.4</v>
      </c>
      <c r="L250" s="126">
        <f t="shared" si="96"/>
        <v>0.4</v>
      </c>
      <c r="M250" s="126">
        <f t="shared" si="96"/>
        <v>0.4</v>
      </c>
      <c r="N250" s="126">
        <f t="shared" si="96"/>
        <v>0.4</v>
      </c>
      <c r="O250" s="126">
        <f t="shared" si="96"/>
        <v>0.4</v>
      </c>
      <c r="P250" s="126">
        <f t="shared" si="96"/>
        <v>0.4</v>
      </c>
      <c r="Q250" s="126">
        <f t="shared" si="96"/>
        <v>0.4</v>
      </c>
      <c r="R250" s="126">
        <f t="shared" si="96"/>
        <v>0.4</v>
      </c>
      <c r="S250" s="126">
        <f t="shared" si="96"/>
        <v>0.4</v>
      </c>
      <c r="T250" s="126">
        <f t="shared" si="97"/>
        <v>0.4</v>
      </c>
      <c r="U250" s="126">
        <f t="shared" si="97"/>
        <v>0.4</v>
      </c>
      <c r="V250" s="126">
        <f t="shared" si="97"/>
        <v>0.4</v>
      </c>
      <c r="W250" s="126">
        <f t="shared" si="97"/>
        <v>0.4</v>
      </c>
      <c r="X250" s="126">
        <f t="shared" si="97"/>
        <v>0.4</v>
      </c>
      <c r="Y250" s="126">
        <f t="shared" si="97"/>
        <v>0.4</v>
      </c>
      <c r="Z250" s="126">
        <f t="shared" si="97"/>
        <v>0.4</v>
      </c>
      <c r="AA250" s="126">
        <f t="shared" si="97"/>
        <v>0.4</v>
      </c>
      <c r="AB250" s="126">
        <f t="shared" si="97"/>
        <v>0.4</v>
      </c>
      <c r="AC250" s="126">
        <f t="shared" si="97"/>
        <v>0.4</v>
      </c>
      <c r="AD250" s="126">
        <f t="shared" si="97"/>
        <v>0.4</v>
      </c>
      <c r="AE250" s="126">
        <f t="shared" si="97"/>
        <v>0.4</v>
      </c>
      <c r="AF250" s="126">
        <f t="shared" si="97"/>
        <v>0.4</v>
      </c>
      <c r="AG250" s="140">
        <v>1</v>
      </c>
      <c r="AH250" s="47"/>
      <c r="AI250" s="48"/>
      <c r="AK250" s="50"/>
    </row>
    <row r="251" spans="1:37" ht="15.75" thickBot="1" x14ac:dyDescent="0.3">
      <c r="A251" s="116" t="s">
        <v>237</v>
      </c>
      <c r="B251" s="130">
        <f t="shared" si="95"/>
        <v>0.64</v>
      </c>
      <c r="C251" s="130">
        <v>0.64</v>
      </c>
      <c r="D251" s="130">
        <f t="shared" si="96"/>
        <v>0.64</v>
      </c>
      <c r="E251" s="130">
        <f t="shared" si="96"/>
        <v>0.64</v>
      </c>
      <c r="F251" s="130">
        <f t="shared" si="96"/>
        <v>0.64</v>
      </c>
      <c r="G251" s="130">
        <f t="shared" si="96"/>
        <v>0.64</v>
      </c>
      <c r="H251" s="130">
        <f t="shared" si="96"/>
        <v>0.64</v>
      </c>
      <c r="I251" s="130">
        <f t="shared" si="96"/>
        <v>0.64</v>
      </c>
      <c r="J251" s="130">
        <f t="shared" si="96"/>
        <v>0.64</v>
      </c>
      <c r="K251" s="130">
        <f t="shared" si="96"/>
        <v>0.64</v>
      </c>
      <c r="L251" s="130">
        <f t="shared" si="96"/>
        <v>0.64</v>
      </c>
      <c r="M251" s="130">
        <f t="shared" si="96"/>
        <v>0.64</v>
      </c>
      <c r="N251" s="130">
        <f t="shared" si="96"/>
        <v>0.64</v>
      </c>
      <c r="O251" s="130">
        <f t="shared" si="96"/>
        <v>0.64</v>
      </c>
      <c r="P251" s="130">
        <f t="shared" si="96"/>
        <v>0.64</v>
      </c>
      <c r="Q251" s="130">
        <f t="shared" si="96"/>
        <v>0.64</v>
      </c>
      <c r="R251" s="130">
        <f t="shared" si="96"/>
        <v>0.64</v>
      </c>
      <c r="S251" s="130">
        <f t="shared" si="96"/>
        <v>0.64</v>
      </c>
      <c r="T251" s="130">
        <f t="shared" si="97"/>
        <v>0.64</v>
      </c>
      <c r="U251" s="130">
        <f t="shared" si="97"/>
        <v>0.64</v>
      </c>
      <c r="V251" s="130">
        <f t="shared" si="97"/>
        <v>0.64</v>
      </c>
      <c r="W251" s="130">
        <f t="shared" si="97"/>
        <v>0.64</v>
      </c>
      <c r="X251" s="130">
        <f t="shared" si="97"/>
        <v>0.64</v>
      </c>
      <c r="Y251" s="130">
        <f t="shared" si="97"/>
        <v>0.64</v>
      </c>
      <c r="Z251" s="130">
        <f t="shared" si="97"/>
        <v>0.64</v>
      </c>
      <c r="AA251" s="130">
        <f t="shared" si="97"/>
        <v>0.64</v>
      </c>
      <c r="AB251" s="130">
        <f t="shared" si="97"/>
        <v>0.64</v>
      </c>
      <c r="AC251" s="130">
        <f t="shared" si="97"/>
        <v>0.64</v>
      </c>
      <c r="AD251" s="130">
        <f t="shared" si="97"/>
        <v>0.64</v>
      </c>
      <c r="AE251" s="130">
        <f t="shared" si="97"/>
        <v>0.64</v>
      </c>
      <c r="AF251" s="130">
        <f t="shared" si="97"/>
        <v>0.64</v>
      </c>
      <c r="AG251" s="141">
        <v>0.66</v>
      </c>
      <c r="AH251" s="47"/>
      <c r="AI251" s="48"/>
    </row>
    <row r="252" spans="1:37" ht="15.75" thickBot="1" x14ac:dyDescent="0.3">
      <c r="A252" s="142" t="s">
        <v>75</v>
      </c>
      <c r="B252" s="134">
        <f t="shared" ref="B252:AG252" si="98">SUM(B246:B251)</f>
        <v>3.54</v>
      </c>
      <c r="C252" s="134">
        <f t="shared" si="98"/>
        <v>3.54</v>
      </c>
      <c r="D252" s="134">
        <f t="shared" si="98"/>
        <v>3.54</v>
      </c>
      <c r="E252" s="134">
        <f t="shared" si="98"/>
        <v>3.54</v>
      </c>
      <c r="F252" s="134">
        <f t="shared" si="98"/>
        <v>3.54</v>
      </c>
      <c r="G252" s="134">
        <f t="shared" si="98"/>
        <v>3.54</v>
      </c>
      <c r="H252" s="134">
        <f t="shared" si="98"/>
        <v>3.54</v>
      </c>
      <c r="I252" s="134">
        <f t="shared" si="98"/>
        <v>3.54</v>
      </c>
      <c r="J252" s="134">
        <f t="shared" si="98"/>
        <v>3.54</v>
      </c>
      <c r="K252" s="134">
        <f t="shared" si="98"/>
        <v>3.54</v>
      </c>
      <c r="L252" s="134">
        <f t="shared" si="98"/>
        <v>3.54</v>
      </c>
      <c r="M252" s="134">
        <f t="shared" si="98"/>
        <v>3.54</v>
      </c>
      <c r="N252" s="134">
        <f t="shared" si="98"/>
        <v>3.54</v>
      </c>
      <c r="O252" s="134">
        <f t="shared" si="98"/>
        <v>3.54</v>
      </c>
      <c r="P252" s="134">
        <f t="shared" si="98"/>
        <v>3.54</v>
      </c>
      <c r="Q252" s="134">
        <f t="shared" si="98"/>
        <v>3.54</v>
      </c>
      <c r="R252" s="134">
        <f t="shared" si="98"/>
        <v>3.54</v>
      </c>
      <c r="S252" s="134">
        <f t="shared" si="98"/>
        <v>3.54</v>
      </c>
      <c r="T252" s="134">
        <f t="shared" si="98"/>
        <v>3.54</v>
      </c>
      <c r="U252" s="134">
        <f t="shared" si="98"/>
        <v>3.54</v>
      </c>
      <c r="V252" s="134">
        <f t="shared" si="98"/>
        <v>3.54</v>
      </c>
      <c r="W252" s="134">
        <f t="shared" si="98"/>
        <v>3.54</v>
      </c>
      <c r="X252" s="134">
        <f t="shared" si="98"/>
        <v>3.54</v>
      </c>
      <c r="Y252" s="134">
        <f t="shared" si="98"/>
        <v>3.54</v>
      </c>
      <c r="Z252" s="134">
        <f t="shared" si="98"/>
        <v>3.54</v>
      </c>
      <c r="AA252" s="134">
        <f t="shared" si="98"/>
        <v>3.54</v>
      </c>
      <c r="AB252" s="134">
        <f t="shared" si="98"/>
        <v>3.54</v>
      </c>
      <c r="AC252" s="134">
        <f t="shared" si="98"/>
        <v>3.54</v>
      </c>
      <c r="AD252" s="134">
        <f t="shared" si="98"/>
        <v>3.54</v>
      </c>
      <c r="AE252" s="134">
        <f t="shared" si="98"/>
        <v>3.54</v>
      </c>
      <c r="AF252" s="134">
        <f t="shared" si="98"/>
        <v>3.54</v>
      </c>
      <c r="AG252" s="143">
        <f t="shared" si="98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37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54" t="s">
        <v>243</v>
      </c>
      <c r="B256" s="155">
        <f>MAX(G99:N99)</f>
        <v>1769.3400000000001</v>
      </c>
      <c r="C256" s="156">
        <f>INDEX(G9:N9,1,MATCH(MAX(G99:N99),G99:N99,0))</f>
        <v>0.3125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50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157" t="str">
        <f ca="1">MID(CELL("filename",C7),FIND("]",CELL("filename",C7))+1,600)</f>
        <v>29</v>
      </c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50" x14ac:dyDescent="0.25">
      <c r="A258" s="257" t="s">
        <v>244</v>
      </c>
      <c r="B258" s="257"/>
      <c r="C258" s="43"/>
      <c r="D258" s="157" t="str">
        <f ca="1">"Pie Chart of Daily Peak Demand(Inclusive of Export) of Nepal ("&amp;A4&amp;" "&amp;B4&amp;")"</f>
        <v>Pie Chart of Daily Peak Demand(Inclusive of Export) of Nepal (Nepali Date: 2080/10/29)</v>
      </c>
      <c r="E258" s="43"/>
      <c r="F258" s="43"/>
      <c r="G258" s="157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157" t="str">
        <f ca="1">"Daily Load Curve(Excluding of Export) of Nepal ("&amp;A4&amp;" "&amp;B4&amp;")"</f>
        <v>Daily Load Curve(Excluding of Export) of Nepal (Nepali Date: 2080/10/29)</v>
      </c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50" ht="12.75" customHeight="1" thickBot="1" x14ac:dyDescent="0.3">
      <c r="A259" s="158" t="s">
        <v>7</v>
      </c>
      <c r="B259" s="159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50" ht="15.75" thickTop="1" x14ac:dyDescent="0.25">
      <c r="A260" s="158" t="s">
        <v>245</v>
      </c>
      <c r="B260" s="15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160" t="s">
        <v>246</v>
      </c>
      <c r="T260" s="161">
        <v>0</v>
      </c>
      <c r="U260" s="162">
        <v>4.1666666666666664E-2</v>
      </c>
      <c r="V260" s="163">
        <v>8.3333333333333301E-2</v>
      </c>
      <c r="W260" s="163">
        <v>0.125</v>
      </c>
      <c r="X260" s="163">
        <v>0.16666666666666699</v>
      </c>
      <c r="Y260" s="163">
        <v>0.20833333333333301</v>
      </c>
      <c r="Z260" s="163">
        <v>0.22916666666666666</v>
      </c>
      <c r="AA260" s="163">
        <v>0.25</v>
      </c>
      <c r="AB260" s="163">
        <v>0.27083333333333331</v>
      </c>
      <c r="AC260" s="163">
        <v>0.29166666666666669</v>
      </c>
      <c r="AD260" s="163">
        <v>0.3125</v>
      </c>
      <c r="AE260" s="164">
        <v>0.33333333333333331</v>
      </c>
      <c r="AF260" s="164">
        <v>0.375</v>
      </c>
      <c r="AG260" s="164">
        <v>0.41666666666666702</v>
      </c>
      <c r="AH260" s="164">
        <v>0.45833333333333298</v>
      </c>
      <c r="AI260" s="164">
        <v>0.5</v>
      </c>
      <c r="AJ260" s="164">
        <v>0.54166666666666696</v>
      </c>
      <c r="AK260" s="164">
        <v>0.58333333333333304</v>
      </c>
      <c r="AL260" s="164">
        <v>0.625</v>
      </c>
      <c r="AM260" s="164">
        <v>0.66666666666666696</v>
      </c>
      <c r="AN260" s="164">
        <v>0.70833333333333304</v>
      </c>
      <c r="AO260" s="164">
        <v>0.72916666666666663</v>
      </c>
      <c r="AP260" s="164">
        <v>0.75</v>
      </c>
      <c r="AQ260" s="164">
        <v>0.77083333333333337</v>
      </c>
      <c r="AR260" s="164">
        <v>0.79166666666666663</v>
      </c>
      <c r="AS260" s="164">
        <v>0.8125</v>
      </c>
      <c r="AT260" s="163">
        <v>0.83333333333333337</v>
      </c>
      <c r="AU260" s="163">
        <v>0.85416666666666663</v>
      </c>
      <c r="AV260" s="163">
        <v>0.875</v>
      </c>
      <c r="AW260" s="163">
        <v>0.91666666666666696</v>
      </c>
      <c r="AX260" s="163">
        <v>0.95833333333333304</v>
      </c>
    </row>
    <row r="261" spans="1:50" x14ac:dyDescent="0.25">
      <c r="A261" s="158" t="s">
        <v>247</v>
      </c>
      <c r="B261" s="15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 t="s">
        <v>248</v>
      </c>
      <c r="T261" s="165">
        <f t="shared" ref="T261:AX261" si="99">B99</f>
        <v>1163.1399999999999</v>
      </c>
      <c r="U261" s="165">
        <f t="shared" si="99"/>
        <v>1148.2400000000002</v>
      </c>
      <c r="V261" s="165">
        <f t="shared" si="99"/>
        <v>1159.94</v>
      </c>
      <c r="W261" s="165">
        <f t="shared" si="99"/>
        <v>1149.1399999999999</v>
      </c>
      <c r="X261" s="165">
        <f t="shared" si="99"/>
        <v>1137.44</v>
      </c>
      <c r="Y261" s="165">
        <f t="shared" si="99"/>
        <v>1224.48</v>
      </c>
      <c r="Z261" s="165">
        <f t="shared" si="99"/>
        <v>1335.64</v>
      </c>
      <c r="AA261" s="165">
        <f t="shared" si="99"/>
        <v>1422.34</v>
      </c>
      <c r="AB261" s="165">
        <f t="shared" si="99"/>
        <v>1556.44</v>
      </c>
      <c r="AC261" s="165">
        <f t="shared" si="99"/>
        <v>1710.44</v>
      </c>
      <c r="AD261" s="165">
        <f t="shared" si="99"/>
        <v>1769.3400000000001</v>
      </c>
      <c r="AE261" s="165">
        <f t="shared" si="99"/>
        <v>1765.84</v>
      </c>
      <c r="AF261" s="165">
        <f t="shared" si="99"/>
        <v>1631.7400000000002</v>
      </c>
      <c r="AG261" s="165">
        <f t="shared" si="99"/>
        <v>1554.2399999999998</v>
      </c>
      <c r="AH261" s="165">
        <f t="shared" si="99"/>
        <v>1357.3400000000001</v>
      </c>
      <c r="AI261" s="165">
        <f t="shared" si="99"/>
        <v>1482.8400000000001</v>
      </c>
      <c r="AJ261" s="165">
        <f t="shared" si="99"/>
        <v>1395.2400000000002</v>
      </c>
      <c r="AK261" s="165">
        <f t="shared" si="99"/>
        <v>1464.44</v>
      </c>
      <c r="AL261" s="165">
        <f t="shared" si="99"/>
        <v>1464.04</v>
      </c>
      <c r="AM261" s="165">
        <f t="shared" si="99"/>
        <v>1425.8400000000001</v>
      </c>
      <c r="AN261" s="165">
        <f t="shared" si="99"/>
        <v>1295.2400000000002</v>
      </c>
      <c r="AO261" s="165">
        <f t="shared" si="99"/>
        <v>1220.94</v>
      </c>
      <c r="AP261" s="165">
        <f t="shared" si="99"/>
        <v>1393.1399999999999</v>
      </c>
      <c r="AQ261" s="165">
        <f t="shared" si="99"/>
        <v>1849.8400000000001</v>
      </c>
      <c r="AR261" s="165">
        <f t="shared" si="99"/>
        <v>1781.54</v>
      </c>
      <c r="AS261" s="165">
        <f t="shared" si="99"/>
        <v>1722.94</v>
      </c>
      <c r="AT261" s="165">
        <f t="shared" si="99"/>
        <v>1706.19</v>
      </c>
      <c r="AU261" s="165">
        <f t="shared" si="99"/>
        <v>1727.8899999999999</v>
      </c>
      <c r="AV261" s="165">
        <f t="shared" si="99"/>
        <v>1690.29</v>
      </c>
      <c r="AW261" s="165">
        <f t="shared" si="99"/>
        <v>1359.19</v>
      </c>
      <c r="AX261" s="165">
        <f t="shared" si="99"/>
        <v>1223.79</v>
      </c>
    </row>
    <row r="262" spans="1:50" x14ac:dyDescent="0.25">
      <c r="A262" s="158" t="s">
        <v>249</v>
      </c>
      <c r="B262" s="15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50" x14ac:dyDescent="0.25">
      <c r="A263" s="158" t="s">
        <v>250</v>
      </c>
      <c r="B263" s="15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50" x14ac:dyDescent="0.25">
      <c r="A264" s="158" t="s">
        <v>251</v>
      </c>
      <c r="B264" s="15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50" x14ac:dyDescent="0.25">
      <c r="A265" s="158" t="s">
        <v>252</v>
      </c>
      <c r="B265" s="166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50" x14ac:dyDescent="0.25">
      <c r="A266" s="158" t="s">
        <v>253</v>
      </c>
      <c r="B266" s="15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50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50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50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50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50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50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1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1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1:34" x14ac:dyDescent="0.25">
      <c r="A282" s="167" t="s">
        <v>238</v>
      </c>
      <c r="B282" s="168">
        <f t="shared" ref="B282:AE282" si="100">C251</f>
        <v>0.64</v>
      </c>
      <c r="C282" s="168">
        <f t="shared" si="100"/>
        <v>0.64</v>
      </c>
      <c r="D282" s="168">
        <f t="shared" si="100"/>
        <v>0.64</v>
      </c>
      <c r="E282" s="168">
        <f t="shared" si="100"/>
        <v>0.64</v>
      </c>
      <c r="F282" s="168">
        <f t="shared" si="100"/>
        <v>0.64</v>
      </c>
      <c r="G282" s="168">
        <f t="shared" si="100"/>
        <v>0.64</v>
      </c>
      <c r="H282" s="168">
        <f t="shared" si="100"/>
        <v>0.64</v>
      </c>
      <c r="I282" s="168">
        <f t="shared" si="100"/>
        <v>0.64</v>
      </c>
      <c r="J282" s="168">
        <f t="shared" si="100"/>
        <v>0.64</v>
      </c>
      <c r="K282" s="168">
        <f t="shared" si="100"/>
        <v>0.64</v>
      </c>
      <c r="L282" s="168">
        <f t="shared" si="100"/>
        <v>0.64</v>
      </c>
      <c r="M282" s="168">
        <f t="shared" si="100"/>
        <v>0.64</v>
      </c>
      <c r="N282" s="168">
        <f t="shared" si="100"/>
        <v>0.64</v>
      </c>
      <c r="O282" s="168">
        <f t="shared" si="100"/>
        <v>0.64</v>
      </c>
      <c r="P282" s="168">
        <f t="shared" si="100"/>
        <v>0.64</v>
      </c>
      <c r="Q282" s="168">
        <f t="shared" si="100"/>
        <v>0.64</v>
      </c>
      <c r="R282" s="168">
        <f t="shared" si="100"/>
        <v>0.64</v>
      </c>
      <c r="S282" s="168">
        <f t="shared" si="100"/>
        <v>0.64</v>
      </c>
      <c r="T282" s="168">
        <f t="shared" si="100"/>
        <v>0.64</v>
      </c>
      <c r="U282" s="168">
        <f t="shared" si="100"/>
        <v>0.64</v>
      </c>
      <c r="V282" s="168">
        <f t="shared" si="100"/>
        <v>0.64</v>
      </c>
      <c r="W282" s="168">
        <f t="shared" si="100"/>
        <v>0.64</v>
      </c>
      <c r="X282" s="168">
        <f t="shared" si="100"/>
        <v>0.64</v>
      </c>
      <c r="Y282" s="168">
        <f t="shared" si="100"/>
        <v>0.64</v>
      </c>
      <c r="Z282" s="168">
        <f t="shared" si="100"/>
        <v>0.64</v>
      </c>
      <c r="AA282" s="168">
        <f t="shared" si="100"/>
        <v>0.64</v>
      </c>
      <c r="AB282" s="168">
        <f t="shared" si="100"/>
        <v>0.64</v>
      </c>
      <c r="AC282" s="168">
        <f t="shared" si="100"/>
        <v>0.64</v>
      </c>
      <c r="AD282" s="168">
        <f t="shared" si="100"/>
        <v>0.64</v>
      </c>
      <c r="AE282" s="168">
        <f t="shared" si="100"/>
        <v>0.64</v>
      </c>
      <c r="AF282" s="168">
        <f>B251</f>
        <v>0.64</v>
      </c>
      <c r="AG282" s="43"/>
      <c r="AH282" s="43"/>
    </row>
    <row r="283" spans="1:34" x14ac:dyDescent="0.25">
      <c r="A283" s="169" t="e">
        <f>#REF!</f>
        <v>#REF!</v>
      </c>
      <c r="B283" s="169" t="e">
        <f>IF(#REF!&lt;100,"",#REF!-520)</f>
        <v>#REF!</v>
      </c>
      <c r="C283" s="169" t="e">
        <f>IF(#REF!&lt;100,"",#REF!-520)</f>
        <v>#REF!</v>
      </c>
      <c r="D283" s="169" t="e">
        <f>IF(#REF!&lt;100,"",#REF!-520)</f>
        <v>#REF!</v>
      </c>
      <c r="E283" s="169" t="e">
        <f>IF(#REF!&lt;100,"",#REF!-520)</f>
        <v>#REF!</v>
      </c>
      <c r="F283" s="169" t="e">
        <f>IF(#REF!&lt;100,"",#REF!-520)</f>
        <v>#REF!</v>
      </c>
      <c r="G283" s="169" t="e">
        <f>IF(#REF!&lt;100,"",#REF!-520)</f>
        <v>#REF!</v>
      </c>
      <c r="H283" s="169" t="e">
        <f>IF(#REF!&lt;100,"",#REF!-520)</f>
        <v>#REF!</v>
      </c>
      <c r="I283" s="169" t="e">
        <f>IF(#REF!&lt;100,"",#REF!-520)</f>
        <v>#REF!</v>
      </c>
      <c r="J283" s="169" t="e">
        <f>IF(#REF!&lt;100,"",#REF!-520)</f>
        <v>#REF!</v>
      </c>
      <c r="K283" s="169" t="e">
        <f>IF(#REF!&lt;100,"",#REF!-520)</f>
        <v>#REF!</v>
      </c>
      <c r="L283" s="169" t="e">
        <f>IF(#REF!&lt;100,"",#REF!-520)</f>
        <v>#REF!</v>
      </c>
      <c r="M283" s="169" t="e">
        <f>IF(#REF!&lt;100,"",#REF!-520)</f>
        <v>#REF!</v>
      </c>
      <c r="N283" s="169" t="e">
        <f>IF(#REF!&lt;100,"",#REF!-520)</f>
        <v>#REF!</v>
      </c>
      <c r="O283" s="169" t="e">
        <f>IF(#REF!&lt;100,"",#REF!-520)</f>
        <v>#REF!</v>
      </c>
      <c r="P283" s="169" t="e">
        <f>IF(#REF!&lt;100,"",#REF!-520)</f>
        <v>#REF!</v>
      </c>
      <c r="Q283" s="169" t="e">
        <f>IF(#REF!&lt;100,"",#REF!-520)</f>
        <v>#REF!</v>
      </c>
      <c r="R283" s="169" t="e">
        <f>IF(#REF!&lt;100,"",#REF!-520)</f>
        <v>#REF!</v>
      </c>
      <c r="S283" s="169" t="e">
        <f>IF(#REF!&lt;100,"",#REF!-520)</f>
        <v>#REF!</v>
      </c>
      <c r="T283" s="169" t="e">
        <f>IF(#REF!&lt;100,"",#REF!-520)</f>
        <v>#REF!</v>
      </c>
      <c r="U283" s="169" t="e">
        <f>IF(#REF!&lt;100,"",#REF!-520)</f>
        <v>#REF!</v>
      </c>
      <c r="V283" s="169" t="e">
        <f>IF(#REF!&lt;100,"",#REF!-520)</f>
        <v>#REF!</v>
      </c>
      <c r="W283" s="169" t="e">
        <f>IF(#REF!&lt;100,"",#REF!-520)</f>
        <v>#REF!</v>
      </c>
      <c r="X283" s="169" t="e">
        <f>IF(#REF!&lt;100,"",#REF!-520)</f>
        <v>#REF!</v>
      </c>
      <c r="Y283" s="169" t="e">
        <f>IF(#REF!&lt;100,"",#REF!-520)</f>
        <v>#REF!</v>
      </c>
      <c r="Z283" s="169" t="e">
        <f>IF(#REF!&lt;100,"",#REF!-520)</f>
        <v>#REF!</v>
      </c>
      <c r="AA283" s="169" t="e">
        <f>IF(#REF!&lt;100,"",#REF!-520)</f>
        <v>#REF!</v>
      </c>
      <c r="AB283" s="169" t="e">
        <f>IF(#REF!&lt;100,"",#REF!-520)</f>
        <v>#REF!</v>
      </c>
      <c r="AC283" s="169" t="e">
        <f>IF(#REF!&lt;100,"",#REF!-520)</f>
        <v>#REF!</v>
      </c>
      <c r="AD283" s="169" t="e">
        <f>IF(#REF!&lt;100,"",#REF!-520)</f>
        <v>#REF!</v>
      </c>
      <c r="AE283" s="169" t="e">
        <f>IF(#REF!&lt;100,"",#REF!-520)</f>
        <v>#REF!</v>
      </c>
      <c r="AF283" s="169" t="e">
        <f>IF(#REF!&lt;100,"",#REF!-520)</f>
        <v>#REF!</v>
      </c>
      <c r="AG283" s="43"/>
      <c r="AH283" s="43"/>
    </row>
    <row r="284" spans="1:34" x14ac:dyDescent="0.25">
      <c r="A284" s="169" t="e">
        <f>#REF!</f>
        <v>#REF!</v>
      </c>
      <c r="B284" s="169" t="e">
        <f>IF(#REF!&lt;100,"",#REF!-620)</f>
        <v>#REF!</v>
      </c>
      <c r="C284" s="169" t="e">
        <f>IF(#REF!&lt;100,"",#REF!-620)</f>
        <v>#REF!</v>
      </c>
      <c r="D284" s="169" t="e">
        <f>IF(#REF!&lt;100,"",#REF!-620)</f>
        <v>#REF!</v>
      </c>
      <c r="E284" s="169" t="e">
        <f>IF(#REF!&lt;100,"",#REF!-620)</f>
        <v>#REF!</v>
      </c>
      <c r="F284" s="169" t="e">
        <f>IF(#REF!&lt;100,"",#REF!-620)</f>
        <v>#REF!</v>
      </c>
      <c r="G284" s="169" t="e">
        <f>IF(#REF!&lt;100,"",#REF!-620)</f>
        <v>#REF!</v>
      </c>
      <c r="H284" s="169" t="e">
        <f>IF(#REF!&lt;100,"",#REF!-620)</f>
        <v>#REF!</v>
      </c>
      <c r="I284" s="169" t="e">
        <f>IF(#REF!&lt;100,"",#REF!-620)</f>
        <v>#REF!</v>
      </c>
      <c r="J284" s="169" t="e">
        <f>IF(#REF!&lt;100,"",#REF!-620)</f>
        <v>#REF!</v>
      </c>
      <c r="K284" s="169" t="e">
        <f>IF(#REF!&lt;100,"",#REF!-620)</f>
        <v>#REF!</v>
      </c>
      <c r="L284" s="169" t="e">
        <f>IF(#REF!&lt;100,"",#REF!-620)</f>
        <v>#REF!</v>
      </c>
      <c r="M284" s="169" t="e">
        <f>IF(#REF!&lt;100,"",#REF!-620)</f>
        <v>#REF!</v>
      </c>
      <c r="N284" s="169" t="e">
        <f>IF(#REF!&lt;100,"",#REF!-620)</f>
        <v>#REF!</v>
      </c>
      <c r="O284" s="169" t="e">
        <f>IF(#REF!&lt;100,"",#REF!-620)</f>
        <v>#REF!</v>
      </c>
      <c r="P284" s="169" t="e">
        <f>IF(#REF!&lt;100,"",#REF!-620)</f>
        <v>#REF!</v>
      </c>
      <c r="Q284" s="169" t="e">
        <f>IF(#REF!&lt;100,"",#REF!-620)</f>
        <v>#REF!</v>
      </c>
      <c r="R284" s="169" t="e">
        <f>IF(#REF!&lt;100,"",#REF!-620)</f>
        <v>#REF!</v>
      </c>
      <c r="S284" s="169" t="e">
        <f>IF(#REF!&lt;100,"",#REF!-620)</f>
        <v>#REF!</v>
      </c>
      <c r="T284" s="169" t="e">
        <f>IF(#REF!&lt;100,"",#REF!-620)</f>
        <v>#REF!</v>
      </c>
      <c r="U284" s="169" t="e">
        <f>IF(#REF!&lt;100,"",#REF!-620)</f>
        <v>#REF!</v>
      </c>
      <c r="V284" s="169" t="e">
        <f>IF(#REF!&lt;100,"",#REF!-620)</f>
        <v>#REF!</v>
      </c>
      <c r="W284" s="169" t="e">
        <f>IF(#REF!&lt;100,"",#REF!-620)</f>
        <v>#REF!</v>
      </c>
      <c r="X284" s="169" t="e">
        <f>IF(#REF!&lt;100,"",#REF!-620)</f>
        <v>#REF!</v>
      </c>
      <c r="Y284" s="169" t="e">
        <f>IF(#REF!&lt;100,"",#REF!-620)</f>
        <v>#REF!</v>
      </c>
      <c r="Z284" s="169" t="e">
        <f>IF(#REF!&lt;100,"",#REF!-620)</f>
        <v>#REF!</v>
      </c>
      <c r="AA284" s="169" t="e">
        <f>IF(#REF!&lt;100,"",#REF!-620)</f>
        <v>#REF!</v>
      </c>
      <c r="AB284" s="169" t="e">
        <f>IF(#REF!&lt;100,"",#REF!-620)</f>
        <v>#REF!</v>
      </c>
      <c r="AC284" s="169" t="e">
        <f>IF(#REF!&lt;100,"",#REF!-620)</f>
        <v>#REF!</v>
      </c>
      <c r="AD284" s="169" t="e">
        <f>IF(#REF!&lt;100,"",#REF!-620)</f>
        <v>#REF!</v>
      </c>
      <c r="AE284" s="169" t="e">
        <f>IF(#REF!&lt;100,"",#REF!-620)</f>
        <v>#REF!</v>
      </c>
      <c r="AF284" s="169" t="e">
        <f>IF(#REF!&lt;100,"",#REF!-620)</f>
        <v>#REF!</v>
      </c>
      <c r="AG284" s="43"/>
      <c r="AH284" s="43"/>
    </row>
    <row r="285" spans="1:34" x14ac:dyDescent="0.25">
      <c r="A285" s="169" t="e">
        <f>#REF!</f>
        <v>#REF!</v>
      </c>
      <c r="B285" s="169" t="e">
        <f>IF(#REF!&lt;100,"",#REF!-330)</f>
        <v>#REF!</v>
      </c>
      <c r="C285" s="169" t="e">
        <f>IF(#REF!&lt;100,"",#REF!-330)</f>
        <v>#REF!</v>
      </c>
      <c r="D285" s="169" t="e">
        <f>IF(#REF!&lt;100,"",#REF!-330)</f>
        <v>#REF!</v>
      </c>
      <c r="E285" s="169" t="e">
        <f>IF(#REF!&lt;100,"",#REF!-330)</f>
        <v>#REF!</v>
      </c>
      <c r="F285" s="169" t="e">
        <f>IF(#REF!&lt;100,"",#REF!-330)</f>
        <v>#REF!</v>
      </c>
      <c r="G285" s="169" t="e">
        <f>IF(#REF!&lt;100,"",#REF!-330)</f>
        <v>#REF!</v>
      </c>
      <c r="H285" s="169" t="e">
        <f>IF(#REF!&lt;100,"",#REF!-330)</f>
        <v>#REF!</v>
      </c>
      <c r="I285" s="169" t="e">
        <f>IF(#REF!&lt;100,"",#REF!-330)</f>
        <v>#REF!</v>
      </c>
      <c r="J285" s="169" t="e">
        <f>IF(#REF!&lt;100,"",#REF!-330)</f>
        <v>#REF!</v>
      </c>
      <c r="K285" s="169" t="e">
        <f>IF(#REF!&lt;100,"",#REF!-330)</f>
        <v>#REF!</v>
      </c>
      <c r="L285" s="169" t="e">
        <f>IF(#REF!&lt;100,"",#REF!-330)</f>
        <v>#REF!</v>
      </c>
      <c r="M285" s="169" t="e">
        <f>IF(#REF!&lt;100,"",#REF!-330)</f>
        <v>#REF!</v>
      </c>
      <c r="N285" s="169" t="e">
        <f>IF(#REF!&lt;100,"",#REF!-330)</f>
        <v>#REF!</v>
      </c>
      <c r="O285" s="169" t="e">
        <f>IF(#REF!&lt;100,"",#REF!-330)</f>
        <v>#REF!</v>
      </c>
      <c r="P285" s="169" t="e">
        <f>IF(#REF!&lt;100,"",#REF!-330)</f>
        <v>#REF!</v>
      </c>
      <c r="Q285" s="169" t="e">
        <f>IF(#REF!&lt;100,"",#REF!-330)</f>
        <v>#REF!</v>
      </c>
      <c r="R285" s="169" t="e">
        <f>IF(#REF!&lt;100,"",#REF!-330)</f>
        <v>#REF!</v>
      </c>
      <c r="S285" s="169" t="e">
        <f>IF(#REF!&lt;100,"",#REF!-330)</f>
        <v>#REF!</v>
      </c>
      <c r="T285" s="169" t="e">
        <f>IF(#REF!&lt;100,"",#REF!-330)</f>
        <v>#REF!</v>
      </c>
      <c r="U285" s="169" t="e">
        <f>IF(#REF!&lt;100,"",#REF!-330)</f>
        <v>#REF!</v>
      </c>
      <c r="V285" s="169" t="e">
        <f>IF(#REF!&lt;100,"",#REF!-330)</f>
        <v>#REF!</v>
      </c>
      <c r="W285" s="169" t="e">
        <f>IF(#REF!&lt;100,"",#REF!-330)</f>
        <v>#REF!</v>
      </c>
      <c r="X285" s="169" t="e">
        <f>IF(#REF!&lt;100,"",#REF!-330)</f>
        <v>#REF!</v>
      </c>
      <c r="Y285" s="169" t="e">
        <f>IF(#REF!&lt;100,"",#REF!-330)</f>
        <v>#REF!</v>
      </c>
      <c r="Z285" s="169" t="e">
        <f>IF(#REF!&lt;100,"",#REF!-330)</f>
        <v>#REF!</v>
      </c>
      <c r="AA285" s="169" t="e">
        <f>IF(#REF!&lt;100,"",#REF!-330)</f>
        <v>#REF!</v>
      </c>
      <c r="AB285" s="169" t="e">
        <f>IF(#REF!&lt;100,"",#REF!-330)</f>
        <v>#REF!</v>
      </c>
      <c r="AC285" s="169" t="e">
        <f>IF(#REF!&lt;100,"",#REF!-330)</f>
        <v>#REF!</v>
      </c>
      <c r="AD285" s="169" t="e">
        <f>IF(#REF!&lt;100,"",#REF!-330)</f>
        <v>#REF!</v>
      </c>
      <c r="AE285" s="169" t="e">
        <f>IF(#REF!&lt;100,"",#REF!-330)</f>
        <v>#REF!</v>
      </c>
      <c r="AF285" s="169" t="e">
        <f>IF(#REF!&lt;100,"",#REF!-330)</f>
        <v>#REF!</v>
      </c>
      <c r="AG285" s="43"/>
      <c r="AH285" s="43"/>
    </row>
    <row r="286" spans="1:34" x14ac:dyDescent="0.25">
      <c r="A286" s="169" t="e">
        <f>#REF!</f>
        <v>#REF!</v>
      </c>
      <c r="B286" s="169" t="e">
        <f>IF(#REF!&lt;100,"",#REF!-1500)</f>
        <v>#REF!</v>
      </c>
      <c r="C286" s="169" t="e">
        <f>IF(#REF!&lt;100,"",#REF!-1500)</f>
        <v>#REF!</v>
      </c>
      <c r="D286" s="169" t="e">
        <f>IF(#REF!&lt;100,"",#REF!-1500)</f>
        <v>#REF!</v>
      </c>
      <c r="E286" s="169" t="e">
        <f>IF(#REF!&lt;100,"",#REF!-1500)</f>
        <v>#REF!</v>
      </c>
      <c r="F286" s="169" t="e">
        <f>IF(#REF!&lt;100,"",#REF!-1500)</f>
        <v>#REF!</v>
      </c>
      <c r="G286" s="169" t="e">
        <f>IF(#REF!&lt;100,"",#REF!-1500)</f>
        <v>#REF!</v>
      </c>
      <c r="H286" s="169" t="e">
        <f>IF(#REF!&lt;100,"",#REF!-1500)</f>
        <v>#REF!</v>
      </c>
      <c r="I286" s="169" t="e">
        <f>IF(#REF!&lt;100,"",#REF!-1500)</f>
        <v>#REF!</v>
      </c>
      <c r="J286" s="169" t="e">
        <f>IF(#REF!&lt;100,"",#REF!-1500)</f>
        <v>#REF!</v>
      </c>
      <c r="K286" s="169" t="e">
        <f>IF(#REF!&lt;100,"",#REF!-1500)</f>
        <v>#REF!</v>
      </c>
      <c r="L286" s="169" t="e">
        <f>IF(#REF!&lt;100,"",#REF!-1500)</f>
        <v>#REF!</v>
      </c>
      <c r="M286" s="169" t="e">
        <f>IF(#REF!&lt;100,"",#REF!-1500)</f>
        <v>#REF!</v>
      </c>
      <c r="N286" s="169" t="e">
        <f>IF(#REF!&lt;100,"",#REF!-1500)</f>
        <v>#REF!</v>
      </c>
      <c r="O286" s="169" t="e">
        <f>IF(#REF!&lt;100,"",#REF!-1500)</f>
        <v>#REF!</v>
      </c>
      <c r="P286" s="169" t="e">
        <f>IF(#REF!&lt;100,"",#REF!-1500)</f>
        <v>#REF!</v>
      </c>
      <c r="Q286" s="169" t="e">
        <f>IF(#REF!&lt;100,"",#REF!-1500)</f>
        <v>#REF!</v>
      </c>
      <c r="R286" s="169" t="e">
        <f>IF(#REF!&lt;100,"",#REF!-1500)</f>
        <v>#REF!</v>
      </c>
      <c r="S286" s="169" t="e">
        <f>IF(#REF!&lt;100,"",#REF!-1500)</f>
        <v>#REF!</v>
      </c>
      <c r="T286" s="169" t="e">
        <f>IF(#REF!&lt;100,"",#REF!-1500)</f>
        <v>#REF!</v>
      </c>
      <c r="U286" s="169" t="e">
        <f>IF(#REF!&lt;100,"",#REF!-1500)</f>
        <v>#REF!</v>
      </c>
      <c r="V286" s="169" t="e">
        <f>IF(#REF!&lt;100,"",#REF!-1500)</f>
        <v>#REF!</v>
      </c>
      <c r="W286" s="169" t="e">
        <f>IF(#REF!&lt;100,"",#REF!-1500)</f>
        <v>#REF!</v>
      </c>
      <c r="X286" s="169" t="e">
        <f>IF(#REF!&lt;100,"",#REF!-1500)</f>
        <v>#REF!</v>
      </c>
      <c r="Y286" s="169" t="e">
        <f>IF(#REF!&lt;100,"",#REF!-1500)</f>
        <v>#REF!</v>
      </c>
      <c r="Z286" s="169" t="e">
        <f>IF(#REF!&lt;100,"",#REF!-1500)</f>
        <v>#REF!</v>
      </c>
      <c r="AA286" s="169" t="e">
        <f>IF(#REF!&lt;100,"",#REF!-1500)</f>
        <v>#REF!</v>
      </c>
      <c r="AB286" s="169" t="e">
        <f>IF(#REF!&lt;100,"",#REF!-1500)</f>
        <v>#REF!</v>
      </c>
      <c r="AC286" s="169" t="e">
        <f>IF(#REF!&lt;100,"",#REF!-1500)</f>
        <v>#REF!</v>
      </c>
      <c r="AD286" s="169" t="e">
        <f>IF(#REF!&lt;100,"",#REF!-1500)</f>
        <v>#REF!</v>
      </c>
      <c r="AE286" s="169" t="e">
        <f>IF(#REF!&lt;100,"",#REF!-1500)</f>
        <v>#REF!</v>
      </c>
      <c r="AF286" s="169" t="e">
        <f>IF(#REF!&lt;100,"",#REF!-1500)</f>
        <v>#REF!</v>
      </c>
      <c r="AG286" s="43"/>
      <c r="AH286" s="43"/>
    </row>
    <row r="287" spans="1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1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2:34" x14ac:dyDescent="0.25"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2:34" x14ac:dyDescent="0.25"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2:34" x14ac:dyDescent="0.25"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2:34" x14ac:dyDescent="0.25"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2:34" x14ac:dyDescent="0.25"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phoneticPr fontId="40" type="noConversion"/>
  <conditionalFormatting sqref="A11:A130">
    <cfRule type="expression" dxfId="3371" priority="5">
      <formula>$AH11=0</formula>
    </cfRule>
  </conditionalFormatting>
  <conditionalFormatting sqref="A132:A253">
    <cfRule type="expression" dxfId="3370" priority="10">
      <formula>$AH132=0</formula>
    </cfRule>
  </conditionalFormatting>
  <conditionalFormatting sqref="B8 M8 S8 AB8">
    <cfRule type="expression" dxfId="3369" priority="118">
      <formula>AND(C$9&gt;=14/24,C$9&lt;20/24)</formula>
    </cfRule>
    <cfRule type="expression" dxfId="3368" priority="119">
      <formula>AND(C$9&gt;=8/24,C$9&lt;14/24)</formula>
    </cfRule>
    <cfRule type="expression" dxfId="3367" priority="120">
      <formula>C$9&lt;8/24</formula>
    </cfRule>
  </conditionalFormatting>
  <conditionalFormatting sqref="J64:J74 B63:I74 J69:M74 N69:X73">
    <cfRule type="expression" dxfId="3366" priority="25">
      <formula>B$9&gt;=20/24</formula>
    </cfRule>
    <cfRule type="expression" dxfId="3365" priority="26">
      <formula>AND(B$9&gt;=14/24,B$9&lt;20/24)</formula>
    </cfRule>
    <cfRule type="expression" dxfId="3364" priority="27">
      <formula>AND(B$9&gt;=8/24,B$9&lt;14/24)</formula>
    </cfRule>
    <cfRule type="expression" dxfId="3363" priority="28">
      <formula>B$9&lt;8/24</formula>
    </cfRule>
  </conditionalFormatting>
  <conditionalFormatting sqref="B51:X54">
    <cfRule type="expression" dxfId="3362" priority="19">
      <formula>B51&gt;$AG51</formula>
    </cfRule>
  </conditionalFormatting>
  <conditionalFormatting sqref="B53:X54">
    <cfRule type="expression" dxfId="3361" priority="18">
      <formula>B$9&lt;8/24</formula>
    </cfRule>
  </conditionalFormatting>
  <conditionalFormatting sqref="B55:X55">
    <cfRule type="expression" dxfId="3360" priority="39">
      <formula>B55&gt;$AG55</formula>
    </cfRule>
  </conditionalFormatting>
  <conditionalFormatting sqref="B55:M57 N55:X56">
    <cfRule type="expression" dxfId="3359" priority="38">
      <formula>B$9&lt;8/24</formula>
    </cfRule>
  </conditionalFormatting>
  <conditionalFormatting sqref="Y51:AB52 B11:AB50 AC11:AF52">
    <cfRule type="expression" dxfId="3358" priority="29">
      <formula>B11&gt;$AG11</formula>
    </cfRule>
  </conditionalFormatting>
  <conditionalFormatting sqref="B9:AF52">
    <cfRule type="expression" dxfId="3357" priority="30">
      <formula>B$9&gt;=20/24</formula>
    </cfRule>
    <cfRule type="expression" dxfId="3356" priority="31">
      <formula>AND(B$9&gt;=14/24,B$9&lt;20/24)</formula>
    </cfRule>
    <cfRule type="expression" dxfId="3355" priority="32">
      <formula>AND(B$9&gt;=8/24,B$9&lt;14/24)</formula>
    </cfRule>
    <cfRule type="expression" dxfId="3354" priority="33">
      <formula>B$9&lt;8/24</formula>
    </cfRule>
  </conditionalFormatting>
  <conditionalFormatting sqref="B53:AF54">
    <cfRule type="expression" dxfId="3353" priority="15">
      <formula>B$9&gt;=20/24</formula>
    </cfRule>
    <cfRule type="expression" dxfId="3352" priority="16">
      <formula>AND(B$9&gt;=14/24,B$9&lt;20/24)</formula>
    </cfRule>
    <cfRule type="expression" dxfId="3351" priority="17">
      <formula>AND(B$9&gt;=8/24,B$9&lt;14/24)</formula>
    </cfRule>
  </conditionalFormatting>
  <conditionalFormatting sqref="B55:AF57">
    <cfRule type="expression" dxfId="3350" priority="35">
      <formula>B$9&gt;=20/24</formula>
    </cfRule>
    <cfRule type="expression" dxfId="3349" priority="36">
      <formula>AND(B$9&gt;=14/24,B$9&lt;20/24)</formula>
    </cfRule>
    <cfRule type="expression" dxfId="3348" priority="37">
      <formula>AND(B$9&gt;=8/24,B$9&lt;14/24)</formula>
    </cfRule>
  </conditionalFormatting>
  <conditionalFormatting sqref="B56:AF61">
    <cfRule type="expression" dxfId="3347" priority="34">
      <formula>B56&gt;$AG56</formula>
    </cfRule>
  </conditionalFormatting>
  <conditionalFormatting sqref="B59:AF61">
    <cfRule type="expression" dxfId="3346" priority="45">
      <formula>B$9&gt;=20/24</formula>
    </cfRule>
    <cfRule type="expression" dxfId="3345" priority="46">
      <formula>AND(B$9&gt;=14/24,B$9&lt;20/24)</formula>
    </cfRule>
    <cfRule type="expression" dxfId="3344" priority="47">
      <formula>AND(B$9&gt;=8/24,B$9&lt;14/24)</formula>
    </cfRule>
    <cfRule type="expression" dxfId="3343" priority="48">
      <formula>B$9&lt;8/24</formula>
    </cfRule>
  </conditionalFormatting>
  <conditionalFormatting sqref="B63:AF74">
    <cfRule type="expression" dxfId="3342" priority="24">
      <formula>B63&gt;$AG63</formula>
    </cfRule>
  </conditionalFormatting>
  <conditionalFormatting sqref="B77:AF79">
    <cfRule type="expression" dxfId="3341" priority="49">
      <formula>B77&gt;$AG77</formula>
    </cfRule>
    <cfRule type="expression" dxfId="3340" priority="50">
      <formula>B$9&gt;=20/24</formula>
    </cfRule>
    <cfRule type="expression" dxfId="3339" priority="51">
      <formula>AND(B$9&gt;=14/24,B$9&lt;20/24)</formula>
    </cfRule>
    <cfRule type="expression" dxfId="3338" priority="52">
      <formula>AND(B$9&gt;=8/24,B$9&lt;14/24)</formula>
    </cfRule>
    <cfRule type="expression" dxfId="3337" priority="53">
      <formula>B$9&lt;8/24</formula>
    </cfRule>
  </conditionalFormatting>
  <conditionalFormatting sqref="B81:AF99">
    <cfRule type="expression" dxfId="3336" priority="20">
      <formula>B$9&gt;=20/24</formula>
    </cfRule>
    <cfRule type="expression" dxfId="3335" priority="21">
      <formula>AND(B$9&gt;=14/24,B$9&lt;20/24)</formula>
    </cfRule>
    <cfRule type="expression" dxfId="3334" priority="22">
      <formula>AND(B$9&gt;=8/24,B$9&lt;14/24)</formula>
    </cfRule>
    <cfRule type="expression" dxfId="3333" priority="23">
      <formula>B$9&lt;8/24</formula>
    </cfRule>
  </conditionalFormatting>
  <conditionalFormatting sqref="B101:AF117">
    <cfRule type="expression" dxfId="3332" priority="11">
      <formula>B$9&gt;=20/24</formula>
    </cfRule>
    <cfRule type="expression" dxfId="3331" priority="12">
      <formula>AND(B$9&gt;=14/24,B$9&lt;20/24)</formula>
    </cfRule>
    <cfRule type="expression" dxfId="3330" priority="13">
      <formula>AND(B$9&gt;=8/24,B$9&lt;14/24)</formula>
    </cfRule>
    <cfRule type="expression" dxfId="3329" priority="14">
      <formula>B$9&lt;8/24</formula>
    </cfRule>
  </conditionalFormatting>
  <conditionalFormatting sqref="B119:AF137">
    <cfRule type="expression" dxfId="3328" priority="6">
      <formula>B$9&gt;=20/24</formula>
    </cfRule>
    <cfRule type="expression" dxfId="3327" priority="7">
      <formula>AND(B$9&gt;=14/24,B$9&lt;20/24)</formula>
    </cfRule>
    <cfRule type="expression" dxfId="3326" priority="8">
      <formula>AND(B$9&gt;=8/24,B$9&lt;14/24)</formula>
    </cfRule>
    <cfRule type="expression" dxfId="3325" priority="9">
      <formula>B$9&lt;8/24</formula>
    </cfRule>
  </conditionalFormatting>
  <conditionalFormatting sqref="B244:AF244 B246:B252 D246:AF252 U260:AF260">
    <cfRule type="expression" dxfId="3324" priority="111">
      <formula>B$9&gt;=20/24</formula>
    </cfRule>
    <cfRule type="expression" dxfId="3323" priority="112">
      <formula>AND(B$9&gt;=14/24,B$9&lt;20/24)</formula>
    </cfRule>
    <cfRule type="expression" dxfId="3322" priority="113">
      <formula>AND(B$9&gt;=8/24,B$9&lt;14/24)</formula>
    </cfRule>
    <cfRule type="expression" dxfId="3321" priority="114">
      <formula>B$9&lt;8/24</formula>
    </cfRule>
  </conditionalFormatting>
  <conditionalFormatting sqref="B62:AG62">
    <cfRule type="expression" dxfId="3320" priority="54">
      <formula>B62&gt;$AG62</formula>
    </cfRule>
    <cfRule type="expression" dxfId="3319" priority="55">
      <formula>B$9&gt;=20/24</formula>
    </cfRule>
    <cfRule type="expression" dxfId="3318" priority="56">
      <formula>AND(B$9&gt;=14/24,B$9&lt;20/24)</formula>
    </cfRule>
    <cfRule type="expression" dxfId="3317" priority="57">
      <formula>AND(B$9&gt;=8/24,B$9&lt;14/24)</formula>
    </cfRule>
    <cfRule type="expression" dxfId="3316" priority="58">
      <formula>B$9&lt;8/24</formula>
    </cfRule>
  </conditionalFormatting>
  <conditionalFormatting sqref="B75:AG76 B80:AG80">
    <cfRule type="expression" dxfId="3315" priority="40">
      <formula>B75&gt;$AG75</formula>
    </cfRule>
  </conditionalFormatting>
  <conditionalFormatting sqref="B80:AG80">
    <cfRule type="expression" dxfId="3314" priority="41">
      <formula>B$9&gt;=20/24</formula>
    </cfRule>
    <cfRule type="expression" dxfId="3313" priority="42">
      <formula>AND(B$9&gt;=14/24,B$9&lt;20/24)</formula>
    </cfRule>
    <cfRule type="expression" dxfId="3312" priority="43">
      <formula>AND(B$9&gt;=8/24,B$9&lt;14/24)</formula>
    </cfRule>
    <cfRule type="expression" dxfId="3311" priority="44">
      <formula>B$9&lt;8/24</formula>
    </cfRule>
  </conditionalFormatting>
  <conditionalFormatting sqref="F63:M65">
    <cfRule type="expression" dxfId="3310" priority="92">
      <formula>F$9&gt;=20/24</formula>
    </cfRule>
    <cfRule type="expression" dxfId="3309" priority="93">
      <formula>AND(F$9&gt;=14/24,F$9&lt;20/24)</formula>
    </cfRule>
    <cfRule type="expression" dxfId="3308" priority="94">
      <formula>AND(F$9&gt;=8/24,F$9&lt;14/24)</formula>
    </cfRule>
    <cfRule type="expression" dxfId="3307" priority="95">
      <formula>F$9&lt;8/24</formula>
    </cfRule>
  </conditionalFormatting>
  <conditionalFormatting sqref="F68:X68">
    <cfRule type="expression" dxfId="3306" priority="69">
      <formula>F$9&gt;=20/24</formula>
    </cfRule>
    <cfRule type="expression" dxfId="3305" priority="70">
      <formula>AND(F$9&gt;=14/24,F$9&lt;20/24)</formula>
    </cfRule>
    <cfRule type="expression" dxfId="3304" priority="71">
      <formula>AND(F$9&gt;=8/24,F$9&lt;14/24)</formula>
    </cfRule>
    <cfRule type="expression" dxfId="3303" priority="72">
      <formula>F$9&lt;8/24</formula>
    </cfRule>
  </conditionalFormatting>
  <conditionalFormatting sqref="F69:AF74">
    <cfRule type="expression" dxfId="3302" priority="59">
      <formula>F$9&gt;=20/24</formula>
    </cfRule>
    <cfRule type="expression" dxfId="3301" priority="60">
      <formula>AND(F$9&gt;=14/24,F$9&lt;20/24)</formula>
    </cfRule>
    <cfRule type="expression" dxfId="3300" priority="61">
      <formula>AND(F$9&gt;=8/24,F$9&lt;14/24)</formula>
    </cfRule>
    <cfRule type="expression" dxfId="3299" priority="62">
      <formula>F$9&lt;8/24</formula>
    </cfRule>
  </conditionalFormatting>
  <conditionalFormatting sqref="Y53:AF55">
    <cfRule type="expression" dxfId="3298" priority="68">
      <formula>Y53&gt;$AG53</formula>
    </cfRule>
  </conditionalFormatting>
  <conditionalFormatting sqref="N57:Q57 B56:Q56 R56:X57 Y53:AF57">
    <cfRule type="expression" dxfId="3297" priority="67">
      <formula>B$9&lt;8/24</formula>
    </cfRule>
  </conditionalFormatting>
  <conditionalFormatting sqref="N63:X67">
    <cfRule type="expression" dxfId="3296" priority="96">
      <formula>N$9&gt;=20/24</formula>
    </cfRule>
    <cfRule type="expression" dxfId="3295" priority="97">
      <formula>AND(N$9&gt;=14/24,N$9&lt;20/24)</formula>
    </cfRule>
    <cfRule type="expression" dxfId="3294" priority="98">
      <formula>AND(N$9&gt;=8/24,N$9&lt;14/24)</formula>
    </cfRule>
    <cfRule type="expression" dxfId="3293" priority="99">
      <formula>N$9&lt;8/24</formula>
    </cfRule>
  </conditionalFormatting>
  <conditionalFormatting sqref="O3:P3">
    <cfRule type="iconSet" priority="115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3292" priority="117">
      <formula>C$9&gt;=20/24</formula>
    </cfRule>
  </conditionalFormatting>
  <conditionalFormatting sqref="S8">
    <cfRule type="expression" dxfId="3291" priority="104">
      <formula>U$9&gt;=20/24</formula>
    </cfRule>
    <cfRule type="expression" dxfId="3290" priority="105">
      <formula>AND(U$9&gt;=14/24,U$9&lt;20/24)</formula>
    </cfRule>
    <cfRule type="expression" dxfId="3289" priority="106">
      <formula>AND(U$9&gt;=8/24,U$9&lt;14/24)</formula>
    </cfRule>
    <cfRule type="expression" dxfId="3288" priority="107">
      <formula>U$9&lt;8/24</formula>
    </cfRule>
  </conditionalFormatting>
  <conditionalFormatting sqref="Y63:AF68">
    <cfRule type="expression" dxfId="3287" priority="63">
      <formula>Y$9&gt;=20/24</formula>
    </cfRule>
    <cfRule type="expression" dxfId="3286" priority="64">
      <formula>AND(Y$9&gt;=14/24,Y$9&lt;20/24)</formula>
    </cfRule>
    <cfRule type="expression" dxfId="3285" priority="65">
      <formula>AND(Y$9&gt;=8/24,Y$9&lt;14/24)</formula>
    </cfRule>
    <cfRule type="expression" dxfId="3284" priority="66">
      <formula>Y$9&lt;8/24</formula>
    </cfRule>
  </conditionalFormatting>
  <conditionalFormatting sqref="T260">
    <cfRule type="expression" dxfId="3283" priority="129">
      <formula>AX$9&gt;=20/24</formula>
    </cfRule>
    <cfRule type="expression" dxfId="3282" priority="130">
      <formula>AND(AX$9&gt;=14/24,AX$9&lt;20/24)</formula>
    </cfRule>
    <cfRule type="expression" dxfId="3281" priority="131">
      <formula>AND(AX$9&gt;=8/24,AX$9&lt;14/24)</formula>
    </cfRule>
    <cfRule type="expression" dxfId="3280" priority="132">
      <formula>AX$9&lt;8/24</formula>
    </cfRule>
  </conditionalFormatting>
  <conditionalFormatting sqref="V3 AB3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3279" priority="100">
      <formula>AD$9&gt;=20/24</formula>
    </cfRule>
    <cfRule type="expression" dxfId="3278" priority="101">
      <formula>AND(AD$9&gt;=14/24,AD$9&lt;20/24)</formula>
    </cfRule>
    <cfRule type="expression" dxfId="3277" priority="102">
      <formula>AND(AD$9&gt;=8/24,AD$9&lt;14/24)</formula>
    </cfRule>
    <cfRule type="expression" dxfId="3276" priority="103">
      <formula>AD$9&lt;8/24</formula>
    </cfRule>
  </conditionalFormatting>
  <conditionalFormatting sqref="AG58">
    <cfRule type="expression" dxfId="3275" priority="87">
      <formula>AG58&gt;$AG58</formula>
    </cfRule>
  </conditionalFormatting>
  <conditionalFormatting sqref="AG97">
    <cfRule type="expression" dxfId="3274" priority="88">
      <formula>AG$9&gt;=20/24</formula>
    </cfRule>
    <cfRule type="expression" dxfId="3273" priority="89">
      <formula>AND(AG$9&gt;=14/24,AG$9&lt;20/24)</formula>
    </cfRule>
    <cfRule type="expression" dxfId="3272" priority="90">
      <formula>AND(AG$9&gt;=8/24,AG$9&lt;14/24)</formula>
    </cfRule>
    <cfRule type="expression" dxfId="3271" priority="91">
      <formula>AG$9&lt;8/24</formula>
    </cfRule>
  </conditionalFormatting>
  <conditionalFormatting sqref="AG260">
    <cfRule type="expression" dxfId="3270" priority="121">
      <formula>B$9&gt;=20/24</formula>
    </cfRule>
    <cfRule type="expression" dxfId="3269" priority="122">
      <formula>AND(B$9&gt;=14/24,B$9&lt;20/24)</formula>
    </cfRule>
    <cfRule type="expression" dxfId="3268" priority="123">
      <formula>AND(B$9&gt;=8/24,B$9&lt;14/24)</formula>
    </cfRule>
    <cfRule type="expression" dxfId="3267" priority="124">
      <formula>B$9&lt;8/24</formula>
    </cfRule>
  </conditionalFormatting>
  <conditionalFormatting sqref="AH260:AX260">
    <cfRule type="expression" dxfId="3266" priority="125">
      <formula>AG$9&gt;=20/24</formula>
    </cfRule>
    <cfRule type="expression" dxfId="3265" priority="126">
      <formula>AND(AG$9&gt;=14/24,AG$9&lt;20/24)</formula>
    </cfRule>
    <cfRule type="expression" dxfId="3264" priority="127">
      <formula>AND(AG$9&gt;=8/24,AG$9&lt;14/24)</formula>
    </cfRule>
    <cfRule type="expression" dxfId="3263" priority="128">
      <formula>AG$9&lt;8/24</formula>
    </cfRule>
  </conditionalFormatting>
  <conditionalFormatting sqref="AL4:AL6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19:AL20">
    <cfRule type="iconSet" priority="75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85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74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84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86">
      <iconSet iconSet="3TrafficLights2" reverse="1">
        <cfvo type="percent" val="0"/>
        <cfvo type="num" val="1"/>
        <cfvo type="num" val="1"/>
      </iconSet>
    </cfRule>
  </conditionalFormatting>
  <conditionalFormatting sqref="AL48 AL45:AL46 AL21:AL24 AL7:AL18 AL26:AL37 AL39:AL43 AL54:AL55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09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08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73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3262" priority="134">
      <formula>AJ$9&gt;=20/24</formula>
    </cfRule>
    <cfRule type="expression" dxfId="3261" priority="135">
      <formula>AND(AJ$9&gt;=14/24,AJ$9&lt;20/24)</formula>
    </cfRule>
    <cfRule type="expression" dxfId="3260" priority="136">
      <formula>AND(AJ$9&gt;=8/24,AJ$9&lt;14/24)</formula>
    </cfRule>
    <cfRule type="expression" dxfId="3259" priority="137">
      <formula>AJ$9&lt;8/24</formula>
    </cfRule>
  </conditionalFormatting>
  <conditionalFormatting sqref="AL88:AN88 AL94:AN94">
    <cfRule type="expression" dxfId="3258" priority="80">
      <formula>AL$9&gt;=20/24</formula>
    </cfRule>
    <cfRule type="expression" dxfId="3257" priority="81">
      <formula>AND(AL$9&gt;=14/24,AL$9&lt;20/24)</formula>
    </cfRule>
    <cfRule type="expression" dxfId="3256" priority="82">
      <formula>AND(AL$9&gt;=8/24,AL$9&lt;14/24)</formula>
    </cfRule>
    <cfRule type="expression" dxfId="3255" priority="83">
      <formula>AL$9&lt;8/24</formula>
    </cfRule>
  </conditionalFormatting>
  <conditionalFormatting sqref="AN89:AN92">
    <cfRule type="expression" dxfId="3254" priority="76">
      <formula>AN$9&gt;=20/24</formula>
    </cfRule>
    <cfRule type="expression" dxfId="3253" priority="77">
      <formula>AND(AN$9&gt;=14/24,AN$9&lt;20/24)</formula>
    </cfRule>
    <cfRule type="expression" dxfId="3252" priority="78">
      <formula>AND(AN$9&gt;=8/24,AN$9&lt;14/24)</formula>
    </cfRule>
    <cfRule type="expression" dxfId="3251" priority="79">
      <formula>AN$9&lt;8/24</formula>
    </cfRule>
  </conditionalFormatting>
  <conditionalFormatting sqref="M66:M68">
    <cfRule type="expression" dxfId="3250" priority="1">
      <formula>M$9&gt;=20/24</formula>
    </cfRule>
    <cfRule type="expression" dxfId="3249" priority="2">
      <formula>AND(M$9&gt;=14/24,M$9&lt;20/24)</formula>
    </cfRule>
    <cfRule type="expression" dxfId="3248" priority="3">
      <formula>AND(M$9&gt;=8/24,M$9&lt;14/24)</formula>
    </cfRule>
    <cfRule type="expression" dxfId="3247" priority="4">
      <formula>M$9&lt;8/24</formula>
    </cfRule>
  </conditionalFormatting>
  <pageMargins left="0.7" right="0.7" top="0.75" bottom="0.75" header="0.3" footer="0.3"/>
  <drawing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36EA0-6917-45D0-BF84-C5B3F25CC4A9}">
  <dimension ref="A1:CJ293"/>
  <sheetViews>
    <sheetView zoomScale="106" workbookViewId="0">
      <pane xSplit="1" ySplit="10" topLeftCell="B103" activePane="bottomRight" state="frozen"/>
      <selection activeCell="Z63" sqref="Z63"/>
      <selection pane="topRight" activeCell="Z63" sqref="Z63"/>
      <selection pane="bottomLeft" activeCell="Z63" sqref="Z63"/>
      <selection pane="bottomRight" activeCell="I112" sqref="I112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hidden="1" customHeight="1" thickBot="1" x14ac:dyDescent="0.3">
      <c r="A1" s="275" t="s">
        <v>0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  <c r="AD1" s="275"/>
      <c r="AE1" s="275"/>
      <c r="AF1" s="275"/>
      <c r="AG1" s="276" t="s">
        <v>1</v>
      </c>
      <c r="AH1" s="276"/>
      <c r="AI1" s="276"/>
      <c r="AL1" s="2"/>
    </row>
    <row r="2" spans="1:88" ht="20.25" hidden="1" x14ac:dyDescent="0.25">
      <c r="A2" s="3"/>
      <c r="B2" s="277" t="s">
        <v>2</v>
      </c>
      <c r="C2" s="4"/>
      <c r="D2" s="279" t="s">
        <v>3</v>
      </c>
      <c r="E2" s="4"/>
      <c r="F2" s="279" t="s">
        <v>4</v>
      </c>
      <c r="G2" s="4"/>
      <c r="H2" s="279" t="s">
        <v>5</v>
      </c>
      <c r="I2" s="5"/>
      <c r="J2" s="281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78"/>
      <c r="C3" s="16"/>
      <c r="D3" s="280"/>
      <c r="E3" s="16"/>
      <c r="F3" s="280"/>
      <c r="G3" s="16"/>
      <c r="H3" s="280"/>
      <c r="I3" s="17"/>
      <c r="J3" s="281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70" t="str">
        <f ca="1">"2080/"&amp;"10/"&amp;INT(MID(CELL("filename",D6),FIND("]",CELL("filename",D6))+1,200))</f>
        <v>2080/10/30</v>
      </c>
      <c r="C4" s="270"/>
      <c r="D4" s="270"/>
      <c r="E4" s="271" t="str">
        <f ca="1">"2080/"&amp;"10/"&amp;INT(MID(CELL("filename",G6),FIND("]",CELL("filename",G6))+1,200))</f>
        <v>2080/10/30</v>
      </c>
      <c r="F4" s="271"/>
      <c r="G4" s="271"/>
      <c r="H4" s="271" t="str">
        <f ca="1">TEXT(E4,"dddd")</f>
        <v>Wednesday</v>
      </c>
      <c r="I4" s="271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C92</f>
        <v>598</v>
      </c>
      <c r="C5" s="30">
        <f t="shared" si="0"/>
        <v>559.6</v>
      </c>
      <c r="D5" s="30">
        <f t="shared" si="0"/>
        <v>566.1</v>
      </c>
      <c r="E5" s="30">
        <f t="shared" si="0"/>
        <v>571.9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B92</f>
        <v>556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4MW at 4:60hr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Load=4</v>
      </c>
      <c r="B7" s="35">
        <f>B100</f>
        <v>1157.29</v>
      </c>
      <c r="C7" s="35">
        <f t="shared" ref="C7:AF7" si="1">C100</f>
        <v>1199.29</v>
      </c>
      <c r="D7" s="35">
        <f t="shared" si="1"/>
        <v>1160.8899999999999</v>
      </c>
      <c r="E7" s="35">
        <f t="shared" si="1"/>
        <v>1167.69</v>
      </c>
      <c r="F7" s="35">
        <f t="shared" si="1"/>
        <v>1173.19</v>
      </c>
      <c r="G7" s="35">
        <f t="shared" si="1"/>
        <v>3.54</v>
      </c>
      <c r="H7" s="35">
        <f t="shared" si="1"/>
        <v>3.54</v>
      </c>
      <c r="I7" s="35">
        <f t="shared" si="1"/>
        <v>3.54</v>
      </c>
      <c r="J7" s="35">
        <f t="shared" si="1"/>
        <v>3.54</v>
      </c>
      <c r="K7" s="35">
        <f t="shared" si="1"/>
        <v>3.54</v>
      </c>
      <c r="L7" s="35">
        <f t="shared" si="1"/>
        <v>3.54</v>
      </c>
      <c r="M7" s="35">
        <f t="shared" si="1"/>
        <v>3.54</v>
      </c>
      <c r="N7" s="35">
        <f t="shared" si="1"/>
        <v>3.54</v>
      </c>
      <c r="O7" s="35">
        <f t="shared" si="1"/>
        <v>3.54</v>
      </c>
      <c r="P7" s="35">
        <f t="shared" si="1"/>
        <v>3.54</v>
      </c>
      <c r="Q7" s="35">
        <f t="shared" si="1"/>
        <v>3.54</v>
      </c>
      <c r="R7" s="35">
        <f t="shared" si="1"/>
        <v>3.54</v>
      </c>
      <c r="S7" s="35">
        <f t="shared" si="1"/>
        <v>3.54</v>
      </c>
      <c r="T7" s="35">
        <f t="shared" si="1"/>
        <v>3.54</v>
      </c>
      <c r="U7" s="35">
        <f t="shared" si="1"/>
        <v>3.54</v>
      </c>
      <c r="V7" s="35">
        <f t="shared" si="1"/>
        <v>3.54</v>
      </c>
      <c r="W7" s="35">
        <f t="shared" si="1"/>
        <v>3.54</v>
      </c>
      <c r="X7" s="35">
        <f t="shared" si="1"/>
        <v>3.54</v>
      </c>
      <c r="Y7" s="35">
        <f t="shared" si="1"/>
        <v>4.5</v>
      </c>
      <c r="Z7" s="35">
        <f t="shared" si="1"/>
        <v>5.5</v>
      </c>
      <c r="AA7" s="35">
        <f t="shared" si="1"/>
        <v>3.54</v>
      </c>
      <c r="AB7" s="35">
        <f t="shared" si="1"/>
        <v>3.54</v>
      </c>
      <c r="AC7" s="35">
        <f t="shared" si="1"/>
        <v>3.54</v>
      </c>
      <c r="AD7" s="35">
        <f t="shared" si="1"/>
        <v>3.54</v>
      </c>
      <c r="AE7" s="35">
        <f t="shared" si="1"/>
        <v>3.54</v>
      </c>
      <c r="AF7" s="35">
        <f t="shared" si="1"/>
        <v>3.54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72" t="s">
        <v>14</v>
      </c>
      <c r="C8" s="273"/>
      <c r="D8" s="273"/>
      <c r="E8" s="273"/>
      <c r="F8" s="273"/>
      <c r="G8" s="273"/>
      <c r="H8" s="273"/>
      <c r="I8" s="273"/>
      <c r="J8" s="273"/>
      <c r="K8" s="273"/>
      <c r="L8" s="274"/>
      <c r="M8" s="265" t="s">
        <v>15</v>
      </c>
      <c r="N8" s="266"/>
      <c r="O8" s="266"/>
      <c r="P8" s="266"/>
      <c r="Q8" s="266"/>
      <c r="R8" s="267"/>
      <c r="S8" s="265" t="s">
        <v>16</v>
      </c>
      <c r="T8" s="266"/>
      <c r="U8" s="266"/>
      <c r="V8" s="266"/>
      <c r="W8" s="266"/>
      <c r="X8" s="266"/>
      <c r="Y8" s="266"/>
      <c r="Z8" s="266"/>
      <c r="AA8" s="267"/>
      <c r="AB8" s="265" t="s">
        <v>17</v>
      </c>
      <c r="AC8" s="266"/>
      <c r="AD8" s="266"/>
      <c r="AE8" s="266"/>
      <c r="AF8" s="267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68" t="s">
        <v>18</v>
      </c>
      <c r="B9" s="264">
        <v>0</v>
      </c>
      <c r="C9" s="264">
        <v>4.1666666666666664E-2</v>
      </c>
      <c r="D9" s="264">
        <v>8.3333333333333301E-2</v>
      </c>
      <c r="E9" s="264">
        <v>0.125</v>
      </c>
      <c r="F9" s="264">
        <v>0.16666666666666699</v>
      </c>
      <c r="G9" s="264">
        <v>0.20833333333333301</v>
      </c>
      <c r="H9" s="264">
        <v>0.22916666666666666</v>
      </c>
      <c r="I9" s="264">
        <v>0.25</v>
      </c>
      <c r="J9" s="264">
        <v>0.27083333333333331</v>
      </c>
      <c r="K9" s="264">
        <v>0.29166666666666669</v>
      </c>
      <c r="L9" s="264">
        <v>0.3125</v>
      </c>
      <c r="M9" s="262">
        <v>0.33333333333333331</v>
      </c>
      <c r="N9" s="262">
        <v>0.375</v>
      </c>
      <c r="O9" s="262">
        <v>0.41666666666666702</v>
      </c>
      <c r="P9" s="262">
        <v>0.45833333333333298</v>
      </c>
      <c r="Q9" s="262">
        <v>0.5</v>
      </c>
      <c r="R9" s="262">
        <v>0.54166666666666696</v>
      </c>
      <c r="S9" s="258">
        <v>0.58333333333333304</v>
      </c>
      <c r="T9" s="258">
        <v>0.625</v>
      </c>
      <c r="U9" s="258">
        <v>0.66666666666666696</v>
      </c>
      <c r="V9" s="258">
        <v>0.70833333333333304</v>
      </c>
      <c r="W9" s="258">
        <v>0.72916666666666663</v>
      </c>
      <c r="X9" s="258">
        <v>0.75</v>
      </c>
      <c r="Y9" s="258">
        <v>0.77083333333333337</v>
      </c>
      <c r="Z9" s="258">
        <v>0.79166666666666663</v>
      </c>
      <c r="AA9" s="258">
        <v>0.8125</v>
      </c>
      <c r="AB9" s="258">
        <v>0.83333333333333337</v>
      </c>
      <c r="AC9" s="258">
        <v>0.85416666666666663</v>
      </c>
      <c r="AD9" s="258">
        <v>0.875</v>
      </c>
      <c r="AE9" s="258">
        <v>0.91666666666666696</v>
      </c>
      <c r="AF9" s="258">
        <v>0.95833333333333304</v>
      </c>
      <c r="AG9" s="260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69"/>
      <c r="B10" s="259"/>
      <c r="C10" s="259"/>
      <c r="D10" s="259"/>
      <c r="E10" s="259"/>
      <c r="F10" s="259"/>
      <c r="G10" s="259"/>
      <c r="H10" s="259"/>
      <c r="I10" s="259"/>
      <c r="J10" s="259"/>
      <c r="K10" s="259"/>
      <c r="L10" s="259"/>
      <c r="M10" s="263"/>
      <c r="N10" s="263"/>
      <c r="O10" s="263"/>
      <c r="P10" s="263"/>
      <c r="Q10" s="263"/>
      <c r="R10" s="263"/>
      <c r="S10" s="259"/>
      <c r="T10" s="259"/>
      <c r="U10" s="259"/>
      <c r="V10" s="259"/>
      <c r="W10" s="259"/>
      <c r="X10" s="259"/>
      <c r="Y10" s="259"/>
      <c r="Z10" s="259"/>
      <c r="AA10" s="259"/>
      <c r="AB10" s="259"/>
      <c r="AC10" s="259"/>
      <c r="AD10" s="259"/>
      <c r="AE10" s="259"/>
      <c r="AF10" s="259"/>
      <c r="AG10" s="261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30.5</v>
      </c>
      <c r="C11" s="45">
        <v>30.5</v>
      </c>
      <c r="D11" s="45">
        <v>30.5</v>
      </c>
      <c r="E11" s="45">
        <v>29.5</v>
      </c>
      <c r="F11" s="45">
        <v>29</v>
      </c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6">
        <v>86</v>
      </c>
      <c r="AH11" s="47">
        <f t="shared" ref="AH11:AH84" si="2">MAX(B11:AF11)</f>
        <v>30.5</v>
      </c>
      <c r="AI11" s="48">
        <f t="shared" ref="AI11:AI84" si="3">MIN(B11:AF11)</f>
        <v>29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262</v>
      </c>
      <c r="B12" s="45">
        <v>9.8000000000000007</v>
      </c>
      <c r="C12" s="45">
        <v>9.8000000000000007</v>
      </c>
      <c r="D12" s="45">
        <v>9.8000000000000007</v>
      </c>
      <c r="E12" s="45">
        <v>9.8000000000000007</v>
      </c>
      <c r="F12" s="45">
        <v>9.8000000000000007</v>
      </c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9">
        <v>54</v>
      </c>
      <c r="AH12" s="47">
        <f t="shared" si="2"/>
        <v>9.8000000000000007</v>
      </c>
      <c r="AI12" s="48">
        <f t="shared" si="3"/>
        <v>9.8000000000000007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10.3</v>
      </c>
      <c r="C13" s="45">
        <v>10.3</v>
      </c>
      <c r="D13" s="45">
        <v>10.3</v>
      </c>
      <c r="E13" s="45">
        <v>10.3</v>
      </c>
      <c r="F13" s="45">
        <v>10.3</v>
      </c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9">
        <v>54</v>
      </c>
      <c r="AH13" s="47">
        <f t="shared" si="2"/>
        <v>10.3</v>
      </c>
      <c r="AI13" s="48">
        <f t="shared" si="3"/>
        <v>10.3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16.399999999999999</v>
      </c>
      <c r="C14" s="45">
        <v>16.399999999999999</v>
      </c>
      <c r="D14" s="45">
        <v>16.399999999999999</v>
      </c>
      <c r="E14" s="45">
        <v>16.399999999999999</v>
      </c>
      <c r="F14" s="45">
        <v>16.399999999999999</v>
      </c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6">
        <v>52.4</v>
      </c>
      <c r="AH14" s="47">
        <f t="shared" si="2"/>
        <v>16.399999999999999</v>
      </c>
      <c r="AI14" s="48">
        <f t="shared" si="3"/>
        <v>16.399999999999999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28.3</v>
      </c>
      <c r="C15" s="45">
        <v>28.3</v>
      </c>
      <c r="D15" s="45">
        <v>28.3</v>
      </c>
      <c r="E15" s="45">
        <v>28.3</v>
      </c>
      <c r="F15" s="45">
        <v>28.3</v>
      </c>
      <c r="G15" s="45"/>
      <c r="H15" s="45"/>
      <c r="I15" s="45"/>
      <c r="J15" s="45"/>
      <c r="K15" s="45"/>
      <c r="L15" s="45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45"/>
      <c r="AB15" s="45"/>
      <c r="AC15" s="45"/>
      <c r="AD15" s="45"/>
      <c r="AE15" s="45"/>
      <c r="AF15" s="45"/>
      <c r="AG15" s="49">
        <v>50</v>
      </c>
      <c r="AH15" s="47">
        <f t="shared" si="2"/>
        <v>28.3</v>
      </c>
      <c r="AI15" s="48">
        <f t="shared" si="3"/>
        <v>28.3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17.2</v>
      </c>
      <c r="C16" s="45">
        <v>17.2</v>
      </c>
      <c r="D16" s="45">
        <v>17.2</v>
      </c>
      <c r="E16" s="45">
        <v>17.2</v>
      </c>
      <c r="F16" s="45">
        <v>17.2</v>
      </c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9">
        <v>45</v>
      </c>
      <c r="AH16" s="47">
        <f t="shared" si="2"/>
        <v>17.2</v>
      </c>
      <c r="AI16" s="48">
        <f t="shared" si="3"/>
        <v>17.2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14</v>
      </c>
      <c r="C17" s="45">
        <v>14</v>
      </c>
      <c r="D17" s="45">
        <v>14</v>
      </c>
      <c r="E17" s="45">
        <v>14</v>
      </c>
      <c r="F17" s="45">
        <v>14</v>
      </c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9">
        <v>44</v>
      </c>
      <c r="AH17" s="47">
        <f>MAX(B17:AG17)</f>
        <v>44</v>
      </c>
      <c r="AI17" s="48">
        <f>MIN(B17:AG17)</f>
        <v>14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7.5</v>
      </c>
      <c r="C18" s="45">
        <v>7.5</v>
      </c>
      <c r="D18" s="45">
        <v>7.5</v>
      </c>
      <c r="E18" s="45">
        <v>7.5</v>
      </c>
      <c r="F18" s="45">
        <v>7.5</v>
      </c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9">
        <v>42</v>
      </c>
      <c r="AH18" s="47">
        <f t="shared" si="2"/>
        <v>7.5</v>
      </c>
      <c r="AI18" s="48">
        <f t="shared" si="3"/>
        <v>7.5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263</v>
      </c>
      <c r="B19" s="45">
        <v>12.2</v>
      </c>
      <c r="C19" s="45">
        <v>12.2</v>
      </c>
      <c r="D19" s="45">
        <v>12.2</v>
      </c>
      <c r="E19" s="45">
        <v>12.2</v>
      </c>
      <c r="F19" s="45">
        <v>12.2</v>
      </c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9">
        <v>38.46</v>
      </c>
      <c r="AH19" s="47">
        <f t="shared" si="2"/>
        <v>12.2</v>
      </c>
      <c r="AI19" s="48">
        <f t="shared" si="3"/>
        <v>12.2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7.8</v>
      </c>
      <c r="C20" s="45">
        <v>7.8</v>
      </c>
      <c r="D20" s="45">
        <v>7.8</v>
      </c>
      <c r="E20" s="45">
        <v>7.8</v>
      </c>
      <c r="F20" s="45">
        <v>7.8</v>
      </c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9">
        <v>38.46</v>
      </c>
      <c r="AH20" s="47">
        <f t="shared" si="2"/>
        <v>7.8</v>
      </c>
      <c r="AI20" s="48">
        <f t="shared" si="3"/>
        <v>7.8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</v>
      </c>
      <c r="C21" s="45">
        <v>13</v>
      </c>
      <c r="D21" s="45">
        <v>13</v>
      </c>
      <c r="E21" s="45">
        <v>13</v>
      </c>
      <c r="F21" s="45">
        <v>13</v>
      </c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9">
        <v>36</v>
      </c>
      <c r="AH21" s="47">
        <f t="shared" si="2"/>
        <v>13</v>
      </c>
      <c r="AI21" s="48">
        <f t="shared" si="3"/>
        <v>13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8.8000000000000007</v>
      </c>
      <c r="C22" s="45">
        <v>8.8000000000000007</v>
      </c>
      <c r="D22" s="45">
        <v>8.8000000000000007</v>
      </c>
      <c r="E22" s="45">
        <v>8.8000000000000007</v>
      </c>
      <c r="F22" s="45">
        <v>8.8000000000000007</v>
      </c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52">
        <v>30</v>
      </c>
      <c r="AH22" s="47">
        <f t="shared" si="2"/>
        <v>8.8000000000000007</v>
      </c>
      <c r="AI22" s="48">
        <f t="shared" si="3"/>
        <v>8.8000000000000007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9</v>
      </c>
      <c r="C23" s="45">
        <v>9</v>
      </c>
      <c r="D23" s="45">
        <v>9</v>
      </c>
      <c r="E23" s="45">
        <v>9</v>
      </c>
      <c r="F23" s="45">
        <v>9</v>
      </c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9">
        <v>24.2</v>
      </c>
      <c r="AH23" s="47">
        <f t="shared" si="2"/>
        <v>9</v>
      </c>
      <c r="AI23" s="48">
        <f t="shared" si="3"/>
        <v>9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7.2</v>
      </c>
      <c r="C24" s="45">
        <v>7.2</v>
      </c>
      <c r="D24" s="45">
        <v>7.2</v>
      </c>
      <c r="E24" s="45">
        <v>7.2</v>
      </c>
      <c r="F24" s="45">
        <v>7.2</v>
      </c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9">
        <v>28</v>
      </c>
      <c r="AH24" s="47">
        <f t="shared" si="2"/>
        <v>7.2</v>
      </c>
      <c r="AI24" s="48">
        <f t="shared" si="3"/>
        <v>7.2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6.7</v>
      </c>
      <c r="C25" s="45">
        <v>6.7</v>
      </c>
      <c r="D25" s="45">
        <v>6.7</v>
      </c>
      <c r="E25" s="45">
        <v>6.7</v>
      </c>
      <c r="F25" s="45">
        <v>6.7</v>
      </c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52">
        <v>30</v>
      </c>
      <c r="AH25" s="47">
        <f t="shared" si="2"/>
        <v>6.7</v>
      </c>
      <c r="AI25" s="48">
        <f t="shared" si="3"/>
        <v>6.7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8.1999999999999993</v>
      </c>
      <c r="C26" s="45">
        <v>8.1999999999999993</v>
      </c>
      <c r="D26" s="45">
        <v>8.1999999999999993</v>
      </c>
      <c r="E26" s="45">
        <v>8.1999999999999993</v>
      </c>
      <c r="F26" s="45">
        <v>8.1999999999999993</v>
      </c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9">
        <v>25</v>
      </c>
      <c r="AH26" s="47">
        <f t="shared" si="2"/>
        <v>8.1999999999999993</v>
      </c>
      <c r="AI26" s="48">
        <f t="shared" si="3"/>
        <v>8.1999999999999993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5</v>
      </c>
      <c r="C27" s="45">
        <v>5</v>
      </c>
      <c r="D27" s="45">
        <v>5</v>
      </c>
      <c r="E27" s="45">
        <v>5</v>
      </c>
      <c r="F27" s="45">
        <v>5</v>
      </c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9">
        <v>25</v>
      </c>
      <c r="AH27" s="47">
        <f t="shared" si="2"/>
        <v>5</v>
      </c>
      <c r="AI27" s="48">
        <f t="shared" si="3"/>
        <v>5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6</v>
      </c>
      <c r="C28" s="45">
        <v>6</v>
      </c>
      <c r="D28" s="45">
        <v>6</v>
      </c>
      <c r="E28" s="45">
        <v>6</v>
      </c>
      <c r="F28" s="45">
        <v>6</v>
      </c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9">
        <v>25</v>
      </c>
      <c r="AH28" s="47">
        <f t="shared" si="2"/>
        <v>6</v>
      </c>
      <c r="AI28" s="48">
        <f t="shared" si="3"/>
        <v>6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7.4</v>
      </c>
      <c r="C29" s="45">
        <v>7.4</v>
      </c>
      <c r="D29" s="45">
        <v>7.4</v>
      </c>
      <c r="E29" s="45">
        <v>7.4</v>
      </c>
      <c r="F29" s="45">
        <v>7.4</v>
      </c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9">
        <v>25</v>
      </c>
      <c r="AH29" s="47">
        <f t="shared" si="2"/>
        <v>7.4</v>
      </c>
      <c r="AI29" s="48">
        <f t="shared" si="3"/>
        <v>7.4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7.2</v>
      </c>
      <c r="C30" s="45">
        <v>7.2</v>
      </c>
      <c r="D30" s="45">
        <v>7.2</v>
      </c>
      <c r="E30" s="45">
        <v>7.2</v>
      </c>
      <c r="F30" s="45">
        <v>7.2</v>
      </c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9">
        <v>23.5</v>
      </c>
      <c r="AH30" s="47">
        <f t="shared" si="2"/>
        <v>7.2</v>
      </c>
      <c r="AI30" s="48">
        <f t="shared" si="3"/>
        <v>7.2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4.5</v>
      </c>
      <c r="C31" s="45">
        <v>4.5</v>
      </c>
      <c r="D31" s="45">
        <v>4.5</v>
      </c>
      <c r="E31" s="45">
        <v>4.5</v>
      </c>
      <c r="F31" s="45">
        <v>4.5</v>
      </c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9">
        <v>22.2</v>
      </c>
      <c r="AH31" s="47">
        <f t="shared" si="2"/>
        <v>4.5</v>
      </c>
      <c r="AI31" s="48">
        <f t="shared" si="3"/>
        <v>4.5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9">
        <v>22.1</v>
      </c>
      <c r="AH32" s="47">
        <f t="shared" si="2"/>
        <v>5.5</v>
      </c>
      <c r="AI32" s="48">
        <f t="shared" si="3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9">
        <v>22</v>
      </c>
      <c r="AH33" s="47">
        <f t="shared" si="2"/>
        <v>6</v>
      </c>
      <c r="AI33" s="48">
        <f t="shared" si="3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6.3</v>
      </c>
      <c r="C34" s="45">
        <v>6.3</v>
      </c>
      <c r="D34" s="45">
        <v>6.3</v>
      </c>
      <c r="E34" s="45">
        <v>6.3</v>
      </c>
      <c r="F34" s="45">
        <v>6.3</v>
      </c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9">
        <v>22</v>
      </c>
      <c r="AH34" s="47">
        <f t="shared" si="2"/>
        <v>6.3</v>
      </c>
      <c r="AI34" s="48">
        <f t="shared" si="3"/>
        <v>6.3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6.5</v>
      </c>
      <c r="C35" s="45">
        <v>6.5</v>
      </c>
      <c r="D35" s="45">
        <v>6.5</v>
      </c>
      <c r="E35" s="45">
        <v>6.5</v>
      </c>
      <c r="F35" s="45">
        <v>6.5</v>
      </c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9">
        <v>20</v>
      </c>
      <c r="AH35" s="47">
        <f t="shared" si="2"/>
        <v>6.5</v>
      </c>
      <c r="AI35" s="48">
        <f t="shared" si="3"/>
        <v>6.5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264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9">
        <v>20</v>
      </c>
      <c r="AH36" s="47">
        <f t="shared" si="2"/>
        <v>4</v>
      </c>
      <c r="AI36" s="48">
        <f t="shared" si="3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5.7</v>
      </c>
      <c r="C37" s="45">
        <v>5.7</v>
      </c>
      <c r="D37" s="45">
        <v>5.7</v>
      </c>
      <c r="E37" s="45">
        <v>5.7</v>
      </c>
      <c r="F37" s="45">
        <v>5.7</v>
      </c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9">
        <v>18</v>
      </c>
      <c r="AH37" s="47">
        <f t="shared" si="2"/>
        <v>5.7</v>
      </c>
      <c r="AI37" s="48">
        <f t="shared" si="3"/>
        <v>5.7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9">
        <v>14.9</v>
      </c>
      <c r="AH38" s="47">
        <f t="shared" si="2"/>
        <v>7.2</v>
      </c>
      <c r="AI38" s="48">
        <f t="shared" si="3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265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9">
        <v>14.9</v>
      </c>
      <c r="AH40" s="47">
        <f t="shared" si="2"/>
        <v>5</v>
      </c>
      <c r="AI40" s="48">
        <f t="shared" si="3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266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9">
        <v>14.9</v>
      </c>
      <c r="AH41" s="47">
        <f t="shared" si="2"/>
        <v>4</v>
      </c>
      <c r="AI41" s="48">
        <f t="shared" si="3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9">
        <v>13.6</v>
      </c>
      <c r="AH42" s="47">
        <f t="shared" si="2"/>
        <v>1.8</v>
      </c>
      <c r="AI42" s="48">
        <f t="shared" si="3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9">
        <v>13</v>
      </c>
      <c r="AH43" s="47">
        <f t="shared" si="2"/>
        <v>3.8</v>
      </c>
      <c r="AI43" s="48">
        <f t="shared" si="3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4</v>
      </c>
      <c r="C44" s="45">
        <v>4</v>
      </c>
      <c r="D44" s="45">
        <v>4</v>
      </c>
      <c r="E44" s="45">
        <v>4</v>
      </c>
      <c r="F44" s="45">
        <v>4</v>
      </c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9">
        <v>12</v>
      </c>
      <c r="AH44" s="47">
        <f t="shared" si="2"/>
        <v>4</v>
      </c>
      <c r="AI44" s="48">
        <f t="shared" si="3"/>
        <v>4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9">
        <v>12</v>
      </c>
      <c r="AH45" s="47">
        <f t="shared" si="2"/>
        <v>9</v>
      </c>
      <c r="AI45" s="48">
        <f t="shared" si="3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9">
        <v>12</v>
      </c>
      <c r="AH46" s="47">
        <f t="shared" si="2"/>
        <v>3</v>
      </c>
      <c r="AI46" s="48">
        <f t="shared" si="3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53">
        <v>22</v>
      </c>
      <c r="AH47" s="47">
        <f t="shared" si="2"/>
        <v>3.5</v>
      </c>
      <c r="AI47" s="48">
        <f t="shared" si="3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52">
        <v>11.88</v>
      </c>
      <c r="AH48" s="47">
        <f t="shared" si="2"/>
        <v>5</v>
      </c>
      <c r="AI48" s="48">
        <f t="shared" si="3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55">
        <v>11</v>
      </c>
      <c r="AH49" s="47">
        <f t="shared" si="2"/>
        <v>3</v>
      </c>
      <c r="AI49" s="48">
        <f t="shared" si="3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267</v>
      </c>
      <c r="B50" s="45">
        <v>2.4500000000000002</v>
      </c>
      <c r="C50" s="45">
        <v>2.4500000000000002</v>
      </c>
      <c r="D50" s="45">
        <v>2.4500000000000002</v>
      </c>
      <c r="E50" s="45">
        <v>2.4500000000000002</v>
      </c>
      <c r="F50" s="45">
        <v>2.4500000000000002</v>
      </c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55">
        <v>11</v>
      </c>
      <c r="AH50" s="47">
        <f t="shared" si="2"/>
        <v>2.4500000000000002</v>
      </c>
      <c r="AI50" s="48">
        <f t="shared" si="3"/>
        <v>2.4500000000000002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268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55">
        <v>11</v>
      </c>
      <c r="AH51" s="47">
        <f t="shared" si="2"/>
        <v>3</v>
      </c>
      <c r="AI51" s="48">
        <f t="shared" si="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55">
        <v>10</v>
      </c>
      <c r="AH52" s="47">
        <f t="shared" si="2"/>
        <v>4</v>
      </c>
      <c r="AI52" s="48">
        <f t="shared" si="3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55">
        <v>10</v>
      </c>
      <c r="AH53" s="47">
        <f t="shared" si="2"/>
        <v>4.5</v>
      </c>
      <c r="AI53" s="48">
        <f t="shared" si="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269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55">
        <v>10</v>
      </c>
      <c r="AH55" s="47">
        <f t="shared" si="2"/>
        <v>0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150</v>
      </c>
      <c r="C56" s="57">
        <v>150</v>
      </c>
      <c r="D56" s="57">
        <v>150</v>
      </c>
      <c r="E56" s="57">
        <v>150</v>
      </c>
      <c r="F56" s="57">
        <v>150</v>
      </c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5">
        <v>85</v>
      </c>
      <c r="AH56" s="47">
        <f t="shared" si="2"/>
        <v>150</v>
      </c>
      <c r="AI56" s="48">
        <f t="shared" si="3"/>
        <v>150</v>
      </c>
      <c r="AK56" s="50"/>
    </row>
    <row r="57" spans="1:88" ht="15.75" thickBot="1" x14ac:dyDescent="0.3">
      <c r="A57" s="58" t="s">
        <v>57</v>
      </c>
      <c r="B57" s="57">
        <v>26.3</v>
      </c>
      <c r="C57" s="57">
        <v>26.3</v>
      </c>
      <c r="D57" s="57">
        <v>26.3</v>
      </c>
      <c r="E57" s="57">
        <v>27.1</v>
      </c>
      <c r="F57" s="57">
        <v>24.3</v>
      </c>
      <c r="G57" s="57"/>
      <c r="H57" s="57"/>
      <c r="I57" s="57"/>
      <c r="J57" s="57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7"/>
      <c r="Y57" s="57"/>
      <c r="Z57" s="57"/>
      <c r="AA57" s="57"/>
      <c r="AB57" s="57"/>
      <c r="AC57" s="57"/>
      <c r="AD57" s="57"/>
      <c r="AE57" s="57"/>
      <c r="AF57" s="57"/>
      <c r="AG57" s="55">
        <v>240</v>
      </c>
      <c r="AH57" s="47">
        <f t="shared" si="2"/>
        <v>27.1</v>
      </c>
      <c r="AI57" s="48">
        <f t="shared" si="3"/>
        <v>24.3</v>
      </c>
      <c r="AK57" s="50"/>
    </row>
    <row r="58" spans="1:88" ht="15.75" thickBot="1" x14ac:dyDescent="0.3">
      <c r="A58" s="59" t="s">
        <v>58</v>
      </c>
      <c r="B58" s="60">
        <f>SUM(B11:B56)</f>
        <v>484.24999999999994</v>
      </c>
      <c r="C58" s="60">
        <f>SUM(C11:C56)</f>
        <v>484.24999999999994</v>
      </c>
      <c r="D58" s="60">
        <f t="shared" ref="D58:AF58" si="4">SUM(D11:D56)</f>
        <v>484.24999999999994</v>
      </c>
      <c r="E58" s="60">
        <f t="shared" si="4"/>
        <v>483.24999999999994</v>
      </c>
      <c r="F58" s="60">
        <f t="shared" si="4"/>
        <v>482.74999999999994</v>
      </c>
      <c r="G58" s="60">
        <f t="shared" si="4"/>
        <v>0</v>
      </c>
      <c r="H58" s="60">
        <f t="shared" si="4"/>
        <v>0</v>
      </c>
      <c r="I58" s="60">
        <f t="shared" si="4"/>
        <v>0</v>
      </c>
      <c r="J58" s="60">
        <f t="shared" si="4"/>
        <v>0</v>
      </c>
      <c r="K58" s="60">
        <f t="shared" si="4"/>
        <v>0</v>
      </c>
      <c r="L58" s="60">
        <f t="shared" si="4"/>
        <v>0</v>
      </c>
      <c r="M58" s="60">
        <f t="shared" si="4"/>
        <v>0</v>
      </c>
      <c r="N58" s="60">
        <f t="shared" si="4"/>
        <v>0</v>
      </c>
      <c r="O58" s="60">
        <f t="shared" si="4"/>
        <v>0</v>
      </c>
      <c r="P58" s="60">
        <f t="shared" si="4"/>
        <v>0</v>
      </c>
      <c r="Q58" s="60">
        <f t="shared" si="4"/>
        <v>0</v>
      </c>
      <c r="R58" s="60">
        <f t="shared" si="4"/>
        <v>0</v>
      </c>
      <c r="S58" s="60">
        <f t="shared" si="4"/>
        <v>0</v>
      </c>
      <c r="T58" s="60">
        <f t="shared" si="4"/>
        <v>0</v>
      </c>
      <c r="U58" s="60">
        <f t="shared" si="4"/>
        <v>0</v>
      </c>
      <c r="V58" s="60">
        <f t="shared" si="4"/>
        <v>0</v>
      </c>
      <c r="W58" s="60">
        <f t="shared" si="4"/>
        <v>0</v>
      </c>
      <c r="X58" s="60">
        <f t="shared" si="4"/>
        <v>0</v>
      </c>
      <c r="Y58" s="60">
        <f>SUM(Y11:Y56)</f>
        <v>0</v>
      </c>
      <c r="Z58" s="60">
        <f>SUM(Z11:Z56)</f>
        <v>0</v>
      </c>
      <c r="AA58" s="60">
        <f t="shared" si="4"/>
        <v>0</v>
      </c>
      <c r="AB58" s="60">
        <f t="shared" si="4"/>
        <v>0</v>
      </c>
      <c r="AC58" s="60">
        <f t="shared" si="4"/>
        <v>0</v>
      </c>
      <c r="AD58" s="60">
        <f t="shared" si="4"/>
        <v>0</v>
      </c>
      <c r="AE58" s="60">
        <f t="shared" si="4"/>
        <v>0</v>
      </c>
      <c r="AF58" s="60">
        <f t="shared" si="4"/>
        <v>0</v>
      </c>
      <c r="AG58" s="61">
        <f>SUM(AG14:AG56)</f>
        <v>1042.4000000000001</v>
      </c>
      <c r="AH58" s="47">
        <f t="shared" si="2"/>
        <v>484.24999999999994</v>
      </c>
      <c r="AI58" s="48">
        <f t="shared" si="3"/>
        <v>0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/>
      <c r="H59" s="45"/>
      <c r="I59" s="45"/>
      <c r="J59" s="45"/>
      <c r="K59" s="45"/>
      <c r="L59" s="45"/>
      <c r="M59" s="45"/>
      <c r="N59" s="63"/>
      <c r="O59" s="63"/>
      <c r="P59" s="63"/>
      <c r="Q59" s="63"/>
      <c r="R59" s="63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52">
        <v>456</v>
      </c>
      <c r="AH59" s="47">
        <f t="shared" si="2"/>
        <v>0</v>
      </c>
      <c r="AI59" s="48">
        <f t="shared" si="3"/>
        <v>0</v>
      </c>
      <c r="AK59" s="50"/>
    </row>
    <row r="60" spans="1:88" x14ac:dyDescent="0.25">
      <c r="A60" s="64" t="s">
        <v>60</v>
      </c>
      <c r="B60" s="65">
        <v>30</v>
      </c>
      <c r="C60" s="65">
        <v>30</v>
      </c>
      <c r="D60" s="65">
        <v>30</v>
      </c>
      <c r="E60" s="65">
        <v>30</v>
      </c>
      <c r="F60" s="65">
        <v>30</v>
      </c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55">
        <v>60</v>
      </c>
      <c r="AH60" s="47">
        <f t="shared" si="2"/>
        <v>30</v>
      </c>
      <c r="AI60" s="48">
        <f t="shared" si="3"/>
        <v>30</v>
      </c>
      <c r="AK60" s="50"/>
    </row>
    <row r="61" spans="1:88" ht="15.75" thickBot="1" x14ac:dyDescent="0.3">
      <c r="A61" s="66" t="s">
        <v>61</v>
      </c>
      <c r="B61" s="67">
        <v>10</v>
      </c>
      <c r="C61" s="67">
        <v>10</v>
      </c>
      <c r="D61" s="67">
        <v>10</v>
      </c>
      <c r="E61" s="67">
        <v>10</v>
      </c>
      <c r="F61" s="67">
        <v>10.199999999999999</v>
      </c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8">
        <v>22.1</v>
      </c>
      <c r="AH61" s="47">
        <f t="shared" si="2"/>
        <v>10.199999999999999</v>
      </c>
      <c r="AI61" s="48">
        <f t="shared" si="3"/>
        <v>10</v>
      </c>
      <c r="AK61" s="50"/>
    </row>
    <row r="62" spans="1:88" ht="15.75" thickBot="1" x14ac:dyDescent="0.3">
      <c r="A62" s="69" t="s">
        <v>62</v>
      </c>
      <c r="B62" s="60">
        <f t="shared" ref="B62:AG62" si="5">SUM(B59:B61)</f>
        <v>40</v>
      </c>
      <c r="C62" s="60">
        <f t="shared" si="5"/>
        <v>40</v>
      </c>
      <c r="D62" s="60">
        <f t="shared" si="5"/>
        <v>40</v>
      </c>
      <c r="E62" s="60">
        <f t="shared" si="5"/>
        <v>40</v>
      </c>
      <c r="F62" s="60">
        <f t="shared" si="5"/>
        <v>40.200000000000003</v>
      </c>
      <c r="G62" s="60">
        <f t="shared" si="5"/>
        <v>0</v>
      </c>
      <c r="H62" s="60">
        <f t="shared" si="5"/>
        <v>0</v>
      </c>
      <c r="I62" s="60">
        <f t="shared" si="5"/>
        <v>0</v>
      </c>
      <c r="J62" s="60">
        <f t="shared" si="5"/>
        <v>0</v>
      </c>
      <c r="K62" s="60">
        <f t="shared" si="5"/>
        <v>0</v>
      </c>
      <c r="L62" s="60">
        <f t="shared" si="5"/>
        <v>0</v>
      </c>
      <c r="M62" s="60">
        <f t="shared" si="5"/>
        <v>0</v>
      </c>
      <c r="N62" s="60">
        <f t="shared" si="5"/>
        <v>0</v>
      </c>
      <c r="O62" s="60">
        <f t="shared" si="5"/>
        <v>0</v>
      </c>
      <c r="P62" s="60">
        <f t="shared" si="5"/>
        <v>0</v>
      </c>
      <c r="Q62" s="60">
        <f t="shared" si="5"/>
        <v>0</v>
      </c>
      <c r="R62" s="60">
        <f t="shared" si="5"/>
        <v>0</v>
      </c>
      <c r="S62" s="60">
        <f t="shared" si="5"/>
        <v>0</v>
      </c>
      <c r="T62" s="60">
        <f t="shared" si="5"/>
        <v>0</v>
      </c>
      <c r="U62" s="60">
        <f t="shared" si="5"/>
        <v>0</v>
      </c>
      <c r="V62" s="60">
        <f t="shared" si="5"/>
        <v>0</v>
      </c>
      <c r="W62" s="60">
        <f t="shared" si="5"/>
        <v>0</v>
      </c>
      <c r="X62" s="60">
        <f t="shared" si="5"/>
        <v>0</v>
      </c>
      <c r="Y62" s="60">
        <f>SUM(Y59:Y61)</f>
        <v>0</v>
      </c>
      <c r="Z62" s="60">
        <f>SUM(Z59:Z61)</f>
        <v>0</v>
      </c>
      <c r="AA62" s="60">
        <f t="shared" si="5"/>
        <v>0</v>
      </c>
      <c r="AB62" s="60">
        <f t="shared" si="5"/>
        <v>0</v>
      </c>
      <c r="AC62" s="60">
        <f t="shared" si="5"/>
        <v>0</v>
      </c>
      <c r="AD62" s="60">
        <f t="shared" si="5"/>
        <v>0</v>
      </c>
      <c r="AE62" s="60">
        <f t="shared" si="5"/>
        <v>0</v>
      </c>
      <c r="AF62" s="60">
        <f t="shared" si="5"/>
        <v>0</v>
      </c>
      <c r="AG62" s="61">
        <f t="shared" si="5"/>
        <v>538.1</v>
      </c>
      <c r="AH62" s="47">
        <f t="shared" si="2"/>
        <v>40.200000000000003</v>
      </c>
      <c r="AI62" s="48">
        <f t="shared" si="3"/>
        <v>0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52">
        <v>144</v>
      </c>
      <c r="AH63" s="47">
        <f t="shared" si="2"/>
        <v>0</v>
      </c>
      <c r="AI63" s="48">
        <f t="shared" si="3"/>
        <v>0</v>
      </c>
      <c r="AK63" s="50"/>
    </row>
    <row r="64" spans="1:88" x14ac:dyDescent="0.25">
      <c r="A64" s="54" t="s">
        <v>64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65"/>
      <c r="AE64" s="45"/>
      <c r="AF64" s="45"/>
      <c r="AG64" s="55">
        <v>70</v>
      </c>
      <c r="AH64" s="47">
        <f t="shared" si="2"/>
        <v>0</v>
      </c>
      <c r="AI64" s="48">
        <f t="shared" si="3"/>
        <v>0</v>
      </c>
      <c r="AK64" s="50"/>
    </row>
    <row r="65" spans="1:41" x14ac:dyDescent="0.25">
      <c r="A65" s="54" t="s">
        <v>65</v>
      </c>
      <c r="B65" s="65">
        <v>0</v>
      </c>
      <c r="C65" s="65">
        <v>0</v>
      </c>
      <c r="D65" s="65">
        <v>0</v>
      </c>
      <c r="E65" s="65">
        <v>0</v>
      </c>
      <c r="F65" s="65">
        <v>0</v>
      </c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65"/>
      <c r="AE65" s="45"/>
      <c r="AF65" s="45"/>
      <c r="AG65" s="55">
        <v>69</v>
      </c>
      <c r="AH65" s="47">
        <f t="shared" si="2"/>
        <v>0</v>
      </c>
      <c r="AI65" s="48">
        <f t="shared" si="3"/>
        <v>0</v>
      </c>
      <c r="AK65" s="50"/>
    </row>
    <row r="66" spans="1:41" x14ac:dyDescent="0.25">
      <c r="A66" s="54" t="s">
        <v>66</v>
      </c>
      <c r="B66" s="65">
        <v>38</v>
      </c>
      <c r="C66" s="65">
        <v>38</v>
      </c>
      <c r="D66" s="65">
        <v>38</v>
      </c>
      <c r="E66" s="65">
        <v>39.299999999999997</v>
      </c>
      <c r="F66" s="65">
        <v>39.299999999999997</v>
      </c>
      <c r="G66" s="65"/>
      <c r="H66" s="65"/>
      <c r="I66" s="65"/>
      <c r="J66" s="65"/>
      <c r="K66" s="57"/>
      <c r="L66" s="57"/>
      <c r="M66" s="65"/>
      <c r="N66" s="65"/>
      <c r="O66" s="65"/>
      <c r="P66" s="65"/>
      <c r="Q66" s="65"/>
      <c r="R66" s="6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65"/>
      <c r="AE66" s="45"/>
      <c r="AF66" s="45"/>
      <c r="AG66" s="55">
        <v>60</v>
      </c>
      <c r="AH66" s="47">
        <f t="shared" si="2"/>
        <v>39.299999999999997</v>
      </c>
      <c r="AI66" s="48">
        <f t="shared" si="3"/>
        <v>38</v>
      </c>
      <c r="AK66" s="50"/>
    </row>
    <row r="67" spans="1:41" x14ac:dyDescent="0.25">
      <c r="A67" s="54" t="s">
        <v>67</v>
      </c>
      <c r="B67" s="65">
        <v>0</v>
      </c>
      <c r="C67" s="65">
        <v>0</v>
      </c>
      <c r="D67" s="65">
        <v>0</v>
      </c>
      <c r="E67" s="65">
        <v>0</v>
      </c>
      <c r="F67" s="65">
        <v>0</v>
      </c>
      <c r="G67" s="65"/>
      <c r="H67" s="65"/>
      <c r="I67" s="65"/>
      <c r="J67" s="65"/>
      <c r="K67" s="57"/>
      <c r="L67" s="57"/>
      <c r="M67" s="65"/>
      <c r="N67" s="65"/>
      <c r="O67" s="65"/>
      <c r="P67" s="65"/>
      <c r="Q67" s="65"/>
      <c r="R67" s="6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65"/>
      <c r="AE67" s="45"/>
      <c r="AF67" s="45"/>
      <c r="AG67" s="55">
        <v>30</v>
      </c>
      <c r="AH67" s="47">
        <f t="shared" si="2"/>
        <v>0</v>
      </c>
      <c r="AI67" s="48">
        <f t="shared" si="3"/>
        <v>0</v>
      </c>
      <c r="AK67" s="50"/>
    </row>
    <row r="68" spans="1:41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/>
      <c r="H68" s="45"/>
      <c r="I68" s="45"/>
      <c r="J68" s="45"/>
      <c r="K68" s="65"/>
      <c r="L68" s="65"/>
      <c r="M68" s="65"/>
      <c r="N68" s="65"/>
      <c r="O68" s="65"/>
      <c r="P68" s="65"/>
      <c r="Q68" s="65"/>
      <c r="R68" s="6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65"/>
      <c r="AE68" s="45"/>
      <c r="AF68" s="45"/>
      <c r="AG68" s="55">
        <v>25</v>
      </c>
      <c r="AH68" s="47">
        <f t="shared" si="2"/>
        <v>0</v>
      </c>
      <c r="AI68" s="48">
        <f t="shared" si="3"/>
        <v>0</v>
      </c>
      <c r="AK68" s="50"/>
    </row>
    <row r="69" spans="1:41" x14ac:dyDescent="0.25">
      <c r="A69" s="54" t="s">
        <v>69</v>
      </c>
      <c r="B69" s="65">
        <v>15</v>
      </c>
      <c r="C69" s="65">
        <v>15</v>
      </c>
      <c r="D69" s="65">
        <v>15</v>
      </c>
      <c r="E69" s="65">
        <v>15</v>
      </c>
      <c r="F69" s="65">
        <v>15</v>
      </c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55">
        <v>24</v>
      </c>
      <c r="AH69" s="47">
        <f t="shared" si="2"/>
        <v>15</v>
      </c>
      <c r="AI69" s="48">
        <f t="shared" si="3"/>
        <v>15</v>
      </c>
      <c r="AK69" s="50"/>
    </row>
    <row r="70" spans="1:41" x14ac:dyDescent="0.25">
      <c r="A70" s="54" t="s">
        <v>70</v>
      </c>
      <c r="B70" s="65">
        <v>4</v>
      </c>
      <c r="C70" s="65">
        <v>4</v>
      </c>
      <c r="D70" s="65">
        <v>4</v>
      </c>
      <c r="E70" s="65">
        <v>4</v>
      </c>
      <c r="F70" s="65">
        <v>4</v>
      </c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55">
        <v>15</v>
      </c>
      <c r="AH70" s="47">
        <f t="shared" si="2"/>
        <v>4</v>
      </c>
      <c r="AI70" s="48">
        <f t="shared" si="3"/>
        <v>4</v>
      </c>
      <c r="AK70" s="50"/>
      <c r="AL70" s="70"/>
      <c r="AO70" s="70"/>
    </row>
    <row r="71" spans="1:41" s="70" customFormat="1" x14ac:dyDescent="0.25">
      <c r="A71" s="54" t="s">
        <v>71</v>
      </c>
      <c r="B71" s="65">
        <v>8.4</v>
      </c>
      <c r="C71" s="65">
        <v>8.4</v>
      </c>
      <c r="D71" s="65">
        <v>8.4</v>
      </c>
      <c r="E71" s="65">
        <v>8.4</v>
      </c>
      <c r="F71" s="65">
        <v>8.4</v>
      </c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55">
        <v>14.1</v>
      </c>
      <c r="AH71" s="47">
        <f t="shared" si="2"/>
        <v>8.4</v>
      </c>
      <c r="AI71" s="48">
        <f t="shared" si="3"/>
        <v>8.4</v>
      </c>
      <c r="AJ71" s="1"/>
      <c r="AK71" s="50"/>
      <c r="AL71" s="1"/>
      <c r="AM71" s="1"/>
      <c r="AN71" s="1"/>
      <c r="AO71" s="1"/>
    </row>
    <row r="72" spans="1:41" x14ac:dyDescent="0.25">
      <c r="A72" s="71" t="s">
        <v>72</v>
      </c>
      <c r="B72" s="65">
        <v>3.6</v>
      </c>
      <c r="C72" s="65">
        <v>3.6</v>
      </c>
      <c r="D72" s="65">
        <v>3.6</v>
      </c>
      <c r="E72" s="65">
        <v>3.6</v>
      </c>
      <c r="F72" s="65">
        <v>3.6</v>
      </c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55">
        <v>14</v>
      </c>
      <c r="AH72" s="47">
        <f t="shared" si="2"/>
        <v>3.6</v>
      </c>
      <c r="AI72" s="48">
        <f t="shared" si="3"/>
        <v>3.6</v>
      </c>
      <c r="AK72" s="50"/>
    </row>
    <row r="73" spans="1:41" x14ac:dyDescent="0.25">
      <c r="A73" s="54" t="s">
        <v>73</v>
      </c>
      <c r="B73" s="65">
        <v>2.5</v>
      </c>
      <c r="C73" s="65">
        <v>2.5</v>
      </c>
      <c r="D73" s="65">
        <v>2.5</v>
      </c>
      <c r="E73" s="65">
        <v>2.5</v>
      </c>
      <c r="F73" s="65">
        <v>2.5</v>
      </c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55">
        <v>10.050000000000001</v>
      </c>
      <c r="AH73" s="47">
        <f t="shared" si="2"/>
        <v>2.5</v>
      </c>
      <c r="AI73" s="48">
        <f t="shared" si="3"/>
        <v>2.5</v>
      </c>
      <c r="AK73" s="50"/>
    </row>
    <row r="74" spans="1:41" x14ac:dyDescent="0.25">
      <c r="A74" s="54" t="s">
        <v>74</v>
      </c>
      <c r="B74" s="65">
        <v>2</v>
      </c>
      <c r="C74" s="65">
        <v>2</v>
      </c>
      <c r="D74" s="65">
        <v>2</v>
      </c>
      <c r="E74" s="65">
        <v>2</v>
      </c>
      <c r="F74" s="65">
        <v>2</v>
      </c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55">
        <v>6.2</v>
      </c>
      <c r="AH74" s="47">
        <f t="shared" si="2"/>
        <v>2</v>
      </c>
      <c r="AI74" s="48">
        <f t="shared" si="3"/>
        <v>2</v>
      </c>
      <c r="AK74" s="50"/>
    </row>
    <row r="75" spans="1:41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4.5</v>
      </c>
      <c r="Z75" s="72">
        <v>5.5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2"/>
        <v>5.5</v>
      </c>
      <c r="AI75" s="48">
        <f t="shared" si="3"/>
        <v>3.54</v>
      </c>
      <c r="AK75" s="50"/>
    </row>
    <row r="76" spans="1:41" ht="15.75" thickBot="1" x14ac:dyDescent="0.3">
      <c r="A76" s="74" t="s">
        <v>76</v>
      </c>
      <c r="B76" s="60">
        <f t="shared" ref="B76:AG76" si="6">SUM(B63:B75)</f>
        <v>77.040000000000006</v>
      </c>
      <c r="C76" s="60">
        <f t="shared" si="6"/>
        <v>77.040000000000006</v>
      </c>
      <c r="D76" s="60">
        <f t="shared" si="6"/>
        <v>77.040000000000006</v>
      </c>
      <c r="E76" s="60">
        <f t="shared" si="6"/>
        <v>78.34</v>
      </c>
      <c r="F76" s="60">
        <f t="shared" si="6"/>
        <v>78.34</v>
      </c>
      <c r="G76" s="60">
        <f t="shared" si="6"/>
        <v>3.54</v>
      </c>
      <c r="H76" s="60">
        <f t="shared" si="6"/>
        <v>3.54</v>
      </c>
      <c r="I76" s="60">
        <f t="shared" si="6"/>
        <v>3.54</v>
      </c>
      <c r="J76" s="60">
        <f t="shared" si="6"/>
        <v>3.54</v>
      </c>
      <c r="K76" s="60">
        <f t="shared" si="6"/>
        <v>3.54</v>
      </c>
      <c r="L76" s="60">
        <f t="shared" si="6"/>
        <v>3.54</v>
      </c>
      <c r="M76" s="60">
        <f t="shared" si="6"/>
        <v>3.54</v>
      </c>
      <c r="N76" s="60">
        <f t="shared" si="6"/>
        <v>3.54</v>
      </c>
      <c r="O76" s="60">
        <f t="shared" si="6"/>
        <v>3.54</v>
      </c>
      <c r="P76" s="60">
        <f t="shared" si="6"/>
        <v>3.54</v>
      </c>
      <c r="Q76" s="60">
        <f t="shared" si="6"/>
        <v>3.54</v>
      </c>
      <c r="R76" s="60">
        <f t="shared" si="6"/>
        <v>3.54</v>
      </c>
      <c r="S76" s="60">
        <f t="shared" si="6"/>
        <v>3.54</v>
      </c>
      <c r="T76" s="60">
        <f t="shared" si="6"/>
        <v>3.54</v>
      </c>
      <c r="U76" s="60">
        <f t="shared" si="6"/>
        <v>3.54</v>
      </c>
      <c r="V76" s="60">
        <f t="shared" si="6"/>
        <v>3.54</v>
      </c>
      <c r="W76" s="60">
        <f t="shared" si="6"/>
        <v>3.54</v>
      </c>
      <c r="X76" s="60">
        <f t="shared" si="6"/>
        <v>3.54</v>
      </c>
      <c r="Y76" s="60">
        <f>SUM(Y63:Y75)</f>
        <v>4.5</v>
      </c>
      <c r="Z76" s="60">
        <f>SUM(Z63:Z75)</f>
        <v>5.5</v>
      </c>
      <c r="AA76" s="60">
        <f t="shared" si="6"/>
        <v>3.54</v>
      </c>
      <c r="AB76" s="60">
        <f t="shared" si="6"/>
        <v>3.54</v>
      </c>
      <c r="AC76" s="60">
        <f t="shared" si="6"/>
        <v>3.54</v>
      </c>
      <c r="AD76" s="60">
        <f t="shared" si="6"/>
        <v>3.54</v>
      </c>
      <c r="AE76" s="60">
        <f t="shared" si="6"/>
        <v>3.54</v>
      </c>
      <c r="AF76" s="60">
        <f t="shared" si="6"/>
        <v>3.54</v>
      </c>
      <c r="AG76" s="61">
        <f t="shared" si="6"/>
        <v>489.91</v>
      </c>
      <c r="AH76" s="47">
        <f t="shared" si="2"/>
        <v>78.34</v>
      </c>
      <c r="AI76" s="48">
        <f t="shared" si="3"/>
        <v>3.54</v>
      </c>
      <c r="AK76" s="50"/>
    </row>
    <row r="77" spans="1:41" x14ac:dyDescent="0.25">
      <c r="A77" s="44" t="s">
        <v>77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52">
        <v>60</v>
      </c>
      <c r="AH77" s="47">
        <f t="shared" si="2"/>
        <v>0</v>
      </c>
      <c r="AI77" s="48">
        <f t="shared" si="3"/>
        <v>0</v>
      </c>
      <c r="AK77" s="50"/>
    </row>
    <row r="78" spans="1:41" x14ac:dyDescent="0.25">
      <c r="A78" s="54" t="s">
        <v>78</v>
      </c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55">
        <v>32</v>
      </c>
      <c r="AH78" s="47">
        <f t="shared" si="2"/>
        <v>0</v>
      </c>
      <c r="AI78" s="48">
        <f t="shared" si="3"/>
        <v>0</v>
      </c>
      <c r="AK78" s="50"/>
    </row>
    <row r="79" spans="1:41" ht="15.75" thickBot="1" x14ac:dyDescent="0.3">
      <c r="A79" s="71" t="s">
        <v>79</v>
      </c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8">
        <v>14</v>
      </c>
      <c r="AH79" s="47">
        <f t="shared" si="2"/>
        <v>0</v>
      </c>
      <c r="AI79" s="48">
        <f t="shared" si="3"/>
        <v>0</v>
      </c>
      <c r="AK79" s="50"/>
    </row>
    <row r="80" spans="1:41" ht="15.75" thickBot="1" x14ac:dyDescent="0.3">
      <c r="A80" s="74" t="s">
        <v>80</v>
      </c>
      <c r="B80" s="60">
        <f t="shared" ref="B80:AF80" si="7">B77+B78+B79</f>
        <v>0</v>
      </c>
      <c r="C80" s="60">
        <f t="shared" si="7"/>
        <v>0</v>
      </c>
      <c r="D80" s="60">
        <f t="shared" si="7"/>
        <v>0</v>
      </c>
      <c r="E80" s="60">
        <f t="shared" si="7"/>
        <v>0</v>
      </c>
      <c r="F80" s="60">
        <f t="shared" si="7"/>
        <v>0</v>
      </c>
      <c r="G80" s="60">
        <f t="shared" si="7"/>
        <v>0</v>
      </c>
      <c r="H80" s="60">
        <f t="shared" si="7"/>
        <v>0</v>
      </c>
      <c r="I80" s="60">
        <f t="shared" si="7"/>
        <v>0</v>
      </c>
      <c r="J80" s="60">
        <f t="shared" si="7"/>
        <v>0</v>
      </c>
      <c r="K80" s="60">
        <f t="shared" si="7"/>
        <v>0</v>
      </c>
      <c r="L80" s="60">
        <f t="shared" si="7"/>
        <v>0</v>
      </c>
      <c r="M80" s="60">
        <f t="shared" si="7"/>
        <v>0</v>
      </c>
      <c r="N80" s="60">
        <f t="shared" si="7"/>
        <v>0</v>
      </c>
      <c r="O80" s="60">
        <f t="shared" si="7"/>
        <v>0</v>
      </c>
      <c r="P80" s="60">
        <f t="shared" si="7"/>
        <v>0</v>
      </c>
      <c r="Q80" s="60">
        <f t="shared" si="7"/>
        <v>0</v>
      </c>
      <c r="R80" s="60">
        <f t="shared" si="7"/>
        <v>0</v>
      </c>
      <c r="S80" s="60">
        <f t="shared" si="7"/>
        <v>0</v>
      </c>
      <c r="T80" s="60">
        <f t="shared" si="7"/>
        <v>0</v>
      </c>
      <c r="U80" s="60">
        <f t="shared" si="7"/>
        <v>0</v>
      </c>
      <c r="V80" s="60">
        <f t="shared" si="7"/>
        <v>0</v>
      </c>
      <c r="W80" s="60">
        <f t="shared" si="7"/>
        <v>0</v>
      </c>
      <c r="X80" s="60">
        <f t="shared" si="7"/>
        <v>0</v>
      </c>
      <c r="Y80" s="60">
        <f>Y77+Y78+Y79</f>
        <v>0</v>
      </c>
      <c r="Z80" s="60">
        <f>Z77+Z78+Z79</f>
        <v>0</v>
      </c>
      <c r="AA80" s="60">
        <f t="shared" si="7"/>
        <v>0</v>
      </c>
      <c r="AB80" s="60">
        <f t="shared" si="7"/>
        <v>0</v>
      </c>
      <c r="AC80" s="60">
        <f t="shared" si="7"/>
        <v>0</v>
      </c>
      <c r="AD80" s="60">
        <f t="shared" si="7"/>
        <v>0</v>
      </c>
      <c r="AE80" s="60">
        <f t="shared" si="7"/>
        <v>0</v>
      </c>
      <c r="AF80" s="60">
        <f t="shared" si="7"/>
        <v>0</v>
      </c>
      <c r="AG80" s="61">
        <f>SUM(AG77:AG79)</f>
        <v>106</v>
      </c>
      <c r="AH80" s="47">
        <f t="shared" si="2"/>
        <v>0</v>
      </c>
      <c r="AI80" s="48">
        <f t="shared" si="3"/>
        <v>0</v>
      </c>
      <c r="AK80" s="50"/>
    </row>
    <row r="81" spans="1:40" x14ac:dyDescent="0.25">
      <c r="A81" s="44" t="s">
        <v>81</v>
      </c>
      <c r="B81" s="45">
        <v>68</v>
      </c>
      <c r="C81" s="45">
        <v>71</v>
      </c>
      <c r="D81" s="45">
        <v>72</v>
      </c>
      <c r="E81" s="45">
        <v>70.3</v>
      </c>
      <c r="F81" s="45">
        <v>75</v>
      </c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52"/>
      <c r="AH81" s="47">
        <f t="shared" si="2"/>
        <v>75</v>
      </c>
      <c r="AI81" s="48">
        <f t="shared" si="3"/>
        <v>68</v>
      </c>
      <c r="AK81" s="50"/>
    </row>
    <row r="82" spans="1:40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55"/>
      <c r="AH82" s="47">
        <f t="shared" si="2"/>
        <v>0</v>
      </c>
      <c r="AI82" s="48">
        <f t="shared" si="3"/>
        <v>0</v>
      </c>
      <c r="AK82" s="50"/>
    </row>
    <row r="83" spans="1:40" x14ac:dyDescent="0.25">
      <c r="A83" s="54" t="s">
        <v>83</v>
      </c>
      <c r="B83" s="65">
        <v>413</v>
      </c>
      <c r="C83" s="65">
        <v>446</v>
      </c>
      <c r="D83" s="65">
        <v>410</v>
      </c>
      <c r="E83" s="65">
        <v>423</v>
      </c>
      <c r="F83" s="65">
        <v>421.3</v>
      </c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75"/>
      <c r="AH83" s="47">
        <f t="shared" si="2"/>
        <v>446</v>
      </c>
      <c r="AI83" s="48">
        <f t="shared" si="3"/>
        <v>410</v>
      </c>
      <c r="AK83" s="50"/>
    </row>
    <row r="84" spans="1:40" x14ac:dyDescent="0.25">
      <c r="A84" s="54" t="s">
        <v>84</v>
      </c>
      <c r="B84" s="65">
        <v>53</v>
      </c>
      <c r="C84" s="65">
        <v>57</v>
      </c>
      <c r="D84" s="65">
        <v>53.6</v>
      </c>
      <c r="E84" s="76">
        <v>50.2</v>
      </c>
      <c r="F84" s="76">
        <v>51.2</v>
      </c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65"/>
      <c r="AE84" s="76"/>
      <c r="AF84" s="76"/>
      <c r="AG84" s="75"/>
      <c r="AH84" s="47">
        <f t="shared" si="2"/>
        <v>57</v>
      </c>
      <c r="AI84" s="48">
        <f t="shared" si="3"/>
        <v>50.2</v>
      </c>
      <c r="AK84" s="50"/>
    </row>
    <row r="85" spans="1:40" x14ac:dyDescent="0.25">
      <c r="A85" s="54" t="s">
        <v>85</v>
      </c>
      <c r="B85" s="45">
        <v>22</v>
      </c>
      <c r="C85" s="45">
        <v>24</v>
      </c>
      <c r="D85" s="45">
        <v>24</v>
      </c>
      <c r="E85" s="45">
        <v>22.6</v>
      </c>
      <c r="F85" s="45">
        <v>24.4</v>
      </c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75"/>
      <c r="AH85" s="47">
        <f t="shared" ref="AH85:AH130" si="8">MAX(B85:AF85)</f>
        <v>24.4</v>
      </c>
      <c r="AI85" s="48">
        <f t="shared" ref="AI85:AI130" si="9">MIN(B85:AF85)</f>
        <v>22</v>
      </c>
      <c r="AK85" s="50"/>
    </row>
    <row r="86" spans="1:40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5"/>
      <c r="AH86" s="47">
        <f t="shared" si="8"/>
        <v>0</v>
      </c>
      <c r="AI86" s="48">
        <f t="shared" si="9"/>
        <v>0</v>
      </c>
      <c r="AK86" s="50"/>
    </row>
    <row r="87" spans="1:40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5"/>
      <c r="AH87" s="47">
        <f t="shared" si="8"/>
        <v>0</v>
      </c>
      <c r="AI87" s="48">
        <f t="shared" si="9"/>
        <v>0</v>
      </c>
      <c r="AK87" s="50"/>
      <c r="AL87" s="78" t="s">
        <v>88</v>
      </c>
      <c r="AM87" s="78"/>
    </row>
    <row r="88" spans="1:40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5"/>
      <c r="AH88" s="47">
        <f t="shared" si="8"/>
        <v>0</v>
      </c>
      <c r="AI88" s="48">
        <f t="shared" si="9"/>
        <v>0</v>
      </c>
      <c r="AK88" s="79"/>
      <c r="AL88" s="80"/>
      <c r="AM88" s="80"/>
      <c r="AN88" s="81"/>
    </row>
    <row r="89" spans="1:40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5"/>
      <c r="AH89" s="47">
        <f t="shared" si="8"/>
        <v>0</v>
      </c>
      <c r="AI89" s="48">
        <f t="shared" si="9"/>
        <v>0</v>
      </c>
      <c r="AK89" s="82" t="s">
        <v>91</v>
      </c>
      <c r="AL89" s="65"/>
      <c r="AM89" s="76"/>
      <c r="AN89" s="83"/>
    </row>
    <row r="90" spans="1:40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85"/>
      <c r="AH90" s="47">
        <f t="shared" si="8"/>
        <v>0</v>
      </c>
      <c r="AI90" s="48">
        <f t="shared" si="9"/>
        <v>0</v>
      </c>
      <c r="AK90" s="82" t="s">
        <v>93</v>
      </c>
      <c r="AL90" s="76"/>
      <c r="AM90" s="76"/>
      <c r="AN90" s="83"/>
    </row>
    <row r="91" spans="1:40" ht="15.75" thickBot="1" x14ac:dyDescent="0.3">
      <c r="A91" s="84" t="s">
        <v>421</v>
      </c>
      <c r="B91" s="77">
        <v>0</v>
      </c>
      <c r="C91" s="77"/>
      <c r="D91" s="77"/>
      <c r="E91" s="77"/>
      <c r="F91" s="77">
        <v>0</v>
      </c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85"/>
      <c r="AH91" s="47">
        <f t="shared" si="8"/>
        <v>0</v>
      </c>
      <c r="AI91" s="48">
        <f t="shared" si="9"/>
        <v>0</v>
      </c>
      <c r="AK91" s="86"/>
      <c r="AL91" s="45"/>
      <c r="AM91" s="45"/>
      <c r="AN91" s="87"/>
    </row>
    <row r="92" spans="1:40" ht="15.75" thickBot="1" x14ac:dyDescent="0.3">
      <c r="A92" s="74" t="s">
        <v>95</v>
      </c>
      <c r="B92" s="60">
        <f t="shared" ref="B92:AF92" si="10">SUMIF(B81:B91,"&gt;0")</f>
        <v>556</v>
      </c>
      <c r="C92" s="60">
        <f t="shared" si="10"/>
        <v>598</v>
      </c>
      <c r="D92" s="60">
        <f t="shared" si="10"/>
        <v>559.6</v>
      </c>
      <c r="E92" s="60">
        <f t="shared" si="10"/>
        <v>566.1</v>
      </c>
      <c r="F92" s="60">
        <f t="shared" si="10"/>
        <v>571.9</v>
      </c>
      <c r="G92" s="60">
        <f t="shared" si="10"/>
        <v>0</v>
      </c>
      <c r="H92" s="60">
        <f t="shared" si="10"/>
        <v>0</v>
      </c>
      <c r="I92" s="60">
        <f t="shared" si="10"/>
        <v>0</v>
      </c>
      <c r="J92" s="60">
        <f t="shared" si="10"/>
        <v>0</v>
      </c>
      <c r="K92" s="60">
        <f t="shared" si="10"/>
        <v>0</v>
      </c>
      <c r="L92" s="60">
        <f t="shared" si="10"/>
        <v>0</v>
      </c>
      <c r="M92" s="60">
        <f t="shared" si="10"/>
        <v>0</v>
      </c>
      <c r="N92" s="60">
        <f t="shared" si="10"/>
        <v>0</v>
      </c>
      <c r="O92" s="60">
        <f t="shared" si="10"/>
        <v>0</v>
      </c>
      <c r="P92" s="60">
        <f t="shared" si="10"/>
        <v>0</v>
      </c>
      <c r="Q92" s="60">
        <f t="shared" si="10"/>
        <v>0</v>
      </c>
      <c r="R92" s="60">
        <f t="shared" si="10"/>
        <v>0</v>
      </c>
      <c r="S92" s="60">
        <f t="shared" si="10"/>
        <v>0</v>
      </c>
      <c r="T92" s="60">
        <f t="shared" si="10"/>
        <v>0</v>
      </c>
      <c r="U92" s="60">
        <f t="shared" si="10"/>
        <v>0</v>
      </c>
      <c r="V92" s="60">
        <f t="shared" si="10"/>
        <v>0</v>
      </c>
      <c r="W92" s="60">
        <f t="shared" si="10"/>
        <v>0</v>
      </c>
      <c r="X92" s="60">
        <f t="shared" si="10"/>
        <v>0</v>
      </c>
      <c r="Y92" s="60">
        <f>SUMIF(Y81:Y91,"&gt;0")</f>
        <v>0</v>
      </c>
      <c r="Z92" s="60">
        <f>SUMIF(Z81:Z91,"&gt;0")</f>
        <v>0</v>
      </c>
      <c r="AA92" s="60">
        <f t="shared" si="10"/>
        <v>0</v>
      </c>
      <c r="AB92" s="60">
        <f t="shared" si="10"/>
        <v>0</v>
      </c>
      <c r="AC92" s="60">
        <f t="shared" si="10"/>
        <v>0</v>
      </c>
      <c r="AD92" s="60">
        <f t="shared" si="10"/>
        <v>0</v>
      </c>
      <c r="AE92" s="60">
        <f t="shared" si="10"/>
        <v>0</v>
      </c>
      <c r="AF92" s="60">
        <f t="shared" si="10"/>
        <v>0</v>
      </c>
      <c r="AG92" s="88">
        <f>SUM(AG81:AG91)</f>
        <v>0</v>
      </c>
      <c r="AH92" s="47">
        <f t="shared" si="8"/>
        <v>598</v>
      </c>
      <c r="AI92" s="48">
        <f t="shared" si="9"/>
        <v>0</v>
      </c>
      <c r="AK92" s="86"/>
      <c r="AL92" s="77"/>
      <c r="AM92" s="89"/>
      <c r="AN92" s="255"/>
    </row>
    <row r="93" spans="1:40" x14ac:dyDescent="0.25">
      <c r="A93" s="44" t="s">
        <v>96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8"/>
        <v>0</v>
      </c>
      <c r="AI93" s="48">
        <f t="shared" si="9"/>
        <v>0</v>
      </c>
      <c r="AK93" s="86"/>
      <c r="AL93" s="77"/>
      <c r="AM93" s="77"/>
      <c r="AN93" s="256"/>
    </row>
    <row r="94" spans="1:40" ht="15.75" thickBot="1" x14ac:dyDescent="0.3">
      <c r="A94" s="54" t="s">
        <v>97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8"/>
        <v>0</v>
      </c>
      <c r="AI94" s="48">
        <f t="shared" si="9"/>
        <v>0</v>
      </c>
      <c r="AK94" s="91"/>
      <c r="AL94" s="92"/>
      <c r="AM94" s="92"/>
      <c r="AN94" s="93"/>
    </row>
    <row r="95" spans="1:40" ht="15.75" thickBot="1" x14ac:dyDescent="0.3">
      <c r="A95" s="84" t="s">
        <v>98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8"/>
        <v>0</v>
      </c>
      <c r="AI95" s="48">
        <f t="shared" si="9"/>
        <v>0</v>
      </c>
    </row>
    <row r="96" spans="1:40" ht="15.75" thickBot="1" x14ac:dyDescent="0.3">
      <c r="A96" s="74" t="s">
        <v>99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>
        <v>0</v>
      </c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8"/>
        <v>0</v>
      </c>
      <c r="AI96" s="48">
        <f t="shared" si="9"/>
        <v>0</v>
      </c>
    </row>
    <row r="97" spans="1:37" ht="15.75" thickBot="1" x14ac:dyDescent="0.3">
      <c r="A97" s="74" t="s">
        <v>100</v>
      </c>
      <c r="B97" s="95">
        <f t="shared" ref="B97:AG97" si="11">B58+B62+B80+B76+B92+B96</f>
        <v>1157.29</v>
      </c>
      <c r="C97" s="95">
        <f t="shared" si="11"/>
        <v>1199.29</v>
      </c>
      <c r="D97" s="95">
        <f t="shared" si="11"/>
        <v>1160.8899999999999</v>
      </c>
      <c r="E97" s="95">
        <f t="shared" si="11"/>
        <v>1167.69</v>
      </c>
      <c r="F97" s="95">
        <f t="shared" si="11"/>
        <v>1173.19</v>
      </c>
      <c r="G97" s="95">
        <f t="shared" si="11"/>
        <v>3.54</v>
      </c>
      <c r="H97" s="95">
        <f t="shared" si="11"/>
        <v>3.54</v>
      </c>
      <c r="I97" s="95">
        <f t="shared" si="11"/>
        <v>3.54</v>
      </c>
      <c r="J97" s="95">
        <f t="shared" si="11"/>
        <v>3.54</v>
      </c>
      <c r="K97" s="95">
        <f t="shared" si="11"/>
        <v>3.54</v>
      </c>
      <c r="L97" s="95">
        <f t="shared" si="11"/>
        <v>3.54</v>
      </c>
      <c r="M97" s="95">
        <f t="shared" si="11"/>
        <v>3.54</v>
      </c>
      <c r="N97" s="95">
        <f t="shared" si="11"/>
        <v>3.54</v>
      </c>
      <c r="O97" s="95">
        <f t="shared" si="11"/>
        <v>3.54</v>
      </c>
      <c r="P97" s="95">
        <f t="shared" si="11"/>
        <v>3.54</v>
      </c>
      <c r="Q97" s="95">
        <f t="shared" si="11"/>
        <v>3.54</v>
      </c>
      <c r="R97" s="95">
        <f t="shared" si="11"/>
        <v>3.54</v>
      </c>
      <c r="S97" s="95">
        <f t="shared" si="11"/>
        <v>3.54</v>
      </c>
      <c r="T97" s="95">
        <f t="shared" si="11"/>
        <v>3.54</v>
      </c>
      <c r="U97" s="95">
        <f t="shared" si="11"/>
        <v>3.54</v>
      </c>
      <c r="V97" s="95">
        <f t="shared" si="11"/>
        <v>3.54</v>
      </c>
      <c r="W97" s="95">
        <f t="shared" si="11"/>
        <v>3.54</v>
      </c>
      <c r="X97" s="95">
        <f t="shared" si="11"/>
        <v>3.54</v>
      </c>
      <c r="Y97" s="95">
        <f>Y58+Y62+Y80+Y76+Y92+Y96</f>
        <v>4.5</v>
      </c>
      <c r="Z97" s="95">
        <f>Z58+Z62+Z80+Z76+Z92+Z96</f>
        <v>5.5</v>
      </c>
      <c r="AA97" s="95">
        <f t="shared" si="11"/>
        <v>3.54</v>
      </c>
      <c r="AB97" s="95">
        <f t="shared" si="11"/>
        <v>3.54</v>
      </c>
      <c r="AC97" s="95">
        <f t="shared" si="11"/>
        <v>3.54</v>
      </c>
      <c r="AD97" s="95">
        <f t="shared" si="11"/>
        <v>3.54</v>
      </c>
      <c r="AE97" s="95">
        <f t="shared" si="11"/>
        <v>3.54</v>
      </c>
      <c r="AF97" s="95">
        <f t="shared" si="11"/>
        <v>3.54</v>
      </c>
      <c r="AG97" s="61">
        <f t="shared" si="11"/>
        <v>2231.81</v>
      </c>
      <c r="AH97" s="47">
        <f t="shared" si="8"/>
        <v>1199.29</v>
      </c>
      <c r="AI97" s="48">
        <f t="shared" si="9"/>
        <v>3.54</v>
      </c>
    </row>
    <row r="98" spans="1:37" ht="15.75" thickBot="1" x14ac:dyDescent="0.3">
      <c r="A98" s="96" t="s">
        <v>101</v>
      </c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  <c r="AA98" s="97"/>
      <c r="AB98" s="97"/>
      <c r="AC98" s="97"/>
      <c r="AD98" s="97"/>
      <c r="AE98" s="97"/>
      <c r="AF98" s="97"/>
      <c r="AG98" s="88"/>
      <c r="AH98" s="47">
        <f t="shared" si="8"/>
        <v>0</v>
      </c>
      <c r="AI98" s="48">
        <f t="shared" si="9"/>
        <v>0</v>
      </c>
    </row>
    <row r="99" spans="1:37" ht="15.75" thickBot="1" x14ac:dyDescent="0.3">
      <c r="A99" s="74" t="s">
        <v>102</v>
      </c>
      <c r="B99" s="95">
        <f t="shared" ref="B99:AF99" si="12">B97+B98</f>
        <v>1157.29</v>
      </c>
      <c r="C99" s="95">
        <f t="shared" si="12"/>
        <v>1199.29</v>
      </c>
      <c r="D99" s="95">
        <f t="shared" si="12"/>
        <v>1160.8899999999999</v>
      </c>
      <c r="E99" s="95">
        <f t="shared" si="12"/>
        <v>1167.69</v>
      </c>
      <c r="F99" s="95">
        <f t="shared" si="12"/>
        <v>1173.19</v>
      </c>
      <c r="G99" s="95">
        <f t="shared" si="12"/>
        <v>3.54</v>
      </c>
      <c r="H99" s="95">
        <f t="shared" si="12"/>
        <v>3.54</v>
      </c>
      <c r="I99" s="95">
        <f t="shared" si="12"/>
        <v>3.54</v>
      </c>
      <c r="J99" s="95">
        <f t="shared" si="12"/>
        <v>3.54</v>
      </c>
      <c r="K99" s="95">
        <f t="shared" si="12"/>
        <v>3.54</v>
      </c>
      <c r="L99" s="95">
        <f t="shared" si="12"/>
        <v>3.54</v>
      </c>
      <c r="M99" s="95">
        <f t="shared" si="12"/>
        <v>3.54</v>
      </c>
      <c r="N99" s="95">
        <f t="shared" si="12"/>
        <v>3.54</v>
      </c>
      <c r="O99" s="95">
        <f t="shared" si="12"/>
        <v>3.54</v>
      </c>
      <c r="P99" s="95">
        <f t="shared" si="12"/>
        <v>3.54</v>
      </c>
      <c r="Q99" s="95">
        <f t="shared" si="12"/>
        <v>3.54</v>
      </c>
      <c r="R99" s="95">
        <f t="shared" si="12"/>
        <v>3.54</v>
      </c>
      <c r="S99" s="95">
        <f t="shared" si="12"/>
        <v>3.54</v>
      </c>
      <c r="T99" s="95">
        <f t="shared" si="12"/>
        <v>3.54</v>
      </c>
      <c r="U99" s="95">
        <f t="shared" si="12"/>
        <v>3.54</v>
      </c>
      <c r="V99" s="95">
        <f t="shared" si="12"/>
        <v>3.54</v>
      </c>
      <c r="W99" s="95">
        <f t="shared" si="12"/>
        <v>3.54</v>
      </c>
      <c r="X99" s="95">
        <f t="shared" si="12"/>
        <v>3.54</v>
      </c>
      <c r="Y99" s="95">
        <f>Y97+Y98</f>
        <v>4.5</v>
      </c>
      <c r="Z99" s="95">
        <f>Z97+Z98</f>
        <v>5.5</v>
      </c>
      <c r="AA99" s="95">
        <f t="shared" si="12"/>
        <v>3.54</v>
      </c>
      <c r="AB99" s="95">
        <f t="shared" si="12"/>
        <v>3.54</v>
      </c>
      <c r="AC99" s="95">
        <f t="shared" si="12"/>
        <v>3.54</v>
      </c>
      <c r="AD99" s="95">
        <f t="shared" si="12"/>
        <v>3.54</v>
      </c>
      <c r="AE99" s="95">
        <f t="shared" si="12"/>
        <v>3.54</v>
      </c>
      <c r="AF99" s="95">
        <f t="shared" si="12"/>
        <v>3.54</v>
      </c>
      <c r="AG99" s="88">
        <f>AG96+AG92+AG80+AG76+AG58+AG98</f>
        <v>1693.71</v>
      </c>
      <c r="AH99" s="47">
        <f t="shared" si="8"/>
        <v>1199.29</v>
      </c>
      <c r="AI99" s="48">
        <f t="shared" si="9"/>
        <v>3.54</v>
      </c>
    </row>
    <row r="100" spans="1:37" ht="15.75" thickBot="1" x14ac:dyDescent="0.3">
      <c r="A100" s="74" t="s">
        <v>103</v>
      </c>
      <c r="B100" s="95">
        <f t="shared" ref="B100:M100" si="13">B99-(B107)</f>
        <v>1157.29</v>
      </c>
      <c r="C100" s="95">
        <f t="shared" si="13"/>
        <v>1199.29</v>
      </c>
      <c r="D100" s="95">
        <f t="shared" si="13"/>
        <v>1160.8899999999999</v>
      </c>
      <c r="E100" s="95">
        <f t="shared" si="13"/>
        <v>1167.69</v>
      </c>
      <c r="F100" s="95">
        <f t="shared" si="13"/>
        <v>1173.19</v>
      </c>
      <c r="G100" s="95">
        <f t="shared" si="13"/>
        <v>3.54</v>
      </c>
      <c r="H100" s="95">
        <f t="shared" si="13"/>
        <v>3.54</v>
      </c>
      <c r="I100" s="95">
        <f t="shared" si="13"/>
        <v>3.54</v>
      </c>
      <c r="J100" s="95">
        <f t="shared" si="13"/>
        <v>3.54</v>
      </c>
      <c r="K100" s="95">
        <f t="shared" si="13"/>
        <v>3.54</v>
      </c>
      <c r="L100" s="95">
        <f t="shared" si="13"/>
        <v>3.54</v>
      </c>
      <c r="M100" s="95">
        <f t="shared" si="13"/>
        <v>3.54</v>
      </c>
      <c r="N100" s="95">
        <f>N99-(N107)</f>
        <v>3.54</v>
      </c>
      <c r="O100" s="95">
        <f t="shared" ref="O100:AF100" si="14">O99-(O107)</f>
        <v>3.54</v>
      </c>
      <c r="P100" s="95">
        <f t="shared" si="14"/>
        <v>3.54</v>
      </c>
      <c r="Q100" s="95">
        <f t="shared" si="14"/>
        <v>3.54</v>
      </c>
      <c r="R100" s="95">
        <f t="shared" si="14"/>
        <v>3.54</v>
      </c>
      <c r="S100" s="95">
        <f t="shared" si="14"/>
        <v>3.54</v>
      </c>
      <c r="T100" s="95">
        <f t="shared" si="14"/>
        <v>3.54</v>
      </c>
      <c r="U100" s="95">
        <f t="shared" si="14"/>
        <v>3.54</v>
      </c>
      <c r="V100" s="95">
        <f t="shared" si="14"/>
        <v>3.54</v>
      </c>
      <c r="W100" s="95">
        <f t="shared" si="14"/>
        <v>3.54</v>
      </c>
      <c r="X100" s="95">
        <f t="shared" si="14"/>
        <v>3.54</v>
      </c>
      <c r="Y100" s="95">
        <f t="shared" si="14"/>
        <v>4.5</v>
      </c>
      <c r="Z100" s="95">
        <f t="shared" si="14"/>
        <v>5.5</v>
      </c>
      <c r="AA100" s="95">
        <f t="shared" si="14"/>
        <v>3.54</v>
      </c>
      <c r="AB100" s="95">
        <f t="shared" si="14"/>
        <v>3.54</v>
      </c>
      <c r="AC100" s="95">
        <f t="shared" si="14"/>
        <v>3.54</v>
      </c>
      <c r="AD100" s="95">
        <f t="shared" si="14"/>
        <v>3.54</v>
      </c>
      <c r="AE100" s="95">
        <f t="shared" si="14"/>
        <v>3.54</v>
      </c>
      <c r="AF100" s="95">
        <f t="shared" si="14"/>
        <v>3.54</v>
      </c>
      <c r="AG100" s="88"/>
      <c r="AH100" s="47">
        <f t="shared" si="8"/>
        <v>1199.29</v>
      </c>
      <c r="AI100" s="48">
        <f t="shared" si="9"/>
        <v>3.54</v>
      </c>
    </row>
    <row r="101" spans="1:37" x14ac:dyDescent="0.25">
      <c r="A101" s="44" t="s">
        <v>84</v>
      </c>
      <c r="B101" s="76">
        <f>IF(B84&lt;0,B84*-1,0)</f>
        <v>0</v>
      </c>
      <c r="C101" s="76">
        <f t="shared" ref="C101:AF101" si="15">IF(C84&lt;0,C84*-1,0)</f>
        <v>0</v>
      </c>
      <c r="D101" s="76">
        <f t="shared" si="15"/>
        <v>0</v>
      </c>
      <c r="E101" s="76">
        <f t="shared" si="15"/>
        <v>0</v>
      </c>
      <c r="F101" s="76">
        <f t="shared" si="15"/>
        <v>0</v>
      </c>
      <c r="G101" s="76">
        <f t="shared" si="15"/>
        <v>0</v>
      </c>
      <c r="H101" s="76">
        <f t="shared" si="15"/>
        <v>0</v>
      </c>
      <c r="I101" s="76">
        <f t="shared" si="15"/>
        <v>0</v>
      </c>
      <c r="J101" s="76">
        <f t="shared" si="15"/>
        <v>0</v>
      </c>
      <c r="K101" s="76">
        <f t="shared" si="15"/>
        <v>0</v>
      </c>
      <c r="L101" s="76">
        <f t="shared" si="15"/>
        <v>0</v>
      </c>
      <c r="M101" s="76">
        <f t="shared" si="15"/>
        <v>0</v>
      </c>
      <c r="N101" s="76">
        <f t="shared" si="15"/>
        <v>0</v>
      </c>
      <c r="O101" s="76">
        <f t="shared" si="15"/>
        <v>0</v>
      </c>
      <c r="P101" s="76">
        <f t="shared" si="15"/>
        <v>0</v>
      </c>
      <c r="Q101" s="76">
        <f t="shared" si="15"/>
        <v>0</v>
      </c>
      <c r="R101" s="76">
        <f t="shared" si="15"/>
        <v>0</v>
      </c>
      <c r="S101" s="76">
        <f t="shared" si="15"/>
        <v>0</v>
      </c>
      <c r="T101" s="76">
        <f t="shared" si="15"/>
        <v>0</v>
      </c>
      <c r="U101" s="76">
        <f t="shared" si="15"/>
        <v>0</v>
      </c>
      <c r="V101" s="76">
        <f t="shared" si="15"/>
        <v>0</v>
      </c>
      <c r="W101" s="76">
        <f t="shared" si="15"/>
        <v>0</v>
      </c>
      <c r="X101" s="76">
        <f t="shared" si="15"/>
        <v>0</v>
      </c>
      <c r="Y101" s="76">
        <f t="shared" si="15"/>
        <v>0</v>
      </c>
      <c r="Z101" s="76">
        <f t="shared" si="15"/>
        <v>0</v>
      </c>
      <c r="AA101" s="76">
        <f t="shared" si="15"/>
        <v>0</v>
      </c>
      <c r="AB101" s="76">
        <f t="shared" si="15"/>
        <v>0</v>
      </c>
      <c r="AC101" s="76">
        <f t="shared" si="15"/>
        <v>0</v>
      </c>
      <c r="AD101" s="76">
        <f t="shared" si="15"/>
        <v>0</v>
      </c>
      <c r="AE101" s="76">
        <f t="shared" si="15"/>
        <v>0</v>
      </c>
      <c r="AF101" s="76">
        <f t="shared" si="15"/>
        <v>0</v>
      </c>
      <c r="AG101" s="52"/>
      <c r="AH101" s="47">
        <f t="shared" si="8"/>
        <v>0</v>
      </c>
      <c r="AI101" s="48">
        <f t="shared" si="9"/>
        <v>0</v>
      </c>
    </row>
    <row r="102" spans="1:37" x14ac:dyDescent="0.25">
      <c r="A102" s="54" t="s">
        <v>82</v>
      </c>
      <c r="B102" s="76">
        <f>IF(B82&lt;0,B82*-1,0)</f>
        <v>0</v>
      </c>
      <c r="C102" s="76">
        <f t="shared" ref="C102:AF102" si="16">IF(C82&lt;0,C82*-1,0)</f>
        <v>0</v>
      </c>
      <c r="D102" s="76">
        <f t="shared" si="16"/>
        <v>0</v>
      </c>
      <c r="E102" s="76">
        <f t="shared" si="16"/>
        <v>0</v>
      </c>
      <c r="F102" s="76">
        <f t="shared" si="16"/>
        <v>0</v>
      </c>
      <c r="G102" s="76">
        <f t="shared" si="16"/>
        <v>0</v>
      </c>
      <c r="H102" s="76">
        <f t="shared" si="16"/>
        <v>0</v>
      </c>
      <c r="I102" s="76">
        <f t="shared" si="16"/>
        <v>0</v>
      </c>
      <c r="J102" s="76">
        <f t="shared" si="16"/>
        <v>0</v>
      </c>
      <c r="K102" s="76">
        <f t="shared" si="16"/>
        <v>0</v>
      </c>
      <c r="L102" s="76">
        <f t="shared" si="16"/>
        <v>0</v>
      </c>
      <c r="M102" s="76">
        <f t="shared" si="16"/>
        <v>0</v>
      </c>
      <c r="N102" s="76">
        <f t="shared" si="16"/>
        <v>0</v>
      </c>
      <c r="O102" s="76">
        <f t="shared" si="16"/>
        <v>0</v>
      </c>
      <c r="P102" s="76">
        <f t="shared" si="16"/>
        <v>0</v>
      </c>
      <c r="Q102" s="76">
        <f t="shared" si="16"/>
        <v>0</v>
      </c>
      <c r="R102" s="76">
        <f t="shared" si="16"/>
        <v>0</v>
      </c>
      <c r="S102" s="76">
        <f t="shared" si="16"/>
        <v>0</v>
      </c>
      <c r="T102" s="76">
        <f t="shared" si="16"/>
        <v>0</v>
      </c>
      <c r="U102" s="76">
        <f t="shared" si="16"/>
        <v>0</v>
      </c>
      <c r="V102" s="76">
        <f t="shared" si="16"/>
        <v>0</v>
      </c>
      <c r="W102" s="76">
        <f t="shared" si="16"/>
        <v>0</v>
      </c>
      <c r="X102" s="76">
        <f t="shared" si="16"/>
        <v>0</v>
      </c>
      <c r="Y102" s="76">
        <f t="shared" si="16"/>
        <v>0</v>
      </c>
      <c r="Z102" s="76">
        <f t="shared" si="16"/>
        <v>0</v>
      </c>
      <c r="AA102" s="76">
        <f t="shared" si="16"/>
        <v>0</v>
      </c>
      <c r="AB102" s="76">
        <f t="shared" si="16"/>
        <v>0</v>
      </c>
      <c r="AC102" s="76">
        <f t="shared" si="16"/>
        <v>0</v>
      </c>
      <c r="AD102" s="76">
        <f t="shared" si="16"/>
        <v>0</v>
      </c>
      <c r="AE102" s="76">
        <f t="shared" si="16"/>
        <v>0</v>
      </c>
      <c r="AF102" s="76">
        <f t="shared" si="16"/>
        <v>0</v>
      </c>
      <c r="AG102" s="55"/>
      <c r="AH102" s="47">
        <f t="shared" si="8"/>
        <v>0</v>
      </c>
      <c r="AI102" s="48">
        <f t="shared" si="9"/>
        <v>0</v>
      </c>
    </row>
    <row r="103" spans="1:37" x14ac:dyDescent="0.25">
      <c r="A103" s="84" t="s">
        <v>104</v>
      </c>
      <c r="B103" s="76">
        <f>IF(B85&lt;0,B85*-1,0)</f>
        <v>0</v>
      </c>
      <c r="C103" s="76">
        <f t="shared" ref="C103:AF103" si="17">IF(C85&lt;0,C85*-1,0)</f>
        <v>0</v>
      </c>
      <c r="D103" s="76">
        <f t="shared" si="17"/>
        <v>0</v>
      </c>
      <c r="E103" s="76">
        <f t="shared" si="17"/>
        <v>0</v>
      </c>
      <c r="F103" s="76">
        <f t="shared" si="17"/>
        <v>0</v>
      </c>
      <c r="G103" s="76">
        <f t="shared" si="17"/>
        <v>0</v>
      </c>
      <c r="H103" s="76">
        <f t="shared" si="17"/>
        <v>0</v>
      </c>
      <c r="I103" s="76">
        <f t="shared" si="17"/>
        <v>0</v>
      </c>
      <c r="J103" s="76">
        <f t="shared" si="17"/>
        <v>0</v>
      </c>
      <c r="K103" s="76">
        <f t="shared" si="17"/>
        <v>0</v>
      </c>
      <c r="L103" s="76">
        <f t="shared" si="17"/>
        <v>0</v>
      </c>
      <c r="M103" s="76">
        <f t="shared" si="17"/>
        <v>0</v>
      </c>
      <c r="N103" s="76">
        <f t="shared" si="17"/>
        <v>0</v>
      </c>
      <c r="O103" s="76">
        <f t="shared" si="17"/>
        <v>0</v>
      </c>
      <c r="P103" s="76">
        <f t="shared" si="17"/>
        <v>0</v>
      </c>
      <c r="Q103" s="76">
        <f t="shared" si="17"/>
        <v>0</v>
      </c>
      <c r="R103" s="76">
        <f t="shared" si="17"/>
        <v>0</v>
      </c>
      <c r="S103" s="76">
        <f t="shared" si="17"/>
        <v>0</v>
      </c>
      <c r="T103" s="76">
        <f t="shared" si="17"/>
        <v>0</v>
      </c>
      <c r="U103" s="76">
        <f t="shared" si="17"/>
        <v>0</v>
      </c>
      <c r="V103" s="76">
        <f t="shared" si="17"/>
        <v>0</v>
      </c>
      <c r="W103" s="76">
        <f t="shared" si="17"/>
        <v>0</v>
      </c>
      <c r="X103" s="76">
        <f t="shared" si="17"/>
        <v>0</v>
      </c>
      <c r="Y103" s="76">
        <f t="shared" si="17"/>
        <v>0</v>
      </c>
      <c r="Z103" s="76">
        <f t="shared" si="17"/>
        <v>0</v>
      </c>
      <c r="AA103" s="76">
        <f t="shared" si="17"/>
        <v>0</v>
      </c>
      <c r="AB103" s="76">
        <f t="shared" si="17"/>
        <v>0</v>
      </c>
      <c r="AC103" s="76">
        <f t="shared" si="17"/>
        <v>0</v>
      </c>
      <c r="AD103" s="76">
        <f t="shared" si="17"/>
        <v>0</v>
      </c>
      <c r="AE103" s="76">
        <f t="shared" si="17"/>
        <v>0</v>
      </c>
      <c r="AF103" s="76">
        <f t="shared" si="17"/>
        <v>0</v>
      </c>
      <c r="AG103" s="98"/>
      <c r="AH103" s="47">
        <f t="shared" si="8"/>
        <v>0</v>
      </c>
      <c r="AI103" s="48">
        <f t="shared" si="9"/>
        <v>0</v>
      </c>
    </row>
    <row r="104" spans="1:37" x14ac:dyDescent="0.25">
      <c r="A104" s="84" t="s">
        <v>105</v>
      </c>
      <c r="B104" s="76">
        <f>IF(B83&lt;0,B83*-1,0)</f>
        <v>0</v>
      </c>
      <c r="C104" s="76">
        <f t="shared" ref="C104:AF104" si="18">IF(C83&lt;0,C83*-1,0)</f>
        <v>0</v>
      </c>
      <c r="D104" s="76">
        <f t="shared" si="18"/>
        <v>0</v>
      </c>
      <c r="E104" s="76">
        <f t="shared" si="18"/>
        <v>0</v>
      </c>
      <c r="F104" s="76">
        <f t="shared" si="18"/>
        <v>0</v>
      </c>
      <c r="G104" s="76">
        <f t="shared" si="18"/>
        <v>0</v>
      </c>
      <c r="H104" s="76">
        <f t="shared" si="18"/>
        <v>0</v>
      </c>
      <c r="I104" s="76">
        <f t="shared" si="18"/>
        <v>0</v>
      </c>
      <c r="J104" s="76">
        <f t="shared" si="18"/>
        <v>0</v>
      </c>
      <c r="K104" s="76">
        <f t="shared" si="18"/>
        <v>0</v>
      </c>
      <c r="L104" s="76">
        <f t="shared" si="18"/>
        <v>0</v>
      </c>
      <c r="M104" s="76">
        <f t="shared" si="18"/>
        <v>0</v>
      </c>
      <c r="N104" s="76">
        <f t="shared" si="18"/>
        <v>0</v>
      </c>
      <c r="O104" s="76">
        <f t="shared" si="18"/>
        <v>0</v>
      </c>
      <c r="P104" s="76">
        <f t="shared" si="18"/>
        <v>0</v>
      </c>
      <c r="Q104" s="76">
        <f t="shared" si="18"/>
        <v>0</v>
      </c>
      <c r="R104" s="76">
        <f t="shared" si="18"/>
        <v>0</v>
      </c>
      <c r="S104" s="76">
        <f t="shared" si="18"/>
        <v>0</v>
      </c>
      <c r="T104" s="76">
        <f t="shared" si="18"/>
        <v>0</v>
      </c>
      <c r="U104" s="76">
        <f t="shared" si="18"/>
        <v>0</v>
      </c>
      <c r="V104" s="76">
        <f t="shared" si="18"/>
        <v>0</v>
      </c>
      <c r="W104" s="76">
        <f t="shared" si="18"/>
        <v>0</v>
      </c>
      <c r="X104" s="76">
        <f t="shared" si="18"/>
        <v>0</v>
      </c>
      <c r="Y104" s="76">
        <f t="shared" si="18"/>
        <v>0</v>
      </c>
      <c r="Z104" s="76">
        <f t="shared" si="18"/>
        <v>0</v>
      </c>
      <c r="AA104" s="76">
        <f t="shared" si="18"/>
        <v>0</v>
      </c>
      <c r="AB104" s="76">
        <f t="shared" si="18"/>
        <v>0</v>
      </c>
      <c r="AC104" s="76">
        <f t="shared" si="18"/>
        <v>0</v>
      </c>
      <c r="AD104" s="76">
        <f t="shared" si="18"/>
        <v>0</v>
      </c>
      <c r="AE104" s="76">
        <f t="shared" si="18"/>
        <v>0</v>
      </c>
      <c r="AF104" s="76">
        <f t="shared" si="18"/>
        <v>0</v>
      </c>
      <c r="AG104" s="98"/>
      <c r="AH104" s="47">
        <f t="shared" si="8"/>
        <v>0</v>
      </c>
      <c r="AI104" s="48">
        <f t="shared" si="9"/>
        <v>0</v>
      </c>
    </row>
    <row r="105" spans="1:37" x14ac:dyDescent="0.25">
      <c r="A105" s="84" t="s">
        <v>81</v>
      </c>
      <c r="B105" s="76">
        <f>IF(B81&lt;0,B81*-1,0)</f>
        <v>0</v>
      </c>
      <c r="C105" s="76">
        <f t="shared" ref="C105:AF105" si="19">IF(C81&lt;0,C81*-1,0)</f>
        <v>0</v>
      </c>
      <c r="D105" s="76">
        <f t="shared" si="19"/>
        <v>0</v>
      </c>
      <c r="E105" s="76">
        <f t="shared" si="19"/>
        <v>0</v>
      </c>
      <c r="F105" s="76">
        <f t="shared" si="19"/>
        <v>0</v>
      </c>
      <c r="G105" s="76">
        <f t="shared" si="19"/>
        <v>0</v>
      </c>
      <c r="H105" s="76">
        <f t="shared" si="19"/>
        <v>0</v>
      </c>
      <c r="I105" s="76">
        <f t="shared" si="19"/>
        <v>0</v>
      </c>
      <c r="J105" s="76">
        <f t="shared" si="19"/>
        <v>0</v>
      </c>
      <c r="K105" s="76">
        <f t="shared" si="19"/>
        <v>0</v>
      </c>
      <c r="L105" s="76">
        <f t="shared" si="19"/>
        <v>0</v>
      </c>
      <c r="M105" s="76">
        <f t="shared" si="19"/>
        <v>0</v>
      </c>
      <c r="N105" s="76">
        <f t="shared" si="19"/>
        <v>0</v>
      </c>
      <c r="O105" s="76">
        <f t="shared" si="19"/>
        <v>0</v>
      </c>
      <c r="P105" s="76">
        <f t="shared" si="19"/>
        <v>0</v>
      </c>
      <c r="Q105" s="76">
        <f t="shared" si="19"/>
        <v>0</v>
      </c>
      <c r="R105" s="76">
        <f t="shared" si="19"/>
        <v>0</v>
      </c>
      <c r="S105" s="76">
        <f t="shared" si="19"/>
        <v>0</v>
      </c>
      <c r="T105" s="76">
        <f t="shared" si="19"/>
        <v>0</v>
      </c>
      <c r="U105" s="76">
        <f t="shared" si="19"/>
        <v>0</v>
      </c>
      <c r="V105" s="76">
        <f t="shared" si="19"/>
        <v>0</v>
      </c>
      <c r="W105" s="76">
        <f t="shared" si="19"/>
        <v>0</v>
      </c>
      <c r="X105" s="76">
        <f t="shared" si="19"/>
        <v>0</v>
      </c>
      <c r="Y105" s="76">
        <f t="shared" si="19"/>
        <v>0</v>
      </c>
      <c r="Z105" s="76">
        <f t="shared" si="19"/>
        <v>0</v>
      </c>
      <c r="AA105" s="76">
        <f t="shared" si="19"/>
        <v>0</v>
      </c>
      <c r="AB105" s="76">
        <f t="shared" si="19"/>
        <v>0</v>
      </c>
      <c r="AC105" s="76">
        <f t="shared" si="19"/>
        <v>0</v>
      </c>
      <c r="AD105" s="76">
        <f t="shared" si="19"/>
        <v>0</v>
      </c>
      <c r="AE105" s="76">
        <f t="shared" si="19"/>
        <v>0</v>
      </c>
      <c r="AF105" s="76">
        <f t="shared" si="19"/>
        <v>0</v>
      </c>
      <c r="AG105" s="98"/>
      <c r="AH105" s="47">
        <f t="shared" si="8"/>
        <v>0</v>
      </c>
      <c r="AI105" s="48">
        <f t="shared" si="9"/>
        <v>0</v>
      </c>
    </row>
    <row r="106" spans="1:37" ht="15.75" thickBot="1" x14ac:dyDescent="0.3">
      <c r="A106" s="84" t="s">
        <v>106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0</v>
      </c>
      <c r="AB106" s="94">
        <v>0</v>
      </c>
      <c r="AC106" s="94">
        <v>0</v>
      </c>
      <c r="AD106" s="94">
        <v>0</v>
      </c>
      <c r="AE106" s="94">
        <v>0</v>
      </c>
      <c r="AF106" s="94">
        <v>0</v>
      </c>
      <c r="AG106" s="85"/>
      <c r="AH106" s="47">
        <f t="shared" si="8"/>
        <v>0</v>
      </c>
      <c r="AI106" s="48">
        <f t="shared" si="9"/>
        <v>0</v>
      </c>
    </row>
    <row r="107" spans="1:37" ht="15.75" thickBot="1" x14ac:dyDescent="0.3">
      <c r="A107" s="99" t="s">
        <v>107</v>
      </c>
      <c r="B107" s="60">
        <f>SUM(B101:B106)</f>
        <v>0</v>
      </c>
      <c r="C107" s="60">
        <f t="shared" ref="C107:AF107" si="20">SUM(C101:C106)</f>
        <v>0</v>
      </c>
      <c r="D107" s="60">
        <f t="shared" si="20"/>
        <v>0</v>
      </c>
      <c r="E107" s="60">
        <f t="shared" si="20"/>
        <v>0</v>
      </c>
      <c r="F107" s="60">
        <f t="shared" si="20"/>
        <v>0</v>
      </c>
      <c r="G107" s="60">
        <f t="shared" si="20"/>
        <v>0</v>
      </c>
      <c r="H107" s="60">
        <f t="shared" si="20"/>
        <v>0</v>
      </c>
      <c r="I107" s="60">
        <f t="shared" si="20"/>
        <v>0</v>
      </c>
      <c r="J107" s="60">
        <f t="shared" si="20"/>
        <v>0</v>
      </c>
      <c r="K107" s="60">
        <f t="shared" si="20"/>
        <v>0</v>
      </c>
      <c r="L107" s="60">
        <f t="shared" si="20"/>
        <v>0</v>
      </c>
      <c r="M107" s="60">
        <f t="shared" si="20"/>
        <v>0</v>
      </c>
      <c r="N107" s="60">
        <f t="shared" si="20"/>
        <v>0</v>
      </c>
      <c r="O107" s="60">
        <f t="shared" si="20"/>
        <v>0</v>
      </c>
      <c r="P107" s="60">
        <f t="shared" si="20"/>
        <v>0</v>
      </c>
      <c r="Q107" s="60">
        <f t="shared" si="20"/>
        <v>0</v>
      </c>
      <c r="R107" s="60">
        <f t="shared" si="20"/>
        <v>0</v>
      </c>
      <c r="S107" s="60">
        <f t="shared" si="20"/>
        <v>0</v>
      </c>
      <c r="T107" s="60">
        <f t="shared" si="20"/>
        <v>0</v>
      </c>
      <c r="U107" s="60">
        <f t="shared" si="20"/>
        <v>0</v>
      </c>
      <c r="V107" s="60">
        <f t="shared" si="20"/>
        <v>0</v>
      </c>
      <c r="W107" s="60">
        <f t="shared" si="20"/>
        <v>0</v>
      </c>
      <c r="X107" s="60">
        <f t="shared" si="20"/>
        <v>0</v>
      </c>
      <c r="Y107" s="60">
        <f t="shared" si="20"/>
        <v>0</v>
      </c>
      <c r="Z107" s="60">
        <f t="shared" si="20"/>
        <v>0</v>
      </c>
      <c r="AA107" s="60">
        <f t="shared" si="20"/>
        <v>0</v>
      </c>
      <c r="AB107" s="60">
        <f t="shared" si="20"/>
        <v>0</v>
      </c>
      <c r="AC107" s="60">
        <f t="shared" si="20"/>
        <v>0</v>
      </c>
      <c r="AD107" s="60">
        <f t="shared" si="20"/>
        <v>0</v>
      </c>
      <c r="AE107" s="60">
        <f t="shared" si="20"/>
        <v>0</v>
      </c>
      <c r="AF107" s="60">
        <f t="shared" si="20"/>
        <v>0</v>
      </c>
      <c r="AG107" s="88"/>
      <c r="AH107" s="47">
        <f t="shared" si="8"/>
        <v>0</v>
      </c>
      <c r="AI107" s="48">
        <f t="shared" si="9"/>
        <v>0</v>
      </c>
      <c r="AK107" s="50"/>
    </row>
    <row r="108" spans="1:37" ht="15.75" thickBot="1" x14ac:dyDescent="0.3">
      <c r="A108" s="74" t="s">
        <v>108</v>
      </c>
      <c r="B108" s="60">
        <f t="shared" ref="B108:AF108" si="21">B92-B107</f>
        <v>556</v>
      </c>
      <c r="C108" s="60">
        <f t="shared" si="21"/>
        <v>598</v>
      </c>
      <c r="D108" s="60">
        <f t="shared" si="21"/>
        <v>559.6</v>
      </c>
      <c r="E108" s="60">
        <f t="shared" si="21"/>
        <v>566.1</v>
      </c>
      <c r="F108" s="60">
        <f t="shared" si="21"/>
        <v>571.9</v>
      </c>
      <c r="G108" s="60">
        <f t="shared" si="21"/>
        <v>0</v>
      </c>
      <c r="H108" s="60">
        <f t="shared" si="21"/>
        <v>0</v>
      </c>
      <c r="I108" s="60">
        <f t="shared" si="21"/>
        <v>0</v>
      </c>
      <c r="J108" s="60">
        <f t="shared" si="21"/>
        <v>0</v>
      </c>
      <c r="K108" s="60">
        <f t="shared" si="21"/>
        <v>0</v>
      </c>
      <c r="L108" s="60">
        <f t="shared" si="21"/>
        <v>0</v>
      </c>
      <c r="M108" s="60">
        <f t="shared" si="21"/>
        <v>0</v>
      </c>
      <c r="N108" s="60">
        <f t="shared" si="21"/>
        <v>0</v>
      </c>
      <c r="O108" s="60">
        <f t="shared" si="21"/>
        <v>0</v>
      </c>
      <c r="P108" s="60">
        <f t="shared" si="21"/>
        <v>0</v>
      </c>
      <c r="Q108" s="60">
        <f t="shared" si="21"/>
        <v>0</v>
      </c>
      <c r="R108" s="60">
        <f t="shared" si="21"/>
        <v>0</v>
      </c>
      <c r="S108" s="60">
        <f t="shared" si="21"/>
        <v>0</v>
      </c>
      <c r="T108" s="60">
        <f t="shared" si="21"/>
        <v>0</v>
      </c>
      <c r="U108" s="60">
        <f t="shared" si="21"/>
        <v>0</v>
      </c>
      <c r="V108" s="60">
        <f t="shared" si="21"/>
        <v>0</v>
      </c>
      <c r="W108" s="60">
        <f t="shared" si="21"/>
        <v>0</v>
      </c>
      <c r="X108" s="60">
        <f t="shared" si="21"/>
        <v>0</v>
      </c>
      <c r="Y108" s="60">
        <f>Y92-Y107</f>
        <v>0</v>
      </c>
      <c r="Z108" s="60">
        <f>Z92-Z107</f>
        <v>0</v>
      </c>
      <c r="AA108" s="60">
        <f t="shared" si="21"/>
        <v>0</v>
      </c>
      <c r="AB108" s="60">
        <f t="shared" si="21"/>
        <v>0</v>
      </c>
      <c r="AC108" s="60">
        <f t="shared" si="21"/>
        <v>0</v>
      </c>
      <c r="AD108" s="60">
        <f t="shared" si="21"/>
        <v>0</v>
      </c>
      <c r="AE108" s="60">
        <f t="shared" si="21"/>
        <v>0</v>
      </c>
      <c r="AF108" s="60">
        <f t="shared" si="21"/>
        <v>0</v>
      </c>
      <c r="AG108" s="88"/>
      <c r="AH108" s="47">
        <f t="shared" si="8"/>
        <v>598</v>
      </c>
      <c r="AI108" s="48">
        <f t="shared" si="9"/>
        <v>0</v>
      </c>
    </row>
    <row r="109" spans="1:37" x14ac:dyDescent="0.25">
      <c r="A109" s="100" t="s">
        <v>109</v>
      </c>
      <c r="B109" s="101">
        <v>50.011000000000003</v>
      </c>
      <c r="C109" s="101">
        <v>49.863999999999997</v>
      </c>
      <c r="D109" s="101">
        <v>49.975999999999999</v>
      </c>
      <c r="E109" s="101">
        <v>49.981999999999999</v>
      </c>
      <c r="F109" s="101">
        <v>49.976999999999997</v>
      </c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1"/>
      <c r="AE109" s="101"/>
      <c r="AF109" s="101"/>
      <c r="AG109" s="102"/>
      <c r="AH109" s="47">
        <f t="shared" si="8"/>
        <v>50.011000000000003</v>
      </c>
      <c r="AI109" s="48">
        <f t="shared" si="9"/>
        <v>49.863999999999997</v>
      </c>
    </row>
    <row r="110" spans="1:37" x14ac:dyDescent="0.25">
      <c r="A110" s="103" t="s">
        <v>110</v>
      </c>
      <c r="B110" s="65">
        <v>127.5</v>
      </c>
      <c r="C110" s="65">
        <v>125.8</v>
      </c>
      <c r="D110" s="65">
        <v>128</v>
      </c>
      <c r="E110" s="65">
        <v>127.2</v>
      </c>
      <c r="F110" s="65">
        <v>127.1</v>
      </c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104"/>
      <c r="AH110" s="47">
        <f t="shared" si="8"/>
        <v>128</v>
      </c>
      <c r="AI110" s="48">
        <f t="shared" si="9"/>
        <v>125.8</v>
      </c>
    </row>
    <row r="111" spans="1:37" x14ac:dyDescent="0.25">
      <c r="A111" s="103" t="s">
        <v>111</v>
      </c>
      <c r="B111" s="65">
        <v>131.80000000000001</v>
      </c>
      <c r="C111" s="65">
        <v>130.4</v>
      </c>
      <c r="D111" s="65">
        <v>132.30000000000001</v>
      </c>
      <c r="E111" s="65">
        <v>131.19999999999999</v>
      </c>
      <c r="F111" s="65">
        <v>131.6</v>
      </c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104"/>
      <c r="AH111" s="47">
        <f t="shared" si="8"/>
        <v>132.30000000000001</v>
      </c>
      <c r="AI111" s="48">
        <f t="shared" si="9"/>
        <v>130.4</v>
      </c>
    </row>
    <row r="112" spans="1:37" x14ac:dyDescent="0.25">
      <c r="A112" s="103" t="s">
        <v>112</v>
      </c>
      <c r="B112" s="65">
        <v>129.1</v>
      </c>
      <c r="C112" s="65">
        <v>129.30000000000001</v>
      </c>
      <c r="D112" s="65">
        <v>132.30000000000001</v>
      </c>
      <c r="E112" s="65">
        <v>128.9</v>
      </c>
      <c r="F112" s="65">
        <v>128.30000000000001</v>
      </c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104"/>
      <c r="AH112" s="47">
        <f t="shared" si="8"/>
        <v>132.30000000000001</v>
      </c>
      <c r="AI112" s="48">
        <f t="shared" si="9"/>
        <v>128.30000000000001</v>
      </c>
    </row>
    <row r="113" spans="1:35" x14ac:dyDescent="0.25">
      <c r="A113" s="105" t="s">
        <v>113</v>
      </c>
      <c r="B113" s="65">
        <v>132.6</v>
      </c>
      <c r="C113" s="65">
        <v>132.9</v>
      </c>
      <c r="D113" s="65">
        <v>135</v>
      </c>
      <c r="E113" s="65">
        <v>133.6</v>
      </c>
      <c r="F113" s="65">
        <v>133.5</v>
      </c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104"/>
      <c r="AH113" s="47">
        <f t="shared" si="8"/>
        <v>135</v>
      </c>
      <c r="AI113" s="48">
        <f t="shared" si="9"/>
        <v>132.6</v>
      </c>
    </row>
    <row r="114" spans="1:35" x14ac:dyDescent="0.25">
      <c r="A114" s="105" t="s">
        <v>114</v>
      </c>
      <c r="B114" s="106">
        <v>131.1</v>
      </c>
      <c r="C114" s="106">
        <v>130.5</v>
      </c>
      <c r="D114" s="106">
        <v>131.80000000000001</v>
      </c>
      <c r="E114" s="106">
        <v>131.4</v>
      </c>
      <c r="F114" s="106">
        <v>132.6</v>
      </c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06"/>
      <c r="AB114" s="106"/>
      <c r="AC114" s="106"/>
      <c r="AD114" s="106"/>
      <c r="AE114" s="106"/>
      <c r="AF114" s="106"/>
      <c r="AG114" s="107"/>
      <c r="AH114" s="47">
        <f t="shared" si="8"/>
        <v>132.6</v>
      </c>
      <c r="AI114" s="48">
        <f t="shared" si="9"/>
        <v>130.5</v>
      </c>
    </row>
    <row r="115" spans="1:35" x14ac:dyDescent="0.25">
      <c r="A115" s="103" t="s">
        <v>115</v>
      </c>
      <c r="B115" s="65">
        <v>131.4</v>
      </c>
      <c r="C115" s="65">
        <v>129.1</v>
      </c>
      <c r="D115" s="65">
        <v>129.6</v>
      </c>
      <c r="E115" s="65">
        <v>129.80000000000001</v>
      </c>
      <c r="F115" s="65">
        <v>132.5</v>
      </c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104"/>
      <c r="AH115" s="47">
        <f t="shared" si="8"/>
        <v>132.5</v>
      </c>
      <c r="AI115" s="48">
        <f t="shared" si="9"/>
        <v>129.1</v>
      </c>
    </row>
    <row r="116" spans="1:35" ht="15.75" thickBot="1" x14ac:dyDescent="0.3">
      <c r="A116" s="103" t="s">
        <v>116</v>
      </c>
      <c r="B116" s="92">
        <v>66.2</v>
      </c>
      <c r="C116" s="92">
        <v>66</v>
      </c>
      <c r="D116" s="92">
        <v>66.7</v>
      </c>
      <c r="E116" s="92">
        <v>66</v>
      </c>
      <c r="F116" s="92">
        <v>66.400000000000006</v>
      </c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108"/>
      <c r="AH116" s="47">
        <f t="shared" si="8"/>
        <v>66.7</v>
      </c>
      <c r="AI116" s="48">
        <f t="shared" si="9"/>
        <v>66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 t="s">
        <v>117</v>
      </c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8"/>
        <v>0</v>
      </c>
      <c r="AI117" s="48">
        <f t="shared" si="9"/>
        <v>0</v>
      </c>
    </row>
    <row r="118" spans="1:35" ht="15.75" thickBot="1" x14ac:dyDescent="0.3">
      <c r="A118" s="110" t="s">
        <v>118</v>
      </c>
      <c r="B118" s="111">
        <f t="shared" ref="B118:O118" si="22">SUM(B22,B28,B31:B32,B66,B68:B69,B71,B73,B119:B123,B155,B161,B167,B176,B178,B190,B197,B200:B201,B208,B210,B212,B216:B218,B220:B222,B227,B233:B234,B236:B238,B246,B251)</f>
        <v>148.24</v>
      </c>
      <c r="C118" s="111">
        <f t="shared" si="22"/>
        <v>137.63999999999999</v>
      </c>
      <c r="D118" s="111">
        <f t="shared" si="22"/>
        <v>156.63999999999999</v>
      </c>
      <c r="E118" s="111">
        <f t="shared" si="22"/>
        <v>130.048</v>
      </c>
      <c r="F118" s="111">
        <f t="shared" si="22"/>
        <v>131.79599999999999</v>
      </c>
      <c r="G118" s="111">
        <f t="shared" si="22"/>
        <v>0.94</v>
      </c>
      <c r="H118" s="111">
        <f t="shared" si="22"/>
        <v>0.94</v>
      </c>
      <c r="I118" s="111">
        <f t="shared" si="22"/>
        <v>0.94</v>
      </c>
      <c r="J118" s="111">
        <f t="shared" si="22"/>
        <v>0.94</v>
      </c>
      <c r="K118" s="111">
        <f t="shared" si="22"/>
        <v>0.94</v>
      </c>
      <c r="L118" s="111">
        <f t="shared" si="22"/>
        <v>0.94</v>
      </c>
      <c r="M118" s="111">
        <f t="shared" si="22"/>
        <v>0.94</v>
      </c>
      <c r="N118" s="111">
        <f t="shared" si="22"/>
        <v>0.94</v>
      </c>
      <c r="O118" s="111">
        <f t="shared" si="22"/>
        <v>0.94</v>
      </c>
      <c r="P118" s="111">
        <v>42</v>
      </c>
      <c r="Q118" s="111">
        <f t="shared" ref="Q118:AC118" si="23">SUM(Q22,Q28,Q31:Q32,Q66,Q68:Q69,Q71,Q73,Q119:Q123,Q155,Q161,Q167,Q176,Q178,Q190,Q197,Q200:Q201,Q208,Q210,Q212,Q216:Q218,Q220:Q222,Q227,Q233:Q234,Q236:Q238,Q246,Q251)</f>
        <v>0.94</v>
      </c>
      <c r="R118" s="111">
        <f t="shared" si="23"/>
        <v>0.94</v>
      </c>
      <c r="S118" s="111">
        <f t="shared" si="23"/>
        <v>0.94</v>
      </c>
      <c r="T118" s="111">
        <f t="shared" si="23"/>
        <v>0.94</v>
      </c>
      <c r="U118" s="111">
        <f t="shared" si="23"/>
        <v>0.94</v>
      </c>
      <c r="V118" s="111">
        <f t="shared" si="23"/>
        <v>0.94</v>
      </c>
      <c r="W118" s="111">
        <f t="shared" si="23"/>
        <v>0.94</v>
      </c>
      <c r="X118" s="111">
        <f t="shared" si="23"/>
        <v>0.94</v>
      </c>
      <c r="Y118" s="111">
        <f t="shared" ref="Y118:Z118" si="24">SUM(Y20,Y26,Y37:Y38,Y66,Y68:Y69,Y71,Y73,Y119:Y123,Y148,Y154,Y160,Y169,Y171,Y183,Y190,Y193:Y194,Y201,Y203,Y205,Y209:Y211,Y213:Y215,Y220,Y226:Y227,Y229:Y231,Y239,Y244)</f>
        <v>0</v>
      </c>
      <c r="Z118" s="111">
        <f t="shared" si="24"/>
        <v>0</v>
      </c>
      <c r="AA118" s="111">
        <f t="shared" si="23"/>
        <v>0.94</v>
      </c>
      <c r="AB118" s="111">
        <f t="shared" si="23"/>
        <v>0.94</v>
      </c>
      <c r="AC118" s="111">
        <f t="shared" si="23"/>
        <v>0.94</v>
      </c>
      <c r="AD118" s="111"/>
      <c r="AE118" s="111">
        <f>SUM(AE22,AE28,AE31:AE32,AE66,AE68:AE69,AE71,AE73,AE119:AE123,AE155,AE161,AE167,AE176,AE178,AE190,AE197,AE200:AE201,AE208,AE210,AE212,AE216:AE218,AE220:AE222,AE227,AE233:AE234,AE236:AE238,AE246,AE251)</f>
        <v>0.94</v>
      </c>
      <c r="AF118" s="111">
        <f>SUM(AF22,AF28,AF31:AF32,AF66,AF68:AF69,AF71,AF73,AF119:AF123,AF155,AF161,AF167,AF176,AF178,AF190,AF197,AF200:AF201,AF208,AF210,AF212,AF216:AF218,AF220:AF222,AF227,AF233:AF234,AF236:AF238,AF246,AF251)</f>
        <v>0.94</v>
      </c>
      <c r="AG118" s="112"/>
      <c r="AH118" s="47">
        <f t="shared" si="8"/>
        <v>156.63999999999999</v>
      </c>
      <c r="AI118" s="48">
        <f t="shared" si="9"/>
        <v>0</v>
      </c>
    </row>
    <row r="119" spans="1:35" x14ac:dyDescent="0.25">
      <c r="A119" s="172" t="s">
        <v>119</v>
      </c>
      <c r="B119" s="113">
        <v>-3.8</v>
      </c>
      <c r="C119" s="113">
        <v>-10</v>
      </c>
      <c r="D119" s="113">
        <v>-10</v>
      </c>
      <c r="E119" s="113">
        <v>-10.8</v>
      </c>
      <c r="F119" s="113">
        <v>-8.4</v>
      </c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Z119" s="113"/>
      <c r="AA119" s="113"/>
      <c r="AB119" s="113"/>
      <c r="AC119" s="113"/>
      <c r="AD119" s="113"/>
      <c r="AE119" s="113"/>
      <c r="AF119" s="113"/>
      <c r="AG119" s="114">
        <v>75</v>
      </c>
      <c r="AH119" s="47">
        <f t="shared" si="8"/>
        <v>-3.8</v>
      </c>
      <c r="AI119" s="48">
        <f t="shared" si="9"/>
        <v>-10.8</v>
      </c>
    </row>
    <row r="120" spans="1:35" x14ac:dyDescent="0.25">
      <c r="A120" s="173" t="s">
        <v>120</v>
      </c>
      <c r="B120" s="115">
        <v>-6.6</v>
      </c>
      <c r="C120" s="115">
        <v>-16</v>
      </c>
      <c r="D120" s="115">
        <v>-15</v>
      </c>
      <c r="E120" s="115">
        <v>-14.8</v>
      </c>
      <c r="F120" s="115">
        <v>-11.5</v>
      </c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115"/>
      <c r="AF120" s="115"/>
      <c r="AG120" s="114">
        <v>240</v>
      </c>
      <c r="AH120" s="47">
        <f t="shared" si="8"/>
        <v>-6.6</v>
      </c>
      <c r="AI120" s="48">
        <f t="shared" si="9"/>
        <v>-16</v>
      </c>
    </row>
    <row r="121" spans="1:35" x14ac:dyDescent="0.25">
      <c r="A121" s="173" t="s">
        <v>121</v>
      </c>
      <c r="B121" s="115">
        <v>-30</v>
      </c>
      <c r="C121" s="115">
        <v>-32</v>
      </c>
      <c r="D121" s="115">
        <v>-34</v>
      </c>
      <c r="E121" s="115">
        <v>-41.9</v>
      </c>
      <c r="F121" s="115">
        <v>-38</v>
      </c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115"/>
      <c r="AF121" s="115"/>
      <c r="AG121" s="114">
        <v>240</v>
      </c>
      <c r="AH121" s="47">
        <f t="shared" si="8"/>
        <v>-30</v>
      </c>
      <c r="AI121" s="48">
        <f t="shared" si="9"/>
        <v>-41.9</v>
      </c>
    </row>
    <row r="122" spans="1:35" ht="15.75" thickBot="1" x14ac:dyDescent="0.3">
      <c r="A122" s="173" t="s">
        <v>122</v>
      </c>
      <c r="B122" s="115">
        <v>-11</v>
      </c>
      <c r="C122" s="115">
        <v>-14</v>
      </c>
      <c r="D122" s="115">
        <v>-14</v>
      </c>
      <c r="E122" s="115">
        <v>-15.9</v>
      </c>
      <c r="F122" s="115">
        <v>-12.6</v>
      </c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15"/>
      <c r="AF122" s="115"/>
      <c r="AG122" s="114">
        <v>60</v>
      </c>
      <c r="AH122" s="47">
        <f t="shared" si="8"/>
        <v>-11</v>
      </c>
      <c r="AI122" s="48">
        <f t="shared" si="9"/>
        <v>-15.9</v>
      </c>
    </row>
    <row r="123" spans="1:35" x14ac:dyDescent="0.25">
      <c r="A123" s="172" t="s">
        <v>260</v>
      </c>
      <c r="B123" s="117">
        <v>110</v>
      </c>
      <c r="C123" s="117">
        <v>120</v>
      </c>
      <c r="D123" s="117">
        <v>140</v>
      </c>
      <c r="E123" s="117">
        <f>1.64*74.7</f>
        <v>122.508</v>
      </c>
      <c r="F123" s="117">
        <f>1.64*67.9</f>
        <v>111.35600000000001</v>
      </c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  <c r="AA123" s="117"/>
      <c r="AB123" s="117"/>
      <c r="AC123" s="117"/>
      <c r="AD123" s="117"/>
      <c r="AE123" s="117"/>
      <c r="AF123" s="117"/>
      <c r="AG123" s="118">
        <v>120</v>
      </c>
      <c r="AH123" s="47">
        <f t="shared" si="8"/>
        <v>140</v>
      </c>
      <c r="AI123" s="48">
        <f t="shared" si="9"/>
        <v>110</v>
      </c>
    </row>
    <row r="124" spans="1:35" x14ac:dyDescent="0.25">
      <c r="A124" s="173" t="s">
        <v>259</v>
      </c>
      <c r="B124" s="117">
        <v>80</v>
      </c>
      <c r="C124" s="117">
        <v>77</v>
      </c>
      <c r="D124" s="117">
        <v>83.7</v>
      </c>
      <c r="E124" s="117">
        <v>86.8</v>
      </c>
      <c r="F124" s="117">
        <v>80.8</v>
      </c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  <c r="AA124" s="117"/>
      <c r="AB124" s="117"/>
      <c r="AC124" s="117"/>
      <c r="AD124" s="117"/>
      <c r="AE124" s="117"/>
      <c r="AF124" s="117"/>
      <c r="AG124" s="118"/>
      <c r="AH124" s="47">
        <f t="shared" si="8"/>
        <v>86.8</v>
      </c>
      <c r="AI124" s="48">
        <f t="shared" si="9"/>
        <v>77</v>
      </c>
    </row>
    <row r="125" spans="1:35" x14ac:dyDescent="0.25">
      <c r="A125" s="173" t="s">
        <v>256</v>
      </c>
      <c r="B125" s="117">
        <v>59</v>
      </c>
      <c r="C125" s="117" t="s">
        <v>630</v>
      </c>
      <c r="D125" s="117">
        <v>75.599999999999994</v>
      </c>
      <c r="E125" s="117">
        <v>25.4</v>
      </c>
      <c r="F125" s="117">
        <v>70.900000000000006</v>
      </c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  <c r="AA125" s="117"/>
      <c r="AB125" s="117"/>
      <c r="AC125" s="117"/>
      <c r="AD125" s="117"/>
      <c r="AE125" s="117"/>
      <c r="AF125" s="117"/>
      <c r="AG125" s="118"/>
      <c r="AH125" s="47">
        <f t="shared" si="8"/>
        <v>75.599999999999994</v>
      </c>
      <c r="AI125" s="48">
        <f t="shared" si="9"/>
        <v>25.4</v>
      </c>
    </row>
    <row r="126" spans="1:35" ht="15.75" thickBot="1" x14ac:dyDescent="0.3">
      <c r="A126" s="173" t="s">
        <v>255</v>
      </c>
      <c r="B126" s="117">
        <v>92</v>
      </c>
      <c r="C126" s="117">
        <v>99.5</v>
      </c>
      <c r="D126" s="117">
        <v>98</v>
      </c>
      <c r="E126" s="117">
        <v>106.8</v>
      </c>
      <c r="F126" s="117">
        <v>93.6</v>
      </c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  <c r="AA126" s="117"/>
      <c r="AB126" s="117"/>
      <c r="AC126" s="117"/>
      <c r="AD126" s="117"/>
      <c r="AE126" s="117"/>
      <c r="AF126" s="117"/>
      <c r="AG126" s="114"/>
      <c r="AH126" s="47">
        <f t="shared" si="8"/>
        <v>106.8</v>
      </c>
      <c r="AI126" s="48">
        <f t="shared" si="9"/>
        <v>92</v>
      </c>
    </row>
    <row r="127" spans="1:35" x14ac:dyDescent="0.25">
      <c r="A127" s="172" t="s">
        <v>257</v>
      </c>
      <c r="B127" s="117">
        <v>0</v>
      </c>
      <c r="C127" s="117">
        <v>0</v>
      </c>
      <c r="D127" s="117">
        <v>0</v>
      </c>
      <c r="E127" s="117">
        <v>0</v>
      </c>
      <c r="F127" s="117">
        <v>0</v>
      </c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7"/>
      <c r="AF127" s="106"/>
      <c r="AG127" s="114"/>
      <c r="AH127" s="47">
        <f t="shared" si="8"/>
        <v>0</v>
      </c>
      <c r="AI127" s="48">
        <f t="shared" si="9"/>
        <v>0</v>
      </c>
    </row>
    <row r="128" spans="1:35" x14ac:dyDescent="0.25">
      <c r="A128" s="173" t="s">
        <v>124</v>
      </c>
      <c r="B128" s="106">
        <v>-5.2</v>
      </c>
      <c r="C128" s="106">
        <v>-4</v>
      </c>
      <c r="D128" s="106">
        <v>-4</v>
      </c>
      <c r="E128" s="106">
        <v>0.9</v>
      </c>
      <c r="F128" s="106">
        <v>-5.2</v>
      </c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06"/>
      <c r="AB128" s="106"/>
      <c r="AC128" s="106"/>
      <c r="AD128" s="106"/>
      <c r="AE128" s="106"/>
      <c r="AF128" s="106"/>
      <c r="AG128" s="114"/>
      <c r="AH128" s="47">
        <f t="shared" si="8"/>
        <v>0.9</v>
      </c>
      <c r="AI128" s="48">
        <f t="shared" si="9"/>
        <v>-5.2</v>
      </c>
    </row>
    <row r="129" spans="1:37" x14ac:dyDescent="0.25">
      <c r="A129" s="173" t="s">
        <v>261</v>
      </c>
      <c r="B129" s="106">
        <v>26</v>
      </c>
      <c r="C129" s="106">
        <v>24</v>
      </c>
      <c r="D129" s="106">
        <v>21</v>
      </c>
      <c r="E129" s="106">
        <v>26</v>
      </c>
      <c r="F129" s="106">
        <v>25.6</v>
      </c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  <c r="AA129" s="106"/>
      <c r="AB129" s="106"/>
      <c r="AC129" s="106"/>
      <c r="AD129" s="106"/>
      <c r="AE129" s="106"/>
      <c r="AF129" s="106"/>
      <c r="AG129" s="114"/>
      <c r="AH129" s="47">
        <f t="shared" si="8"/>
        <v>26</v>
      </c>
      <c r="AI129" s="48">
        <f t="shared" si="9"/>
        <v>21</v>
      </c>
    </row>
    <row r="130" spans="1:37" ht="15.75" thickBot="1" x14ac:dyDescent="0.3">
      <c r="A130" s="173" t="s">
        <v>258</v>
      </c>
      <c r="B130" s="106">
        <v>95</v>
      </c>
      <c r="C130" s="106">
        <v>95</v>
      </c>
      <c r="D130" s="106">
        <v>87</v>
      </c>
      <c r="E130" s="106">
        <v>94.5</v>
      </c>
      <c r="F130" s="106">
        <v>91.8</v>
      </c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  <c r="AA130" s="106"/>
      <c r="AB130" s="106"/>
      <c r="AC130" s="106"/>
      <c r="AD130" s="106"/>
      <c r="AE130" s="106"/>
      <c r="AF130" s="106"/>
      <c r="AG130" s="114"/>
      <c r="AH130" s="47">
        <f t="shared" si="8"/>
        <v>95</v>
      </c>
      <c r="AI130" s="48">
        <f t="shared" si="9"/>
        <v>87</v>
      </c>
    </row>
    <row r="131" spans="1:37" x14ac:dyDescent="0.25">
      <c r="A131" s="144" t="s">
        <v>238</v>
      </c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6"/>
      <c r="AG131" s="43"/>
      <c r="AH131" s="47"/>
      <c r="AI131" s="48"/>
    </row>
    <row r="132" spans="1:37" x14ac:dyDescent="0.25">
      <c r="A132" s="189" t="s">
        <v>368</v>
      </c>
      <c r="B132" s="147">
        <v>1984.1</v>
      </c>
      <c r="C132" s="147">
        <v>1984.4</v>
      </c>
      <c r="D132" s="147">
        <v>1984.61</v>
      </c>
      <c r="E132" s="147">
        <v>1984.85</v>
      </c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  <c r="AA132" s="147"/>
      <c r="AB132" s="147"/>
      <c r="AC132" s="147"/>
      <c r="AD132" s="147"/>
      <c r="AE132" s="147"/>
      <c r="AF132" s="148"/>
      <c r="AG132" s="149"/>
      <c r="AH132" s="47"/>
      <c r="AI132" s="48"/>
    </row>
    <row r="133" spans="1:37" x14ac:dyDescent="0.25">
      <c r="A133" s="189" t="s">
        <v>239</v>
      </c>
      <c r="B133" s="150">
        <v>520.70000000000005</v>
      </c>
      <c r="C133" s="150">
        <v>521.08000000000004</v>
      </c>
      <c r="D133" s="150">
        <v>521.4</v>
      </c>
      <c r="E133" s="150">
        <v>521.73</v>
      </c>
      <c r="F133" s="150"/>
      <c r="G133" s="150"/>
      <c r="H133" s="150"/>
      <c r="I133" s="150"/>
      <c r="J133" s="150"/>
      <c r="K133" s="150"/>
      <c r="L133" s="150"/>
      <c r="M133" s="150"/>
      <c r="N133" s="150"/>
      <c r="O133" s="150"/>
      <c r="P133" s="150"/>
      <c r="Q133" s="150"/>
      <c r="R133" s="150"/>
      <c r="S133" s="150"/>
      <c r="T133" s="150"/>
      <c r="U133" s="150"/>
      <c r="V133" s="150"/>
      <c r="W133" s="150"/>
      <c r="X133" s="150"/>
      <c r="Y133" s="150"/>
      <c r="Z133" s="150"/>
      <c r="AA133" s="150"/>
      <c r="AB133" s="150"/>
      <c r="AC133" s="150"/>
      <c r="AD133" s="150"/>
      <c r="AE133" s="150"/>
      <c r="AF133" s="151"/>
      <c r="AG133" s="149"/>
      <c r="AH133" s="47"/>
      <c r="AI133" s="48"/>
    </row>
    <row r="134" spans="1:37" x14ac:dyDescent="0.25">
      <c r="A134" s="189" t="s">
        <v>240</v>
      </c>
      <c r="B134" s="150">
        <v>623.88</v>
      </c>
      <c r="C134" s="150">
        <v>623.91999999999996</v>
      </c>
      <c r="D134" s="150">
        <v>623.96</v>
      </c>
      <c r="E134" s="150">
        <v>624.17999999999995</v>
      </c>
      <c r="F134" s="150"/>
      <c r="G134" s="150"/>
      <c r="H134" s="150"/>
      <c r="I134" s="150"/>
      <c r="J134" s="150"/>
      <c r="K134" s="150"/>
      <c r="L134" s="150"/>
      <c r="M134" s="150"/>
      <c r="N134" s="150"/>
      <c r="O134" s="150"/>
      <c r="P134" s="150"/>
      <c r="Q134" s="150"/>
      <c r="R134" s="150"/>
      <c r="S134" s="150"/>
      <c r="T134" s="150"/>
      <c r="U134" s="150"/>
      <c r="V134" s="150"/>
      <c r="W134" s="150"/>
      <c r="X134" s="150"/>
      <c r="Y134" s="150"/>
      <c r="Z134" s="150"/>
      <c r="AA134" s="150"/>
      <c r="AB134" s="150"/>
      <c r="AC134" s="150"/>
      <c r="AD134" s="150"/>
      <c r="AE134" s="150"/>
      <c r="AF134" s="151"/>
      <c r="AG134" s="149"/>
      <c r="AH134" s="47"/>
      <c r="AI134" s="48"/>
    </row>
    <row r="135" spans="1:37" x14ac:dyDescent="0.25">
      <c r="A135" s="189" t="s">
        <v>241</v>
      </c>
      <c r="B135" s="150">
        <v>335.15</v>
      </c>
      <c r="C135" s="150">
        <v>335.78</v>
      </c>
      <c r="D135" s="150">
        <v>336.16</v>
      </c>
      <c r="E135" s="150">
        <v>336.49</v>
      </c>
      <c r="F135" s="150"/>
      <c r="G135" s="150"/>
      <c r="H135" s="150"/>
      <c r="I135" s="150"/>
      <c r="J135" s="150"/>
      <c r="K135" s="150"/>
      <c r="L135" s="150"/>
      <c r="M135" s="150"/>
      <c r="N135" s="150"/>
      <c r="O135" s="150"/>
      <c r="P135" s="150"/>
      <c r="Q135" s="150"/>
      <c r="R135" s="150"/>
      <c r="S135" s="150"/>
      <c r="T135" s="150"/>
      <c r="U135" s="150"/>
      <c r="V135" s="150"/>
      <c r="W135" s="150"/>
      <c r="X135" s="150"/>
      <c r="Y135" s="150"/>
      <c r="Z135" s="150"/>
      <c r="AA135" s="150"/>
      <c r="AB135" s="150"/>
      <c r="AC135" s="150"/>
      <c r="AD135" s="150"/>
      <c r="AE135" s="150"/>
      <c r="AF135" s="151"/>
      <c r="AG135" s="149"/>
      <c r="AH135" s="47"/>
      <c r="AI135" s="48"/>
    </row>
    <row r="136" spans="1:37" x14ac:dyDescent="0.25">
      <c r="A136" s="189" t="s">
        <v>407</v>
      </c>
      <c r="B136" s="150">
        <v>886.3</v>
      </c>
      <c r="C136" s="150">
        <v>886.5</v>
      </c>
      <c r="D136" s="150">
        <v>886.9</v>
      </c>
      <c r="E136" s="150">
        <v>887.3</v>
      </c>
      <c r="F136" s="150">
        <v>887.4</v>
      </c>
      <c r="G136" s="150"/>
      <c r="H136" s="150"/>
      <c r="I136" s="150"/>
      <c r="J136" s="150"/>
      <c r="K136" s="150"/>
      <c r="L136" s="150"/>
      <c r="M136" s="150"/>
      <c r="N136" s="150"/>
      <c r="O136" s="150"/>
      <c r="P136" s="150"/>
      <c r="Q136" s="150"/>
      <c r="R136" s="150"/>
      <c r="S136" s="150"/>
      <c r="T136" s="150"/>
      <c r="U136" s="150"/>
      <c r="V136" s="150"/>
      <c r="W136" s="150"/>
      <c r="X136" s="150"/>
      <c r="Y136" s="150"/>
      <c r="Z136" s="150"/>
      <c r="AA136" s="150"/>
      <c r="AB136" s="150"/>
      <c r="AC136" s="150"/>
      <c r="AD136" s="150"/>
      <c r="AE136" s="150"/>
      <c r="AF136" s="151"/>
      <c r="AG136" s="149"/>
      <c r="AH136" s="47"/>
      <c r="AI136" s="48"/>
    </row>
    <row r="137" spans="1:37" ht="15.75" thickBot="1" x14ac:dyDescent="0.3">
      <c r="A137" s="189" t="s">
        <v>242</v>
      </c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  <c r="AC137" s="152"/>
      <c r="AD137" s="152"/>
      <c r="AE137" s="152"/>
      <c r="AF137" s="153"/>
      <c r="AG137" s="149"/>
      <c r="AH137" s="47"/>
      <c r="AI137" s="48"/>
    </row>
    <row r="138" spans="1:37" ht="15.75" thickBot="1" x14ac:dyDescent="0.3">
      <c r="A138" s="120" t="s">
        <v>125</v>
      </c>
      <c r="B138" s="121"/>
      <c r="C138" s="121"/>
      <c r="D138" s="121"/>
      <c r="E138" s="121"/>
      <c r="F138" s="170" t="s">
        <v>254</v>
      </c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74"/>
      <c r="AH138" s="47"/>
      <c r="AI138" s="48"/>
      <c r="AK138" s="50"/>
    </row>
    <row r="139" spans="1:37" x14ac:dyDescent="0.25">
      <c r="A139" s="122" t="s">
        <v>126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5">
        <v>9.94</v>
      </c>
      <c r="AH139" s="47"/>
      <c r="AI139" s="48"/>
      <c r="AK139" s="50"/>
    </row>
    <row r="140" spans="1:37" x14ac:dyDescent="0.25">
      <c r="A140" s="103" t="s">
        <v>127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5"/>
      <c r="AH140" s="47"/>
      <c r="AI140" s="48"/>
      <c r="AK140" s="50"/>
    </row>
    <row r="141" spans="1:37" x14ac:dyDescent="0.25">
      <c r="A141" s="103" t="s">
        <v>128</v>
      </c>
      <c r="B141" s="123"/>
      <c r="C141" s="124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5"/>
      <c r="AH141" s="47"/>
      <c r="AI141" s="48"/>
      <c r="AK141" s="50"/>
    </row>
    <row r="142" spans="1:37" x14ac:dyDescent="0.25">
      <c r="A142" s="103" t="s">
        <v>129</v>
      </c>
      <c r="B142" s="123"/>
      <c r="C142" s="124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5"/>
      <c r="AH142" s="47"/>
      <c r="AI142" s="48"/>
      <c r="AK142" s="50"/>
    </row>
    <row r="143" spans="1:37" x14ac:dyDescent="0.25">
      <c r="A143" s="103" t="s">
        <v>130</v>
      </c>
      <c r="B143" s="123"/>
      <c r="C143" s="124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5"/>
      <c r="AH143" s="47"/>
      <c r="AI143" s="48"/>
      <c r="AK143" s="50"/>
    </row>
    <row r="144" spans="1:37" x14ac:dyDescent="0.25">
      <c r="A144" s="103" t="s">
        <v>131</v>
      </c>
      <c r="B144" s="123"/>
      <c r="C144" s="124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5"/>
      <c r="AH144" s="47"/>
      <c r="AI144" s="48"/>
      <c r="AK144" s="50"/>
    </row>
    <row r="145" spans="1:37" x14ac:dyDescent="0.25">
      <c r="A145" s="103" t="s">
        <v>132</v>
      </c>
      <c r="B145" s="123"/>
      <c r="C145" s="124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5"/>
      <c r="AH145" s="47"/>
      <c r="AI145" s="48"/>
      <c r="AK145" s="50"/>
    </row>
    <row r="146" spans="1:37" x14ac:dyDescent="0.25">
      <c r="A146" s="103" t="s">
        <v>133</v>
      </c>
      <c r="B146" s="123"/>
      <c r="C146" s="124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5"/>
      <c r="AH146" s="47"/>
      <c r="AI146" s="48"/>
      <c r="AK146" s="50"/>
    </row>
    <row r="147" spans="1:37" x14ac:dyDescent="0.25">
      <c r="A147" s="103" t="s">
        <v>134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5"/>
      <c r="AH147" s="47"/>
      <c r="AI147" s="48"/>
      <c r="AK147" s="50"/>
    </row>
    <row r="148" spans="1:37" x14ac:dyDescent="0.25">
      <c r="A148" s="103" t="s">
        <v>135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5"/>
      <c r="AH148" s="47"/>
      <c r="AI148" s="48"/>
      <c r="AK148" s="50"/>
    </row>
    <row r="149" spans="1:37" x14ac:dyDescent="0.25">
      <c r="A149" s="103" t="s">
        <v>136</v>
      </c>
      <c r="B149" s="123"/>
      <c r="C149" s="124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5"/>
      <c r="AH149" s="47"/>
      <c r="AI149" s="48"/>
      <c r="AK149" s="50"/>
    </row>
    <row r="150" spans="1:37" x14ac:dyDescent="0.25">
      <c r="A150" s="103" t="s">
        <v>137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5"/>
      <c r="AH150" s="47"/>
      <c r="AI150" s="48"/>
      <c r="AK150" s="50"/>
    </row>
    <row r="151" spans="1:37" x14ac:dyDescent="0.25">
      <c r="A151" s="103" t="s">
        <v>138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5"/>
      <c r="AH151" s="47"/>
      <c r="AI151" s="48"/>
      <c r="AK151" s="50"/>
    </row>
    <row r="152" spans="1:37" x14ac:dyDescent="0.25">
      <c r="A152" s="103" t="s">
        <v>139</v>
      </c>
      <c r="B152" s="123"/>
      <c r="C152" s="124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5"/>
      <c r="AH152" s="47"/>
      <c r="AI152" s="48"/>
      <c r="AK152" s="50"/>
    </row>
    <row r="153" spans="1:37" x14ac:dyDescent="0.25">
      <c r="A153" s="103" t="s">
        <v>140</v>
      </c>
      <c r="B153" s="123"/>
      <c r="C153" s="124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5"/>
      <c r="AH153" s="47"/>
      <c r="AI153" s="48"/>
      <c r="AK153" s="50"/>
    </row>
    <row r="154" spans="1:37" x14ac:dyDescent="0.25">
      <c r="A154" s="103" t="s">
        <v>141</v>
      </c>
      <c r="B154" s="123"/>
      <c r="C154" s="124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5"/>
      <c r="AH154" s="47"/>
      <c r="AI154" s="48"/>
      <c r="AK154" s="50"/>
    </row>
    <row r="155" spans="1:37" x14ac:dyDescent="0.25">
      <c r="A155" s="103" t="s">
        <v>142</v>
      </c>
      <c r="B155" s="126"/>
      <c r="C155" s="127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8">
        <v>9.9</v>
      </c>
      <c r="AH155" s="47"/>
      <c r="AI155" s="48"/>
      <c r="AK155" s="50"/>
    </row>
    <row r="156" spans="1:37" x14ac:dyDescent="0.25">
      <c r="A156" s="116" t="s">
        <v>143</v>
      </c>
      <c r="B156" s="126"/>
      <c r="C156" s="127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9">
        <v>9.6579999999999995</v>
      </c>
      <c r="AH156" s="47"/>
      <c r="AI156" s="48"/>
      <c r="AK156" s="50"/>
    </row>
    <row r="157" spans="1:37" x14ac:dyDescent="0.25">
      <c r="A157" s="116" t="s">
        <v>144</v>
      </c>
      <c r="B157" s="126"/>
      <c r="C157" s="127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9">
        <v>9.6</v>
      </c>
      <c r="AH157" s="47"/>
      <c r="AI157" s="48"/>
      <c r="AK157" s="50"/>
    </row>
    <row r="158" spans="1:37" x14ac:dyDescent="0.25">
      <c r="A158" s="116" t="s">
        <v>145</v>
      </c>
      <c r="B158" s="126"/>
      <c r="C158" s="127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9">
        <v>9.51</v>
      </c>
      <c r="AH158" s="47"/>
      <c r="AI158" s="48"/>
      <c r="AK158" s="50"/>
    </row>
    <row r="159" spans="1:37" x14ac:dyDescent="0.25">
      <c r="A159" s="116" t="s">
        <v>146</v>
      </c>
      <c r="B159" s="126"/>
      <c r="C159" s="127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9">
        <v>9.4</v>
      </c>
      <c r="AH159" s="47"/>
      <c r="AI159" s="48"/>
      <c r="AK159" s="50"/>
    </row>
    <row r="160" spans="1:37" x14ac:dyDescent="0.25">
      <c r="A160" s="116" t="s">
        <v>147</v>
      </c>
      <c r="B160" s="126"/>
      <c r="C160" s="127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9">
        <v>8.8000000000000007</v>
      </c>
      <c r="AH160" s="47"/>
      <c r="AI160" s="48"/>
      <c r="AK160" s="50"/>
    </row>
    <row r="161" spans="1:37" x14ac:dyDescent="0.25">
      <c r="A161" s="116" t="s">
        <v>148</v>
      </c>
      <c r="B161" s="126"/>
      <c r="C161" s="127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9">
        <v>8.5</v>
      </c>
      <c r="AH161" s="47"/>
      <c r="AI161" s="48"/>
      <c r="AK161" s="50"/>
    </row>
    <row r="162" spans="1:37" x14ac:dyDescent="0.25">
      <c r="A162" s="116" t="s">
        <v>149</v>
      </c>
      <c r="B162" s="126"/>
      <c r="C162" s="127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9">
        <v>8.5</v>
      </c>
      <c r="AH162" s="47"/>
      <c r="AI162" s="48"/>
      <c r="AK162" s="50"/>
    </row>
    <row r="163" spans="1:37" x14ac:dyDescent="0.25">
      <c r="A163" s="116" t="s">
        <v>150</v>
      </c>
      <c r="B163" s="126"/>
      <c r="C163" s="127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9">
        <v>8.4</v>
      </c>
      <c r="AH163" s="47"/>
      <c r="AI163" s="48"/>
      <c r="AK163" s="50"/>
    </row>
    <row r="164" spans="1:37" ht="13.5" customHeight="1" x14ac:dyDescent="0.25">
      <c r="A164" s="116" t="s">
        <v>151</v>
      </c>
      <c r="B164" s="126"/>
      <c r="C164" s="127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9">
        <v>8</v>
      </c>
      <c r="AH164" s="47"/>
      <c r="AI164" s="48"/>
      <c r="AK164" s="50"/>
    </row>
    <row r="165" spans="1:37" x14ac:dyDescent="0.25">
      <c r="A165" s="116" t="s">
        <v>152</v>
      </c>
      <c r="B165" s="126"/>
      <c r="C165" s="127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9">
        <v>8</v>
      </c>
      <c r="AH165" s="47"/>
      <c r="AI165" s="48"/>
      <c r="AK165" s="50"/>
    </row>
    <row r="166" spans="1:37" x14ac:dyDescent="0.25">
      <c r="A166" s="116" t="s">
        <v>153</v>
      </c>
      <c r="B166" s="126"/>
      <c r="C166" s="127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9">
        <v>8</v>
      </c>
      <c r="AH166" s="47"/>
      <c r="AI166" s="48"/>
      <c r="AK166" s="50"/>
    </row>
    <row r="167" spans="1:37" x14ac:dyDescent="0.25">
      <c r="A167" s="116" t="s">
        <v>154</v>
      </c>
      <c r="B167" s="126"/>
      <c r="C167" s="127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9">
        <v>7.8</v>
      </c>
      <c r="AH167" s="47"/>
      <c r="AI167" s="48"/>
      <c r="AK167" s="50"/>
    </row>
    <row r="168" spans="1:37" x14ac:dyDescent="0.25">
      <c r="A168" s="116" t="s">
        <v>155</v>
      </c>
      <c r="B168" s="126"/>
      <c r="C168" s="127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9">
        <v>7.6</v>
      </c>
      <c r="AH168" s="47"/>
      <c r="AI168" s="48"/>
      <c r="AK168" s="50"/>
    </row>
    <row r="169" spans="1:37" x14ac:dyDescent="0.25">
      <c r="A169" s="116" t="s">
        <v>156</v>
      </c>
      <c r="B169" s="126"/>
      <c r="C169" s="127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9">
        <v>7.5</v>
      </c>
      <c r="AH169" s="47"/>
      <c r="AI169" s="48"/>
      <c r="AK169" s="50"/>
    </row>
    <row r="170" spans="1:37" x14ac:dyDescent="0.25">
      <c r="A170" s="116" t="s">
        <v>157</v>
      </c>
      <c r="B170" s="126"/>
      <c r="C170" s="127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9">
        <v>7.5</v>
      </c>
      <c r="AH170" s="47"/>
      <c r="AI170" s="48"/>
      <c r="AK170" s="50"/>
    </row>
    <row r="171" spans="1:37" x14ac:dyDescent="0.25">
      <c r="A171" s="116" t="s">
        <v>158</v>
      </c>
      <c r="B171" s="126"/>
      <c r="C171" s="127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9">
        <v>7</v>
      </c>
      <c r="AH171" s="47"/>
      <c r="AI171" s="48"/>
      <c r="AK171" s="50"/>
    </row>
    <row r="172" spans="1:37" x14ac:dyDescent="0.25">
      <c r="A172" s="116" t="s">
        <v>159</v>
      </c>
      <c r="B172" s="126"/>
      <c r="C172" s="127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9">
        <v>7</v>
      </c>
      <c r="AH172" s="47"/>
      <c r="AI172" s="48"/>
      <c r="AK172" s="50"/>
    </row>
    <row r="173" spans="1:37" x14ac:dyDescent="0.25">
      <c r="A173" s="116" t="s">
        <v>160</v>
      </c>
      <c r="B173" s="126"/>
      <c r="C173" s="127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9">
        <v>7</v>
      </c>
      <c r="AH173" s="47"/>
      <c r="AI173" s="48"/>
      <c r="AK173" s="50"/>
    </row>
    <row r="174" spans="1:37" x14ac:dyDescent="0.25">
      <c r="A174" s="116" t="s">
        <v>161</v>
      </c>
      <c r="B174" s="126"/>
      <c r="C174" s="127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9">
        <v>7</v>
      </c>
      <c r="AH174" s="47"/>
      <c r="AI174" s="48"/>
      <c r="AK174" s="50"/>
    </row>
    <row r="175" spans="1:37" x14ac:dyDescent="0.25">
      <c r="A175" s="116" t="s">
        <v>162</v>
      </c>
      <c r="B175" s="126"/>
      <c r="C175" s="127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9">
        <v>6.6</v>
      </c>
      <c r="AH175" s="47"/>
      <c r="AI175" s="48"/>
      <c r="AK175" s="50"/>
    </row>
    <row r="176" spans="1:37" x14ac:dyDescent="0.25">
      <c r="A176" s="116" t="s">
        <v>163</v>
      </c>
      <c r="B176" s="126"/>
      <c r="C176" s="127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9">
        <v>6.6</v>
      </c>
      <c r="AH176" s="47"/>
      <c r="AI176" s="48"/>
      <c r="AK176" s="50"/>
    </row>
    <row r="177" spans="1:37" x14ac:dyDescent="0.25">
      <c r="A177" s="116" t="s">
        <v>164</v>
      </c>
      <c r="B177" s="126"/>
      <c r="C177" s="127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9">
        <v>6.4</v>
      </c>
      <c r="AH177" s="47"/>
      <c r="AI177" s="48"/>
      <c r="AK177" s="50"/>
    </row>
    <row r="178" spans="1:37" x14ac:dyDescent="0.25">
      <c r="A178" s="116" t="s">
        <v>165</v>
      </c>
      <c r="B178" s="126"/>
      <c r="C178" s="127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9">
        <v>6</v>
      </c>
      <c r="AH178" s="47"/>
      <c r="AI178" s="48"/>
      <c r="AK178" s="50"/>
    </row>
    <row r="179" spans="1:37" x14ac:dyDescent="0.25">
      <c r="A179" s="116" t="s">
        <v>166</v>
      </c>
      <c r="B179" s="126"/>
      <c r="C179" s="127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9">
        <v>5.0999999999999996</v>
      </c>
      <c r="AH179" s="47"/>
      <c r="AI179" s="48"/>
      <c r="AK179" s="50"/>
    </row>
    <row r="180" spans="1:37" x14ac:dyDescent="0.25">
      <c r="A180" s="116" t="s">
        <v>167</v>
      </c>
      <c r="B180" s="126"/>
      <c r="C180" s="127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9">
        <v>5</v>
      </c>
      <c r="AH180" s="47"/>
      <c r="AI180" s="48"/>
      <c r="AK180" s="50"/>
    </row>
    <row r="181" spans="1:37" x14ac:dyDescent="0.25">
      <c r="A181" s="103" t="s">
        <v>168</v>
      </c>
      <c r="B181" s="126"/>
      <c r="C181" s="127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8">
        <v>5</v>
      </c>
      <c r="AH181" s="47"/>
      <c r="AI181" s="48"/>
      <c r="AK181" s="50"/>
    </row>
    <row r="182" spans="1:37" x14ac:dyDescent="0.25">
      <c r="A182" s="116" t="s">
        <v>169</v>
      </c>
      <c r="B182" s="126"/>
      <c r="C182" s="127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9">
        <v>5</v>
      </c>
      <c r="AH182" s="47"/>
      <c r="AI182" s="48"/>
      <c r="AK182" s="50"/>
    </row>
    <row r="183" spans="1:37" x14ac:dyDescent="0.25">
      <c r="A183" s="116" t="s">
        <v>170</v>
      </c>
      <c r="B183" s="126"/>
      <c r="C183" s="127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9">
        <v>5</v>
      </c>
      <c r="AH183" s="47"/>
      <c r="AI183" s="48"/>
      <c r="AK183" s="50"/>
    </row>
    <row r="184" spans="1:37" x14ac:dyDescent="0.25">
      <c r="A184" s="116" t="s">
        <v>171</v>
      </c>
      <c r="B184" s="126"/>
      <c r="C184" s="127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9">
        <v>5</v>
      </c>
      <c r="AH184" s="47"/>
      <c r="AI184" s="48"/>
      <c r="AK184" s="50"/>
    </row>
    <row r="185" spans="1:37" x14ac:dyDescent="0.25">
      <c r="A185" s="116" t="s">
        <v>172</v>
      </c>
      <c r="B185" s="126"/>
      <c r="C185" s="127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9">
        <v>5</v>
      </c>
      <c r="AH185" s="47"/>
      <c r="AI185" s="48"/>
      <c r="AK185" s="50"/>
    </row>
    <row r="186" spans="1:37" x14ac:dyDescent="0.25">
      <c r="A186" s="116" t="s">
        <v>173</v>
      </c>
      <c r="B186" s="126"/>
      <c r="C186" s="127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9">
        <v>5</v>
      </c>
      <c r="AH186" s="47"/>
      <c r="AI186" s="48"/>
      <c r="AK186" s="50"/>
    </row>
    <row r="187" spans="1:37" x14ac:dyDescent="0.25">
      <c r="A187" s="116" t="s">
        <v>174</v>
      </c>
      <c r="B187" s="126"/>
      <c r="C187" s="127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9">
        <v>4.9930000000000003</v>
      </c>
      <c r="AH187" s="47"/>
      <c r="AI187" s="48"/>
      <c r="AK187" s="50"/>
    </row>
    <row r="188" spans="1:37" x14ac:dyDescent="0.25">
      <c r="A188" s="116" t="s">
        <v>175</v>
      </c>
      <c r="B188" s="126"/>
      <c r="C188" s="127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9">
        <v>4.9800000000000004</v>
      </c>
      <c r="AH188" s="47"/>
      <c r="AI188" s="48"/>
      <c r="AK188" s="50"/>
    </row>
    <row r="189" spans="1:37" x14ac:dyDescent="0.25">
      <c r="A189" s="116" t="s">
        <v>176</v>
      </c>
      <c r="B189" s="126"/>
      <c r="C189" s="127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9">
        <v>4.95</v>
      </c>
      <c r="AH189" s="47"/>
      <c r="AI189" s="48"/>
      <c r="AK189" s="50"/>
    </row>
    <row r="190" spans="1:37" x14ac:dyDescent="0.25">
      <c r="A190" s="116" t="s">
        <v>177</v>
      </c>
      <c r="B190" s="126"/>
      <c r="C190" s="127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9">
        <v>4.95</v>
      </c>
      <c r="AH190" s="47"/>
      <c r="AI190" s="48"/>
      <c r="AK190" s="50"/>
    </row>
    <row r="191" spans="1:37" x14ac:dyDescent="0.25">
      <c r="A191" s="116" t="s">
        <v>178</v>
      </c>
      <c r="B191" s="126"/>
      <c r="C191" s="127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9">
        <v>4.8</v>
      </c>
      <c r="AH191" s="47"/>
      <c r="AI191" s="48"/>
      <c r="AK191" s="50"/>
    </row>
    <row r="192" spans="1:37" x14ac:dyDescent="0.25">
      <c r="A192" s="116" t="s">
        <v>179</v>
      </c>
      <c r="B192" s="126"/>
      <c r="C192" s="127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9">
        <v>4.8</v>
      </c>
      <c r="AH192" s="47"/>
      <c r="AI192" s="48"/>
      <c r="AK192" s="50"/>
    </row>
    <row r="193" spans="1:37" x14ac:dyDescent="0.25">
      <c r="A193" s="116" t="s">
        <v>180</v>
      </c>
      <c r="B193" s="126"/>
      <c r="C193" s="127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9">
        <v>4.8</v>
      </c>
      <c r="AH193" s="47"/>
      <c r="AI193" s="48"/>
      <c r="AK193" s="50"/>
    </row>
    <row r="194" spans="1:37" x14ac:dyDescent="0.25">
      <c r="A194" s="116" t="s">
        <v>181</v>
      </c>
      <c r="B194" s="126"/>
      <c r="C194" s="127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9">
        <v>4.5</v>
      </c>
      <c r="AH194" s="47"/>
      <c r="AI194" s="48"/>
      <c r="AK194" s="50"/>
    </row>
    <row r="195" spans="1:37" x14ac:dyDescent="0.25">
      <c r="A195" s="116" t="s">
        <v>182</v>
      </c>
      <c r="B195" s="126"/>
      <c r="C195" s="127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9">
        <v>4.5</v>
      </c>
      <c r="AH195" s="47"/>
      <c r="AI195" s="48"/>
      <c r="AK195" s="50"/>
    </row>
    <row r="196" spans="1:37" x14ac:dyDescent="0.25">
      <c r="A196" s="116" t="s">
        <v>183</v>
      </c>
      <c r="B196" s="126"/>
      <c r="C196" s="127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9">
        <v>4.4550000000000001</v>
      </c>
      <c r="AH196" s="47"/>
      <c r="AI196" s="48"/>
      <c r="AK196" s="50"/>
    </row>
    <row r="197" spans="1:37" x14ac:dyDescent="0.25">
      <c r="A197" s="116" t="s">
        <v>184</v>
      </c>
      <c r="B197" s="126"/>
      <c r="C197" s="127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9">
        <v>4.41</v>
      </c>
      <c r="AH197" s="47"/>
      <c r="AI197" s="48"/>
      <c r="AK197" s="50"/>
    </row>
    <row r="198" spans="1:37" x14ac:dyDescent="0.25">
      <c r="A198" s="116" t="s">
        <v>185</v>
      </c>
      <c r="B198" s="126"/>
      <c r="C198" s="127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9">
        <v>4.4000000000000004</v>
      </c>
      <c r="AH198" s="47"/>
      <c r="AI198" s="48"/>
      <c r="AK198" s="50"/>
    </row>
    <row r="199" spans="1:37" x14ac:dyDescent="0.25">
      <c r="A199" s="116" t="s">
        <v>186</v>
      </c>
      <c r="B199" s="126"/>
      <c r="C199" s="127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9">
        <v>4.3600000000000003</v>
      </c>
      <c r="AH199" s="47"/>
      <c r="AI199" s="48"/>
      <c r="AK199" s="50"/>
    </row>
    <row r="200" spans="1:37" x14ac:dyDescent="0.25">
      <c r="A200" s="116" t="s">
        <v>187</v>
      </c>
      <c r="B200" s="126"/>
      <c r="C200" s="127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9">
        <v>4.2</v>
      </c>
      <c r="AH200" s="47"/>
      <c r="AI200" s="48"/>
      <c r="AK200" s="50"/>
    </row>
    <row r="201" spans="1:37" x14ac:dyDescent="0.25">
      <c r="A201" s="116" t="s">
        <v>188</v>
      </c>
      <c r="B201" s="126"/>
      <c r="C201" s="127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9">
        <v>4</v>
      </c>
      <c r="AH201" s="47"/>
      <c r="AI201" s="48"/>
      <c r="AK201" s="50"/>
    </row>
    <row r="202" spans="1:37" x14ac:dyDescent="0.25">
      <c r="A202" s="116" t="s">
        <v>189</v>
      </c>
      <c r="B202" s="126"/>
      <c r="C202" s="127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9">
        <v>4</v>
      </c>
      <c r="AH202" s="47"/>
      <c r="AI202" s="48"/>
      <c r="AK202" s="50"/>
    </row>
    <row r="203" spans="1:37" x14ac:dyDescent="0.25">
      <c r="A203" s="116" t="s">
        <v>190</v>
      </c>
      <c r="B203" s="126"/>
      <c r="C203" s="127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9">
        <v>4</v>
      </c>
      <c r="AH203" s="47"/>
      <c r="AI203" s="48"/>
      <c r="AK203" s="50"/>
    </row>
    <row r="204" spans="1:37" x14ac:dyDescent="0.25">
      <c r="A204" s="116" t="s">
        <v>191</v>
      </c>
      <c r="B204" s="126"/>
      <c r="C204" s="127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9">
        <v>4</v>
      </c>
      <c r="AH204" s="47"/>
      <c r="AI204" s="48"/>
      <c r="AK204" s="50"/>
    </row>
    <row r="205" spans="1:37" x14ac:dyDescent="0.25">
      <c r="A205" s="116" t="s">
        <v>192</v>
      </c>
      <c r="B205" s="126"/>
      <c r="C205" s="127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9">
        <v>4</v>
      </c>
      <c r="AH205" s="47"/>
      <c r="AI205" s="48"/>
      <c r="AK205" s="50"/>
    </row>
    <row r="206" spans="1:37" x14ac:dyDescent="0.25">
      <c r="A206" s="116" t="s">
        <v>193</v>
      </c>
      <c r="B206" s="126"/>
      <c r="C206" s="127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9">
        <v>4</v>
      </c>
      <c r="AH206" s="47"/>
      <c r="AI206" s="48"/>
      <c r="AK206" s="50"/>
    </row>
    <row r="207" spans="1:37" x14ac:dyDescent="0.25">
      <c r="A207" s="116" t="s">
        <v>194</v>
      </c>
      <c r="B207" s="126"/>
      <c r="C207" s="127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9">
        <v>4</v>
      </c>
      <c r="AH207" s="47"/>
      <c r="AI207" s="48"/>
      <c r="AK207" s="50"/>
    </row>
    <row r="208" spans="1:37" x14ac:dyDescent="0.25">
      <c r="A208" s="116" t="s">
        <v>195</v>
      </c>
      <c r="B208" s="126"/>
      <c r="C208" s="127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9">
        <v>4</v>
      </c>
      <c r="AH208" s="47"/>
      <c r="AI208" s="48"/>
      <c r="AK208" s="50"/>
    </row>
    <row r="209" spans="1:37" x14ac:dyDescent="0.25">
      <c r="A209" s="116" t="s">
        <v>196</v>
      </c>
      <c r="B209" s="126"/>
      <c r="C209" s="127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9">
        <v>3.75</v>
      </c>
      <c r="AH209" s="47"/>
      <c r="AI209" s="48"/>
      <c r="AK209" s="50"/>
    </row>
    <row r="210" spans="1:37" x14ac:dyDescent="0.25">
      <c r="A210" s="116" t="s">
        <v>197</v>
      </c>
      <c r="B210" s="126"/>
      <c r="C210" s="127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9">
        <v>3.52</v>
      </c>
      <c r="AH210" s="47"/>
      <c r="AI210" s="48"/>
      <c r="AK210" s="50"/>
    </row>
    <row r="211" spans="1:37" x14ac:dyDescent="0.25">
      <c r="A211" s="116" t="s">
        <v>198</v>
      </c>
      <c r="B211" s="126"/>
      <c r="C211" s="127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9">
        <v>3.33</v>
      </c>
      <c r="AH211" s="47"/>
      <c r="AI211" s="48"/>
      <c r="AK211" s="50"/>
    </row>
    <row r="212" spans="1:37" x14ac:dyDescent="0.25">
      <c r="A212" s="116" t="s">
        <v>199</v>
      </c>
      <c r="B212" s="126"/>
      <c r="C212" s="127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9">
        <v>3.2</v>
      </c>
      <c r="AH212" s="47"/>
      <c r="AI212" s="48"/>
      <c r="AK212" s="50"/>
    </row>
    <row r="213" spans="1:37" x14ac:dyDescent="0.25">
      <c r="A213" s="116" t="s">
        <v>200</v>
      </c>
      <c r="B213" s="126"/>
      <c r="C213" s="127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9">
        <v>3</v>
      </c>
      <c r="AH213" s="47"/>
      <c r="AI213" s="48"/>
      <c r="AK213" s="50"/>
    </row>
    <row r="214" spans="1:37" x14ac:dyDescent="0.25">
      <c r="A214" s="116" t="s">
        <v>201</v>
      </c>
      <c r="B214" s="126"/>
      <c r="C214" s="127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9">
        <v>3</v>
      </c>
      <c r="AH214" s="47"/>
      <c r="AI214" s="48"/>
      <c r="AK214" s="50"/>
    </row>
    <row r="215" spans="1:37" x14ac:dyDescent="0.25">
      <c r="A215" s="116" t="s">
        <v>202</v>
      </c>
      <c r="B215" s="126"/>
      <c r="C215" s="127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9">
        <v>3</v>
      </c>
      <c r="AH215" s="47"/>
      <c r="AI215" s="48"/>
      <c r="AK215" s="50"/>
    </row>
    <row r="216" spans="1:37" x14ac:dyDescent="0.25">
      <c r="A216" s="116" t="s">
        <v>203</v>
      </c>
      <c r="B216" s="126"/>
      <c r="C216" s="127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9">
        <v>3</v>
      </c>
      <c r="AH216" s="47"/>
      <c r="AI216" s="48"/>
      <c r="AK216" s="50"/>
    </row>
    <row r="217" spans="1:37" x14ac:dyDescent="0.25">
      <c r="A217" s="116" t="s">
        <v>204</v>
      </c>
      <c r="B217" s="126"/>
      <c r="C217" s="127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9">
        <v>3</v>
      </c>
      <c r="AH217" s="47"/>
      <c r="AI217" s="48"/>
      <c r="AK217" s="50"/>
    </row>
    <row r="218" spans="1:37" x14ac:dyDescent="0.25">
      <c r="A218" s="116" t="s">
        <v>205</v>
      </c>
      <c r="B218" s="126"/>
      <c r="C218" s="127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9">
        <v>3</v>
      </c>
      <c r="AH218" s="47"/>
      <c r="AI218" s="48"/>
      <c r="AK218" s="50"/>
    </row>
    <row r="219" spans="1:37" x14ac:dyDescent="0.25">
      <c r="A219" s="116" t="s">
        <v>206</v>
      </c>
      <c r="B219" s="126"/>
      <c r="C219" s="127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9">
        <v>3</v>
      </c>
      <c r="AH219" s="47"/>
      <c r="AI219" s="48"/>
      <c r="AK219" s="50"/>
    </row>
    <row r="220" spans="1:37" x14ac:dyDescent="0.25">
      <c r="A220" s="116" t="s">
        <v>207</v>
      </c>
      <c r="B220" s="126"/>
      <c r="C220" s="127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9">
        <v>3</v>
      </c>
      <c r="AH220" s="47"/>
      <c r="AI220" s="48"/>
      <c r="AK220" s="50"/>
    </row>
    <row r="221" spans="1:37" x14ac:dyDescent="0.25">
      <c r="A221" s="116" t="s">
        <v>208</v>
      </c>
      <c r="B221" s="126"/>
      <c r="C221" s="127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9">
        <v>2.83</v>
      </c>
      <c r="AH221" s="47"/>
      <c r="AI221" s="48"/>
      <c r="AK221" s="50"/>
    </row>
    <row r="222" spans="1:37" x14ac:dyDescent="0.25">
      <c r="A222" s="116" t="s">
        <v>209</v>
      </c>
      <c r="B222" s="126"/>
      <c r="C222" s="127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9">
        <v>2.5</v>
      </c>
      <c r="AH222" s="47"/>
      <c r="AI222" s="48"/>
      <c r="AK222" s="50"/>
    </row>
    <row r="223" spans="1:37" x14ac:dyDescent="0.25">
      <c r="A223" s="116" t="s">
        <v>210</v>
      </c>
      <c r="B223" s="126"/>
      <c r="C223" s="127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9">
        <v>2.5</v>
      </c>
      <c r="AH223" s="47"/>
      <c r="AI223" s="48"/>
      <c r="AK223" s="50"/>
    </row>
    <row r="224" spans="1:37" x14ac:dyDescent="0.25">
      <c r="A224" s="116" t="s">
        <v>211</v>
      </c>
      <c r="B224" s="126"/>
      <c r="C224" s="127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9">
        <v>2.4</v>
      </c>
      <c r="AH224" s="47"/>
      <c r="AI224" s="48"/>
      <c r="AK224" s="50"/>
    </row>
    <row r="225" spans="1:37" x14ac:dyDescent="0.25">
      <c r="A225" s="116" t="s">
        <v>212</v>
      </c>
      <c r="B225" s="126"/>
      <c r="C225" s="127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9">
        <v>2.4</v>
      </c>
      <c r="AH225" s="47"/>
      <c r="AI225" s="48"/>
      <c r="AK225" s="50"/>
    </row>
    <row r="226" spans="1:37" x14ac:dyDescent="0.25">
      <c r="A226" s="116" t="s">
        <v>213</v>
      </c>
      <c r="B226" s="126"/>
      <c r="C226" s="127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9">
        <v>2.2000000000000002</v>
      </c>
      <c r="AH226" s="47"/>
      <c r="AI226" s="48"/>
      <c r="AK226" s="50"/>
    </row>
    <row r="227" spans="1:37" x14ac:dyDescent="0.25">
      <c r="A227" s="116" t="s">
        <v>214</v>
      </c>
      <c r="B227" s="126"/>
      <c r="C227" s="127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9">
        <v>2</v>
      </c>
      <c r="AH227" s="47"/>
      <c r="AI227" s="48"/>
      <c r="AK227" s="50"/>
    </row>
    <row r="228" spans="1:37" x14ac:dyDescent="0.25">
      <c r="A228" s="116" t="s">
        <v>215</v>
      </c>
      <c r="B228" s="126"/>
      <c r="C228" s="127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9">
        <v>2</v>
      </c>
      <c r="AH228" s="47"/>
      <c r="AI228" s="48"/>
      <c r="AK228" s="50"/>
    </row>
    <row r="229" spans="1:37" x14ac:dyDescent="0.25">
      <c r="A229" s="116" t="s">
        <v>216</v>
      </c>
      <c r="B229" s="126"/>
      <c r="C229" s="127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9">
        <v>2</v>
      </c>
      <c r="AH229" s="47"/>
      <c r="AI229" s="48"/>
      <c r="AK229" s="50"/>
    </row>
    <row r="230" spans="1:37" x14ac:dyDescent="0.25">
      <c r="A230" s="116" t="s">
        <v>217</v>
      </c>
      <c r="B230" s="126"/>
      <c r="C230" s="127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9">
        <v>1.8</v>
      </c>
      <c r="AH230" s="47"/>
      <c r="AI230" s="48"/>
      <c r="AK230" s="50"/>
    </row>
    <row r="231" spans="1:37" x14ac:dyDescent="0.25">
      <c r="A231" s="116" t="s">
        <v>218</v>
      </c>
      <c r="B231" s="126"/>
      <c r="C231" s="127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9">
        <v>1.8</v>
      </c>
      <c r="AH231" s="47"/>
      <c r="AI231" s="48"/>
      <c r="AK231" s="50"/>
    </row>
    <row r="232" spans="1:37" x14ac:dyDescent="0.25">
      <c r="A232" s="116" t="s">
        <v>219</v>
      </c>
      <c r="B232" s="126"/>
      <c r="C232" s="127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9">
        <v>1.65</v>
      </c>
      <c r="AH232" s="47"/>
      <c r="AI232" s="48"/>
      <c r="AK232" s="50"/>
    </row>
    <row r="233" spans="1:37" x14ac:dyDescent="0.25">
      <c r="A233" s="116" t="s">
        <v>220</v>
      </c>
      <c r="B233" s="126"/>
      <c r="C233" s="127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9">
        <v>1.5</v>
      </c>
      <c r="AH233" s="47"/>
      <c r="AI233" s="48"/>
      <c r="AK233" s="50"/>
    </row>
    <row r="234" spans="1:37" x14ac:dyDescent="0.25">
      <c r="A234" s="116" t="s">
        <v>221</v>
      </c>
      <c r="B234" s="126"/>
      <c r="C234" s="127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9">
        <v>0.998</v>
      </c>
      <c r="AH234" s="47"/>
      <c r="AI234" s="48"/>
      <c r="AK234" s="50"/>
    </row>
    <row r="235" spans="1:37" x14ac:dyDescent="0.25">
      <c r="A235" s="116" t="s">
        <v>222</v>
      </c>
      <c r="B235" s="126"/>
      <c r="C235" s="127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9">
        <v>0.997</v>
      </c>
      <c r="AH235" s="47"/>
      <c r="AI235" s="48"/>
      <c r="AK235" s="50"/>
    </row>
    <row r="236" spans="1:37" x14ac:dyDescent="0.25">
      <c r="A236" s="116" t="s">
        <v>223</v>
      </c>
      <c r="B236" s="126"/>
      <c r="C236" s="127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9">
        <v>0.997</v>
      </c>
      <c r="AH236" s="47"/>
      <c r="AI236" s="48"/>
      <c r="AK236" s="50"/>
    </row>
    <row r="237" spans="1:37" x14ac:dyDescent="0.25">
      <c r="A237" s="116" t="s">
        <v>224</v>
      </c>
      <c r="B237" s="126"/>
      <c r="C237" s="127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9">
        <v>0.996</v>
      </c>
      <c r="AH237" s="47"/>
      <c r="AI237" s="48"/>
      <c r="AK237" s="50"/>
    </row>
    <row r="238" spans="1:37" x14ac:dyDescent="0.25">
      <c r="A238" s="116" t="s">
        <v>225</v>
      </c>
      <c r="B238" s="126"/>
      <c r="C238" s="127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9">
        <v>0.996</v>
      </c>
      <c r="AH238" s="47"/>
      <c r="AI238" s="48"/>
      <c r="AK238" s="50"/>
    </row>
    <row r="239" spans="1:37" x14ac:dyDescent="0.25">
      <c r="A239" s="116" t="s">
        <v>226</v>
      </c>
      <c r="B239" s="126"/>
      <c r="C239" s="127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9">
        <v>0.996</v>
      </c>
      <c r="AH239" s="47"/>
      <c r="AI239" s="48"/>
      <c r="AK239" s="50"/>
    </row>
    <row r="240" spans="1:37" x14ac:dyDescent="0.25">
      <c r="A240" s="116" t="s">
        <v>227</v>
      </c>
      <c r="B240" s="126"/>
      <c r="C240" s="127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9">
        <v>0.995</v>
      </c>
      <c r="AH240" s="47"/>
      <c r="AI240" s="48"/>
      <c r="AK240" s="50"/>
    </row>
    <row r="241" spans="1:37" x14ac:dyDescent="0.25">
      <c r="A241" s="116" t="s">
        <v>228</v>
      </c>
      <c r="B241" s="126"/>
      <c r="C241" s="127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9">
        <v>0.99299999999999999</v>
      </c>
      <c r="AH241" s="47"/>
      <c r="AI241" s="48"/>
      <c r="AK241" s="50"/>
    </row>
    <row r="242" spans="1:37" x14ac:dyDescent="0.25">
      <c r="A242" s="116" t="s">
        <v>229</v>
      </c>
      <c r="B242" s="126"/>
      <c r="C242" s="124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9">
        <v>0.99</v>
      </c>
      <c r="AH242" s="47"/>
      <c r="AI242" s="48"/>
      <c r="AK242" s="50"/>
    </row>
    <row r="243" spans="1:37" ht="15.75" thickBot="1" x14ac:dyDescent="0.3">
      <c r="A243" s="116" t="s">
        <v>230</v>
      </c>
      <c r="B243" s="130"/>
      <c r="C243" s="131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29">
        <v>0.97899999999999998</v>
      </c>
      <c r="AH243" s="47"/>
      <c r="AI243" s="48"/>
      <c r="AK243" s="50"/>
    </row>
    <row r="244" spans="1:37" ht="15.75" thickBot="1" x14ac:dyDescent="0.3">
      <c r="A244" s="132" t="s">
        <v>231</v>
      </c>
      <c r="B244" s="133">
        <f t="shared" ref="B244:AG244" si="25">SUM(B139:B243)</f>
        <v>0</v>
      </c>
      <c r="C244" s="134">
        <f t="shared" si="25"/>
        <v>0</v>
      </c>
      <c r="D244" s="134">
        <f t="shared" si="25"/>
        <v>0</v>
      </c>
      <c r="E244" s="134">
        <f t="shared" si="25"/>
        <v>0</v>
      </c>
      <c r="F244" s="134">
        <f t="shared" si="25"/>
        <v>0</v>
      </c>
      <c r="G244" s="134">
        <f t="shared" si="25"/>
        <v>0</v>
      </c>
      <c r="H244" s="134">
        <f t="shared" si="25"/>
        <v>0</v>
      </c>
      <c r="I244" s="134">
        <f t="shared" si="25"/>
        <v>0</v>
      </c>
      <c r="J244" s="134">
        <f t="shared" si="25"/>
        <v>0</v>
      </c>
      <c r="K244" s="134">
        <f t="shared" si="25"/>
        <v>0</v>
      </c>
      <c r="L244" s="134">
        <f t="shared" si="25"/>
        <v>0</v>
      </c>
      <c r="M244" s="134">
        <f t="shared" si="25"/>
        <v>0</v>
      </c>
      <c r="N244" s="134">
        <f t="shared" si="25"/>
        <v>0</v>
      </c>
      <c r="O244" s="134">
        <f t="shared" si="25"/>
        <v>0</v>
      </c>
      <c r="P244" s="134">
        <f t="shared" si="25"/>
        <v>0</v>
      </c>
      <c r="Q244" s="134">
        <f t="shared" si="25"/>
        <v>0</v>
      </c>
      <c r="R244" s="134">
        <f t="shared" si="25"/>
        <v>0</v>
      </c>
      <c r="S244" s="134">
        <f t="shared" si="25"/>
        <v>0</v>
      </c>
      <c r="T244" s="134">
        <f t="shared" si="25"/>
        <v>0</v>
      </c>
      <c r="U244" s="134">
        <f t="shared" si="25"/>
        <v>0</v>
      </c>
      <c r="V244" s="134">
        <f t="shared" si="25"/>
        <v>0</v>
      </c>
      <c r="W244" s="134">
        <f t="shared" si="25"/>
        <v>0</v>
      </c>
      <c r="X244" s="134">
        <f t="shared" si="25"/>
        <v>0</v>
      </c>
      <c r="Y244" s="134">
        <f t="shared" si="25"/>
        <v>0</v>
      </c>
      <c r="Z244" s="134">
        <f t="shared" si="25"/>
        <v>0</v>
      </c>
      <c r="AA244" s="134">
        <f t="shared" si="25"/>
        <v>0</v>
      </c>
      <c r="AB244" s="134">
        <f t="shared" si="25"/>
        <v>0</v>
      </c>
      <c r="AC244" s="134">
        <f t="shared" si="25"/>
        <v>0</v>
      </c>
      <c r="AD244" s="134">
        <f t="shared" si="25"/>
        <v>0</v>
      </c>
      <c r="AE244" s="134">
        <f t="shared" si="25"/>
        <v>0</v>
      </c>
      <c r="AF244" s="135">
        <f t="shared" si="25"/>
        <v>0</v>
      </c>
      <c r="AG244" s="136">
        <f t="shared" si="25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19"/>
      <c r="AH245" s="47"/>
      <c r="AI245" s="48"/>
      <c r="AK245" s="50"/>
    </row>
    <row r="246" spans="1:37" x14ac:dyDescent="0.25">
      <c r="A246" s="100" t="s">
        <v>232</v>
      </c>
      <c r="B246" s="138">
        <f t="shared" ref="B246:B251" si="26">AF246</f>
        <v>0.3</v>
      </c>
      <c r="C246" s="138">
        <v>0.3</v>
      </c>
      <c r="D246" s="138">
        <f t="shared" ref="D246:S251" si="27">C246</f>
        <v>0.3</v>
      </c>
      <c r="E246" s="138">
        <f t="shared" si="27"/>
        <v>0.3</v>
      </c>
      <c r="F246" s="138">
        <f t="shared" si="27"/>
        <v>0.3</v>
      </c>
      <c r="G246" s="138">
        <f t="shared" si="27"/>
        <v>0.3</v>
      </c>
      <c r="H246" s="138">
        <f t="shared" si="27"/>
        <v>0.3</v>
      </c>
      <c r="I246" s="138">
        <f t="shared" si="27"/>
        <v>0.3</v>
      </c>
      <c r="J246" s="138">
        <f t="shared" si="27"/>
        <v>0.3</v>
      </c>
      <c r="K246" s="138">
        <f t="shared" si="27"/>
        <v>0.3</v>
      </c>
      <c r="L246" s="138">
        <f t="shared" si="27"/>
        <v>0.3</v>
      </c>
      <c r="M246" s="138">
        <f t="shared" si="27"/>
        <v>0.3</v>
      </c>
      <c r="N246" s="138">
        <f t="shared" si="27"/>
        <v>0.3</v>
      </c>
      <c r="O246" s="138">
        <f t="shared" si="27"/>
        <v>0.3</v>
      </c>
      <c r="P246" s="138">
        <f t="shared" si="27"/>
        <v>0.3</v>
      </c>
      <c r="Q246" s="138">
        <f t="shared" si="27"/>
        <v>0.3</v>
      </c>
      <c r="R246" s="138">
        <f t="shared" si="27"/>
        <v>0.3</v>
      </c>
      <c r="S246" s="138">
        <f t="shared" si="27"/>
        <v>0.3</v>
      </c>
      <c r="T246" s="138">
        <f t="shared" ref="T246:AF251" si="28">S246</f>
        <v>0.3</v>
      </c>
      <c r="U246" s="138">
        <f t="shared" si="28"/>
        <v>0.3</v>
      </c>
      <c r="V246" s="138">
        <f t="shared" si="28"/>
        <v>0.3</v>
      </c>
      <c r="W246" s="138">
        <f t="shared" si="28"/>
        <v>0.3</v>
      </c>
      <c r="X246" s="138">
        <f t="shared" si="28"/>
        <v>0.3</v>
      </c>
      <c r="Y246" s="138">
        <f t="shared" si="28"/>
        <v>0.3</v>
      </c>
      <c r="Z246" s="138">
        <f t="shared" si="28"/>
        <v>0.3</v>
      </c>
      <c r="AA246" s="138">
        <f t="shared" si="28"/>
        <v>0.3</v>
      </c>
      <c r="AB246" s="138">
        <f t="shared" si="28"/>
        <v>0.3</v>
      </c>
      <c r="AC246" s="138">
        <f t="shared" si="28"/>
        <v>0.3</v>
      </c>
      <c r="AD246" s="138">
        <f t="shared" si="28"/>
        <v>0.3</v>
      </c>
      <c r="AE246" s="138">
        <f t="shared" si="28"/>
        <v>0.3</v>
      </c>
      <c r="AF246" s="138">
        <f t="shared" si="28"/>
        <v>0.3</v>
      </c>
      <c r="AG246" s="139">
        <v>2.4</v>
      </c>
      <c r="AH246" s="47"/>
      <c r="AI246" s="48"/>
      <c r="AK246" s="50"/>
    </row>
    <row r="247" spans="1:37" x14ac:dyDescent="0.25">
      <c r="A247" s="103" t="s">
        <v>233</v>
      </c>
      <c r="B247" s="126">
        <f t="shared" si="26"/>
        <v>0.4</v>
      </c>
      <c r="C247" s="126">
        <v>0.4</v>
      </c>
      <c r="D247" s="126">
        <f t="shared" si="27"/>
        <v>0.4</v>
      </c>
      <c r="E247" s="126">
        <f t="shared" si="27"/>
        <v>0.4</v>
      </c>
      <c r="F247" s="126">
        <f t="shared" si="27"/>
        <v>0.4</v>
      </c>
      <c r="G247" s="126">
        <f t="shared" si="27"/>
        <v>0.4</v>
      </c>
      <c r="H247" s="126">
        <f t="shared" si="27"/>
        <v>0.4</v>
      </c>
      <c r="I247" s="126">
        <f t="shared" si="27"/>
        <v>0.4</v>
      </c>
      <c r="J247" s="126">
        <f t="shared" si="27"/>
        <v>0.4</v>
      </c>
      <c r="K247" s="126">
        <f t="shared" si="27"/>
        <v>0.4</v>
      </c>
      <c r="L247" s="126">
        <f t="shared" si="27"/>
        <v>0.4</v>
      </c>
      <c r="M247" s="126">
        <f t="shared" si="27"/>
        <v>0.4</v>
      </c>
      <c r="N247" s="126">
        <f t="shared" si="27"/>
        <v>0.4</v>
      </c>
      <c r="O247" s="126">
        <f t="shared" si="27"/>
        <v>0.4</v>
      </c>
      <c r="P247" s="126">
        <f t="shared" si="27"/>
        <v>0.4</v>
      </c>
      <c r="Q247" s="126">
        <f t="shared" si="27"/>
        <v>0.4</v>
      </c>
      <c r="R247" s="126">
        <f t="shared" si="27"/>
        <v>0.4</v>
      </c>
      <c r="S247" s="126">
        <f t="shared" si="27"/>
        <v>0.4</v>
      </c>
      <c r="T247" s="126">
        <f t="shared" si="28"/>
        <v>0.4</v>
      </c>
      <c r="U247" s="126">
        <f t="shared" si="28"/>
        <v>0.4</v>
      </c>
      <c r="V247" s="126">
        <f t="shared" si="28"/>
        <v>0.4</v>
      </c>
      <c r="W247" s="126">
        <f t="shared" si="28"/>
        <v>0.4</v>
      </c>
      <c r="X247" s="126">
        <f t="shared" si="28"/>
        <v>0.4</v>
      </c>
      <c r="Y247" s="126">
        <f t="shared" si="28"/>
        <v>0.4</v>
      </c>
      <c r="Z247" s="126">
        <f t="shared" si="28"/>
        <v>0.4</v>
      </c>
      <c r="AA247" s="126">
        <f t="shared" si="28"/>
        <v>0.4</v>
      </c>
      <c r="AB247" s="126">
        <f t="shared" si="28"/>
        <v>0.4</v>
      </c>
      <c r="AC247" s="126">
        <f t="shared" si="28"/>
        <v>0.4</v>
      </c>
      <c r="AD247" s="126">
        <f t="shared" si="28"/>
        <v>0.4</v>
      </c>
      <c r="AE247" s="126">
        <f t="shared" si="28"/>
        <v>0.4</v>
      </c>
      <c r="AF247" s="126">
        <f t="shared" si="28"/>
        <v>0.4</v>
      </c>
      <c r="AG247" s="140">
        <v>2</v>
      </c>
      <c r="AH247" s="47"/>
      <c r="AI247" s="48"/>
      <c r="AK247" s="50"/>
    </row>
    <row r="248" spans="1:37" x14ac:dyDescent="0.25">
      <c r="A248" s="103" t="s">
        <v>234</v>
      </c>
      <c r="B248" s="126">
        <f t="shared" si="26"/>
        <v>1.5</v>
      </c>
      <c r="C248" s="126">
        <v>1.5</v>
      </c>
      <c r="D248" s="126">
        <f t="shared" si="27"/>
        <v>1.5</v>
      </c>
      <c r="E248" s="126">
        <f t="shared" si="27"/>
        <v>1.5</v>
      </c>
      <c r="F248" s="126">
        <f t="shared" si="27"/>
        <v>1.5</v>
      </c>
      <c r="G248" s="126">
        <f t="shared" si="27"/>
        <v>1.5</v>
      </c>
      <c r="H248" s="126">
        <f t="shared" si="27"/>
        <v>1.5</v>
      </c>
      <c r="I248" s="126">
        <f t="shared" si="27"/>
        <v>1.5</v>
      </c>
      <c r="J248" s="126">
        <f t="shared" si="27"/>
        <v>1.5</v>
      </c>
      <c r="K248" s="126">
        <f t="shared" si="27"/>
        <v>1.5</v>
      </c>
      <c r="L248" s="126">
        <f t="shared" si="27"/>
        <v>1.5</v>
      </c>
      <c r="M248" s="126">
        <f t="shared" si="27"/>
        <v>1.5</v>
      </c>
      <c r="N248" s="126">
        <f t="shared" si="27"/>
        <v>1.5</v>
      </c>
      <c r="O248" s="126">
        <f t="shared" si="27"/>
        <v>1.5</v>
      </c>
      <c r="P248" s="126">
        <f t="shared" si="27"/>
        <v>1.5</v>
      </c>
      <c r="Q248" s="126">
        <f t="shared" si="27"/>
        <v>1.5</v>
      </c>
      <c r="R248" s="126">
        <f t="shared" si="27"/>
        <v>1.5</v>
      </c>
      <c r="S248" s="126">
        <f t="shared" si="27"/>
        <v>1.5</v>
      </c>
      <c r="T248" s="126">
        <f t="shared" si="28"/>
        <v>1.5</v>
      </c>
      <c r="U248" s="126">
        <f t="shared" si="28"/>
        <v>1.5</v>
      </c>
      <c r="V248" s="126">
        <f t="shared" si="28"/>
        <v>1.5</v>
      </c>
      <c r="W248" s="126">
        <f t="shared" si="28"/>
        <v>1.5</v>
      </c>
      <c r="X248" s="126">
        <f t="shared" si="28"/>
        <v>1.5</v>
      </c>
      <c r="Y248" s="126">
        <f t="shared" si="28"/>
        <v>1.5</v>
      </c>
      <c r="Z248" s="126">
        <f t="shared" si="28"/>
        <v>1.5</v>
      </c>
      <c r="AA248" s="126">
        <f t="shared" si="28"/>
        <v>1.5</v>
      </c>
      <c r="AB248" s="126">
        <f t="shared" si="28"/>
        <v>1.5</v>
      </c>
      <c r="AC248" s="126">
        <f t="shared" si="28"/>
        <v>1.5</v>
      </c>
      <c r="AD248" s="126">
        <f t="shared" si="28"/>
        <v>1.5</v>
      </c>
      <c r="AE248" s="126">
        <f t="shared" si="28"/>
        <v>1.5</v>
      </c>
      <c r="AF248" s="126">
        <f t="shared" si="28"/>
        <v>1.5</v>
      </c>
      <c r="AG248" s="140">
        <v>1.5</v>
      </c>
      <c r="AH248" s="47"/>
      <c r="AI248" s="48"/>
      <c r="AK248" s="50"/>
    </row>
    <row r="249" spans="1:37" x14ac:dyDescent="0.25">
      <c r="A249" s="103" t="s">
        <v>235</v>
      </c>
      <c r="B249" s="126">
        <f t="shared" si="26"/>
        <v>0.3</v>
      </c>
      <c r="C249" s="126">
        <v>0.3</v>
      </c>
      <c r="D249" s="126">
        <f t="shared" si="27"/>
        <v>0.3</v>
      </c>
      <c r="E249" s="126">
        <f t="shared" si="27"/>
        <v>0.3</v>
      </c>
      <c r="F249" s="126">
        <f t="shared" si="27"/>
        <v>0.3</v>
      </c>
      <c r="G249" s="126">
        <f t="shared" si="27"/>
        <v>0.3</v>
      </c>
      <c r="H249" s="126">
        <f t="shared" si="27"/>
        <v>0.3</v>
      </c>
      <c r="I249" s="126">
        <f t="shared" si="27"/>
        <v>0.3</v>
      </c>
      <c r="J249" s="126">
        <f t="shared" si="27"/>
        <v>0.3</v>
      </c>
      <c r="K249" s="126">
        <f t="shared" si="27"/>
        <v>0.3</v>
      </c>
      <c r="L249" s="126">
        <f t="shared" si="27"/>
        <v>0.3</v>
      </c>
      <c r="M249" s="126">
        <f t="shared" si="27"/>
        <v>0.3</v>
      </c>
      <c r="N249" s="126">
        <f t="shared" si="27"/>
        <v>0.3</v>
      </c>
      <c r="O249" s="126">
        <f t="shared" si="27"/>
        <v>0.3</v>
      </c>
      <c r="P249" s="126">
        <f t="shared" si="27"/>
        <v>0.3</v>
      </c>
      <c r="Q249" s="126">
        <f t="shared" si="27"/>
        <v>0.3</v>
      </c>
      <c r="R249" s="126">
        <f t="shared" si="27"/>
        <v>0.3</v>
      </c>
      <c r="S249" s="126">
        <f t="shared" si="27"/>
        <v>0.3</v>
      </c>
      <c r="T249" s="126">
        <f t="shared" si="28"/>
        <v>0.3</v>
      </c>
      <c r="U249" s="126">
        <f t="shared" si="28"/>
        <v>0.3</v>
      </c>
      <c r="V249" s="126">
        <f t="shared" si="28"/>
        <v>0.3</v>
      </c>
      <c r="W249" s="126">
        <f t="shared" si="28"/>
        <v>0.3</v>
      </c>
      <c r="X249" s="126">
        <f t="shared" si="28"/>
        <v>0.3</v>
      </c>
      <c r="Y249" s="126">
        <f t="shared" si="28"/>
        <v>0.3</v>
      </c>
      <c r="Z249" s="126">
        <f t="shared" si="28"/>
        <v>0.3</v>
      </c>
      <c r="AA249" s="126">
        <f t="shared" si="28"/>
        <v>0.3</v>
      </c>
      <c r="AB249" s="126">
        <f t="shared" si="28"/>
        <v>0.3</v>
      </c>
      <c r="AC249" s="126">
        <f t="shared" si="28"/>
        <v>0.3</v>
      </c>
      <c r="AD249" s="126">
        <f t="shared" si="28"/>
        <v>0.3</v>
      </c>
      <c r="AE249" s="126">
        <f t="shared" si="28"/>
        <v>0.3</v>
      </c>
      <c r="AF249" s="126">
        <f t="shared" si="28"/>
        <v>0.3</v>
      </c>
      <c r="AG249" s="140">
        <v>1</v>
      </c>
      <c r="AH249" s="47"/>
      <c r="AI249" s="48"/>
      <c r="AK249" s="50"/>
    </row>
    <row r="250" spans="1:37" x14ac:dyDescent="0.25">
      <c r="A250" s="103" t="s">
        <v>236</v>
      </c>
      <c r="B250" s="126">
        <f t="shared" si="26"/>
        <v>0.4</v>
      </c>
      <c r="C250" s="126">
        <v>0.4</v>
      </c>
      <c r="D250" s="126">
        <f t="shared" si="27"/>
        <v>0.4</v>
      </c>
      <c r="E250" s="126">
        <f t="shared" si="27"/>
        <v>0.4</v>
      </c>
      <c r="F250" s="126">
        <f t="shared" si="27"/>
        <v>0.4</v>
      </c>
      <c r="G250" s="126">
        <f t="shared" si="27"/>
        <v>0.4</v>
      </c>
      <c r="H250" s="126">
        <f t="shared" si="27"/>
        <v>0.4</v>
      </c>
      <c r="I250" s="126">
        <f t="shared" si="27"/>
        <v>0.4</v>
      </c>
      <c r="J250" s="126">
        <f t="shared" si="27"/>
        <v>0.4</v>
      </c>
      <c r="K250" s="126">
        <f t="shared" si="27"/>
        <v>0.4</v>
      </c>
      <c r="L250" s="126">
        <f t="shared" si="27"/>
        <v>0.4</v>
      </c>
      <c r="M250" s="126">
        <f t="shared" si="27"/>
        <v>0.4</v>
      </c>
      <c r="N250" s="126">
        <f t="shared" si="27"/>
        <v>0.4</v>
      </c>
      <c r="O250" s="126">
        <f t="shared" si="27"/>
        <v>0.4</v>
      </c>
      <c r="P250" s="126">
        <f t="shared" si="27"/>
        <v>0.4</v>
      </c>
      <c r="Q250" s="126">
        <f t="shared" si="27"/>
        <v>0.4</v>
      </c>
      <c r="R250" s="126">
        <f t="shared" si="27"/>
        <v>0.4</v>
      </c>
      <c r="S250" s="126">
        <f t="shared" si="27"/>
        <v>0.4</v>
      </c>
      <c r="T250" s="126">
        <f t="shared" si="28"/>
        <v>0.4</v>
      </c>
      <c r="U250" s="126">
        <f t="shared" si="28"/>
        <v>0.4</v>
      </c>
      <c r="V250" s="126">
        <f t="shared" si="28"/>
        <v>0.4</v>
      </c>
      <c r="W250" s="126">
        <f t="shared" si="28"/>
        <v>0.4</v>
      </c>
      <c r="X250" s="126">
        <f t="shared" si="28"/>
        <v>0.4</v>
      </c>
      <c r="Y250" s="126">
        <f t="shared" si="28"/>
        <v>0.4</v>
      </c>
      <c r="Z250" s="126">
        <f t="shared" si="28"/>
        <v>0.4</v>
      </c>
      <c r="AA250" s="126">
        <f t="shared" si="28"/>
        <v>0.4</v>
      </c>
      <c r="AB250" s="126">
        <f t="shared" si="28"/>
        <v>0.4</v>
      </c>
      <c r="AC250" s="126">
        <f t="shared" si="28"/>
        <v>0.4</v>
      </c>
      <c r="AD250" s="126">
        <f t="shared" si="28"/>
        <v>0.4</v>
      </c>
      <c r="AE250" s="126">
        <f t="shared" si="28"/>
        <v>0.4</v>
      </c>
      <c r="AF250" s="126">
        <f t="shared" si="28"/>
        <v>0.4</v>
      </c>
      <c r="AG250" s="140">
        <v>1</v>
      </c>
      <c r="AH250" s="47"/>
      <c r="AI250" s="48"/>
      <c r="AK250" s="50"/>
    </row>
    <row r="251" spans="1:37" ht="15.75" thickBot="1" x14ac:dyDescent="0.3">
      <c r="A251" s="116" t="s">
        <v>237</v>
      </c>
      <c r="B251" s="130">
        <f t="shared" si="26"/>
        <v>0.64</v>
      </c>
      <c r="C251" s="130">
        <v>0.64</v>
      </c>
      <c r="D251" s="130">
        <f t="shared" si="27"/>
        <v>0.64</v>
      </c>
      <c r="E251" s="130">
        <f t="shared" si="27"/>
        <v>0.64</v>
      </c>
      <c r="F251" s="130">
        <f t="shared" si="27"/>
        <v>0.64</v>
      </c>
      <c r="G251" s="130">
        <f t="shared" si="27"/>
        <v>0.64</v>
      </c>
      <c r="H251" s="130">
        <f t="shared" si="27"/>
        <v>0.64</v>
      </c>
      <c r="I251" s="130">
        <f t="shared" si="27"/>
        <v>0.64</v>
      </c>
      <c r="J251" s="130">
        <f t="shared" si="27"/>
        <v>0.64</v>
      </c>
      <c r="K251" s="130">
        <f t="shared" si="27"/>
        <v>0.64</v>
      </c>
      <c r="L251" s="130">
        <f t="shared" si="27"/>
        <v>0.64</v>
      </c>
      <c r="M251" s="130">
        <f t="shared" si="27"/>
        <v>0.64</v>
      </c>
      <c r="N251" s="130">
        <f t="shared" si="27"/>
        <v>0.64</v>
      </c>
      <c r="O251" s="130">
        <f t="shared" si="27"/>
        <v>0.64</v>
      </c>
      <c r="P251" s="130">
        <f t="shared" si="27"/>
        <v>0.64</v>
      </c>
      <c r="Q251" s="130">
        <f t="shared" si="27"/>
        <v>0.64</v>
      </c>
      <c r="R251" s="130">
        <f t="shared" si="27"/>
        <v>0.64</v>
      </c>
      <c r="S251" s="130">
        <f t="shared" si="27"/>
        <v>0.64</v>
      </c>
      <c r="T251" s="130">
        <f t="shared" si="28"/>
        <v>0.64</v>
      </c>
      <c r="U251" s="130">
        <f t="shared" si="28"/>
        <v>0.64</v>
      </c>
      <c r="V251" s="130">
        <f t="shared" si="28"/>
        <v>0.64</v>
      </c>
      <c r="W251" s="130">
        <f t="shared" si="28"/>
        <v>0.64</v>
      </c>
      <c r="X251" s="130">
        <f t="shared" si="28"/>
        <v>0.64</v>
      </c>
      <c r="Y251" s="130">
        <f t="shared" si="28"/>
        <v>0.64</v>
      </c>
      <c r="Z251" s="130">
        <f t="shared" si="28"/>
        <v>0.64</v>
      </c>
      <c r="AA251" s="130">
        <f t="shared" si="28"/>
        <v>0.64</v>
      </c>
      <c r="AB251" s="130">
        <f t="shared" si="28"/>
        <v>0.64</v>
      </c>
      <c r="AC251" s="130">
        <f t="shared" si="28"/>
        <v>0.64</v>
      </c>
      <c r="AD251" s="130">
        <f t="shared" si="28"/>
        <v>0.64</v>
      </c>
      <c r="AE251" s="130">
        <f t="shared" si="28"/>
        <v>0.64</v>
      </c>
      <c r="AF251" s="130">
        <f t="shared" si="28"/>
        <v>0.64</v>
      </c>
      <c r="AG251" s="141">
        <v>0.66</v>
      </c>
      <c r="AH251" s="47"/>
      <c r="AI251" s="48"/>
    </row>
    <row r="252" spans="1:37" ht="15.75" thickBot="1" x14ac:dyDescent="0.3">
      <c r="A252" s="142" t="s">
        <v>75</v>
      </c>
      <c r="B252" s="134">
        <f t="shared" ref="B252:AG252" si="29">SUM(B246:B251)</f>
        <v>3.54</v>
      </c>
      <c r="C252" s="134">
        <f t="shared" si="29"/>
        <v>3.54</v>
      </c>
      <c r="D252" s="134">
        <f t="shared" si="29"/>
        <v>3.54</v>
      </c>
      <c r="E252" s="134">
        <f t="shared" si="29"/>
        <v>3.54</v>
      </c>
      <c r="F252" s="134">
        <f t="shared" si="29"/>
        <v>3.54</v>
      </c>
      <c r="G252" s="134">
        <f t="shared" si="29"/>
        <v>3.54</v>
      </c>
      <c r="H252" s="134">
        <f t="shared" si="29"/>
        <v>3.54</v>
      </c>
      <c r="I252" s="134">
        <f t="shared" si="29"/>
        <v>3.54</v>
      </c>
      <c r="J252" s="134">
        <f t="shared" si="29"/>
        <v>3.54</v>
      </c>
      <c r="K252" s="134">
        <f t="shared" si="29"/>
        <v>3.54</v>
      </c>
      <c r="L252" s="134">
        <f t="shared" si="29"/>
        <v>3.54</v>
      </c>
      <c r="M252" s="134">
        <f t="shared" si="29"/>
        <v>3.54</v>
      </c>
      <c r="N252" s="134">
        <f t="shared" si="29"/>
        <v>3.54</v>
      </c>
      <c r="O252" s="134">
        <f t="shared" si="29"/>
        <v>3.54</v>
      </c>
      <c r="P252" s="134">
        <f t="shared" si="29"/>
        <v>3.54</v>
      </c>
      <c r="Q252" s="134">
        <f t="shared" si="29"/>
        <v>3.54</v>
      </c>
      <c r="R252" s="134">
        <f t="shared" si="29"/>
        <v>3.54</v>
      </c>
      <c r="S252" s="134">
        <f t="shared" si="29"/>
        <v>3.54</v>
      </c>
      <c r="T252" s="134">
        <f t="shared" si="29"/>
        <v>3.54</v>
      </c>
      <c r="U252" s="134">
        <f t="shared" si="29"/>
        <v>3.54</v>
      </c>
      <c r="V252" s="134">
        <f t="shared" si="29"/>
        <v>3.54</v>
      </c>
      <c r="W252" s="134">
        <f t="shared" si="29"/>
        <v>3.54</v>
      </c>
      <c r="X252" s="134">
        <f t="shared" si="29"/>
        <v>3.54</v>
      </c>
      <c r="Y252" s="134">
        <f t="shared" si="29"/>
        <v>3.54</v>
      </c>
      <c r="Z252" s="134">
        <f t="shared" si="29"/>
        <v>3.54</v>
      </c>
      <c r="AA252" s="134">
        <f t="shared" si="29"/>
        <v>3.54</v>
      </c>
      <c r="AB252" s="134">
        <f t="shared" si="29"/>
        <v>3.54</v>
      </c>
      <c r="AC252" s="134">
        <f t="shared" si="29"/>
        <v>3.54</v>
      </c>
      <c r="AD252" s="134">
        <f t="shared" si="29"/>
        <v>3.54</v>
      </c>
      <c r="AE252" s="134">
        <f t="shared" si="29"/>
        <v>3.54</v>
      </c>
      <c r="AF252" s="134">
        <f t="shared" si="29"/>
        <v>3.54</v>
      </c>
      <c r="AG252" s="143">
        <f t="shared" si="29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37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54" t="s">
        <v>243</v>
      </c>
      <c r="B256" s="155">
        <f>MAX(G99:N99)</f>
        <v>3.54</v>
      </c>
      <c r="C256" s="156">
        <f>INDEX(G9:N9,1,MATCH(MAX(G99:N99),G99:N99,0))</f>
        <v>0.20833333333333301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50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157" t="str">
        <f ca="1">MID(CELL("filename",C7),FIND("]",CELL("filename",C7))+1,600)</f>
        <v>30</v>
      </c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50" x14ac:dyDescent="0.25">
      <c r="A258" s="257" t="s">
        <v>244</v>
      </c>
      <c r="B258" s="257"/>
      <c r="C258" s="43"/>
      <c r="D258" s="157" t="str">
        <f ca="1">"Pie Chart of Daily Peak Demand(Inclusive of Export) of Nepal ("&amp;A4&amp;" "&amp;B4&amp;")"</f>
        <v>Pie Chart of Daily Peak Demand(Inclusive of Export) of Nepal (Nepali Date: 2080/10/30)</v>
      </c>
      <c r="E258" s="43"/>
      <c r="F258" s="43"/>
      <c r="G258" s="157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157" t="str">
        <f ca="1">"Daily Load Curve(Excluding of Export) of Nepal ("&amp;A4&amp;" "&amp;B4&amp;")"</f>
        <v>Daily Load Curve(Excluding of Export) of Nepal (Nepali Date: 2080/10/30)</v>
      </c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50" ht="12.75" customHeight="1" thickBot="1" x14ac:dyDescent="0.3">
      <c r="A259" s="158" t="s">
        <v>7</v>
      </c>
      <c r="B259" s="159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50" ht="15.75" thickTop="1" x14ac:dyDescent="0.25">
      <c r="A260" s="158" t="s">
        <v>245</v>
      </c>
      <c r="B260" s="15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160" t="s">
        <v>246</v>
      </c>
      <c r="T260" s="161">
        <v>0</v>
      </c>
      <c r="U260" s="162">
        <v>4.1666666666666664E-2</v>
      </c>
      <c r="V260" s="163">
        <v>8.3333333333333301E-2</v>
      </c>
      <c r="W260" s="163">
        <v>0.125</v>
      </c>
      <c r="X260" s="163">
        <v>0.16666666666666699</v>
      </c>
      <c r="Y260" s="163">
        <v>0.20833333333333301</v>
      </c>
      <c r="Z260" s="163">
        <v>0.22916666666666666</v>
      </c>
      <c r="AA260" s="163">
        <v>0.25</v>
      </c>
      <c r="AB260" s="163">
        <v>0.27083333333333331</v>
      </c>
      <c r="AC260" s="163">
        <v>0.29166666666666669</v>
      </c>
      <c r="AD260" s="163">
        <v>0.3125</v>
      </c>
      <c r="AE260" s="164">
        <v>0.33333333333333331</v>
      </c>
      <c r="AF260" s="164">
        <v>0.375</v>
      </c>
      <c r="AG260" s="164">
        <v>0.41666666666666702</v>
      </c>
      <c r="AH260" s="164">
        <v>0.45833333333333298</v>
      </c>
      <c r="AI260" s="164">
        <v>0.5</v>
      </c>
      <c r="AJ260" s="164">
        <v>0.54166666666666696</v>
      </c>
      <c r="AK260" s="164">
        <v>0.58333333333333304</v>
      </c>
      <c r="AL260" s="164">
        <v>0.625</v>
      </c>
      <c r="AM260" s="164">
        <v>0.66666666666666696</v>
      </c>
      <c r="AN260" s="164">
        <v>0.70833333333333304</v>
      </c>
      <c r="AO260" s="164">
        <v>0.72916666666666663</v>
      </c>
      <c r="AP260" s="164">
        <v>0.75</v>
      </c>
      <c r="AQ260" s="164">
        <v>0.77083333333333337</v>
      </c>
      <c r="AR260" s="164">
        <v>0.79166666666666663</v>
      </c>
      <c r="AS260" s="164">
        <v>0.8125</v>
      </c>
      <c r="AT260" s="163">
        <v>0.83333333333333337</v>
      </c>
      <c r="AU260" s="163">
        <v>0.85416666666666663</v>
      </c>
      <c r="AV260" s="163">
        <v>0.875</v>
      </c>
      <c r="AW260" s="163">
        <v>0.91666666666666696</v>
      </c>
      <c r="AX260" s="163">
        <v>0.95833333333333304</v>
      </c>
    </row>
    <row r="261" spans="1:50" x14ac:dyDescent="0.25">
      <c r="A261" s="158" t="s">
        <v>247</v>
      </c>
      <c r="B261" s="15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 t="s">
        <v>248</v>
      </c>
      <c r="T261" s="165">
        <f t="shared" ref="T261:AX261" si="30">B99</f>
        <v>1157.29</v>
      </c>
      <c r="U261" s="165">
        <f t="shared" si="30"/>
        <v>1199.29</v>
      </c>
      <c r="V261" s="165">
        <f t="shared" si="30"/>
        <v>1160.8899999999999</v>
      </c>
      <c r="W261" s="165">
        <f t="shared" si="30"/>
        <v>1167.69</v>
      </c>
      <c r="X261" s="165">
        <f t="shared" si="30"/>
        <v>1173.19</v>
      </c>
      <c r="Y261" s="165">
        <f t="shared" si="30"/>
        <v>3.54</v>
      </c>
      <c r="Z261" s="165">
        <f t="shared" si="30"/>
        <v>3.54</v>
      </c>
      <c r="AA261" s="165">
        <f t="shared" si="30"/>
        <v>3.54</v>
      </c>
      <c r="AB261" s="165">
        <f t="shared" si="30"/>
        <v>3.54</v>
      </c>
      <c r="AC261" s="165">
        <f t="shared" si="30"/>
        <v>3.54</v>
      </c>
      <c r="AD261" s="165">
        <f t="shared" si="30"/>
        <v>3.54</v>
      </c>
      <c r="AE261" s="165">
        <f t="shared" si="30"/>
        <v>3.54</v>
      </c>
      <c r="AF261" s="165">
        <f t="shared" si="30"/>
        <v>3.54</v>
      </c>
      <c r="AG261" s="165">
        <f t="shared" si="30"/>
        <v>3.54</v>
      </c>
      <c r="AH261" s="165">
        <f t="shared" si="30"/>
        <v>3.54</v>
      </c>
      <c r="AI261" s="165">
        <f t="shared" si="30"/>
        <v>3.54</v>
      </c>
      <c r="AJ261" s="165">
        <f t="shared" si="30"/>
        <v>3.54</v>
      </c>
      <c r="AK261" s="165">
        <f t="shared" si="30"/>
        <v>3.54</v>
      </c>
      <c r="AL261" s="165">
        <f t="shared" si="30"/>
        <v>3.54</v>
      </c>
      <c r="AM261" s="165">
        <f t="shared" si="30"/>
        <v>3.54</v>
      </c>
      <c r="AN261" s="165">
        <f t="shared" si="30"/>
        <v>3.54</v>
      </c>
      <c r="AO261" s="165">
        <f t="shared" si="30"/>
        <v>3.54</v>
      </c>
      <c r="AP261" s="165">
        <f t="shared" si="30"/>
        <v>3.54</v>
      </c>
      <c r="AQ261" s="165">
        <f t="shared" si="30"/>
        <v>4.5</v>
      </c>
      <c r="AR261" s="165">
        <f t="shared" si="30"/>
        <v>5.5</v>
      </c>
      <c r="AS261" s="165">
        <f t="shared" si="30"/>
        <v>3.54</v>
      </c>
      <c r="AT261" s="165">
        <f t="shared" si="30"/>
        <v>3.54</v>
      </c>
      <c r="AU261" s="165">
        <f t="shared" si="30"/>
        <v>3.54</v>
      </c>
      <c r="AV261" s="165">
        <f t="shared" si="30"/>
        <v>3.54</v>
      </c>
      <c r="AW261" s="165">
        <f t="shared" si="30"/>
        <v>3.54</v>
      </c>
      <c r="AX261" s="165">
        <f t="shared" si="30"/>
        <v>3.54</v>
      </c>
    </row>
    <row r="262" spans="1:50" x14ac:dyDescent="0.25">
      <c r="A262" s="158" t="s">
        <v>249</v>
      </c>
      <c r="B262" s="15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50" x14ac:dyDescent="0.25">
      <c r="A263" s="158" t="s">
        <v>250</v>
      </c>
      <c r="B263" s="15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50" x14ac:dyDescent="0.25">
      <c r="A264" s="158" t="s">
        <v>251</v>
      </c>
      <c r="B264" s="15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50" x14ac:dyDescent="0.25">
      <c r="A265" s="158" t="s">
        <v>252</v>
      </c>
      <c r="B265" s="166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50" x14ac:dyDescent="0.25">
      <c r="A266" s="158" t="s">
        <v>253</v>
      </c>
      <c r="B266" s="15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50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50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50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50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50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50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1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1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1:34" x14ac:dyDescent="0.25">
      <c r="A282" s="167" t="s">
        <v>238</v>
      </c>
      <c r="B282" s="168">
        <f t="shared" ref="B282:AE282" si="31">C251</f>
        <v>0.64</v>
      </c>
      <c r="C282" s="168">
        <f t="shared" si="31"/>
        <v>0.64</v>
      </c>
      <c r="D282" s="168">
        <f t="shared" si="31"/>
        <v>0.64</v>
      </c>
      <c r="E282" s="168">
        <f t="shared" si="31"/>
        <v>0.64</v>
      </c>
      <c r="F282" s="168">
        <f t="shared" si="31"/>
        <v>0.64</v>
      </c>
      <c r="G282" s="168">
        <f t="shared" si="31"/>
        <v>0.64</v>
      </c>
      <c r="H282" s="168">
        <f t="shared" si="31"/>
        <v>0.64</v>
      </c>
      <c r="I282" s="168">
        <f t="shared" si="31"/>
        <v>0.64</v>
      </c>
      <c r="J282" s="168">
        <f t="shared" si="31"/>
        <v>0.64</v>
      </c>
      <c r="K282" s="168">
        <f t="shared" si="31"/>
        <v>0.64</v>
      </c>
      <c r="L282" s="168">
        <f t="shared" si="31"/>
        <v>0.64</v>
      </c>
      <c r="M282" s="168">
        <f t="shared" si="31"/>
        <v>0.64</v>
      </c>
      <c r="N282" s="168">
        <f t="shared" si="31"/>
        <v>0.64</v>
      </c>
      <c r="O282" s="168">
        <f t="shared" si="31"/>
        <v>0.64</v>
      </c>
      <c r="P282" s="168">
        <f t="shared" si="31"/>
        <v>0.64</v>
      </c>
      <c r="Q282" s="168">
        <f t="shared" si="31"/>
        <v>0.64</v>
      </c>
      <c r="R282" s="168">
        <f t="shared" si="31"/>
        <v>0.64</v>
      </c>
      <c r="S282" s="168">
        <f t="shared" si="31"/>
        <v>0.64</v>
      </c>
      <c r="T282" s="168">
        <f t="shared" si="31"/>
        <v>0.64</v>
      </c>
      <c r="U282" s="168">
        <f t="shared" si="31"/>
        <v>0.64</v>
      </c>
      <c r="V282" s="168">
        <f t="shared" si="31"/>
        <v>0.64</v>
      </c>
      <c r="W282" s="168">
        <f t="shared" si="31"/>
        <v>0.64</v>
      </c>
      <c r="X282" s="168">
        <f t="shared" si="31"/>
        <v>0.64</v>
      </c>
      <c r="Y282" s="168">
        <f t="shared" si="31"/>
        <v>0.64</v>
      </c>
      <c r="Z282" s="168">
        <f t="shared" si="31"/>
        <v>0.64</v>
      </c>
      <c r="AA282" s="168">
        <f t="shared" si="31"/>
        <v>0.64</v>
      </c>
      <c r="AB282" s="168">
        <f t="shared" si="31"/>
        <v>0.64</v>
      </c>
      <c r="AC282" s="168">
        <f t="shared" si="31"/>
        <v>0.64</v>
      </c>
      <c r="AD282" s="168">
        <f t="shared" si="31"/>
        <v>0.64</v>
      </c>
      <c r="AE282" s="168">
        <f t="shared" si="31"/>
        <v>0.64</v>
      </c>
      <c r="AF282" s="168">
        <f>B251</f>
        <v>0.64</v>
      </c>
      <c r="AG282" s="43"/>
      <c r="AH282" s="43"/>
    </row>
    <row r="283" spans="1:34" x14ac:dyDescent="0.25">
      <c r="A283" s="169" t="e">
        <f>#REF!</f>
        <v>#REF!</v>
      </c>
      <c r="B283" s="169" t="e">
        <f>IF(#REF!&lt;100,"",#REF!-520)</f>
        <v>#REF!</v>
      </c>
      <c r="C283" s="169" t="e">
        <f>IF(#REF!&lt;100,"",#REF!-520)</f>
        <v>#REF!</v>
      </c>
      <c r="D283" s="169" t="e">
        <f>IF(#REF!&lt;100,"",#REF!-520)</f>
        <v>#REF!</v>
      </c>
      <c r="E283" s="169" t="e">
        <f>IF(#REF!&lt;100,"",#REF!-520)</f>
        <v>#REF!</v>
      </c>
      <c r="F283" s="169" t="e">
        <f>IF(#REF!&lt;100,"",#REF!-520)</f>
        <v>#REF!</v>
      </c>
      <c r="G283" s="169" t="e">
        <f>IF(#REF!&lt;100,"",#REF!-520)</f>
        <v>#REF!</v>
      </c>
      <c r="H283" s="169" t="e">
        <f>IF(#REF!&lt;100,"",#REF!-520)</f>
        <v>#REF!</v>
      </c>
      <c r="I283" s="169" t="e">
        <f>IF(#REF!&lt;100,"",#REF!-520)</f>
        <v>#REF!</v>
      </c>
      <c r="J283" s="169" t="e">
        <f>IF(#REF!&lt;100,"",#REF!-520)</f>
        <v>#REF!</v>
      </c>
      <c r="K283" s="169" t="e">
        <f>IF(#REF!&lt;100,"",#REF!-520)</f>
        <v>#REF!</v>
      </c>
      <c r="L283" s="169" t="e">
        <f>IF(#REF!&lt;100,"",#REF!-520)</f>
        <v>#REF!</v>
      </c>
      <c r="M283" s="169" t="e">
        <f>IF(#REF!&lt;100,"",#REF!-520)</f>
        <v>#REF!</v>
      </c>
      <c r="N283" s="169" t="e">
        <f>IF(#REF!&lt;100,"",#REF!-520)</f>
        <v>#REF!</v>
      </c>
      <c r="O283" s="169" t="e">
        <f>IF(#REF!&lt;100,"",#REF!-520)</f>
        <v>#REF!</v>
      </c>
      <c r="P283" s="169" t="e">
        <f>IF(#REF!&lt;100,"",#REF!-520)</f>
        <v>#REF!</v>
      </c>
      <c r="Q283" s="169" t="e">
        <f>IF(#REF!&lt;100,"",#REF!-520)</f>
        <v>#REF!</v>
      </c>
      <c r="R283" s="169" t="e">
        <f>IF(#REF!&lt;100,"",#REF!-520)</f>
        <v>#REF!</v>
      </c>
      <c r="S283" s="169" t="e">
        <f>IF(#REF!&lt;100,"",#REF!-520)</f>
        <v>#REF!</v>
      </c>
      <c r="T283" s="169" t="e">
        <f>IF(#REF!&lt;100,"",#REF!-520)</f>
        <v>#REF!</v>
      </c>
      <c r="U283" s="169" t="e">
        <f>IF(#REF!&lt;100,"",#REF!-520)</f>
        <v>#REF!</v>
      </c>
      <c r="V283" s="169" t="e">
        <f>IF(#REF!&lt;100,"",#REF!-520)</f>
        <v>#REF!</v>
      </c>
      <c r="W283" s="169" t="e">
        <f>IF(#REF!&lt;100,"",#REF!-520)</f>
        <v>#REF!</v>
      </c>
      <c r="X283" s="169" t="e">
        <f>IF(#REF!&lt;100,"",#REF!-520)</f>
        <v>#REF!</v>
      </c>
      <c r="Y283" s="169" t="e">
        <f>IF(#REF!&lt;100,"",#REF!-520)</f>
        <v>#REF!</v>
      </c>
      <c r="Z283" s="169" t="e">
        <f>IF(#REF!&lt;100,"",#REF!-520)</f>
        <v>#REF!</v>
      </c>
      <c r="AA283" s="169" t="e">
        <f>IF(#REF!&lt;100,"",#REF!-520)</f>
        <v>#REF!</v>
      </c>
      <c r="AB283" s="169" t="e">
        <f>IF(#REF!&lt;100,"",#REF!-520)</f>
        <v>#REF!</v>
      </c>
      <c r="AC283" s="169" t="e">
        <f>IF(#REF!&lt;100,"",#REF!-520)</f>
        <v>#REF!</v>
      </c>
      <c r="AD283" s="169" t="e">
        <f>IF(#REF!&lt;100,"",#REF!-520)</f>
        <v>#REF!</v>
      </c>
      <c r="AE283" s="169" t="e">
        <f>IF(#REF!&lt;100,"",#REF!-520)</f>
        <v>#REF!</v>
      </c>
      <c r="AF283" s="169" t="e">
        <f>IF(#REF!&lt;100,"",#REF!-520)</f>
        <v>#REF!</v>
      </c>
      <c r="AG283" s="43"/>
      <c r="AH283" s="43"/>
    </row>
    <row r="284" spans="1:34" x14ac:dyDescent="0.25">
      <c r="A284" s="169" t="e">
        <f>#REF!</f>
        <v>#REF!</v>
      </c>
      <c r="B284" s="169" t="e">
        <f>IF(#REF!&lt;100,"",#REF!-620)</f>
        <v>#REF!</v>
      </c>
      <c r="C284" s="169" t="e">
        <f>IF(#REF!&lt;100,"",#REF!-620)</f>
        <v>#REF!</v>
      </c>
      <c r="D284" s="169" t="e">
        <f>IF(#REF!&lt;100,"",#REF!-620)</f>
        <v>#REF!</v>
      </c>
      <c r="E284" s="169" t="e">
        <f>IF(#REF!&lt;100,"",#REF!-620)</f>
        <v>#REF!</v>
      </c>
      <c r="F284" s="169" t="e">
        <f>IF(#REF!&lt;100,"",#REF!-620)</f>
        <v>#REF!</v>
      </c>
      <c r="G284" s="169" t="e">
        <f>IF(#REF!&lt;100,"",#REF!-620)</f>
        <v>#REF!</v>
      </c>
      <c r="H284" s="169" t="e">
        <f>IF(#REF!&lt;100,"",#REF!-620)</f>
        <v>#REF!</v>
      </c>
      <c r="I284" s="169" t="e">
        <f>IF(#REF!&lt;100,"",#REF!-620)</f>
        <v>#REF!</v>
      </c>
      <c r="J284" s="169" t="e">
        <f>IF(#REF!&lt;100,"",#REF!-620)</f>
        <v>#REF!</v>
      </c>
      <c r="K284" s="169" t="e">
        <f>IF(#REF!&lt;100,"",#REF!-620)</f>
        <v>#REF!</v>
      </c>
      <c r="L284" s="169" t="e">
        <f>IF(#REF!&lt;100,"",#REF!-620)</f>
        <v>#REF!</v>
      </c>
      <c r="M284" s="169" t="e">
        <f>IF(#REF!&lt;100,"",#REF!-620)</f>
        <v>#REF!</v>
      </c>
      <c r="N284" s="169" t="e">
        <f>IF(#REF!&lt;100,"",#REF!-620)</f>
        <v>#REF!</v>
      </c>
      <c r="O284" s="169" t="e">
        <f>IF(#REF!&lt;100,"",#REF!-620)</f>
        <v>#REF!</v>
      </c>
      <c r="P284" s="169" t="e">
        <f>IF(#REF!&lt;100,"",#REF!-620)</f>
        <v>#REF!</v>
      </c>
      <c r="Q284" s="169" t="e">
        <f>IF(#REF!&lt;100,"",#REF!-620)</f>
        <v>#REF!</v>
      </c>
      <c r="R284" s="169" t="e">
        <f>IF(#REF!&lt;100,"",#REF!-620)</f>
        <v>#REF!</v>
      </c>
      <c r="S284" s="169" t="e">
        <f>IF(#REF!&lt;100,"",#REF!-620)</f>
        <v>#REF!</v>
      </c>
      <c r="T284" s="169" t="e">
        <f>IF(#REF!&lt;100,"",#REF!-620)</f>
        <v>#REF!</v>
      </c>
      <c r="U284" s="169" t="e">
        <f>IF(#REF!&lt;100,"",#REF!-620)</f>
        <v>#REF!</v>
      </c>
      <c r="V284" s="169" t="e">
        <f>IF(#REF!&lt;100,"",#REF!-620)</f>
        <v>#REF!</v>
      </c>
      <c r="W284" s="169" t="e">
        <f>IF(#REF!&lt;100,"",#REF!-620)</f>
        <v>#REF!</v>
      </c>
      <c r="X284" s="169" t="e">
        <f>IF(#REF!&lt;100,"",#REF!-620)</f>
        <v>#REF!</v>
      </c>
      <c r="Y284" s="169" t="e">
        <f>IF(#REF!&lt;100,"",#REF!-620)</f>
        <v>#REF!</v>
      </c>
      <c r="Z284" s="169" t="e">
        <f>IF(#REF!&lt;100,"",#REF!-620)</f>
        <v>#REF!</v>
      </c>
      <c r="AA284" s="169" t="e">
        <f>IF(#REF!&lt;100,"",#REF!-620)</f>
        <v>#REF!</v>
      </c>
      <c r="AB284" s="169" t="e">
        <f>IF(#REF!&lt;100,"",#REF!-620)</f>
        <v>#REF!</v>
      </c>
      <c r="AC284" s="169" t="e">
        <f>IF(#REF!&lt;100,"",#REF!-620)</f>
        <v>#REF!</v>
      </c>
      <c r="AD284" s="169" t="e">
        <f>IF(#REF!&lt;100,"",#REF!-620)</f>
        <v>#REF!</v>
      </c>
      <c r="AE284" s="169" t="e">
        <f>IF(#REF!&lt;100,"",#REF!-620)</f>
        <v>#REF!</v>
      </c>
      <c r="AF284" s="169" t="e">
        <f>IF(#REF!&lt;100,"",#REF!-620)</f>
        <v>#REF!</v>
      </c>
      <c r="AG284" s="43"/>
      <c r="AH284" s="43"/>
    </row>
    <row r="285" spans="1:34" x14ac:dyDescent="0.25">
      <c r="A285" s="169" t="e">
        <f>#REF!</f>
        <v>#REF!</v>
      </c>
      <c r="B285" s="169" t="e">
        <f>IF(#REF!&lt;100,"",#REF!-330)</f>
        <v>#REF!</v>
      </c>
      <c r="C285" s="169" t="e">
        <f>IF(#REF!&lt;100,"",#REF!-330)</f>
        <v>#REF!</v>
      </c>
      <c r="D285" s="169" t="e">
        <f>IF(#REF!&lt;100,"",#REF!-330)</f>
        <v>#REF!</v>
      </c>
      <c r="E285" s="169" t="e">
        <f>IF(#REF!&lt;100,"",#REF!-330)</f>
        <v>#REF!</v>
      </c>
      <c r="F285" s="169" t="e">
        <f>IF(#REF!&lt;100,"",#REF!-330)</f>
        <v>#REF!</v>
      </c>
      <c r="G285" s="169" t="e">
        <f>IF(#REF!&lt;100,"",#REF!-330)</f>
        <v>#REF!</v>
      </c>
      <c r="H285" s="169" t="e">
        <f>IF(#REF!&lt;100,"",#REF!-330)</f>
        <v>#REF!</v>
      </c>
      <c r="I285" s="169" t="e">
        <f>IF(#REF!&lt;100,"",#REF!-330)</f>
        <v>#REF!</v>
      </c>
      <c r="J285" s="169" t="e">
        <f>IF(#REF!&lt;100,"",#REF!-330)</f>
        <v>#REF!</v>
      </c>
      <c r="K285" s="169" t="e">
        <f>IF(#REF!&lt;100,"",#REF!-330)</f>
        <v>#REF!</v>
      </c>
      <c r="L285" s="169" t="e">
        <f>IF(#REF!&lt;100,"",#REF!-330)</f>
        <v>#REF!</v>
      </c>
      <c r="M285" s="169" t="e">
        <f>IF(#REF!&lt;100,"",#REF!-330)</f>
        <v>#REF!</v>
      </c>
      <c r="N285" s="169" t="e">
        <f>IF(#REF!&lt;100,"",#REF!-330)</f>
        <v>#REF!</v>
      </c>
      <c r="O285" s="169" t="e">
        <f>IF(#REF!&lt;100,"",#REF!-330)</f>
        <v>#REF!</v>
      </c>
      <c r="P285" s="169" t="e">
        <f>IF(#REF!&lt;100,"",#REF!-330)</f>
        <v>#REF!</v>
      </c>
      <c r="Q285" s="169" t="e">
        <f>IF(#REF!&lt;100,"",#REF!-330)</f>
        <v>#REF!</v>
      </c>
      <c r="R285" s="169" t="e">
        <f>IF(#REF!&lt;100,"",#REF!-330)</f>
        <v>#REF!</v>
      </c>
      <c r="S285" s="169" t="e">
        <f>IF(#REF!&lt;100,"",#REF!-330)</f>
        <v>#REF!</v>
      </c>
      <c r="T285" s="169" t="e">
        <f>IF(#REF!&lt;100,"",#REF!-330)</f>
        <v>#REF!</v>
      </c>
      <c r="U285" s="169" t="e">
        <f>IF(#REF!&lt;100,"",#REF!-330)</f>
        <v>#REF!</v>
      </c>
      <c r="V285" s="169" t="e">
        <f>IF(#REF!&lt;100,"",#REF!-330)</f>
        <v>#REF!</v>
      </c>
      <c r="W285" s="169" t="e">
        <f>IF(#REF!&lt;100,"",#REF!-330)</f>
        <v>#REF!</v>
      </c>
      <c r="X285" s="169" t="e">
        <f>IF(#REF!&lt;100,"",#REF!-330)</f>
        <v>#REF!</v>
      </c>
      <c r="Y285" s="169" t="e">
        <f>IF(#REF!&lt;100,"",#REF!-330)</f>
        <v>#REF!</v>
      </c>
      <c r="Z285" s="169" t="e">
        <f>IF(#REF!&lt;100,"",#REF!-330)</f>
        <v>#REF!</v>
      </c>
      <c r="AA285" s="169" t="e">
        <f>IF(#REF!&lt;100,"",#REF!-330)</f>
        <v>#REF!</v>
      </c>
      <c r="AB285" s="169" t="e">
        <f>IF(#REF!&lt;100,"",#REF!-330)</f>
        <v>#REF!</v>
      </c>
      <c r="AC285" s="169" t="e">
        <f>IF(#REF!&lt;100,"",#REF!-330)</f>
        <v>#REF!</v>
      </c>
      <c r="AD285" s="169" t="e">
        <f>IF(#REF!&lt;100,"",#REF!-330)</f>
        <v>#REF!</v>
      </c>
      <c r="AE285" s="169" t="e">
        <f>IF(#REF!&lt;100,"",#REF!-330)</f>
        <v>#REF!</v>
      </c>
      <c r="AF285" s="169" t="e">
        <f>IF(#REF!&lt;100,"",#REF!-330)</f>
        <v>#REF!</v>
      </c>
      <c r="AG285" s="43"/>
      <c r="AH285" s="43"/>
    </row>
    <row r="286" spans="1:34" x14ac:dyDescent="0.25">
      <c r="A286" s="169" t="e">
        <f>#REF!</f>
        <v>#REF!</v>
      </c>
      <c r="B286" s="169" t="e">
        <f>IF(#REF!&lt;100,"",#REF!-1500)</f>
        <v>#REF!</v>
      </c>
      <c r="C286" s="169" t="e">
        <f>IF(#REF!&lt;100,"",#REF!-1500)</f>
        <v>#REF!</v>
      </c>
      <c r="D286" s="169" t="e">
        <f>IF(#REF!&lt;100,"",#REF!-1500)</f>
        <v>#REF!</v>
      </c>
      <c r="E286" s="169" t="e">
        <f>IF(#REF!&lt;100,"",#REF!-1500)</f>
        <v>#REF!</v>
      </c>
      <c r="F286" s="169" t="e">
        <f>IF(#REF!&lt;100,"",#REF!-1500)</f>
        <v>#REF!</v>
      </c>
      <c r="G286" s="169" t="e">
        <f>IF(#REF!&lt;100,"",#REF!-1500)</f>
        <v>#REF!</v>
      </c>
      <c r="H286" s="169" t="e">
        <f>IF(#REF!&lt;100,"",#REF!-1500)</f>
        <v>#REF!</v>
      </c>
      <c r="I286" s="169" t="e">
        <f>IF(#REF!&lt;100,"",#REF!-1500)</f>
        <v>#REF!</v>
      </c>
      <c r="J286" s="169" t="e">
        <f>IF(#REF!&lt;100,"",#REF!-1500)</f>
        <v>#REF!</v>
      </c>
      <c r="K286" s="169" t="e">
        <f>IF(#REF!&lt;100,"",#REF!-1500)</f>
        <v>#REF!</v>
      </c>
      <c r="L286" s="169" t="e">
        <f>IF(#REF!&lt;100,"",#REF!-1500)</f>
        <v>#REF!</v>
      </c>
      <c r="M286" s="169" t="e">
        <f>IF(#REF!&lt;100,"",#REF!-1500)</f>
        <v>#REF!</v>
      </c>
      <c r="N286" s="169" t="e">
        <f>IF(#REF!&lt;100,"",#REF!-1500)</f>
        <v>#REF!</v>
      </c>
      <c r="O286" s="169" t="e">
        <f>IF(#REF!&lt;100,"",#REF!-1500)</f>
        <v>#REF!</v>
      </c>
      <c r="P286" s="169" t="e">
        <f>IF(#REF!&lt;100,"",#REF!-1500)</f>
        <v>#REF!</v>
      </c>
      <c r="Q286" s="169" t="e">
        <f>IF(#REF!&lt;100,"",#REF!-1500)</f>
        <v>#REF!</v>
      </c>
      <c r="R286" s="169" t="e">
        <f>IF(#REF!&lt;100,"",#REF!-1500)</f>
        <v>#REF!</v>
      </c>
      <c r="S286" s="169" t="e">
        <f>IF(#REF!&lt;100,"",#REF!-1500)</f>
        <v>#REF!</v>
      </c>
      <c r="T286" s="169" t="e">
        <f>IF(#REF!&lt;100,"",#REF!-1500)</f>
        <v>#REF!</v>
      </c>
      <c r="U286" s="169" t="e">
        <f>IF(#REF!&lt;100,"",#REF!-1500)</f>
        <v>#REF!</v>
      </c>
      <c r="V286" s="169" t="e">
        <f>IF(#REF!&lt;100,"",#REF!-1500)</f>
        <v>#REF!</v>
      </c>
      <c r="W286" s="169" t="e">
        <f>IF(#REF!&lt;100,"",#REF!-1500)</f>
        <v>#REF!</v>
      </c>
      <c r="X286" s="169" t="e">
        <f>IF(#REF!&lt;100,"",#REF!-1500)</f>
        <v>#REF!</v>
      </c>
      <c r="Y286" s="169" t="e">
        <f>IF(#REF!&lt;100,"",#REF!-1500)</f>
        <v>#REF!</v>
      </c>
      <c r="Z286" s="169" t="e">
        <f>IF(#REF!&lt;100,"",#REF!-1500)</f>
        <v>#REF!</v>
      </c>
      <c r="AA286" s="169" t="e">
        <f>IF(#REF!&lt;100,"",#REF!-1500)</f>
        <v>#REF!</v>
      </c>
      <c r="AB286" s="169" t="e">
        <f>IF(#REF!&lt;100,"",#REF!-1500)</f>
        <v>#REF!</v>
      </c>
      <c r="AC286" s="169" t="e">
        <f>IF(#REF!&lt;100,"",#REF!-1500)</f>
        <v>#REF!</v>
      </c>
      <c r="AD286" s="169" t="e">
        <f>IF(#REF!&lt;100,"",#REF!-1500)</f>
        <v>#REF!</v>
      </c>
      <c r="AE286" s="169" t="e">
        <f>IF(#REF!&lt;100,"",#REF!-1500)</f>
        <v>#REF!</v>
      </c>
      <c r="AF286" s="169" t="e">
        <f>IF(#REF!&lt;100,"",#REF!-1500)</f>
        <v>#REF!</v>
      </c>
      <c r="AG286" s="43"/>
      <c r="AH286" s="43"/>
    </row>
    <row r="287" spans="1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1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2:34" x14ac:dyDescent="0.25"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2:34" x14ac:dyDescent="0.25"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2:34" x14ac:dyDescent="0.25"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2:34" x14ac:dyDescent="0.25"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2:34" x14ac:dyDescent="0.25"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3246" priority="1">
      <formula>$AH11=0</formula>
    </cfRule>
  </conditionalFormatting>
  <conditionalFormatting sqref="A132:A253">
    <cfRule type="expression" dxfId="3245" priority="6">
      <formula>$AH132=0</formula>
    </cfRule>
  </conditionalFormatting>
  <conditionalFormatting sqref="B8 M8 S8 AB8">
    <cfRule type="expression" dxfId="3244" priority="114">
      <formula>AND(C$9&gt;=14/24,C$9&lt;20/24)</formula>
    </cfRule>
    <cfRule type="expression" dxfId="3243" priority="115">
      <formula>AND(C$9&gt;=8/24,C$9&lt;14/24)</formula>
    </cfRule>
    <cfRule type="expression" dxfId="3242" priority="116">
      <formula>C$9&lt;8/24</formula>
    </cfRule>
  </conditionalFormatting>
  <conditionalFormatting sqref="J64:J74 K69:L71 B63:I74">
    <cfRule type="expression" dxfId="3241" priority="21">
      <formula>B$9&gt;=20/24</formula>
    </cfRule>
    <cfRule type="expression" dxfId="3240" priority="22">
      <formula>AND(B$9&gt;=14/24,B$9&lt;20/24)</formula>
    </cfRule>
    <cfRule type="expression" dxfId="3239" priority="23">
      <formula>AND(B$9&gt;=8/24,B$9&lt;14/24)</formula>
    </cfRule>
    <cfRule type="expression" dxfId="3238" priority="24">
      <formula>B$9&lt;8/24</formula>
    </cfRule>
  </conditionalFormatting>
  <conditionalFormatting sqref="B51:J54">
    <cfRule type="expression" dxfId="3237" priority="15">
      <formula>B51&gt;$AG51</formula>
    </cfRule>
  </conditionalFormatting>
  <conditionalFormatting sqref="B53:J54">
    <cfRule type="expression" dxfId="3236" priority="14">
      <formula>B$9&lt;8/24</formula>
    </cfRule>
  </conditionalFormatting>
  <conditionalFormatting sqref="B55:J55">
    <cfRule type="expression" dxfId="3235" priority="35">
      <formula>B55&gt;$AG55</formula>
    </cfRule>
  </conditionalFormatting>
  <conditionalFormatting sqref="B55:J57">
    <cfRule type="expression" dxfId="3234" priority="34">
      <formula>B$9&lt;8/24</formula>
    </cfRule>
  </conditionalFormatting>
  <conditionalFormatting sqref="Z11:AF52 K51:Y52 B11:Y50">
    <cfRule type="expression" dxfId="3233" priority="25">
      <formula>B11&gt;$AG11</formula>
    </cfRule>
  </conditionalFormatting>
  <conditionalFormatting sqref="B9:AF52">
    <cfRule type="expression" dxfId="3232" priority="26">
      <formula>B$9&gt;=20/24</formula>
    </cfRule>
    <cfRule type="expression" dxfId="3231" priority="27">
      <formula>AND(B$9&gt;=14/24,B$9&lt;20/24)</formula>
    </cfRule>
    <cfRule type="expression" dxfId="3230" priority="28">
      <formula>AND(B$9&gt;=8/24,B$9&lt;14/24)</formula>
    </cfRule>
    <cfRule type="expression" dxfId="3229" priority="29">
      <formula>B$9&lt;8/24</formula>
    </cfRule>
  </conditionalFormatting>
  <conditionalFormatting sqref="B53:AF54">
    <cfRule type="expression" dxfId="3228" priority="11">
      <formula>B$9&gt;=20/24</formula>
    </cfRule>
    <cfRule type="expression" dxfId="3227" priority="12">
      <formula>AND(B$9&gt;=14/24,B$9&lt;20/24)</formula>
    </cfRule>
    <cfRule type="expression" dxfId="3226" priority="13">
      <formula>AND(B$9&gt;=8/24,B$9&lt;14/24)</formula>
    </cfRule>
  </conditionalFormatting>
  <conditionalFormatting sqref="B55:AF57">
    <cfRule type="expression" dxfId="3225" priority="31">
      <formula>B$9&gt;=20/24</formula>
    </cfRule>
    <cfRule type="expression" dxfId="3224" priority="32">
      <formula>AND(B$9&gt;=14/24,B$9&lt;20/24)</formula>
    </cfRule>
    <cfRule type="expression" dxfId="3223" priority="33">
      <formula>AND(B$9&gt;=8/24,B$9&lt;14/24)</formula>
    </cfRule>
  </conditionalFormatting>
  <conditionalFormatting sqref="B56:AF61">
    <cfRule type="expression" dxfId="3222" priority="30">
      <formula>B56&gt;$AG56</formula>
    </cfRule>
  </conditionalFormatting>
  <conditionalFormatting sqref="B59:AF61">
    <cfRule type="expression" dxfId="3221" priority="41">
      <formula>B$9&gt;=20/24</formula>
    </cfRule>
    <cfRule type="expression" dxfId="3220" priority="42">
      <formula>AND(B$9&gt;=14/24,B$9&lt;20/24)</formula>
    </cfRule>
    <cfRule type="expression" dxfId="3219" priority="43">
      <formula>AND(B$9&gt;=8/24,B$9&lt;14/24)</formula>
    </cfRule>
    <cfRule type="expression" dxfId="3218" priority="44">
      <formula>B$9&lt;8/24</formula>
    </cfRule>
  </conditionalFormatting>
  <conditionalFormatting sqref="B63:AF74">
    <cfRule type="expression" dxfId="3217" priority="20">
      <formula>B63&gt;$AG63</formula>
    </cfRule>
  </conditionalFormatting>
  <conditionalFormatting sqref="B77:AF79">
    <cfRule type="expression" dxfId="3216" priority="45">
      <formula>B77&gt;$AG77</formula>
    </cfRule>
    <cfRule type="expression" dxfId="3215" priority="46">
      <formula>B$9&gt;=20/24</formula>
    </cfRule>
    <cfRule type="expression" dxfId="3214" priority="47">
      <formula>AND(B$9&gt;=14/24,B$9&lt;20/24)</formula>
    </cfRule>
    <cfRule type="expression" dxfId="3213" priority="48">
      <formula>AND(B$9&gt;=8/24,B$9&lt;14/24)</formula>
    </cfRule>
    <cfRule type="expression" dxfId="3212" priority="49">
      <formula>B$9&lt;8/24</formula>
    </cfRule>
  </conditionalFormatting>
  <conditionalFormatting sqref="B81:AF99">
    <cfRule type="expression" dxfId="3211" priority="16">
      <formula>B$9&gt;=20/24</formula>
    </cfRule>
    <cfRule type="expression" dxfId="3210" priority="17">
      <formula>AND(B$9&gt;=14/24,B$9&lt;20/24)</formula>
    </cfRule>
    <cfRule type="expression" dxfId="3209" priority="18">
      <formula>AND(B$9&gt;=8/24,B$9&lt;14/24)</formula>
    </cfRule>
    <cfRule type="expression" dxfId="3208" priority="19">
      <formula>B$9&lt;8/24</formula>
    </cfRule>
  </conditionalFormatting>
  <conditionalFormatting sqref="B101:AF117">
    <cfRule type="expression" dxfId="3207" priority="7">
      <formula>B$9&gt;=20/24</formula>
    </cfRule>
    <cfRule type="expression" dxfId="3206" priority="8">
      <formula>AND(B$9&gt;=14/24,B$9&lt;20/24)</formula>
    </cfRule>
    <cfRule type="expression" dxfId="3205" priority="9">
      <formula>AND(B$9&gt;=8/24,B$9&lt;14/24)</formula>
    </cfRule>
    <cfRule type="expression" dxfId="3204" priority="10">
      <formula>B$9&lt;8/24</formula>
    </cfRule>
  </conditionalFormatting>
  <conditionalFormatting sqref="B119:AF137">
    <cfRule type="expression" dxfId="3203" priority="2">
      <formula>B$9&gt;=20/24</formula>
    </cfRule>
    <cfRule type="expression" dxfId="3202" priority="3">
      <formula>AND(B$9&gt;=14/24,B$9&lt;20/24)</formula>
    </cfRule>
    <cfRule type="expression" dxfId="3201" priority="4">
      <formula>AND(B$9&gt;=8/24,B$9&lt;14/24)</formula>
    </cfRule>
    <cfRule type="expression" dxfId="3200" priority="5">
      <formula>B$9&lt;8/24</formula>
    </cfRule>
  </conditionalFormatting>
  <conditionalFormatting sqref="B244:AF244 B246:B252 D246:AF252 U260:AF260">
    <cfRule type="expression" dxfId="3199" priority="107">
      <formula>B$9&gt;=20/24</formula>
    </cfRule>
    <cfRule type="expression" dxfId="3198" priority="108">
      <formula>AND(B$9&gt;=14/24,B$9&lt;20/24)</formula>
    </cfRule>
    <cfRule type="expression" dxfId="3197" priority="109">
      <formula>AND(B$9&gt;=8/24,B$9&lt;14/24)</formula>
    </cfRule>
    <cfRule type="expression" dxfId="3196" priority="110">
      <formula>B$9&lt;8/24</formula>
    </cfRule>
  </conditionalFormatting>
  <conditionalFormatting sqref="B62:AG62">
    <cfRule type="expression" dxfId="3195" priority="50">
      <formula>B62&gt;$AG62</formula>
    </cfRule>
    <cfRule type="expression" dxfId="3194" priority="51">
      <formula>B$9&gt;=20/24</formula>
    </cfRule>
    <cfRule type="expression" dxfId="3193" priority="52">
      <formula>AND(B$9&gt;=14/24,B$9&lt;20/24)</formula>
    </cfRule>
    <cfRule type="expression" dxfId="3192" priority="53">
      <formula>AND(B$9&gt;=8/24,B$9&lt;14/24)</formula>
    </cfRule>
    <cfRule type="expression" dxfId="3191" priority="54">
      <formula>B$9&lt;8/24</formula>
    </cfRule>
  </conditionalFormatting>
  <conditionalFormatting sqref="B80:AG80 B75:AG76">
    <cfRule type="expression" dxfId="3190" priority="36">
      <formula>B75&gt;$AG75</formula>
    </cfRule>
  </conditionalFormatting>
  <conditionalFormatting sqref="B80:AG80">
    <cfRule type="expression" dxfId="3189" priority="37">
      <formula>B$9&gt;=20/24</formula>
    </cfRule>
    <cfRule type="expression" dxfId="3188" priority="38">
      <formula>AND(B$9&gt;=14/24,B$9&lt;20/24)</formula>
    </cfRule>
    <cfRule type="expression" dxfId="3187" priority="39">
      <formula>AND(B$9&gt;=8/24,B$9&lt;14/24)</formula>
    </cfRule>
    <cfRule type="expression" dxfId="3186" priority="40">
      <formula>B$9&lt;8/24</formula>
    </cfRule>
  </conditionalFormatting>
  <conditionalFormatting sqref="G63:L65">
    <cfRule type="expression" dxfId="3185" priority="88">
      <formula>G$9&gt;=20/24</formula>
    </cfRule>
    <cfRule type="expression" dxfId="3184" priority="89">
      <formula>AND(G$9&gt;=14/24,G$9&lt;20/24)</formula>
    </cfRule>
    <cfRule type="expression" dxfId="3183" priority="90">
      <formula>AND(G$9&gt;=8/24,G$9&lt;14/24)</formula>
    </cfRule>
    <cfRule type="expression" dxfId="3182" priority="91">
      <formula>G$9&lt;8/24</formula>
    </cfRule>
  </conditionalFormatting>
  <conditionalFormatting sqref="G68:R68">
    <cfRule type="expression" dxfId="3181" priority="65">
      <formula>G$9&gt;=20/24</formula>
    </cfRule>
    <cfRule type="expression" dxfId="3180" priority="66">
      <formula>AND(G$9&gt;=14/24,G$9&lt;20/24)</formula>
    </cfRule>
    <cfRule type="expression" dxfId="3179" priority="67">
      <formula>AND(G$9&gt;=8/24,G$9&lt;14/24)</formula>
    </cfRule>
    <cfRule type="expression" dxfId="3178" priority="68">
      <formula>G$9&lt;8/24</formula>
    </cfRule>
  </conditionalFormatting>
  <conditionalFormatting sqref="G69:AF74">
    <cfRule type="expression" dxfId="3177" priority="55">
      <formula>G$9&gt;=20/24</formula>
    </cfRule>
    <cfRule type="expression" dxfId="3176" priority="56">
      <formula>AND(G$9&gt;=14/24,G$9&lt;20/24)</formula>
    </cfRule>
    <cfRule type="expression" dxfId="3175" priority="57">
      <formula>AND(G$9&gt;=8/24,G$9&lt;14/24)</formula>
    </cfRule>
    <cfRule type="expression" dxfId="3174" priority="58">
      <formula>G$9&lt;8/24</formula>
    </cfRule>
  </conditionalFormatting>
  <conditionalFormatting sqref="K53:AF55">
    <cfRule type="expression" dxfId="3173" priority="64">
      <formula>K53&gt;$AG53</formula>
    </cfRule>
  </conditionalFormatting>
  <conditionalFormatting sqref="K53:AF57 B56:J56">
    <cfRule type="expression" dxfId="3172" priority="63">
      <formula>B$9&lt;8/24</formula>
    </cfRule>
  </conditionalFormatting>
  <conditionalFormatting sqref="M63:R67">
    <cfRule type="expression" dxfId="3171" priority="92">
      <formula>M$9&gt;=20/24</formula>
    </cfRule>
    <cfRule type="expression" dxfId="3170" priority="93">
      <formula>AND(M$9&gt;=14/24,M$9&lt;20/24)</formula>
    </cfRule>
    <cfRule type="expression" dxfId="3169" priority="94">
      <formula>AND(M$9&gt;=8/24,M$9&lt;14/24)</formula>
    </cfRule>
    <cfRule type="expression" dxfId="3168" priority="95">
      <formula>M$9&lt;8/24</formula>
    </cfRule>
  </conditionalFormatting>
  <conditionalFormatting sqref="O3:P3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3167" priority="113">
      <formula>C$9&gt;=20/24</formula>
    </cfRule>
  </conditionalFormatting>
  <conditionalFormatting sqref="S8">
    <cfRule type="expression" dxfId="3166" priority="100">
      <formula>U$9&gt;=20/24</formula>
    </cfRule>
    <cfRule type="expression" dxfId="3165" priority="101">
      <formula>AND(U$9&gt;=14/24,U$9&lt;20/24)</formula>
    </cfRule>
    <cfRule type="expression" dxfId="3164" priority="102">
      <formula>AND(U$9&gt;=8/24,U$9&lt;14/24)</formula>
    </cfRule>
    <cfRule type="expression" dxfId="3163" priority="103">
      <formula>U$9&lt;8/24</formula>
    </cfRule>
  </conditionalFormatting>
  <conditionalFormatting sqref="S63:AF68">
    <cfRule type="expression" dxfId="3162" priority="59">
      <formula>S$9&gt;=20/24</formula>
    </cfRule>
    <cfRule type="expression" dxfId="3161" priority="60">
      <formula>AND(S$9&gt;=14/24,S$9&lt;20/24)</formula>
    </cfRule>
    <cfRule type="expression" dxfId="3160" priority="61">
      <formula>AND(S$9&gt;=8/24,S$9&lt;14/24)</formula>
    </cfRule>
    <cfRule type="expression" dxfId="3159" priority="62">
      <formula>S$9&lt;8/24</formula>
    </cfRule>
  </conditionalFormatting>
  <conditionalFormatting sqref="T260">
    <cfRule type="expression" dxfId="3158" priority="125">
      <formula>AX$9&gt;=20/24</formula>
    </cfRule>
    <cfRule type="expression" dxfId="3157" priority="126">
      <formula>AND(AX$9&gt;=14/24,AX$9&lt;20/24)</formula>
    </cfRule>
    <cfRule type="expression" dxfId="3156" priority="127">
      <formula>AND(AX$9&gt;=8/24,AX$9&lt;14/24)</formula>
    </cfRule>
    <cfRule type="expression" dxfId="3155" priority="128">
      <formula>AX$9&lt;8/24</formula>
    </cfRule>
  </conditionalFormatting>
  <conditionalFormatting sqref="V3 AB3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3154" priority="96">
      <formula>AD$9&gt;=20/24</formula>
    </cfRule>
    <cfRule type="expression" dxfId="3153" priority="97">
      <formula>AND(AD$9&gt;=14/24,AD$9&lt;20/24)</formula>
    </cfRule>
    <cfRule type="expression" dxfId="3152" priority="98">
      <formula>AND(AD$9&gt;=8/24,AD$9&lt;14/24)</formula>
    </cfRule>
    <cfRule type="expression" dxfId="3151" priority="99">
      <formula>AD$9&lt;8/24</formula>
    </cfRule>
  </conditionalFormatting>
  <conditionalFormatting sqref="AG58">
    <cfRule type="expression" dxfId="3150" priority="83">
      <formula>AG58&gt;$AG58</formula>
    </cfRule>
  </conditionalFormatting>
  <conditionalFormatting sqref="AG97">
    <cfRule type="expression" dxfId="3149" priority="84">
      <formula>AG$9&gt;=20/24</formula>
    </cfRule>
    <cfRule type="expression" dxfId="3148" priority="85">
      <formula>AND(AG$9&gt;=14/24,AG$9&lt;20/24)</formula>
    </cfRule>
    <cfRule type="expression" dxfId="3147" priority="86">
      <formula>AND(AG$9&gt;=8/24,AG$9&lt;14/24)</formula>
    </cfRule>
    <cfRule type="expression" dxfId="3146" priority="87">
      <formula>AG$9&lt;8/24</formula>
    </cfRule>
  </conditionalFormatting>
  <conditionalFormatting sqref="AG260">
    <cfRule type="expression" dxfId="3145" priority="117">
      <formula>B$9&gt;=20/24</formula>
    </cfRule>
    <cfRule type="expression" dxfId="3144" priority="118">
      <formula>AND(B$9&gt;=14/24,B$9&lt;20/24)</formula>
    </cfRule>
    <cfRule type="expression" dxfId="3143" priority="119">
      <formula>AND(B$9&gt;=8/24,B$9&lt;14/24)</formula>
    </cfRule>
    <cfRule type="expression" dxfId="3142" priority="120">
      <formula>B$9&lt;8/24</formula>
    </cfRule>
  </conditionalFormatting>
  <conditionalFormatting sqref="AH260:AX260">
    <cfRule type="expression" dxfId="3141" priority="121">
      <formula>AG$9&gt;=20/24</formula>
    </cfRule>
    <cfRule type="expression" dxfId="3140" priority="122">
      <formula>AND(AG$9&gt;=14/24,AG$9&lt;20/24)</formula>
    </cfRule>
    <cfRule type="expression" dxfId="3139" priority="123">
      <formula>AND(AG$9&gt;=8/24,AG$9&lt;14/24)</formula>
    </cfRule>
    <cfRule type="expression" dxfId="3138" priority="124">
      <formula>AG$9&lt;8/24</formula>
    </cfRule>
  </conditionalFormatting>
  <conditionalFormatting sqref="AL4:AL6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19:AL20">
    <cfRule type="iconSet" priority="71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8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70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8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82">
      <iconSet iconSet="3TrafficLights2" reverse="1">
        <cfvo type="percent" val="0"/>
        <cfvo type="num" val="1"/>
        <cfvo type="num" val="1"/>
      </iconSet>
    </cfRule>
  </conditionalFormatting>
  <conditionalFormatting sqref="AL48 AL45:AL46 AL21:AL24 AL7:AL18 AL26:AL37 AL39:AL43 AL54:AL55">
    <cfRule type="iconSet" priority="129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04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69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3137" priority="130">
      <formula>AJ$9&gt;=20/24</formula>
    </cfRule>
    <cfRule type="expression" dxfId="3136" priority="131">
      <formula>AND(AJ$9&gt;=14/24,AJ$9&lt;20/24)</formula>
    </cfRule>
    <cfRule type="expression" dxfId="3135" priority="132">
      <formula>AND(AJ$9&gt;=8/24,AJ$9&lt;14/24)</formula>
    </cfRule>
    <cfRule type="expression" dxfId="3134" priority="133">
      <formula>AJ$9&lt;8/24</formula>
    </cfRule>
  </conditionalFormatting>
  <conditionalFormatting sqref="AL88:AN88 AL94:AN94">
    <cfRule type="expression" dxfId="3133" priority="76">
      <formula>AL$9&gt;=20/24</formula>
    </cfRule>
    <cfRule type="expression" dxfId="3132" priority="77">
      <formula>AND(AL$9&gt;=14/24,AL$9&lt;20/24)</formula>
    </cfRule>
    <cfRule type="expression" dxfId="3131" priority="78">
      <formula>AND(AL$9&gt;=8/24,AL$9&lt;14/24)</formula>
    </cfRule>
    <cfRule type="expression" dxfId="3130" priority="79">
      <formula>AL$9&lt;8/24</formula>
    </cfRule>
  </conditionalFormatting>
  <conditionalFormatting sqref="AN89:AN92">
    <cfRule type="expression" dxfId="3129" priority="72">
      <formula>AN$9&gt;=20/24</formula>
    </cfRule>
    <cfRule type="expression" dxfId="3128" priority="73">
      <formula>AND(AN$9&gt;=14/24,AN$9&lt;20/24)</formula>
    </cfRule>
    <cfRule type="expression" dxfId="3127" priority="74">
      <formula>AND(AN$9&gt;=8/24,AN$9&lt;14/24)</formula>
    </cfRule>
    <cfRule type="expression" dxfId="3126" priority="75">
      <formula>AN$9&lt;8/24</formula>
    </cfRule>
  </conditionalFormatting>
  <pageMargins left="0.7" right="0.7" top="0.75" bottom="0.75" header="0.3" footer="0.3"/>
  <drawing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1F94B-1331-4FCB-8D09-8ED2B2FC89EE}">
  <sheetPr codeName="Sheet29"/>
  <dimension ref="A1:CJ293"/>
  <sheetViews>
    <sheetView zoomScale="106" workbookViewId="0">
      <pane xSplit="1" ySplit="10" topLeftCell="B82" activePane="bottomRight" state="frozen"/>
      <selection activeCell="Z63" sqref="Z63"/>
      <selection pane="topRight" activeCell="Z63" sqref="Z63"/>
      <selection pane="bottomLeft" activeCell="Z63" sqref="Z63"/>
      <selection pane="bottomRight" activeCell="Y117" sqref="Y117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hidden="1" customHeight="1" thickBot="1" x14ac:dyDescent="0.3">
      <c r="A1" s="275" t="s">
        <v>0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  <c r="AD1" s="275"/>
      <c r="AE1" s="275"/>
      <c r="AF1" s="275"/>
      <c r="AG1" s="276" t="s">
        <v>1</v>
      </c>
      <c r="AH1" s="276"/>
      <c r="AI1" s="276"/>
      <c r="AL1" s="2"/>
    </row>
    <row r="2" spans="1:88" ht="21" hidden="1" thickBot="1" x14ac:dyDescent="0.3">
      <c r="A2" s="3"/>
      <c r="B2" s="277" t="s">
        <v>2</v>
      </c>
      <c r="C2" s="4"/>
      <c r="D2" s="279" t="s">
        <v>3</v>
      </c>
      <c r="E2" s="4"/>
      <c r="F2" s="279" t="s">
        <v>4</v>
      </c>
      <c r="G2" s="4"/>
      <c r="H2" s="279" t="s">
        <v>5</v>
      </c>
      <c r="I2" s="5"/>
      <c r="J2" s="281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78"/>
      <c r="C3" s="16"/>
      <c r="D3" s="280"/>
      <c r="E3" s="16"/>
      <c r="F3" s="280"/>
      <c r="G3" s="16"/>
      <c r="H3" s="280"/>
      <c r="I3" s="17"/>
      <c r="J3" s="281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70" t="e">
        <f ca="1">"2080/"&amp;"10/"&amp;INT(MID(CELL("filename",D6),FIND("]",CELL("filename",D6))+1,200))</f>
        <v>#VALUE!</v>
      </c>
      <c r="C4" s="270"/>
      <c r="D4" s="270"/>
      <c r="E4" s="271" t="e">
        <f ca="1">"2080/"&amp;"10/"&amp;INT(MID(CELL("filename",G6),FIND("]",CELL("filename",G6))+1,200))</f>
        <v>#VALUE!</v>
      </c>
      <c r="F4" s="271"/>
      <c r="G4" s="271"/>
      <c r="H4" s="271" t="e">
        <f ca="1">TEXT(E4,"dddd")</f>
        <v>#VALUE!</v>
      </c>
      <c r="I4" s="271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C92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B92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4MW at 4:60hr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Load=4</v>
      </c>
      <c r="B7" s="35">
        <f>B100</f>
        <v>3.54</v>
      </c>
      <c r="C7" s="35">
        <f t="shared" ref="C7:AF7" si="1">C100</f>
        <v>3.54</v>
      </c>
      <c r="D7" s="35">
        <f t="shared" si="1"/>
        <v>3.54</v>
      </c>
      <c r="E7" s="35">
        <f t="shared" si="1"/>
        <v>3.54</v>
      </c>
      <c r="F7" s="35">
        <f t="shared" si="1"/>
        <v>3.54</v>
      </c>
      <c r="G7" s="35">
        <f t="shared" si="1"/>
        <v>3.54</v>
      </c>
      <c r="H7" s="35">
        <f t="shared" si="1"/>
        <v>3.54</v>
      </c>
      <c r="I7" s="35">
        <f t="shared" si="1"/>
        <v>3.54</v>
      </c>
      <c r="J7" s="35">
        <f t="shared" si="1"/>
        <v>3.54</v>
      </c>
      <c r="K7" s="35">
        <f t="shared" si="1"/>
        <v>3.54</v>
      </c>
      <c r="L7" s="35">
        <f t="shared" si="1"/>
        <v>3.54</v>
      </c>
      <c r="M7" s="35">
        <f t="shared" si="1"/>
        <v>3.54</v>
      </c>
      <c r="N7" s="35">
        <f t="shared" si="1"/>
        <v>3.54</v>
      </c>
      <c r="O7" s="35">
        <f t="shared" si="1"/>
        <v>3.54</v>
      </c>
      <c r="P7" s="35">
        <f t="shared" si="1"/>
        <v>3.54</v>
      </c>
      <c r="Q7" s="35">
        <f t="shared" si="1"/>
        <v>3.54</v>
      </c>
      <c r="R7" s="35">
        <f t="shared" si="1"/>
        <v>3.54</v>
      </c>
      <c r="S7" s="35">
        <f t="shared" si="1"/>
        <v>3.54</v>
      </c>
      <c r="T7" s="35">
        <f t="shared" si="1"/>
        <v>3.54</v>
      </c>
      <c r="U7" s="35">
        <f t="shared" si="1"/>
        <v>3.54</v>
      </c>
      <c r="V7" s="35">
        <f t="shared" si="1"/>
        <v>3.54</v>
      </c>
      <c r="W7" s="35">
        <f t="shared" si="1"/>
        <v>3.54</v>
      </c>
      <c r="X7" s="35">
        <f t="shared" si="1"/>
        <v>3.54</v>
      </c>
      <c r="Y7" s="35">
        <f t="shared" si="1"/>
        <v>4.5</v>
      </c>
      <c r="Z7" s="35">
        <f t="shared" si="1"/>
        <v>5.5</v>
      </c>
      <c r="AA7" s="35">
        <f t="shared" si="1"/>
        <v>3.54</v>
      </c>
      <c r="AB7" s="35">
        <f t="shared" si="1"/>
        <v>3.54</v>
      </c>
      <c r="AC7" s="35">
        <f t="shared" si="1"/>
        <v>3.54</v>
      </c>
      <c r="AD7" s="35">
        <f t="shared" si="1"/>
        <v>3.54</v>
      </c>
      <c r="AE7" s="35">
        <f t="shared" si="1"/>
        <v>3.54</v>
      </c>
      <c r="AF7" s="35">
        <f t="shared" si="1"/>
        <v>3.54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72" t="s">
        <v>14</v>
      </c>
      <c r="C8" s="273"/>
      <c r="D8" s="273"/>
      <c r="E8" s="273"/>
      <c r="F8" s="273"/>
      <c r="G8" s="273"/>
      <c r="H8" s="273"/>
      <c r="I8" s="273"/>
      <c r="J8" s="273"/>
      <c r="K8" s="273"/>
      <c r="L8" s="274"/>
      <c r="M8" s="265" t="s">
        <v>15</v>
      </c>
      <c r="N8" s="266"/>
      <c r="O8" s="266"/>
      <c r="P8" s="266"/>
      <c r="Q8" s="266"/>
      <c r="R8" s="267"/>
      <c r="S8" s="265" t="s">
        <v>16</v>
      </c>
      <c r="T8" s="266"/>
      <c r="U8" s="266"/>
      <c r="V8" s="266"/>
      <c r="W8" s="266"/>
      <c r="X8" s="266"/>
      <c r="Y8" s="266"/>
      <c r="Z8" s="266"/>
      <c r="AA8" s="267"/>
      <c r="AB8" s="265" t="s">
        <v>17</v>
      </c>
      <c r="AC8" s="266"/>
      <c r="AD8" s="266"/>
      <c r="AE8" s="266"/>
      <c r="AF8" s="267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68" t="s">
        <v>18</v>
      </c>
      <c r="B9" s="264">
        <v>0</v>
      </c>
      <c r="C9" s="264">
        <v>4.1666666666666664E-2</v>
      </c>
      <c r="D9" s="264">
        <v>8.3333333333333301E-2</v>
      </c>
      <c r="E9" s="264">
        <v>0.125</v>
      </c>
      <c r="F9" s="264">
        <v>0.16666666666666699</v>
      </c>
      <c r="G9" s="264">
        <v>0.20833333333333301</v>
      </c>
      <c r="H9" s="264">
        <v>0.22916666666666666</v>
      </c>
      <c r="I9" s="264">
        <v>0.25</v>
      </c>
      <c r="J9" s="264">
        <v>0.27083333333333331</v>
      </c>
      <c r="K9" s="264">
        <v>0.29166666666666669</v>
      </c>
      <c r="L9" s="264">
        <v>0.3125</v>
      </c>
      <c r="M9" s="262">
        <v>0.33333333333333331</v>
      </c>
      <c r="N9" s="262">
        <v>0.375</v>
      </c>
      <c r="O9" s="262">
        <v>0.41666666666666702</v>
      </c>
      <c r="P9" s="262">
        <v>0.45833333333333298</v>
      </c>
      <c r="Q9" s="262">
        <v>0.5</v>
      </c>
      <c r="R9" s="262">
        <v>0.54166666666666696</v>
      </c>
      <c r="S9" s="258">
        <v>0.58333333333333304</v>
      </c>
      <c r="T9" s="258">
        <v>0.625</v>
      </c>
      <c r="U9" s="258">
        <v>0.66666666666666696</v>
      </c>
      <c r="V9" s="258">
        <v>0.70833333333333304</v>
      </c>
      <c r="W9" s="258">
        <v>0.72916666666666663</v>
      </c>
      <c r="X9" s="258">
        <v>0.75</v>
      </c>
      <c r="Y9" s="258">
        <v>0.77083333333333337</v>
      </c>
      <c r="Z9" s="258">
        <v>0.79166666666666663</v>
      </c>
      <c r="AA9" s="258">
        <v>0.8125</v>
      </c>
      <c r="AB9" s="258">
        <v>0.83333333333333337</v>
      </c>
      <c r="AC9" s="258">
        <v>0.85416666666666663</v>
      </c>
      <c r="AD9" s="258">
        <v>0.875</v>
      </c>
      <c r="AE9" s="258">
        <v>0.91666666666666696</v>
      </c>
      <c r="AF9" s="258">
        <v>0.95833333333333304</v>
      </c>
      <c r="AG9" s="260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69"/>
      <c r="B10" s="259"/>
      <c r="C10" s="259"/>
      <c r="D10" s="259"/>
      <c r="E10" s="259"/>
      <c r="F10" s="259"/>
      <c r="G10" s="259"/>
      <c r="H10" s="259"/>
      <c r="I10" s="259"/>
      <c r="J10" s="259"/>
      <c r="K10" s="259"/>
      <c r="L10" s="259"/>
      <c r="M10" s="263"/>
      <c r="N10" s="263"/>
      <c r="O10" s="263"/>
      <c r="P10" s="263"/>
      <c r="Q10" s="263"/>
      <c r="R10" s="263"/>
      <c r="S10" s="259"/>
      <c r="T10" s="259"/>
      <c r="U10" s="259"/>
      <c r="V10" s="259"/>
      <c r="W10" s="259"/>
      <c r="X10" s="259"/>
      <c r="Y10" s="259"/>
      <c r="Z10" s="259"/>
      <c r="AA10" s="259"/>
      <c r="AB10" s="259"/>
      <c r="AC10" s="259"/>
      <c r="AD10" s="259"/>
      <c r="AE10" s="259"/>
      <c r="AF10" s="259"/>
      <c r="AG10" s="261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6">
        <v>86</v>
      </c>
      <c r="AH11" s="47">
        <f t="shared" ref="AH11:AH84" si="2">MAX(B11:AF11)</f>
        <v>0</v>
      </c>
      <c r="AI11" s="48">
        <f t="shared" ref="AI11:AI84" si="3">MIN(B11:AF11)</f>
        <v>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262</v>
      </c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9">
        <v>54</v>
      </c>
      <c r="AH12" s="47">
        <f t="shared" si="2"/>
        <v>0</v>
      </c>
      <c r="AI12" s="48">
        <f t="shared" si="3"/>
        <v>0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9">
        <v>54</v>
      </c>
      <c r="AH13" s="47">
        <f t="shared" si="2"/>
        <v>0</v>
      </c>
      <c r="AI13" s="48">
        <f t="shared" si="3"/>
        <v>0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6">
        <v>52.4</v>
      </c>
      <c r="AH14" s="47">
        <f t="shared" si="2"/>
        <v>0</v>
      </c>
      <c r="AI14" s="48">
        <f t="shared" si="3"/>
        <v>0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45"/>
      <c r="AB15" s="45"/>
      <c r="AC15" s="45"/>
      <c r="AD15" s="45"/>
      <c r="AE15" s="45"/>
      <c r="AF15" s="45"/>
      <c r="AG15" s="49">
        <v>50</v>
      </c>
      <c r="AH15" s="47">
        <f t="shared" si="2"/>
        <v>0</v>
      </c>
      <c r="AI15" s="48">
        <f t="shared" si="3"/>
        <v>0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9">
        <v>45</v>
      </c>
      <c r="AH16" s="47">
        <f t="shared" si="2"/>
        <v>0</v>
      </c>
      <c r="AI16" s="48">
        <f t="shared" si="3"/>
        <v>0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9">
        <v>44</v>
      </c>
      <c r="AH17" s="47">
        <f>MAX(B17:AG17)</f>
        <v>44</v>
      </c>
      <c r="AI17" s="48">
        <f>MIN(B17:AG17)</f>
        <v>44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9">
        <v>42</v>
      </c>
      <c r="AH18" s="47">
        <f t="shared" si="2"/>
        <v>0</v>
      </c>
      <c r="AI18" s="48">
        <f t="shared" si="3"/>
        <v>0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263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9">
        <v>38.46</v>
      </c>
      <c r="AH19" s="47">
        <f t="shared" si="2"/>
        <v>0</v>
      </c>
      <c r="AI19" s="48">
        <f t="shared" si="3"/>
        <v>0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9">
        <v>38.46</v>
      </c>
      <c r="AH20" s="47">
        <f t="shared" si="2"/>
        <v>0</v>
      </c>
      <c r="AI20" s="48">
        <f t="shared" si="3"/>
        <v>0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9">
        <v>36</v>
      </c>
      <c r="AH21" s="47">
        <f t="shared" si="2"/>
        <v>0</v>
      </c>
      <c r="AI21" s="48">
        <f t="shared" si="3"/>
        <v>0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52">
        <v>30</v>
      </c>
      <c r="AH22" s="47">
        <f t="shared" si="2"/>
        <v>0</v>
      </c>
      <c r="AI22" s="48">
        <f t="shared" si="3"/>
        <v>0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9">
        <v>24.2</v>
      </c>
      <c r="AH23" s="47">
        <f t="shared" si="2"/>
        <v>0</v>
      </c>
      <c r="AI23" s="48">
        <f t="shared" si="3"/>
        <v>0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9">
        <v>28</v>
      </c>
      <c r="AH24" s="47">
        <f t="shared" si="2"/>
        <v>0</v>
      </c>
      <c r="AI24" s="48">
        <f t="shared" si="3"/>
        <v>0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52">
        <v>30</v>
      </c>
      <c r="AH25" s="47">
        <f t="shared" si="2"/>
        <v>0</v>
      </c>
      <c r="AI25" s="48">
        <f t="shared" si="3"/>
        <v>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9">
        <v>25</v>
      </c>
      <c r="AH26" s="47">
        <f t="shared" si="2"/>
        <v>0</v>
      </c>
      <c r="AI26" s="48">
        <f t="shared" si="3"/>
        <v>0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9">
        <v>25</v>
      </c>
      <c r="AH27" s="47">
        <f t="shared" si="2"/>
        <v>0</v>
      </c>
      <c r="AI27" s="48">
        <f t="shared" si="3"/>
        <v>0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9">
        <v>25</v>
      </c>
      <c r="AH28" s="47">
        <f t="shared" si="2"/>
        <v>0</v>
      </c>
      <c r="AI28" s="48">
        <f t="shared" si="3"/>
        <v>0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9">
        <v>25</v>
      </c>
      <c r="AH29" s="47">
        <f t="shared" si="2"/>
        <v>0</v>
      </c>
      <c r="AI29" s="48">
        <f t="shared" si="3"/>
        <v>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9">
        <v>23.5</v>
      </c>
      <c r="AH30" s="47">
        <f t="shared" si="2"/>
        <v>0</v>
      </c>
      <c r="AI30" s="48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9">
        <v>22.2</v>
      </c>
      <c r="AH31" s="47">
        <f t="shared" si="2"/>
        <v>0</v>
      </c>
      <c r="AI31" s="48">
        <f t="shared" si="3"/>
        <v>0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9">
        <v>22.1</v>
      </c>
      <c r="AH32" s="47">
        <f t="shared" si="2"/>
        <v>0</v>
      </c>
      <c r="AI32" s="48">
        <f t="shared" si="3"/>
        <v>0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9">
        <v>22</v>
      </c>
      <c r="AH33" s="47">
        <f t="shared" si="2"/>
        <v>0</v>
      </c>
      <c r="AI33" s="48">
        <f t="shared" si="3"/>
        <v>0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9">
        <v>22</v>
      </c>
      <c r="AH34" s="47">
        <f t="shared" si="2"/>
        <v>0</v>
      </c>
      <c r="AI34" s="48">
        <f t="shared" si="3"/>
        <v>0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9">
        <v>20</v>
      </c>
      <c r="AH35" s="47">
        <f t="shared" si="2"/>
        <v>0</v>
      </c>
      <c r="AI35" s="48">
        <f t="shared" si="3"/>
        <v>0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264</v>
      </c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9">
        <v>20</v>
      </c>
      <c r="AH36" s="47">
        <f t="shared" si="2"/>
        <v>0</v>
      </c>
      <c r="AI36" s="48">
        <f t="shared" si="3"/>
        <v>0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9">
        <v>18</v>
      </c>
      <c r="AH37" s="47">
        <f t="shared" si="2"/>
        <v>0</v>
      </c>
      <c r="AI37" s="48">
        <f t="shared" si="3"/>
        <v>0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9">
        <v>14.9</v>
      </c>
      <c r="AH38" s="47">
        <f t="shared" si="2"/>
        <v>0</v>
      </c>
      <c r="AI38" s="48">
        <f t="shared" si="3"/>
        <v>0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265</v>
      </c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9">
        <v>14.9</v>
      </c>
      <c r="AH40" s="47">
        <f t="shared" si="2"/>
        <v>0</v>
      </c>
      <c r="AI40" s="48">
        <f t="shared" si="3"/>
        <v>0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266</v>
      </c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9">
        <v>14.9</v>
      </c>
      <c r="AH41" s="47">
        <f t="shared" si="2"/>
        <v>0</v>
      </c>
      <c r="AI41" s="48">
        <f t="shared" si="3"/>
        <v>0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9">
        <v>13.6</v>
      </c>
      <c r="AH42" s="47">
        <f t="shared" si="2"/>
        <v>0</v>
      </c>
      <c r="AI42" s="48">
        <f t="shared" si="3"/>
        <v>0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9">
        <v>13</v>
      </c>
      <c r="AH43" s="47">
        <f t="shared" si="2"/>
        <v>0</v>
      </c>
      <c r="AI43" s="48">
        <f t="shared" si="3"/>
        <v>0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9">
        <v>12</v>
      </c>
      <c r="AH44" s="47">
        <f t="shared" si="2"/>
        <v>0</v>
      </c>
      <c r="AI44" s="48">
        <f t="shared" si="3"/>
        <v>0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9">
        <v>12</v>
      </c>
      <c r="AH45" s="47">
        <f t="shared" si="2"/>
        <v>0</v>
      </c>
      <c r="AI45" s="48">
        <f t="shared" si="3"/>
        <v>0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9">
        <v>12</v>
      </c>
      <c r="AH46" s="47">
        <f t="shared" si="2"/>
        <v>0</v>
      </c>
      <c r="AI46" s="48">
        <f t="shared" si="3"/>
        <v>0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53">
        <v>22</v>
      </c>
      <c r="AH47" s="47">
        <f t="shared" si="2"/>
        <v>0</v>
      </c>
      <c r="AI47" s="48">
        <f t="shared" si="3"/>
        <v>0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52">
        <v>11.88</v>
      </c>
      <c r="AH48" s="47">
        <f t="shared" si="2"/>
        <v>0</v>
      </c>
      <c r="AI48" s="48">
        <f t="shared" si="3"/>
        <v>0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55">
        <v>11</v>
      </c>
      <c r="AH49" s="47">
        <f t="shared" si="2"/>
        <v>0</v>
      </c>
      <c r="AI49" s="48">
        <f t="shared" si="3"/>
        <v>0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267</v>
      </c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55">
        <v>11</v>
      </c>
      <c r="AH50" s="47">
        <f t="shared" si="2"/>
        <v>0</v>
      </c>
      <c r="AI50" s="48">
        <f t="shared" si="3"/>
        <v>0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268</v>
      </c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55">
        <v>11</v>
      </c>
      <c r="AH51" s="47">
        <f t="shared" si="2"/>
        <v>0</v>
      </c>
      <c r="AI51" s="48">
        <f t="shared" si="3"/>
        <v>0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55">
        <v>10</v>
      </c>
      <c r="AH52" s="47">
        <f t="shared" si="2"/>
        <v>0</v>
      </c>
      <c r="AI52" s="48">
        <f t="shared" si="3"/>
        <v>0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55">
        <v>10</v>
      </c>
      <c r="AH53" s="47">
        <f t="shared" si="2"/>
        <v>0</v>
      </c>
      <c r="AI53" s="48">
        <f t="shared" si="3"/>
        <v>0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269</v>
      </c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55">
        <v>10</v>
      </c>
      <c r="AH55" s="47">
        <f t="shared" si="2"/>
        <v>0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5">
        <v>85</v>
      </c>
      <c r="AH56" s="47">
        <f t="shared" si="2"/>
        <v>0</v>
      </c>
      <c r="AI56" s="48">
        <f t="shared" si="3"/>
        <v>0</v>
      </c>
      <c r="AK56" s="50"/>
    </row>
    <row r="57" spans="1:88" ht="15.75" thickBot="1" x14ac:dyDescent="0.3">
      <c r="A57" s="58" t="s">
        <v>57</v>
      </c>
      <c r="B57" s="57"/>
      <c r="C57" s="57"/>
      <c r="D57" s="57"/>
      <c r="E57" s="57"/>
      <c r="F57" s="57"/>
      <c r="G57" s="57"/>
      <c r="H57" s="57"/>
      <c r="I57" s="57"/>
      <c r="J57" s="57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7"/>
      <c r="Y57" s="57"/>
      <c r="Z57" s="57"/>
      <c r="AA57" s="57"/>
      <c r="AB57" s="57"/>
      <c r="AC57" s="57"/>
      <c r="AD57" s="57"/>
      <c r="AE57" s="57"/>
      <c r="AF57" s="57"/>
      <c r="AG57" s="55">
        <v>240</v>
      </c>
      <c r="AH57" s="47">
        <f t="shared" si="2"/>
        <v>0</v>
      </c>
      <c r="AI57" s="48">
        <f t="shared" si="3"/>
        <v>0</v>
      </c>
      <c r="AK57" s="50"/>
    </row>
    <row r="58" spans="1:88" ht="15.75" thickBot="1" x14ac:dyDescent="0.3">
      <c r="A58" s="59" t="s">
        <v>58</v>
      </c>
      <c r="B58" s="60">
        <f>SUM(B11:B56)</f>
        <v>0</v>
      </c>
      <c r="C58" s="60">
        <f>SUM(C11:C56)</f>
        <v>0</v>
      </c>
      <c r="D58" s="60">
        <f t="shared" ref="D58:AF58" si="4">SUM(D11:D56)</f>
        <v>0</v>
      </c>
      <c r="E58" s="60">
        <f t="shared" si="4"/>
        <v>0</v>
      </c>
      <c r="F58" s="60">
        <f t="shared" si="4"/>
        <v>0</v>
      </c>
      <c r="G58" s="60">
        <f t="shared" si="4"/>
        <v>0</v>
      </c>
      <c r="H58" s="60">
        <f t="shared" si="4"/>
        <v>0</v>
      </c>
      <c r="I58" s="60">
        <f t="shared" si="4"/>
        <v>0</v>
      </c>
      <c r="J58" s="60">
        <f t="shared" si="4"/>
        <v>0</v>
      </c>
      <c r="K58" s="60">
        <f t="shared" si="4"/>
        <v>0</v>
      </c>
      <c r="L58" s="60">
        <f t="shared" si="4"/>
        <v>0</v>
      </c>
      <c r="M58" s="60">
        <f t="shared" si="4"/>
        <v>0</v>
      </c>
      <c r="N58" s="60">
        <f t="shared" si="4"/>
        <v>0</v>
      </c>
      <c r="O58" s="60">
        <f t="shared" si="4"/>
        <v>0</v>
      </c>
      <c r="P58" s="60">
        <f t="shared" si="4"/>
        <v>0</v>
      </c>
      <c r="Q58" s="60">
        <f t="shared" si="4"/>
        <v>0</v>
      </c>
      <c r="R58" s="60">
        <f t="shared" si="4"/>
        <v>0</v>
      </c>
      <c r="S58" s="60">
        <f t="shared" si="4"/>
        <v>0</v>
      </c>
      <c r="T58" s="60">
        <f t="shared" si="4"/>
        <v>0</v>
      </c>
      <c r="U58" s="60">
        <f t="shared" si="4"/>
        <v>0</v>
      </c>
      <c r="V58" s="60">
        <f t="shared" si="4"/>
        <v>0</v>
      </c>
      <c r="W58" s="60">
        <f t="shared" si="4"/>
        <v>0</v>
      </c>
      <c r="X58" s="60">
        <f t="shared" si="4"/>
        <v>0</v>
      </c>
      <c r="Y58" s="60">
        <f>SUM(Y11:Y56)</f>
        <v>0</v>
      </c>
      <c r="Z58" s="60">
        <f>SUM(Z11:Z56)</f>
        <v>0</v>
      </c>
      <c r="AA58" s="60">
        <f t="shared" si="4"/>
        <v>0</v>
      </c>
      <c r="AB58" s="60">
        <f t="shared" si="4"/>
        <v>0</v>
      </c>
      <c r="AC58" s="60">
        <f t="shared" si="4"/>
        <v>0</v>
      </c>
      <c r="AD58" s="60">
        <f t="shared" si="4"/>
        <v>0</v>
      </c>
      <c r="AE58" s="60">
        <f t="shared" si="4"/>
        <v>0</v>
      </c>
      <c r="AF58" s="60">
        <f t="shared" si="4"/>
        <v>0</v>
      </c>
      <c r="AG58" s="61">
        <f>SUM(AG14:AG56)</f>
        <v>1042.4000000000001</v>
      </c>
      <c r="AH58" s="47">
        <f t="shared" si="2"/>
        <v>0</v>
      </c>
      <c r="AI58" s="48">
        <f t="shared" si="3"/>
        <v>0</v>
      </c>
      <c r="AK58" s="50"/>
    </row>
    <row r="59" spans="1:88" x14ac:dyDescent="0.25">
      <c r="A59" s="62" t="s">
        <v>59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63"/>
      <c r="O59" s="63"/>
      <c r="P59" s="63"/>
      <c r="Q59" s="63"/>
      <c r="R59" s="63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52">
        <v>456</v>
      </c>
      <c r="AH59" s="47">
        <f t="shared" si="2"/>
        <v>0</v>
      </c>
      <c r="AI59" s="48">
        <f t="shared" si="3"/>
        <v>0</v>
      </c>
      <c r="AK59" s="50"/>
    </row>
    <row r="60" spans="1:88" x14ac:dyDescent="0.25">
      <c r="A60" s="64" t="s">
        <v>60</v>
      </c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55">
        <v>60</v>
      </c>
      <c r="AH60" s="47">
        <f t="shared" si="2"/>
        <v>0</v>
      </c>
      <c r="AI60" s="48">
        <f t="shared" si="3"/>
        <v>0</v>
      </c>
      <c r="AK60" s="50"/>
    </row>
    <row r="61" spans="1:88" ht="15.75" thickBot="1" x14ac:dyDescent="0.3">
      <c r="A61" s="66" t="s">
        <v>61</v>
      </c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8">
        <v>22.1</v>
      </c>
      <c r="AH61" s="47">
        <f t="shared" si="2"/>
        <v>0</v>
      </c>
      <c r="AI61" s="48">
        <f t="shared" si="3"/>
        <v>0</v>
      </c>
      <c r="AK61" s="50"/>
    </row>
    <row r="62" spans="1:88" ht="15.75" thickBot="1" x14ac:dyDescent="0.3">
      <c r="A62" s="69" t="s">
        <v>62</v>
      </c>
      <c r="B62" s="60">
        <f t="shared" ref="B62:AG62" si="5">SUM(B59:B61)</f>
        <v>0</v>
      </c>
      <c r="C62" s="60">
        <f t="shared" si="5"/>
        <v>0</v>
      </c>
      <c r="D62" s="60">
        <f t="shared" si="5"/>
        <v>0</v>
      </c>
      <c r="E62" s="60">
        <f t="shared" si="5"/>
        <v>0</v>
      </c>
      <c r="F62" s="60">
        <f t="shared" si="5"/>
        <v>0</v>
      </c>
      <c r="G62" s="60">
        <f t="shared" si="5"/>
        <v>0</v>
      </c>
      <c r="H62" s="60">
        <f t="shared" si="5"/>
        <v>0</v>
      </c>
      <c r="I62" s="60">
        <f t="shared" si="5"/>
        <v>0</v>
      </c>
      <c r="J62" s="60">
        <f t="shared" si="5"/>
        <v>0</v>
      </c>
      <c r="K62" s="60">
        <f t="shared" si="5"/>
        <v>0</v>
      </c>
      <c r="L62" s="60">
        <f t="shared" si="5"/>
        <v>0</v>
      </c>
      <c r="M62" s="60">
        <f t="shared" si="5"/>
        <v>0</v>
      </c>
      <c r="N62" s="60">
        <f t="shared" si="5"/>
        <v>0</v>
      </c>
      <c r="O62" s="60">
        <f t="shared" si="5"/>
        <v>0</v>
      </c>
      <c r="P62" s="60">
        <f t="shared" si="5"/>
        <v>0</v>
      </c>
      <c r="Q62" s="60">
        <f t="shared" si="5"/>
        <v>0</v>
      </c>
      <c r="R62" s="60">
        <f t="shared" si="5"/>
        <v>0</v>
      </c>
      <c r="S62" s="60">
        <f t="shared" si="5"/>
        <v>0</v>
      </c>
      <c r="T62" s="60">
        <f t="shared" si="5"/>
        <v>0</v>
      </c>
      <c r="U62" s="60">
        <f t="shared" si="5"/>
        <v>0</v>
      </c>
      <c r="V62" s="60">
        <f t="shared" si="5"/>
        <v>0</v>
      </c>
      <c r="W62" s="60">
        <f t="shared" si="5"/>
        <v>0</v>
      </c>
      <c r="X62" s="60">
        <f t="shared" si="5"/>
        <v>0</v>
      </c>
      <c r="Y62" s="60">
        <f>SUM(Y59:Y61)</f>
        <v>0</v>
      </c>
      <c r="Z62" s="60">
        <f>SUM(Z59:Z61)</f>
        <v>0</v>
      </c>
      <c r="AA62" s="60">
        <f t="shared" si="5"/>
        <v>0</v>
      </c>
      <c r="AB62" s="60">
        <f t="shared" si="5"/>
        <v>0</v>
      </c>
      <c r="AC62" s="60">
        <f t="shared" si="5"/>
        <v>0</v>
      </c>
      <c r="AD62" s="60">
        <f t="shared" si="5"/>
        <v>0</v>
      </c>
      <c r="AE62" s="60">
        <f t="shared" si="5"/>
        <v>0</v>
      </c>
      <c r="AF62" s="60">
        <f t="shared" si="5"/>
        <v>0</v>
      </c>
      <c r="AG62" s="61">
        <f t="shared" si="5"/>
        <v>538.1</v>
      </c>
      <c r="AH62" s="47">
        <f t="shared" si="2"/>
        <v>0</v>
      </c>
      <c r="AI62" s="48">
        <f t="shared" si="3"/>
        <v>0</v>
      </c>
      <c r="AK62" s="50"/>
    </row>
    <row r="63" spans="1:88" x14ac:dyDescent="0.25">
      <c r="A63" s="44" t="s">
        <v>63</v>
      </c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52">
        <v>144</v>
      </c>
      <c r="AH63" s="47">
        <f t="shared" si="2"/>
        <v>0</v>
      </c>
      <c r="AI63" s="48">
        <f t="shared" si="3"/>
        <v>0</v>
      </c>
      <c r="AK63" s="50"/>
    </row>
    <row r="64" spans="1:88" x14ac:dyDescent="0.25">
      <c r="A64" s="54" t="s">
        <v>64</v>
      </c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65"/>
      <c r="AE64" s="45"/>
      <c r="AF64" s="45"/>
      <c r="AG64" s="55">
        <v>70</v>
      </c>
      <c r="AH64" s="47">
        <f t="shared" si="2"/>
        <v>0</v>
      </c>
      <c r="AI64" s="48">
        <f t="shared" si="3"/>
        <v>0</v>
      </c>
      <c r="AK64" s="50"/>
    </row>
    <row r="65" spans="1:41" x14ac:dyDescent="0.25">
      <c r="A65" s="54" t="s">
        <v>65</v>
      </c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65"/>
      <c r="AE65" s="45"/>
      <c r="AF65" s="45"/>
      <c r="AG65" s="55">
        <v>69</v>
      </c>
      <c r="AH65" s="47">
        <f t="shared" si="2"/>
        <v>0</v>
      </c>
      <c r="AI65" s="48">
        <f t="shared" si="3"/>
        <v>0</v>
      </c>
      <c r="AK65" s="50"/>
    </row>
    <row r="66" spans="1:41" x14ac:dyDescent="0.25">
      <c r="A66" s="54" t="s">
        <v>66</v>
      </c>
      <c r="B66" s="65"/>
      <c r="C66" s="65"/>
      <c r="D66" s="65"/>
      <c r="E66" s="65"/>
      <c r="F66" s="65"/>
      <c r="G66" s="65"/>
      <c r="H66" s="65"/>
      <c r="I66" s="65"/>
      <c r="J66" s="65"/>
      <c r="K66" s="57"/>
      <c r="L66" s="57"/>
      <c r="M66" s="65"/>
      <c r="N66" s="65"/>
      <c r="O66" s="65"/>
      <c r="P66" s="65"/>
      <c r="Q66" s="65"/>
      <c r="R66" s="6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65"/>
      <c r="AE66" s="45"/>
      <c r="AF66" s="45"/>
      <c r="AG66" s="55">
        <v>60</v>
      </c>
      <c r="AH66" s="47">
        <f t="shared" si="2"/>
        <v>0</v>
      </c>
      <c r="AI66" s="48">
        <f t="shared" si="3"/>
        <v>0</v>
      </c>
      <c r="AK66" s="50"/>
    </row>
    <row r="67" spans="1:41" x14ac:dyDescent="0.25">
      <c r="A67" s="54" t="s">
        <v>67</v>
      </c>
      <c r="B67" s="65"/>
      <c r="C67" s="65"/>
      <c r="D67" s="65"/>
      <c r="E67" s="65"/>
      <c r="F67" s="65"/>
      <c r="G67" s="65"/>
      <c r="H67" s="65"/>
      <c r="I67" s="65"/>
      <c r="J67" s="65"/>
      <c r="K67" s="57"/>
      <c r="L67" s="57"/>
      <c r="M67" s="65"/>
      <c r="N67" s="65"/>
      <c r="O67" s="65"/>
      <c r="P67" s="65"/>
      <c r="Q67" s="65"/>
      <c r="R67" s="6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65"/>
      <c r="AE67" s="45"/>
      <c r="AF67" s="45"/>
      <c r="AG67" s="55">
        <v>30</v>
      </c>
      <c r="AH67" s="47">
        <f t="shared" si="2"/>
        <v>0</v>
      </c>
      <c r="AI67" s="48">
        <f t="shared" si="3"/>
        <v>0</v>
      </c>
      <c r="AK67" s="50"/>
    </row>
    <row r="68" spans="1:41" x14ac:dyDescent="0.25">
      <c r="A68" s="54" t="s">
        <v>68</v>
      </c>
      <c r="B68" s="45"/>
      <c r="C68" s="45"/>
      <c r="D68" s="45"/>
      <c r="E68" s="45"/>
      <c r="F68" s="45"/>
      <c r="G68" s="45"/>
      <c r="H68" s="45"/>
      <c r="I68" s="45"/>
      <c r="J68" s="45"/>
      <c r="K68" s="65"/>
      <c r="L68" s="65"/>
      <c r="M68" s="65"/>
      <c r="N68" s="65"/>
      <c r="O68" s="65"/>
      <c r="P68" s="65"/>
      <c r="Q68" s="65"/>
      <c r="R68" s="6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65"/>
      <c r="AE68" s="45"/>
      <c r="AF68" s="45"/>
      <c r="AG68" s="55">
        <v>25</v>
      </c>
      <c r="AH68" s="47">
        <f t="shared" si="2"/>
        <v>0</v>
      </c>
      <c r="AI68" s="48">
        <f t="shared" si="3"/>
        <v>0</v>
      </c>
      <c r="AK68" s="50"/>
    </row>
    <row r="69" spans="1:41" x14ac:dyDescent="0.25">
      <c r="A69" s="54" t="s">
        <v>69</v>
      </c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55">
        <v>24</v>
      </c>
      <c r="AH69" s="47">
        <f t="shared" si="2"/>
        <v>0</v>
      </c>
      <c r="AI69" s="48">
        <f t="shared" si="3"/>
        <v>0</v>
      </c>
      <c r="AK69" s="50"/>
    </row>
    <row r="70" spans="1:41" x14ac:dyDescent="0.25">
      <c r="A70" s="54" t="s">
        <v>70</v>
      </c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55">
        <v>15</v>
      </c>
      <c r="AH70" s="47">
        <f t="shared" si="2"/>
        <v>0</v>
      </c>
      <c r="AI70" s="48">
        <f t="shared" si="3"/>
        <v>0</v>
      </c>
      <c r="AK70" s="50"/>
      <c r="AL70" s="70"/>
      <c r="AO70" s="70"/>
    </row>
    <row r="71" spans="1:41" s="70" customFormat="1" x14ac:dyDescent="0.25">
      <c r="A71" s="54" t="s">
        <v>71</v>
      </c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55">
        <v>14.1</v>
      </c>
      <c r="AH71" s="47">
        <f t="shared" si="2"/>
        <v>0</v>
      </c>
      <c r="AI71" s="48">
        <f t="shared" si="3"/>
        <v>0</v>
      </c>
      <c r="AJ71" s="1"/>
      <c r="AK71" s="50"/>
      <c r="AL71" s="1"/>
      <c r="AM71" s="1"/>
      <c r="AN71" s="1"/>
      <c r="AO71" s="1"/>
    </row>
    <row r="72" spans="1:41" x14ac:dyDescent="0.25">
      <c r="A72" s="71" t="s">
        <v>72</v>
      </c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55">
        <v>14</v>
      </c>
      <c r="AH72" s="47">
        <f t="shared" si="2"/>
        <v>0</v>
      </c>
      <c r="AI72" s="48">
        <f t="shared" si="3"/>
        <v>0</v>
      </c>
      <c r="AK72" s="50"/>
    </row>
    <row r="73" spans="1:41" x14ac:dyDescent="0.25">
      <c r="A73" s="54" t="s">
        <v>73</v>
      </c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55">
        <v>10.050000000000001</v>
      </c>
      <c r="AH73" s="47">
        <f t="shared" si="2"/>
        <v>0</v>
      </c>
      <c r="AI73" s="48">
        <f t="shared" si="3"/>
        <v>0</v>
      </c>
      <c r="AK73" s="50"/>
    </row>
    <row r="74" spans="1:41" x14ac:dyDescent="0.25">
      <c r="A74" s="54" t="s">
        <v>74</v>
      </c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55">
        <v>6.2</v>
      </c>
      <c r="AH74" s="47">
        <f t="shared" si="2"/>
        <v>0</v>
      </c>
      <c r="AI74" s="48">
        <f t="shared" si="3"/>
        <v>0</v>
      </c>
      <c r="AK74" s="50"/>
    </row>
    <row r="75" spans="1:41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4.5</v>
      </c>
      <c r="Z75" s="72">
        <v>5.5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2"/>
        <v>5.5</v>
      </c>
      <c r="AI75" s="48">
        <f t="shared" si="3"/>
        <v>3.54</v>
      </c>
      <c r="AK75" s="50"/>
    </row>
    <row r="76" spans="1:41" ht="15.75" thickBot="1" x14ac:dyDescent="0.3">
      <c r="A76" s="74" t="s">
        <v>76</v>
      </c>
      <c r="B76" s="60">
        <f t="shared" ref="B76:AG76" si="6">SUM(B63:B75)</f>
        <v>3.54</v>
      </c>
      <c r="C76" s="60">
        <f t="shared" si="6"/>
        <v>3.54</v>
      </c>
      <c r="D76" s="60">
        <f t="shared" si="6"/>
        <v>3.54</v>
      </c>
      <c r="E76" s="60">
        <f t="shared" si="6"/>
        <v>3.54</v>
      </c>
      <c r="F76" s="60">
        <f t="shared" si="6"/>
        <v>3.54</v>
      </c>
      <c r="G76" s="60">
        <f t="shared" si="6"/>
        <v>3.54</v>
      </c>
      <c r="H76" s="60">
        <f t="shared" si="6"/>
        <v>3.54</v>
      </c>
      <c r="I76" s="60">
        <f t="shared" si="6"/>
        <v>3.54</v>
      </c>
      <c r="J76" s="60">
        <f t="shared" si="6"/>
        <v>3.54</v>
      </c>
      <c r="K76" s="60">
        <f t="shared" si="6"/>
        <v>3.54</v>
      </c>
      <c r="L76" s="60">
        <f t="shared" si="6"/>
        <v>3.54</v>
      </c>
      <c r="M76" s="60">
        <f t="shared" si="6"/>
        <v>3.54</v>
      </c>
      <c r="N76" s="60">
        <f t="shared" si="6"/>
        <v>3.54</v>
      </c>
      <c r="O76" s="60">
        <f t="shared" si="6"/>
        <v>3.54</v>
      </c>
      <c r="P76" s="60">
        <f t="shared" si="6"/>
        <v>3.54</v>
      </c>
      <c r="Q76" s="60">
        <f t="shared" si="6"/>
        <v>3.54</v>
      </c>
      <c r="R76" s="60">
        <f t="shared" si="6"/>
        <v>3.54</v>
      </c>
      <c r="S76" s="60">
        <f t="shared" si="6"/>
        <v>3.54</v>
      </c>
      <c r="T76" s="60">
        <f t="shared" si="6"/>
        <v>3.54</v>
      </c>
      <c r="U76" s="60">
        <f t="shared" si="6"/>
        <v>3.54</v>
      </c>
      <c r="V76" s="60">
        <f t="shared" si="6"/>
        <v>3.54</v>
      </c>
      <c r="W76" s="60">
        <f t="shared" si="6"/>
        <v>3.54</v>
      </c>
      <c r="X76" s="60">
        <f t="shared" si="6"/>
        <v>3.54</v>
      </c>
      <c r="Y76" s="60">
        <f>SUM(Y63:Y75)</f>
        <v>4.5</v>
      </c>
      <c r="Z76" s="60">
        <f>SUM(Z63:Z75)</f>
        <v>5.5</v>
      </c>
      <c r="AA76" s="60">
        <f t="shared" si="6"/>
        <v>3.54</v>
      </c>
      <c r="AB76" s="60">
        <f t="shared" si="6"/>
        <v>3.54</v>
      </c>
      <c r="AC76" s="60">
        <f t="shared" si="6"/>
        <v>3.54</v>
      </c>
      <c r="AD76" s="60">
        <f t="shared" si="6"/>
        <v>3.54</v>
      </c>
      <c r="AE76" s="60">
        <f t="shared" si="6"/>
        <v>3.54</v>
      </c>
      <c r="AF76" s="60">
        <f t="shared" si="6"/>
        <v>3.54</v>
      </c>
      <c r="AG76" s="61">
        <f t="shared" si="6"/>
        <v>489.91</v>
      </c>
      <c r="AH76" s="47">
        <f t="shared" si="2"/>
        <v>5.5</v>
      </c>
      <c r="AI76" s="48">
        <f t="shared" si="3"/>
        <v>3.54</v>
      </c>
      <c r="AK76" s="50"/>
    </row>
    <row r="77" spans="1:41" x14ac:dyDescent="0.25">
      <c r="A77" s="44" t="s">
        <v>77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52">
        <v>60</v>
      </c>
      <c r="AH77" s="47">
        <f t="shared" si="2"/>
        <v>0</v>
      </c>
      <c r="AI77" s="48">
        <f t="shared" si="3"/>
        <v>0</v>
      </c>
      <c r="AK77" s="50"/>
    </row>
    <row r="78" spans="1:41" x14ac:dyDescent="0.25">
      <c r="A78" s="54" t="s">
        <v>78</v>
      </c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55">
        <v>32</v>
      </c>
      <c r="AH78" s="47">
        <f t="shared" si="2"/>
        <v>0</v>
      </c>
      <c r="AI78" s="48">
        <f t="shared" si="3"/>
        <v>0</v>
      </c>
      <c r="AK78" s="50"/>
    </row>
    <row r="79" spans="1:41" ht="15.75" thickBot="1" x14ac:dyDescent="0.3">
      <c r="A79" s="71" t="s">
        <v>79</v>
      </c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8">
        <v>14</v>
      </c>
      <c r="AH79" s="47">
        <f t="shared" si="2"/>
        <v>0</v>
      </c>
      <c r="AI79" s="48">
        <f t="shared" si="3"/>
        <v>0</v>
      </c>
      <c r="AK79" s="50"/>
    </row>
    <row r="80" spans="1:41" ht="15.75" thickBot="1" x14ac:dyDescent="0.3">
      <c r="A80" s="74" t="s">
        <v>80</v>
      </c>
      <c r="B80" s="60">
        <f t="shared" ref="B80:AF80" si="7">B77+B78+B79</f>
        <v>0</v>
      </c>
      <c r="C80" s="60">
        <f t="shared" si="7"/>
        <v>0</v>
      </c>
      <c r="D80" s="60">
        <f t="shared" si="7"/>
        <v>0</v>
      </c>
      <c r="E80" s="60">
        <f t="shared" si="7"/>
        <v>0</v>
      </c>
      <c r="F80" s="60">
        <f t="shared" si="7"/>
        <v>0</v>
      </c>
      <c r="G80" s="60">
        <f t="shared" si="7"/>
        <v>0</v>
      </c>
      <c r="H80" s="60">
        <f t="shared" si="7"/>
        <v>0</v>
      </c>
      <c r="I80" s="60">
        <f t="shared" si="7"/>
        <v>0</v>
      </c>
      <c r="J80" s="60">
        <f t="shared" si="7"/>
        <v>0</v>
      </c>
      <c r="K80" s="60">
        <f t="shared" si="7"/>
        <v>0</v>
      </c>
      <c r="L80" s="60">
        <f t="shared" si="7"/>
        <v>0</v>
      </c>
      <c r="M80" s="60">
        <f t="shared" si="7"/>
        <v>0</v>
      </c>
      <c r="N80" s="60">
        <f t="shared" si="7"/>
        <v>0</v>
      </c>
      <c r="O80" s="60">
        <f t="shared" si="7"/>
        <v>0</v>
      </c>
      <c r="P80" s="60">
        <f t="shared" si="7"/>
        <v>0</v>
      </c>
      <c r="Q80" s="60">
        <f t="shared" si="7"/>
        <v>0</v>
      </c>
      <c r="R80" s="60">
        <f t="shared" si="7"/>
        <v>0</v>
      </c>
      <c r="S80" s="60">
        <f t="shared" si="7"/>
        <v>0</v>
      </c>
      <c r="T80" s="60">
        <f t="shared" si="7"/>
        <v>0</v>
      </c>
      <c r="U80" s="60">
        <f t="shared" si="7"/>
        <v>0</v>
      </c>
      <c r="V80" s="60">
        <f t="shared" si="7"/>
        <v>0</v>
      </c>
      <c r="W80" s="60">
        <f t="shared" si="7"/>
        <v>0</v>
      </c>
      <c r="X80" s="60">
        <f t="shared" si="7"/>
        <v>0</v>
      </c>
      <c r="Y80" s="60">
        <f>Y77+Y78+Y79</f>
        <v>0</v>
      </c>
      <c r="Z80" s="60">
        <f>Z77+Z78+Z79</f>
        <v>0</v>
      </c>
      <c r="AA80" s="60">
        <f t="shared" si="7"/>
        <v>0</v>
      </c>
      <c r="AB80" s="60">
        <f t="shared" si="7"/>
        <v>0</v>
      </c>
      <c r="AC80" s="60">
        <f t="shared" si="7"/>
        <v>0</v>
      </c>
      <c r="AD80" s="60">
        <f t="shared" si="7"/>
        <v>0</v>
      </c>
      <c r="AE80" s="60">
        <f t="shared" si="7"/>
        <v>0</v>
      </c>
      <c r="AF80" s="60">
        <f t="shared" si="7"/>
        <v>0</v>
      </c>
      <c r="AG80" s="61">
        <f>SUM(AG77:AG79)</f>
        <v>106</v>
      </c>
      <c r="AH80" s="47">
        <f t="shared" si="2"/>
        <v>0</v>
      </c>
      <c r="AI80" s="48">
        <f t="shared" si="3"/>
        <v>0</v>
      </c>
      <c r="AK80" s="50"/>
    </row>
    <row r="81" spans="1:40" x14ac:dyDescent="0.25">
      <c r="A81" s="44" t="s">
        <v>81</v>
      </c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52"/>
      <c r="AH81" s="47">
        <f t="shared" si="2"/>
        <v>0</v>
      </c>
      <c r="AI81" s="48">
        <f t="shared" si="3"/>
        <v>0</v>
      </c>
      <c r="AK81" s="50"/>
    </row>
    <row r="82" spans="1:40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55"/>
      <c r="AH82" s="47">
        <f t="shared" si="2"/>
        <v>0</v>
      </c>
      <c r="AI82" s="48">
        <f t="shared" si="3"/>
        <v>0</v>
      </c>
      <c r="AK82" s="50"/>
    </row>
    <row r="83" spans="1:40" x14ac:dyDescent="0.25">
      <c r="A83" s="54" t="s">
        <v>83</v>
      </c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75"/>
      <c r="AH83" s="47">
        <f t="shared" si="2"/>
        <v>0</v>
      </c>
      <c r="AI83" s="48">
        <f t="shared" si="3"/>
        <v>0</v>
      </c>
      <c r="AK83" s="50"/>
    </row>
    <row r="84" spans="1:40" x14ac:dyDescent="0.25">
      <c r="A84" s="54" t="s">
        <v>84</v>
      </c>
      <c r="B84" s="65"/>
      <c r="C84" s="65"/>
      <c r="D84" s="65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65"/>
      <c r="AE84" s="76"/>
      <c r="AF84" s="76"/>
      <c r="AG84" s="75"/>
      <c r="AH84" s="47">
        <f t="shared" si="2"/>
        <v>0</v>
      </c>
      <c r="AI84" s="48">
        <f t="shared" si="3"/>
        <v>0</v>
      </c>
      <c r="AK84" s="50"/>
    </row>
    <row r="85" spans="1:40" x14ac:dyDescent="0.25">
      <c r="A85" s="54" t="s">
        <v>85</v>
      </c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75"/>
      <c r="AH85" s="47">
        <f t="shared" ref="AH85:AH130" si="8">MAX(B85:AF85)</f>
        <v>0</v>
      </c>
      <c r="AI85" s="48">
        <f t="shared" ref="AI85:AI130" si="9">MIN(B85:AF85)</f>
        <v>0</v>
      </c>
      <c r="AK85" s="50"/>
    </row>
    <row r="86" spans="1:40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5"/>
      <c r="AH86" s="47">
        <f t="shared" si="8"/>
        <v>0</v>
      </c>
      <c r="AI86" s="48">
        <f t="shared" si="9"/>
        <v>0</v>
      </c>
      <c r="AK86" s="50"/>
    </row>
    <row r="87" spans="1:40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5"/>
      <c r="AH87" s="47">
        <f t="shared" si="8"/>
        <v>0</v>
      </c>
      <c r="AI87" s="48">
        <f t="shared" si="9"/>
        <v>0</v>
      </c>
      <c r="AK87" s="50"/>
      <c r="AL87" s="78" t="s">
        <v>88</v>
      </c>
      <c r="AM87" s="78"/>
    </row>
    <row r="88" spans="1:40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5"/>
      <c r="AH88" s="47">
        <f t="shared" si="8"/>
        <v>0</v>
      </c>
      <c r="AI88" s="48">
        <f t="shared" si="9"/>
        <v>0</v>
      </c>
      <c r="AK88" s="79"/>
      <c r="AL88" s="80"/>
      <c r="AM88" s="80"/>
      <c r="AN88" s="81"/>
    </row>
    <row r="89" spans="1:40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5"/>
      <c r="AH89" s="47">
        <f t="shared" si="8"/>
        <v>0</v>
      </c>
      <c r="AI89" s="48">
        <f t="shared" si="9"/>
        <v>0</v>
      </c>
      <c r="AK89" s="82" t="s">
        <v>91</v>
      </c>
      <c r="AL89" s="65"/>
      <c r="AM89" s="76"/>
      <c r="AN89" s="83"/>
    </row>
    <row r="90" spans="1:40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85"/>
      <c r="AH90" s="47">
        <f t="shared" si="8"/>
        <v>0</v>
      </c>
      <c r="AI90" s="48">
        <f t="shared" si="9"/>
        <v>0</v>
      </c>
      <c r="AK90" s="82" t="s">
        <v>93</v>
      </c>
      <c r="AL90" s="76"/>
      <c r="AM90" s="76"/>
      <c r="AN90" s="83"/>
    </row>
    <row r="91" spans="1:40" ht="15.75" thickBot="1" x14ac:dyDescent="0.3">
      <c r="A91" s="84" t="s">
        <v>421</v>
      </c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85"/>
      <c r="AH91" s="47">
        <f t="shared" si="8"/>
        <v>0</v>
      </c>
      <c r="AI91" s="48">
        <f t="shared" si="9"/>
        <v>0</v>
      </c>
      <c r="AK91" s="86"/>
      <c r="AL91" s="45"/>
      <c r="AM91" s="45"/>
      <c r="AN91" s="87"/>
    </row>
    <row r="92" spans="1:40" ht="15.75" thickBot="1" x14ac:dyDescent="0.3">
      <c r="A92" s="74" t="s">
        <v>95</v>
      </c>
      <c r="B92" s="60">
        <f t="shared" ref="B92:AF92" si="10">SUMIF(B81:B91,"&gt;0")</f>
        <v>0</v>
      </c>
      <c r="C92" s="60">
        <f t="shared" si="10"/>
        <v>0</v>
      </c>
      <c r="D92" s="60">
        <f t="shared" si="10"/>
        <v>0</v>
      </c>
      <c r="E92" s="60">
        <f t="shared" si="10"/>
        <v>0</v>
      </c>
      <c r="F92" s="60">
        <f t="shared" si="10"/>
        <v>0</v>
      </c>
      <c r="G92" s="60">
        <f t="shared" si="10"/>
        <v>0</v>
      </c>
      <c r="H92" s="60">
        <f t="shared" si="10"/>
        <v>0</v>
      </c>
      <c r="I92" s="60">
        <f t="shared" si="10"/>
        <v>0</v>
      </c>
      <c r="J92" s="60">
        <f t="shared" si="10"/>
        <v>0</v>
      </c>
      <c r="K92" s="60">
        <f t="shared" si="10"/>
        <v>0</v>
      </c>
      <c r="L92" s="60">
        <f t="shared" si="10"/>
        <v>0</v>
      </c>
      <c r="M92" s="60">
        <f t="shared" si="10"/>
        <v>0</v>
      </c>
      <c r="N92" s="60">
        <f t="shared" si="10"/>
        <v>0</v>
      </c>
      <c r="O92" s="60">
        <f t="shared" si="10"/>
        <v>0</v>
      </c>
      <c r="P92" s="60">
        <f t="shared" si="10"/>
        <v>0</v>
      </c>
      <c r="Q92" s="60">
        <f t="shared" si="10"/>
        <v>0</v>
      </c>
      <c r="R92" s="60">
        <f t="shared" si="10"/>
        <v>0</v>
      </c>
      <c r="S92" s="60">
        <f t="shared" si="10"/>
        <v>0</v>
      </c>
      <c r="T92" s="60">
        <f t="shared" si="10"/>
        <v>0</v>
      </c>
      <c r="U92" s="60">
        <f t="shared" si="10"/>
        <v>0</v>
      </c>
      <c r="V92" s="60">
        <f t="shared" si="10"/>
        <v>0</v>
      </c>
      <c r="W92" s="60">
        <f t="shared" si="10"/>
        <v>0</v>
      </c>
      <c r="X92" s="60">
        <f t="shared" si="10"/>
        <v>0</v>
      </c>
      <c r="Y92" s="60">
        <f>SUMIF(Y81:Y91,"&gt;0")</f>
        <v>0</v>
      </c>
      <c r="Z92" s="60">
        <f>SUMIF(Z81:Z91,"&gt;0")</f>
        <v>0</v>
      </c>
      <c r="AA92" s="60">
        <f t="shared" si="10"/>
        <v>0</v>
      </c>
      <c r="AB92" s="60">
        <f t="shared" si="10"/>
        <v>0</v>
      </c>
      <c r="AC92" s="60">
        <f t="shared" si="10"/>
        <v>0</v>
      </c>
      <c r="AD92" s="60">
        <f t="shared" si="10"/>
        <v>0</v>
      </c>
      <c r="AE92" s="60">
        <f t="shared" si="10"/>
        <v>0</v>
      </c>
      <c r="AF92" s="60">
        <f t="shared" si="10"/>
        <v>0</v>
      </c>
      <c r="AG92" s="88">
        <f>SUM(AG81:AG91)</f>
        <v>0</v>
      </c>
      <c r="AH92" s="47">
        <f t="shared" si="8"/>
        <v>0</v>
      </c>
      <c r="AI92" s="48">
        <f t="shared" si="9"/>
        <v>0</v>
      </c>
      <c r="AK92" s="86"/>
      <c r="AL92" s="77"/>
      <c r="AM92" s="89"/>
      <c r="AN92" s="255"/>
    </row>
    <row r="93" spans="1:40" x14ac:dyDescent="0.25">
      <c r="A93" s="44" t="s">
        <v>96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8"/>
        <v>0</v>
      </c>
      <c r="AI93" s="48">
        <f t="shared" si="9"/>
        <v>0</v>
      </c>
      <c r="AK93" s="86"/>
      <c r="AL93" s="77"/>
      <c r="AM93" s="77"/>
      <c r="AN93" s="256"/>
    </row>
    <row r="94" spans="1:40" ht="15.75" thickBot="1" x14ac:dyDescent="0.3">
      <c r="A94" s="54" t="s">
        <v>97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8"/>
        <v>0</v>
      </c>
      <c r="AI94" s="48">
        <f t="shared" si="9"/>
        <v>0</v>
      </c>
      <c r="AK94" s="91"/>
      <c r="AL94" s="92"/>
      <c r="AM94" s="92"/>
      <c r="AN94" s="93"/>
    </row>
    <row r="95" spans="1:40" ht="15.75" thickBot="1" x14ac:dyDescent="0.3">
      <c r="A95" s="84" t="s">
        <v>98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8"/>
        <v>0</v>
      </c>
      <c r="AI95" s="48">
        <f t="shared" si="9"/>
        <v>0</v>
      </c>
    </row>
    <row r="96" spans="1:40" ht="15.75" thickBot="1" x14ac:dyDescent="0.3">
      <c r="A96" s="74" t="s">
        <v>99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>
        <v>0</v>
      </c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8"/>
        <v>0</v>
      </c>
      <c r="AI96" s="48">
        <f t="shared" si="9"/>
        <v>0</v>
      </c>
    </row>
    <row r="97" spans="1:37" ht="15.75" thickBot="1" x14ac:dyDescent="0.3">
      <c r="A97" s="74" t="s">
        <v>100</v>
      </c>
      <c r="B97" s="95">
        <f t="shared" ref="B97:AG97" si="11">B58+B62+B80+B76+B92+B96</f>
        <v>3.54</v>
      </c>
      <c r="C97" s="95">
        <f t="shared" si="11"/>
        <v>3.54</v>
      </c>
      <c r="D97" s="95">
        <f t="shared" si="11"/>
        <v>3.54</v>
      </c>
      <c r="E97" s="95">
        <f t="shared" si="11"/>
        <v>3.54</v>
      </c>
      <c r="F97" s="95">
        <f t="shared" si="11"/>
        <v>3.54</v>
      </c>
      <c r="G97" s="95">
        <f t="shared" si="11"/>
        <v>3.54</v>
      </c>
      <c r="H97" s="95">
        <f t="shared" si="11"/>
        <v>3.54</v>
      </c>
      <c r="I97" s="95">
        <f t="shared" si="11"/>
        <v>3.54</v>
      </c>
      <c r="J97" s="95">
        <f t="shared" si="11"/>
        <v>3.54</v>
      </c>
      <c r="K97" s="95">
        <f t="shared" si="11"/>
        <v>3.54</v>
      </c>
      <c r="L97" s="95">
        <f t="shared" si="11"/>
        <v>3.54</v>
      </c>
      <c r="M97" s="95">
        <f t="shared" si="11"/>
        <v>3.54</v>
      </c>
      <c r="N97" s="95">
        <f t="shared" si="11"/>
        <v>3.54</v>
      </c>
      <c r="O97" s="95">
        <f t="shared" si="11"/>
        <v>3.54</v>
      </c>
      <c r="P97" s="95">
        <f t="shared" si="11"/>
        <v>3.54</v>
      </c>
      <c r="Q97" s="95">
        <f t="shared" si="11"/>
        <v>3.54</v>
      </c>
      <c r="R97" s="95">
        <f t="shared" si="11"/>
        <v>3.54</v>
      </c>
      <c r="S97" s="95">
        <f t="shared" si="11"/>
        <v>3.54</v>
      </c>
      <c r="T97" s="95">
        <f t="shared" si="11"/>
        <v>3.54</v>
      </c>
      <c r="U97" s="95">
        <f t="shared" si="11"/>
        <v>3.54</v>
      </c>
      <c r="V97" s="95">
        <f t="shared" si="11"/>
        <v>3.54</v>
      </c>
      <c r="W97" s="95">
        <f t="shared" si="11"/>
        <v>3.54</v>
      </c>
      <c r="X97" s="95">
        <f t="shared" si="11"/>
        <v>3.54</v>
      </c>
      <c r="Y97" s="95">
        <f>Y58+Y62+Y80+Y76+Y92+Y96</f>
        <v>4.5</v>
      </c>
      <c r="Z97" s="95">
        <f>Z58+Z62+Z80+Z76+Z92+Z96</f>
        <v>5.5</v>
      </c>
      <c r="AA97" s="95">
        <f t="shared" si="11"/>
        <v>3.54</v>
      </c>
      <c r="AB97" s="95">
        <f t="shared" si="11"/>
        <v>3.54</v>
      </c>
      <c r="AC97" s="95">
        <f t="shared" si="11"/>
        <v>3.54</v>
      </c>
      <c r="AD97" s="95">
        <f t="shared" si="11"/>
        <v>3.54</v>
      </c>
      <c r="AE97" s="95">
        <f t="shared" si="11"/>
        <v>3.54</v>
      </c>
      <c r="AF97" s="95">
        <f t="shared" si="11"/>
        <v>3.54</v>
      </c>
      <c r="AG97" s="61">
        <f t="shared" si="11"/>
        <v>2231.81</v>
      </c>
      <c r="AH97" s="47">
        <f t="shared" si="8"/>
        <v>5.5</v>
      </c>
      <c r="AI97" s="48">
        <f t="shared" si="9"/>
        <v>3.54</v>
      </c>
    </row>
    <row r="98" spans="1:37" ht="15.75" thickBot="1" x14ac:dyDescent="0.3">
      <c r="A98" s="96" t="s">
        <v>101</v>
      </c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  <c r="AA98" s="97"/>
      <c r="AB98" s="97"/>
      <c r="AC98" s="97"/>
      <c r="AD98" s="97"/>
      <c r="AE98" s="97"/>
      <c r="AF98" s="97"/>
      <c r="AG98" s="88"/>
      <c r="AH98" s="47">
        <f t="shared" si="8"/>
        <v>0</v>
      </c>
      <c r="AI98" s="48">
        <f t="shared" si="9"/>
        <v>0</v>
      </c>
    </row>
    <row r="99" spans="1:37" ht="15.75" thickBot="1" x14ac:dyDescent="0.3">
      <c r="A99" s="74" t="s">
        <v>102</v>
      </c>
      <c r="B99" s="95">
        <f t="shared" ref="B99:AF99" si="12">B97+B98</f>
        <v>3.54</v>
      </c>
      <c r="C99" s="95">
        <f t="shared" si="12"/>
        <v>3.54</v>
      </c>
      <c r="D99" s="95">
        <f t="shared" si="12"/>
        <v>3.54</v>
      </c>
      <c r="E99" s="95">
        <f t="shared" si="12"/>
        <v>3.54</v>
      </c>
      <c r="F99" s="95">
        <f t="shared" si="12"/>
        <v>3.54</v>
      </c>
      <c r="G99" s="95">
        <f t="shared" si="12"/>
        <v>3.54</v>
      </c>
      <c r="H99" s="95">
        <f t="shared" si="12"/>
        <v>3.54</v>
      </c>
      <c r="I99" s="95">
        <f t="shared" si="12"/>
        <v>3.54</v>
      </c>
      <c r="J99" s="95">
        <f t="shared" si="12"/>
        <v>3.54</v>
      </c>
      <c r="K99" s="95">
        <f t="shared" si="12"/>
        <v>3.54</v>
      </c>
      <c r="L99" s="95">
        <f t="shared" si="12"/>
        <v>3.54</v>
      </c>
      <c r="M99" s="95">
        <f t="shared" si="12"/>
        <v>3.54</v>
      </c>
      <c r="N99" s="95">
        <f t="shared" si="12"/>
        <v>3.54</v>
      </c>
      <c r="O99" s="95">
        <f t="shared" si="12"/>
        <v>3.54</v>
      </c>
      <c r="P99" s="95">
        <f t="shared" si="12"/>
        <v>3.54</v>
      </c>
      <c r="Q99" s="95">
        <f t="shared" si="12"/>
        <v>3.54</v>
      </c>
      <c r="R99" s="95">
        <f t="shared" si="12"/>
        <v>3.54</v>
      </c>
      <c r="S99" s="95">
        <f t="shared" si="12"/>
        <v>3.54</v>
      </c>
      <c r="T99" s="95">
        <f t="shared" si="12"/>
        <v>3.54</v>
      </c>
      <c r="U99" s="95">
        <f t="shared" si="12"/>
        <v>3.54</v>
      </c>
      <c r="V99" s="95">
        <f t="shared" si="12"/>
        <v>3.54</v>
      </c>
      <c r="W99" s="95">
        <f t="shared" si="12"/>
        <v>3.54</v>
      </c>
      <c r="X99" s="95">
        <f t="shared" si="12"/>
        <v>3.54</v>
      </c>
      <c r="Y99" s="95">
        <f>Y97+Y98</f>
        <v>4.5</v>
      </c>
      <c r="Z99" s="95">
        <f>Z97+Z98</f>
        <v>5.5</v>
      </c>
      <c r="AA99" s="95">
        <f t="shared" si="12"/>
        <v>3.54</v>
      </c>
      <c r="AB99" s="95">
        <f t="shared" si="12"/>
        <v>3.54</v>
      </c>
      <c r="AC99" s="95">
        <f t="shared" si="12"/>
        <v>3.54</v>
      </c>
      <c r="AD99" s="95">
        <f t="shared" si="12"/>
        <v>3.54</v>
      </c>
      <c r="AE99" s="95">
        <f t="shared" si="12"/>
        <v>3.54</v>
      </c>
      <c r="AF99" s="95">
        <f t="shared" si="12"/>
        <v>3.54</v>
      </c>
      <c r="AG99" s="88">
        <f>AG96+AG92+AG80+AG76+AG58+AG98</f>
        <v>1693.71</v>
      </c>
      <c r="AH99" s="47">
        <f t="shared" si="8"/>
        <v>5.5</v>
      </c>
      <c r="AI99" s="48">
        <f t="shared" si="9"/>
        <v>3.54</v>
      </c>
    </row>
    <row r="100" spans="1:37" ht="15.75" thickBot="1" x14ac:dyDescent="0.3">
      <c r="A100" s="74" t="s">
        <v>103</v>
      </c>
      <c r="B100" s="95">
        <f t="shared" ref="B100:M100" si="13">B99-(B107)</f>
        <v>3.54</v>
      </c>
      <c r="C100" s="95">
        <f t="shared" si="13"/>
        <v>3.54</v>
      </c>
      <c r="D100" s="95">
        <f t="shared" si="13"/>
        <v>3.54</v>
      </c>
      <c r="E100" s="95">
        <f t="shared" si="13"/>
        <v>3.54</v>
      </c>
      <c r="F100" s="95">
        <f t="shared" si="13"/>
        <v>3.54</v>
      </c>
      <c r="G100" s="95">
        <f t="shared" si="13"/>
        <v>3.54</v>
      </c>
      <c r="H100" s="95">
        <f t="shared" si="13"/>
        <v>3.54</v>
      </c>
      <c r="I100" s="95">
        <f t="shared" si="13"/>
        <v>3.54</v>
      </c>
      <c r="J100" s="95">
        <f t="shared" si="13"/>
        <v>3.54</v>
      </c>
      <c r="K100" s="95">
        <f t="shared" si="13"/>
        <v>3.54</v>
      </c>
      <c r="L100" s="95">
        <f t="shared" si="13"/>
        <v>3.54</v>
      </c>
      <c r="M100" s="95">
        <f t="shared" si="13"/>
        <v>3.54</v>
      </c>
      <c r="N100" s="95">
        <f>N99-(N107)</f>
        <v>3.54</v>
      </c>
      <c r="O100" s="95">
        <f t="shared" ref="O100:AF100" si="14">O99-(O107)</f>
        <v>3.54</v>
      </c>
      <c r="P100" s="95">
        <f t="shared" si="14"/>
        <v>3.54</v>
      </c>
      <c r="Q100" s="95">
        <f t="shared" si="14"/>
        <v>3.54</v>
      </c>
      <c r="R100" s="95">
        <f t="shared" si="14"/>
        <v>3.54</v>
      </c>
      <c r="S100" s="95">
        <f t="shared" si="14"/>
        <v>3.54</v>
      </c>
      <c r="T100" s="95">
        <f t="shared" si="14"/>
        <v>3.54</v>
      </c>
      <c r="U100" s="95">
        <f t="shared" si="14"/>
        <v>3.54</v>
      </c>
      <c r="V100" s="95">
        <f t="shared" si="14"/>
        <v>3.54</v>
      </c>
      <c r="W100" s="95">
        <f t="shared" si="14"/>
        <v>3.54</v>
      </c>
      <c r="X100" s="95">
        <f t="shared" si="14"/>
        <v>3.54</v>
      </c>
      <c r="Y100" s="95">
        <f t="shared" si="14"/>
        <v>4.5</v>
      </c>
      <c r="Z100" s="95">
        <f t="shared" ref="Z100" si="15">Z99-(Z107)</f>
        <v>5.5</v>
      </c>
      <c r="AA100" s="95">
        <f t="shared" si="14"/>
        <v>3.54</v>
      </c>
      <c r="AB100" s="95">
        <f t="shared" si="14"/>
        <v>3.54</v>
      </c>
      <c r="AC100" s="95">
        <f t="shared" si="14"/>
        <v>3.54</v>
      </c>
      <c r="AD100" s="95">
        <f t="shared" si="14"/>
        <v>3.54</v>
      </c>
      <c r="AE100" s="95">
        <f t="shared" si="14"/>
        <v>3.54</v>
      </c>
      <c r="AF100" s="95">
        <f t="shared" si="14"/>
        <v>3.54</v>
      </c>
      <c r="AG100" s="88"/>
      <c r="AH100" s="47">
        <f t="shared" si="8"/>
        <v>5.5</v>
      </c>
      <c r="AI100" s="48">
        <f t="shared" si="9"/>
        <v>3.54</v>
      </c>
    </row>
    <row r="101" spans="1:37" x14ac:dyDescent="0.25">
      <c r="A101" s="44" t="s">
        <v>84</v>
      </c>
      <c r="B101" s="76">
        <f>IF(B84&lt;0,B84*-1,0)</f>
        <v>0</v>
      </c>
      <c r="C101" s="76">
        <f t="shared" ref="C101:AF101" si="16">IF(C84&lt;0,C84*-1,0)</f>
        <v>0</v>
      </c>
      <c r="D101" s="76">
        <f t="shared" si="16"/>
        <v>0</v>
      </c>
      <c r="E101" s="76">
        <f t="shared" si="16"/>
        <v>0</v>
      </c>
      <c r="F101" s="76">
        <f t="shared" si="16"/>
        <v>0</v>
      </c>
      <c r="G101" s="76">
        <f t="shared" si="16"/>
        <v>0</v>
      </c>
      <c r="H101" s="76">
        <f t="shared" si="16"/>
        <v>0</v>
      </c>
      <c r="I101" s="76">
        <f t="shared" si="16"/>
        <v>0</v>
      </c>
      <c r="J101" s="76">
        <f t="shared" si="16"/>
        <v>0</v>
      </c>
      <c r="K101" s="76">
        <f t="shared" si="16"/>
        <v>0</v>
      </c>
      <c r="L101" s="76">
        <f t="shared" si="16"/>
        <v>0</v>
      </c>
      <c r="M101" s="76">
        <f t="shared" si="16"/>
        <v>0</v>
      </c>
      <c r="N101" s="76">
        <f t="shared" si="16"/>
        <v>0</v>
      </c>
      <c r="O101" s="76">
        <f t="shared" si="16"/>
        <v>0</v>
      </c>
      <c r="P101" s="76">
        <f t="shared" si="16"/>
        <v>0</v>
      </c>
      <c r="Q101" s="76">
        <f t="shared" si="16"/>
        <v>0</v>
      </c>
      <c r="R101" s="76">
        <f t="shared" si="16"/>
        <v>0</v>
      </c>
      <c r="S101" s="76">
        <f t="shared" si="16"/>
        <v>0</v>
      </c>
      <c r="T101" s="76">
        <f t="shared" si="16"/>
        <v>0</v>
      </c>
      <c r="U101" s="76">
        <f t="shared" si="16"/>
        <v>0</v>
      </c>
      <c r="V101" s="76">
        <f t="shared" si="16"/>
        <v>0</v>
      </c>
      <c r="W101" s="76">
        <f t="shared" si="16"/>
        <v>0</v>
      </c>
      <c r="X101" s="76">
        <f t="shared" si="16"/>
        <v>0</v>
      </c>
      <c r="Y101" s="76">
        <f t="shared" si="16"/>
        <v>0</v>
      </c>
      <c r="Z101" s="76">
        <f t="shared" ref="Z101" si="17">IF(Z84&lt;0,Z84*-1,0)</f>
        <v>0</v>
      </c>
      <c r="AA101" s="76">
        <f t="shared" si="16"/>
        <v>0</v>
      </c>
      <c r="AB101" s="76">
        <f t="shared" si="16"/>
        <v>0</v>
      </c>
      <c r="AC101" s="76">
        <f t="shared" si="16"/>
        <v>0</v>
      </c>
      <c r="AD101" s="76">
        <f t="shared" si="16"/>
        <v>0</v>
      </c>
      <c r="AE101" s="76">
        <f t="shared" si="16"/>
        <v>0</v>
      </c>
      <c r="AF101" s="76">
        <f t="shared" si="16"/>
        <v>0</v>
      </c>
      <c r="AG101" s="52"/>
      <c r="AH101" s="47">
        <f t="shared" si="8"/>
        <v>0</v>
      </c>
      <c r="AI101" s="48">
        <f t="shared" si="9"/>
        <v>0</v>
      </c>
    </row>
    <row r="102" spans="1:37" x14ac:dyDescent="0.25">
      <c r="A102" s="54" t="s">
        <v>82</v>
      </c>
      <c r="B102" s="76">
        <f>IF(B82&lt;0,B82*-1,0)</f>
        <v>0</v>
      </c>
      <c r="C102" s="76">
        <f t="shared" ref="C102:AF102" si="18">IF(C82&lt;0,C82*-1,0)</f>
        <v>0</v>
      </c>
      <c r="D102" s="76">
        <f t="shared" si="18"/>
        <v>0</v>
      </c>
      <c r="E102" s="76">
        <f t="shared" si="18"/>
        <v>0</v>
      </c>
      <c r="F102" s="76">
        <f t="shared" si="18"/>
        <v>0</v>
      </c>
      <c r="G102" s="76">
        <f t="shared" si="18"/>
        <v>0</v>
      </c>
      <c r="H102" s="76">
        <f t="shared" si="18"/>
        <v>0</v>
      </c>
      <c r="I102" s="76">
        <f t="shared" si="18"/>
        <v>0</v>
      </c>
      <c r="J102" s="76">
        <f t="shared" si="18"/>
        <v>0</v>
      </c>
      <c r="K102" s="76">
        <f t="shared" si="18"/>
        <v>0</v>
      </c>
      <c r="L102" s="76">
        <f t="shared" si="18"/>
        <v>0</v>
      </c>
      <c r="M102" s="76">
        <f t="shared" si="18"/>
        <v>0</v>
      </c>
      <c r="N102" s="76">
        <f t="shared" si="18"/>
        <v>0</v>
      </c>
      <c r="O102" s="76">
        <f t="shared" si="18"/>
        <v>0</v>
      </c>
      <c r="P102" s="76">
        <f t="shared" si="18"/>
        <v>0</v>
      </c>
      <c r="Q102" s="76">
        <f t="shared" si="18"/>
        <v>0</v>
      </c>
      <c r="R102" s="76">
        <f t="shared" si="18"/>
        <v>0</v>
      </c>
      <c r="S102" s="76">
        <f t="shared" si="18"/>
        <v>0</v>
      </c>
      <c r="T102" s="76">
        <f t="shared" si="18"/>
        <v>0</v>
      </c>
      <c r="U102" s="76">
        <f t="shared" si="18"/>
        <v>0</v>
      </c>
      <c r="V102" s="76">
        <f t="shared" si="18"/>
        <v>0</v>
      </c>
      <c r="W102" s="76">
        <f t="shared" si="18"/>
        <v>0</v>
      </c>
      <c r="X102" s="76">
        <f t="shared" si="18"/>
        <v>0</v>
      </c>
      <c r="Y102" s="76">
        <f t="shared" si="18"/>
        <v>0</v>
      </c>
      <c r="Z102" s="76">
        <f t="shared" ref="Z102" si="19">IF(Z82&lt;0,Z82*-1,0)</f>
        <v>0</v>
      </c>
      <c r="AA102" s="76">
        <f t="shared" si="18"/>
        <v>0</v>
      </c>
      <c r="AB102" s="76">
        <f t="shared" si="18"/>
        <v>0</v>
      </c>
      <c r="AC102" s="76">
        <f t="shared" si="18"/>
        <v>0</v>
      </c>
      <c r="AD102" s="76">
        <f t="shared" si="18"/>
        <v>0</v>
      </c>
      <c r="AE102" s="76">
        <f t="shared" si="18"/>
        <v>0</v>
      </c>
      <c r="AF102" s="76">
        <f t="shared" si="18"/>
        <v>0</v>
      </c>
      <c r="AG102" s="55"/>
      <c r="AH102" s="47">
        <f t="shared" si="8"/>
        <v>0</v>
      </c>
      <c r="AI102" s="48">
        <f t="shared" si="9"/>
        <v>0</v>
      </c>
    </row>
    <row r="103" spans="1:37" x14ac:dyDescent="0.25">
      <c r="A103" s="84" t="s">
        <v>104</v>
      </c>
      <c r="B103" s="76">
        <f>IF(B85&lt;0,B85*-1,0)</f>
        <v>0</v>
      </c>
      <c r="C103" s="76">
        <f t="shared" ref="C103:AF103" si="20">IF(C85&lt;0,C85*-1,0)</f>
        <v>0</v>
      </c>
      <c r="D103" s="76">
        <f t="shared" si="20"/>
        <v>0</v>
      </c>
      <c r="E103" s="76">
        <f t="shared" si="20"/>
        <v>0</v>
      </c>
      <c r="F103" s="76">
        <f t="shared" si="20"/>
        <v>0</v>
      </c>
      <c r="G103" s="76">
        <f t="shared" si="20"/>
        <v>0</v>
      </c>
      <c r="H103" s="76">
        <f t="shared" si="20"/>
        <v>0</v>
      </c>
      <c r="I103" s="76">
        <f t="shared" si="20"/>
        <v>0</v>
      </c>
      <c r="J103" s="76">
        <f t="shared" si="20"/>
        <v>0</v>
      </c>
      <c r="K103" s="76">
        <f t="shared" si="20"/>
        <v>0</v>
      </c>
      <c r="L103" s="76">
        <f t="shared" si="20"/>
        <v>0</v>
      </c>
      <c r="M103" s="76">
        <f t="shared" si="20"/>
        <v>0</v>
      </c>
      <c r="N103" s="76">
        <f t="shared" si="20"/>
        <v>0</v>
      </c>
      <c r="O103" s="76">
        <f t="shared" si="20"/>
        <v>0</v>
      </c>
      <c r="P103" s="76">
        <f t="shared" si="20"/>
        <v>0</v>
      </c>
      <c r="Q103" s="76">
        <f t="shared" si="20"/>
        <v>0</v>
      </c>
      <c r="R103" s="76">
        <f t="shared" si="20"/>
        <v>0</v>
      </c>
      <c r="S103" s="76">
        <f t="shared" si="20"/>
        <v>0</v>
      </c>
      <c r="T103" s="76">
        <f t="shared" si="20"/>
        <v>0</v>
      </c>
      <c r="U103" s="76">
        <f t="shared" si="20"/>
        <v>0</v>
      </c>
      <c r="V103" s="76">
        <f t="shared" si="20"/>
        <v>0</v>
      </c>
      <c r="W103" s="76">
        <f t="shared" si="20"/>
        <v>0</v>
      </c>
      <c r="X103" s="76">
        <f t="shared" si="20"/>
        <v>0</v>
      </c>
      <c r="Y103" s="76">
        <f t="shared" si="20"/>
        <v>0</v>
      </c>
      <c r="Z103" s="76">
        <f t="shared" ref="Z103" si="21">IF(Z85&lt;0,Z85*-1,0)</f>
        <v>0</v>
      </c>
      <c r="AA103" s="76">
        <f t="shared" si="20"/>
        <v>0</v>
      </c>
      <c r="AB103" s="76">
        <f t="shared" si="20"/>
        <v>0</v>
      </c>
      <c r="AC103" s="76">
        <f t="shared" si="20"/>
        <v>0</v>
      </c>
      <c r="AD103" s="76">
        <f t="shared" si="20"/>
        <v>0</v>
      </c>
      <c r="AE103" s="76">
        <f t="shared" si="20"/>
        <v>0</v>
      </c>
      <c r="AF103" s="76">
        <f t="shared" si="20"/>
        <v>0</v>
      </c>
      <c r="AG103" s="98"/>
      <c r="AH103" s="47">
        <f t="shared" si="8"/>
        <v>0</v>
      </c>
      <c r="AI103" s="48">
        <f t="shared" si="9"/>
        <v>0</v>
      </c>
    </row>
    <row r="104" spans="1:37" x14ac:dyDescent="0.25">
      <c r="A104" s="84" t="s">
        <v>105</v>
      </c>
      <c r="B104" s="76">
        <f>IF(B83&lt;0,B83*-1,0)</f>
        <v>0</v>
      </c>
      <c r="C104" s="76">
        <f t="shared" ref="C104:AF104" si="22">IF(C83&lt;0,C83*-1,0)</f>
        <v>0</v>
      </c>
      <c r="D104" s="76">
        <f t="shared" si="22"/>
        <v>0</v>
      </c>
      <c r="E104" s="76">
        <f t="shared" si="22"/>
        <v>0</v>
      </c>
      <c r="F104" s="76">
        <f t="shared" si="22"/>
        <v>0</v>
      </c>
      <c r="G104" s="76">
        <f t="shared" si="22"/>
        <v>0</v>
      </c>
      <c r="H104" s="76">
        <f t="shared" si="22"/>
        <v>0</v>
      </c>
      <c r="I104" s="76">
        <f t="shared" si="22"/>
        <v>0</v>
      </c>
      <c r="J104" s="76">
        <f t="shared" si="22"/>
        <v>0</v>
      </c>
      <c r="K104" s="76">
        <f t="shared" si="22"/>
        <v>0</v>
      </c>
      <c r="L104" s="76">
        <f t="shared" si="22"/>
        <v>0</v>
      </c>
      <c r="M104" s="76">
        <f t="shared" si="22"/>
        <v>0</v>
      </c>
      <c r="N104" s="76">
        <f t="shared" si="22"/>
        <v>0</v>
      </c>
      <c r="O104" s="76">
        <f t="shared" si="22"/>
        <v>0</v>
      </c>
      <c r="P104" s="76">
        <f t="shared" si="22"/>
        <v>0</v>
      </c>
      <c r="Q104" s="76">
        <f t="shared" si="22"/>
        <v>0</v>
      </c>
      <c r="R104" s="76">
        <f t="shared" si="22"/>
        <v>0</v>
      </c>
      <c r="S104" s="76">
        <f t="shared" si="22"/>
        <v>0</v>
      </c>
      <c r="T104" s="76">
        <f t="shared" si="22"/>
        <v>0</v>
      </c>
      <c r="U104" s="76">
        <f t="shared" si="22"/>
        <v>0</v>
      </c>
      <c r="V104" s="76">
        <f t="shared" si="22"/>
        <v>0</v>
      </c>
      <c r="W104" s="76">
        <f t="shared" si="22"/>
        <v>0</v>
      </c>
      <c r="X104" s="76">
        <f t="shared" si="22"/>
        <v>0</v>
      </c>
      <c r="Y104" s="76">
        <f t="shared" si="22"/>
        <v>0</v>
      </c>
      <c r="Z104" s="76">
        <f t="shared" ref="Z104" si="23">IF(Z83&lt;0,Z83*-1,0)</f>
        <v>0</v>
      </c>
      <c r="AA104" s="76">
        <f t="shared" si="22"/>
        <v>0</v>
      </c>
      <c r="AB104" s="76">
        <f t="shared" si="22"/>
        <v>0</v>
      </c>
      <c r="AC104" s="76">
        <f t="shared" si="22"/>
        <v>0</v>
      </c>
      <c r="AD104" s="76">
        <f t="shared" si="22"/>
        <v>0</v>
      </c>
      <c r="AE104" s="76">
        <f t="shared" si="22"/>
        <v>0</v>
      </c>
      <c r="AF104" s="76">
        <f t="shared" si="22"/>
        <v>0</v>
      </c>
      <c r="AG104" s="98"/>
      <c r="AH104" s="47">
        <f t="shared" si="8"/>
        <v>0</v>
      </c>
      <c r="AI104" s="48">
        <f t="shared" si="9"/>
        <v>0</v>
      </c>
    </row>
    <row r="105" spans="1:37" x14ac:dyDescent="0.25">
      <c r="A105" s="84" t="s">
        <v>81</v>
      </c>
      <c r="B105" s="76">
        <f>IF(B81&lt;0,B81*-1,0)</f>
        <v>0</v>
      </c>
      <c r="C105" s="76">
        <f t="shared" ref="C105:AF105" si="24">IF(C81&lt;0,C81*-1,0)</f>
        <v>0</v>
      </c>
      <c r="D105" s="76">
        <f t="shared" si="24"/>
        <v>0</v>
      </c>
      <c r="E105" s="76">
        <f t="shared" si="24"/>
        <v>0</v>
      </c>
      <c r="F105" s="76">
        <f t="shared" si="24"/>
        <v>0</v>
      </c>
      <c r="G105" s="76">
        <f t="shared" si="24"/>
        <v>0</v>
      </c>
      <c r="H105" s="76">
        <f t="shared" si="24"/>
        <v>0</v>
      </c>
      <c r="I105" s="76">
        <f t="shared" si="24"/>
        <v>0</v>
      </c>
      <c r="J105" s="76">
        <f t="shared" si="24"/>
        <v>0</v>
      </c>
      <c r="K105" s="76">
        <f t="shared" si="24"/>
        <v>0</v>
      </c>
      <c r="L105" s="76">
        <f t="shared" si="24"/>
        <v>0</v>
      </c>
      <c r="M105" s="76">
        <f t="shared" si="24"/>
        <v>0</v>
      </c>
      <c r="N105" s="76">
        <f t="shared" si="24"/>
        <v>0</v>
      </c>
      <c r="O105" s="76">
        <f t="shared" si="24"/>
        <v>0</v>
      </c>
      <c r="P105" s="76">
        <f t="shared" si="24"/>
        <v>0</v>
      </c>
      <c r="Q105" s="76">
        <f t="shared" si="24"/>
        <v>0</v>
      </c>
      <c r="R105" s="76">
        <f t="shared" si="24"/>
        <v>0</v>
      </c>
      <c r="S105" s="76">
        <f t="shared" si="24"/>
        <v>0</v>
      </c>
      <c r="T105" s="76">
        <f t="shared" si="24"/>
        <v>0</v>
      </c>
      <c r="U105" s="76">
        <f t="shared" si="24"/>
        <v>0</v>
      </c>
      <c r="V105" s="76">
        <f t="shared" si="24"/>
        <v>0</v>
      </c>
      <c r="W105" s="76">
        <f t="shared" si="24"/>
        <v>0</v>
      </c>
      <c r="X105" s="76">
        <f t="shared" si="24"/>
        <v>0</v>
      </c>
      <c r="Y105" s="76">
        <f t="shared" si="24"/>
        <v>0</v>
      </c>
      <c r="Z105" s="76">
        <f t="shared" ref="Z105" si="25">IF(Z81&lt;0,Z81*-1,0)</f>
        <v>0</v>
      </c>
      <c r="AA105" s="76">
        <f t="shared" si="24"/>
        <v>0</v>
      </c>
      <c r="AB105" s="76">
        <f t="shared" si="24"/>
        <v>0</v>
      </c>
      <c r="AC105" s="76">
        <f t="shared" si="24"/>
        <v>0</v>
      </c>
      <c r="AD105" s="76">
        <f t="shared" si="24"/>
        <v>0</v>
      </c>
      <c r="AE105" s="76">
        <f t="shared" si="24"/>
        <v>0</v>
      </c>
      <c r="AF105" s="76">
        <f t="shared" si="24"/>
        <v>0</v>
      </c>
      <c r="AG105" s="98"/>
      <c r="AH105" s="47">
        <f t="shared" si="8"/>
        <v>0</v>
      </c>
      <c r="AI105" s="48">
        <f t="shared" si="9"/>
        <v>0</v>
      </c>
    </row>
    <row r="106" spans="1:37" ht="15.75" thickBot="1" x14ac:dyDescent="0.3">
      <c r="A106" s="84" t="s">
        <v>106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0</v>
      </c>
      <c r="AB106" s="94">
        <v>0</v>
      </c>
      <c r="AC106" s="94">
        <v>0</v>
      </c>
      <c r="AD106" s="94">
        <v>0</v>
      </c>
      <c r="AE106" s="94">
        <v>0</v>
      </c>
      <c r="AF106" s="94">
        <v>0</v>
      </c>
      <c r="AG106" s="85"/>
      <c r="AH106" s="47">
        <f t="shared" si="8"/>
        <v>0</v>
      </c>
      <c r="AI106" s="48">
        <f t="shared" si="9"/>
        <v>0</v>
      </c>
    </row>
    <row r="107" spans="1:37" ht="15.75" thickBot="1" x14ac:dyDescent="0.3">
      <c r="A107" s="99" t="s">
        <v>107</v>
      </c>
      <c r="B107" s="60">
        <f>SUM(B101:B106)</f>
        <v>0</v>
      </c>
      <c r="C107" s="60">
        <f t="shared" ref="C107:AF107" si="26">SUM(C101:C106)</f>
        <v>0</v>
      </c>
      <c r="D107" s="60">
        <f t="shared" si="26"/>
        <v>0</v>
      </c>
      <c r="E107" s="60">
        <f t="shared" si="26"/>
        <v>0</v>
      </c>
      <c r="F107" s="60">
        <f t="shared" si="26"/>
        <v>0</v>
      </c>
      <c r="G107" s="60">
        <f t="shared" si="26"/>
        <v>0</v>
      </c>
      <c r="H107" s="60">
        <f t="shared" si="26"/>
        <v>0</v>
      </c>
      <c r="I107" s="60">
        <f t="shared" si="26"/>
        <v>0</v>
      </c>
      <c r="J107" s="60">
        <f t="shared" si="26"/>
        <v>0</v>
      </c>
      <c r="K107" s="60">
        <f t="shared" si="26"/>
        <v>0</v>
      </c>
      <c r="L107" s="60">
        <f t="shared" si="26"/>
        <v>0</v>
      </c>
      <c r="M107" s="60">
        <f t="shared" si="26"/>
        <v>0</v>
      </c>
      <c r="N107" s="60">
        <f t="shared" si="26"/>
        <v>0</v>
      </c>
      <c r="O107" s="60">
        <f t="shared" si="26"/>
        <v>0</v>
      </c>
      <c r="P107" s="60">
        <f t="shared" si="26"/>
        <v>0</v>
      </c>
      <c r="Q107" s="60">
        <f t="shared" si="26"/>
        <v>0</v>
      </c>
      <c r="R107" s="60">
        <f t="shared" si="26"/>
        <v>0</v>
      </c>
      <c r="S107" s="60">
        <f t="shared" si="26"/>
        <v>0</v>
      </c>
      <c r="T107" s="60">
        <f t="shared" si="26"/>
        <v>0</v>
      </c>
      <c r="U107" s="60">
        <f t="shared" si="26"/>
        <v>0</v>
      </c>
      <c r="V107" s="60">
        <f t="shared" si="26"/>
        <v>0</v>
      </c>
      <c r="W107" s="60">
        <f t="shared" si="26"/>
        <v>0</v>
      </c>
      <c r="X107" s="60">
        <f t="shared" si="26"/>
        <v>0</v>
      </c>
      <c r="Y107" s="60">
        <f t="shared" ref="Y107:Z107" si="27">SUM(Y101:Y106)</f>
        <v>0</v>
      </c>
      <c r="Z107" s="60">
        <f t="shared" si="27"/>
        <v>0</v>
      </c>
      <c r="AA107" s="60">
        <f t="shared" si="26"/>
        <v>0</v>
      </c>
      <c r="AB107" s="60">
        <f t="shared" si="26"/>
        <v>0</v>
      </c>
      <c r="AC107" s="60">
        <f t="shared" si="26"/>
        <v>0</v>
      </c>
      <c r="AD107" s="60">
        <f t="shared" si="26"/>
        <v>0</v>
      </c>
      <c r="AE107" s="60">
        <f t="shared" si="26"/>
        <v>0</v>
      </c>
      <c r="AF107" s="60">
        <f t="shared" si="26"/>
        <v>0</v>
      </c>
      <c r="AG107" s="88"/>
      <c r="AH107" s="47">
        <f t="shared" si="8"/>
        <v>0</v>
      </c>
      <c r="AI107" s="48">
        <f t="shared" si="9"/>
        <v>0</v>
      </c>
      <c r="AK107" s="50"/>
    </row>
    <row r="108" spans="1:37" ht="15.75" thickBot="1" x14ac:dyDescent="0.3">
      <c r="A108" s="74" t="s">
        <v>108</v>
      </c>
      <c r="B108" s="60">
        <f t="shared" ref="B108:AF108" si="28">B92-B107</f>
        <v>0</v>
      </c>
      <c r="C108" s="60">
        <f t="shared" si="28"/>
        <v>0</v>
      </c>
      <c r="D108" s="60">
        <f t="shared" si="28"/>
        <v>0</v>
      </c>
      <c r="E108" s="60">
        <f t="shared" si="28"/>
        <v>0</v>
      </c>
      <c r="F108" s="60">
        <f t="shared" si="28"/>
        <v>0</v>
      </c>
      <c r="G108" s="60">
        <f t="shared" si="28"/>
        <v>0</v>
      </c>
      <c r="H108" s="60">
        <f t="shared" si="28"/>
        <v>0</v>
      </c>
      <c r="I108" s="60">
        <f t="shared" si="28"/>
        <v>0</v>
      </c>
      <c r="J108" s="60">
        <f t="shared" si="28"/>
        <v>0</v>
      </c>
      <c r="K108" s="60">
        <f t="shared" si="28"/>
        <v>0</v>
      </c>
      <c r="L108" s="60">
        <f t="shared" si="28"/>
        <v>0</v>
      </c>
      <c r="M108" s="60">
        <f t="shared" si="28"/>
        <v>0</v>
      </c>
      <c r="N108" s="60">
        <f t="shared" si="28"/>
        <v>0</v>
      </c>
      <c r="O108" s="60">
        <f t="shared" si="28"/>
        <v>0</v>
      </c>
      <c r="P108" s="60">
        <f t="shared" si="28"/>
        <v>0</v>
      </c>
      <c r="Q108" s="60">
        <f t="shared" si="28"/>
        <v>0</v>
      </c>
      <c r="R108" s="60">
        <f t="shared" si="28"/>
        <v>0</v>
      </c>
      <c r="S108" s="60">
        <f t="shared" si="28"/>
        <v>0</v>
      </c>
      <c r="T108" s="60">
        <f t="shared" si="28"/>
        <v>0</v>
      </c>
      <c r="U108" s="60">
        <f t="shared" si="28"/>
        <v>0</v>
      </c>
      <c r="V108" s="60">
        <f t="shared" si="28"/>
        <v>0</v>
      </c>
      <c r="W108" s="60">
        <f t="shared" si="28"/>
        <v>0</v>
      </c>
      <c r="X108" s="60">
        <f t="shared" si="28"/>
        <v>0</v>
      </c>
      <c r="Y108" s="60">
        <f>Y92-Y107</f>
        <v>0</v>
      </c>
      <c r="Z108" s="60">
        <f>Z92-Z107</f>
        <v>0</v>
      </c>
      <c r="AA108" s="60">
        <f t="shared" si="28"/>
        <v>0</v>
      </c>
      <c r="AB108" s="60">
        <f t="shared" si="28"/>
        <v>0</v>
      </c>
      <c r="AC108" s="60">
        <f t="shared" si="28"/>
        <v>0</v>
      </c>
      <c r="AD108" s="60">
        <f t="shared" si="28"/>
        <v>0</v>
      </c>
      <c r="AE108" s="60">
        <f t="shared" si="28"/>
        <v>0</v>
      </c>
      <c r="AF108" s="60">
        <f t="shared" si="28"/>
        <v>0</v>
      </c>
      <c r="AG108" s="88"/>
      <c r="AH108" s="47">
        <f t="shared" si="8"/>
        <v>0</v>
      </c>
      <c r="AI108" s="48">
        <f t="shared" si="9"/>
        <v>0</v>
      </c>
    </row>
    <row r="109" spans="1:37" x14ac:dyDescent="0.25">
      <c r="A109" s="100" t="s">
        <v>109</v>
      </c>
      <c r="B109" s="101"/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1"/>
      <c r="AE109" s="101"/>
      <c r="AF109" s="101"/>
      <c r="AG109" s="102"/>
      <c r="AH109" s="47">
        <f t="shared" si="8"/>
        <v>0</v>
      </c>
      <c r="AI109" s="48">
        <f t="shared" si="9"/>
        <v>0</v>
      </c>
    </row>
    <row r="110" spans="1:37" x14ac:dyDescent="0.25">
      <c r="A110" s="103" t="s">
        <v>110</v>
      </c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104"/>
      <c r="AH110" s="47">
        <f t="shared" si="8"/>
        <v>0</v>
      </c>
      <c r="AI110" s="48">
        <f t="shared" si="9"/>
        <v>0</v>
      </c>
    </row>
    <row r="111" spans="1:37" x14ac:dyDescent="0.25">
      <c r="A111" s="103" t="s">
        <v>111</v>
      </c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104"/>
      <c r="AH111" s="47">
        <f t="shared" si="8"/>
        <v>0</v>
      </c>
      <c r="AI111" s="48">
        <f t="shared" si="9"/>
        <v>0</v>
      </c>
    </row>
    <row r="112" spans="1:37" x14ac:dyDescent="0.25">
      <c r="A112" s="103" t="s">
        <v>112</v>
      </c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104"/>
      <c r="AH112" s="47">
        <f t="shared" si="8"/>
        <v>0</v>
      </c>
      <c r="AI112" s="48">
        <f t="shared" si="9"/>
        <v>0</v>
      </c>
    </row>
    <row r="113" spans="1:35" x14ac:dyDescent="0.25">
      <c r="A113" s="105" t="s">
        <v>113</v>
      </c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104"/>
      <c r="AH113" s="47">
        <f t="shared" si="8"/>
        <v>0</v>
      </c>
      <c r="AI113" s="48">
        <f t="shared" si="9"/>
        <v>0</v>
      </c>
    </row>
    <row r="114" spans="1:35" x14ac:dyDescent="0.25">
      <c r="A114" s="105" t="s">
        <v>114</v>
      </c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06"/>
      <c r="AB114" s="106"/>
      <c r="AC114" s="106"/>
      <c r="AD114" s="106"/>
      <c r="AE114" s="106"/>
      <c r="AF114" s="106"/>
      <c r="AG114" s="107"/>
      <c r="AH114" s="47">
        <f t="shared" si="8"/>
        <v>0</v>
      </c>
      <c r="AI114" s="48">
        <f t="shared" si="9"/>
        <v>0</v>
      </c>
    </row>
    <row r="115" spans="1:35" x14ac:dyDescent="0.25">
      <c r="A115" s="103" t="s">
        <v>115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104"/>
      <c r="AH115" s="47">
        <f t="shared" si="8"/>
        <v>0</v>
      </c>
      <c r="AI115" s="48">
        <f t="shared" si="9"/>
        <v>0</v>
      </c>
    </row>
    <row r="116" spans="1:35" ht="15.75" thickBot="1" x14ac:dyDescent="0.3">
      <c r="A116" s="103" t="s">
        <v>116</v>
      </c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108"/>
      <c r="AH116" s="47">
        <f t="shared" si="8"/>
        <v>0</v>
      </c>
      <c r="AI116" s="48">
        <f t="shared" si="9"/>
        <v>0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 t="s">
        <v>117</v>
      </c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8"/>
        <v>0</v>
      </c>
      <c r="AI117" s="48">
        <f t="shared" si="9"/>
        <v>0</v>
      </c>
    </row>
    <row r="118" spans="1:35" ht="15.75" thickBot="1" x14ac:dyDescent="0.3">
      <c r="A118" s="110" t="s">
        <v>118</v>
      </c>
      <c r="B118" s="111">
        <f t="shared" ref="B118:O118" si="29">SUM(B22,B28,B31:B32,B66,B68:B69,B71,B73,B119:B123,B155,B161,B167,B176,B178,B190,B197,B200:B201,B208,B210,B212,B216:B218,B220:B222,B227,B233:B234,B236:B238,B246,B251)</f>
        <v>0.94</v>
      </c>
      <c r="C118" s="111">
        <f t="shared" si="29"/>
        <v>0.94</v>
      </c>
      <c r="D118" s="111">
        <f t="shared" si="29"/>
        <v>0.94</v>
      </c>
      <c r="E118" s="111">
        <f t="shared" si="29"/>
        <v>0.94</v>
      </c>
      <c r="F118" s="111">
        <f t="shared" si="29"/>
        <v>0.94</v>
      </c>
      <c r="G118" s="111">
        <f t="shared" si="29"/>
        <v>0.94</v>
      </c>
      <c r="H118" s="111">
        <f t="shared" si="29"/>
        <v>0.94</v>
      </c>
      <c r="I118" s="111">
        <f t="shared" si="29"/>
        <v>0.94</v>
      </c>
      <c r="J118" s="111">
        <f t="shared" si="29"/>
        <v>0.94</v>
      </c>
      <c r="K118" s="111">
        <f t="shared" si="29"/>
        <v>0.94</v>
      </c>
      <c r="L118" s="111">
        <f t="shared" si="29"/>
        <v>0.94</v>
      </c>
      <c r="M118" s="111">
        <f t="shared" si="29"/>
        <v>0.94</v>
      </c>
      <c r="N118" s="111">
        <f t="shared" si="29"/>
        <v>0.94</v>
      </c>
      <c r="O118" s="111">
        <f t="shared" si="29"/>
        <v>0.94</v>
      </c>
      <c r="P118" s="111">
        <v>42</v>
      </c>
      <c r="Q118" s="111">
        <f t="shared" ref="Q118:AC118" si="30">SUM(Q22,Q28,Q31:Q32,Q66,Q68:Q69,Q71,Q73,Q119:Q123,Q155,Q161,Q167,Q176,Q178,Q190,Q197,Q200:Q201,Q208,Q210,Q212,Q216:Q218,Q220:Q222,Q227,Q233:Q234,Q236:Q238,Q246,Q251)</f>
        <v>0.94</v>
      </c>
      <c r="R118" s="111">
        <f t="shared" si="30"/>
        <v>0.94</v>
      </c>
      <c r="S118" s="111">
        <f t="shared" si="30"/>
        <v>0.94</v>
      </c>
      <c r="T118" s="111">
        <f t="shared" si="30"/>
        <v>0.94</v>
      </c>
      <c r="U118" s="111">
        <f t="shared" si="30"/>
        <v>0.94</v>
      </c>
      <c r="V118" s="111">
        <f t="shared" si="30"/>
        <v>0.94</v>
      </c>
      <c r="W118" s="111">
        <f t="shared" si="30"/>
        <v>0.94</v>
      </c>
      <c r="X118" s="111">
        <f t="shared" si="30"/>
        <v>0.94</v>
      </c>
      <c r="Y118" s="111">
        <f t="shared" ref="Y118:Z118" si="31">SUM(Y20,Y26,Y37:Y38,Y66,Y68:Y69,Y71,Y73,Y119:Y123,Y148,Y154,Y160,Y169,Y171,Y183,Y190,Y193:Y194,Y201,Y203,Y205,Y209:Y211,Y213:Y215,Y220,Y226:Y227,Y229:Y231,Y239,Y244)</f>
        <v>0</v>
      </c>
      <c r="Z118" s="111">
        <f t="shared" si="31"/>
        <v>0</v>
      </c>
      <c r="AA118" s="111">
        <f t="shared" si="30"/>
        <v>0.94</v>
      </c>
      <c r="AB118" s="111">
        <f t="shared" si="30"/>
        <v>0.94</v>
      </c>
      <c r="AC118" s="111">
        <f t="shared" si="30"/>
        <v>0.94</v>
      </c>
      <c r="AD118" s="111"/>
      <c r="AE118" s="111">
        <f>SUM(AE22,AE28,AE31:AE32,AE66,AE68:AE69,AE71,AE73,AE119:AE123,AE155,AE161,AE167,AE176,AE178,AE190,AE197,AE200:AE201,AE208,AE210,AE212,AE216:AE218,AE220:AE222,AE227,AE233:AE234,AE236:AE238,AE246,AE251)</f>
        <v>0.94</v>
      </c>
      <c r="AF118" s="111">
        <f>SUM(AF22,AF28,AF31:AF32,AF66,AF68:AF69,AF71,AF73,AF119:AF123,AF155,AF161,AF167,AF176,AF178,AF190,AF197,AF200:AF201,AF208,AF210,AF212,AF216:AF218,AF220:AF222,AF227,AF233:AF234,AF236:AF238,AF246,AF251)</f>
        <v>0.94</v>
      </c>
      <c r="AG118" s="112"/>
      <c r="AH118" s="47">
        <f t="shared" si="8"/>
        <v>42</v>
      </c>
      <c r="AI118" s="48">
        <f t="shared" si="9"/>
        <v>0</v>
      </c>
    </row>
    <row r="119" spans="1:35" x14ac:dyDescent="0.25">
      <c r="A119" s="172" t="s">
        <v>119</v>
      </c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Z119" s="113"/>
      <c r="AA119" s="113"/>
      <c r="AB119" s="113"/>
      <c r="AC119" s="113"/>
      <c r="AD119" s="113"/>
      <c r="AE119" s="113"/>
      <c r="AF119" s="113"/>
      <c r="AG119" s="114">
        <v>75</v>
      </c>
      <c r="AH119" s="47">
        <f t="shared" si="8"/>
        <v>0</v>
      </c>
      <c r="AI119" s="48">
        <f t="shared" si="9"/>
        <v>0</v>
      </c>
    </row>
    <row r="120" spans="1:35" x14ac:dyDescent="0.25">
      <c r="A120" s="173" t="s">
        <v>120</v>
      </c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115"/>
      <c r="AF120" s="115"/>
      <c r="AG120" s="114">
        <v>240</v>
      </c>
      <c r="AH120" s="47">
        <f t="shared" si="8"/>
        <v>0</v>
      </c>
      <c r="AI120" s="48">
        <f t="shared" si="9"/>
        <v>0</v>
      </c>
    </row>
    <row r="121" spans="1:35" x14ac:dyDescent="0.25">
      <c r="A121" s="173" t="s">
        <v>121</v>
      </c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115"/>
      <c r="AF121" s="115"/>
      <c r="AG121" s="114">
        <v>240</v>
      </c>
      <c r="AH121" s="47">
        <f t="shared" si="8"/>
        <v>0</v>
      </c>
      <c r="AI121" s="48">
        <f t="shared" si="9"/>
        <v>0</v>
      </c>
    </row>
    <row r="122" spans="1:35" ht="15.75" thickBot="1" x14ac:dyDescent="0.3">
      <c r="A122" s="173" t="s">
        <v>122</v>
      </c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15"/>
      <c r="AF122" s="115"/>
      <c r="AG122" s="114">
        <v>60</v>
      </c>
      <c r="AH122" s="47">
        <f t="shared" si="8"/>
        <v>0</v>
      </c>
      <c r="AI122" s="48">
        <f t="shared" si="9"/>
        <v>0</v>
      </c>
    </row>
    <row r="123" spans="1:35" x14ac:dyDescent="0.25">
      <c r="A123" s="172" t="s">
        <v>260</v>
      </c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  <c r="AA123" s="117"/>
      <c r="AB123" s="117"/>
      <c r="AC123" s="117"/>
      <c r="AD123" s="117"/>
      <c r="AE123" s="117"/>
      <c r="AF123" s="117"/>
      <c r="AG123" s="118">
        <v>120</v>
      </c>
      <c r="AH123" s="47">
        <f t="shared" si="8"/>
        <v>0</v>
      </c>
      <c r="AI123" s="48">
        <f t="shared" si="9"/>
        <v>0</v>
      </c>
    </row>
    <row r="124" spans="1:35" x14ac:dyDescent="0.25">
      <c r="A124" s="173" t="s">
        <v>259</v>
      </c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  <c r="AA124" s="117"/>
      <c r="AB124" s="117"/>
      <c r="AC124" s="117"/>
      <c r="AD124" s="117"/>
      <c r="AE124" s="117"/>
      <c r="AF124" s="117"/>
      <c r="AG124" s="118"/>
      <c r="AH124" s="47"/>
      <c r="AI124" s="48"/>
    </row>
    <row r="125" spans="1:35" x14ac:dyDescent="0.25">
      <c r="A125" s="173" t="s">
        <v>256</v>
      </c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  <c r="AA125" s="117"/>
      <c r="AB125" s="117"/>
      <c r="AC125" s="117"/>
      <c r="AD125" s="117"/>
      <c r="AE125" s="117"/>
      <c r="AF125" s="117"/>
      <c r="AG125" s="118"/>
      <c r="AH125" s="47"/>
      <c r="AI125" s="48"/>
    </row>
    <row r="126" spans="1:35" ht="15.75" thickBot="1" x14ac:dyDescent="0.3">
      <c r="A126" s="173" t="s">
        <v>255</v>
      </c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  <c r="AA126" s="117"/>
      <c r="AB126" s="117"/>
      <c r="AC126" s="117"/>
      <c r="AD126" s="117"/>
      <c r="AE126" s="117"/>
      <c r="AF126" s="117"/>
      <c r="AG126" s="114"/>
      <c r="AH126" s="47">
        <f t="shared" si="8"/>
        <v>0</v>
      </c>
      <c r="AI126" s="48">
        <f t="shared" si="9"/>
        <v>0</v>
      </c>
    </row>
    <row r="127" spans="1:35" x14ac:dyDescent="0.25">
      <c r="A127" s="172" t="s">
        <v>257</v>
      </c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7"/>
      <c r="AF127" s="106"/>
      <c r="AG127" s="114"/>
      <c r="AH127" s="47">
        <f t="shared" si="8"/>
        <v>0</v>
      </c>
      <c r="AI127" s="48">
        <f t="shared" si="9"/>
        <v>0</v>
      </c>
    </row>
    <row r="128" spans="1:35" x14ac:dyDescent="0.25">
      <c r="A128" s="173" t="s">
        <v>124</v>
      </c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06"/>
      <c r="AB128" s="106"/>
      <c r="AC128" s="106"/>
      <c r="AD128" s="106"/>
      <c r="AE128" s="106"/>
      <c r="AF128" s="106"/>
      <c r="AG128" s="114"/>
      <c r="AH128" s="47">
        <f t="shared" si="8"/>
        <v>0</v>
      </c>
      <c r="AI128" s="48">
        <f t="shared" si="9"/>
        <v>0</v>
      </c>
    </row>
    <row r="129" spans="1:37" x14ac:dyDescent="0.25">
      <c r="A129" s="173" t="s">
        <v>261</v>
      </c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  <c r="AA129" s="106"/>
      <c r="AB129" s="106"/>
      <c r="AC129" s="106"/>
      <c r="AD129" s="106"/>
      <c r="AE129" s="106"/>
      <c r="AF129" s="106"/>
      <c r="AG129" s="114"/>
      <c r="AH129" s="47">
        <f t="shared" si="8"/>
        <v>0</v>
      </c>
      <c r="AI129" s="48">
        <f t="shared" si="9"/>
        <v>0</v>
      </c>
    </row>
    <row r="130" spans="1:37" ht="15.75" thickBot="1" x14ac:dyDescent="0.3">
      <c r="A130" s="173" t="s">
        <v>258</v>
      </c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  <c r="AA130" s="106"/>
      <c r="AB130" s="106"/>
      <c r="AC130" s="106"/>
      <c r="AD130" s="106"/>
      <c r="AE130" s="106"/>
      <c r="AF130" s="106"/>
      <c r="AG130" s="114"/>
      <c r="AH130" s="47">
        <f t="shared" si="8"/>
        <v>0</v>
      </c>
      <c r="AI130" s="48">
        <f t="shared" si="9"/>
        <v>0</v>
      </c>
    </row>
    <row r="131" spans="1:37" x14ac:dyDescent="0.25">
      <c r="A131" s="144" t="s">
        <v>238</v>
      </c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6"/>
      <c r="AG131" s="43"/>
      <c r="AH131" s="47"/>
      <c r="AI131" s="48"/>
    </row>
    <row r="132" spans="1:37" x14ac:dyDescent="0.25">
      <c r="A132" s="189" t="s">
        <v>368</v>
      </c>
      <c r="B132" s="147"/>
      <c r="C132" s="147"/>
      <c r="D132" s="147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  <c r="AA132" s="147"/>
      <c r="AB132" s="147"/>
      <c r="AC132" s="147"/>
      <c r="AD132" s="147"/>
      <c r="AE132" s="147"/>
      <c r="AF132" s="148"/>
      <c r="AG132" s="149"/>
      <c r="AH132" s="47"/>
      <c r="AI132" s="48"/>
    </row>
    <row r="133" spans="1:37" x14ac:dyDescent="0.25">
      <c r="A133" s="189" t="s">
        <v>239</v>
      </c>
      <c r="B133" s="150"/>
      <c r="C133" s="150"/>
      <c r="D133" s="150"/>
      <c r="E133" s="150"/>
      <c r="F133" s="150"/>
      <c r="G133" s="150"/>
      <c r="H133" s="150"/>
      <c r="I133" s="150"/>
      <c r="J133" s="150"/>
      <c r="K133" s="150"/>
      <c r="L133" s="150"/>
      <c r="M133" s="150"/>
      <c r="N133" s="150"/>
      <c r="O133" s="150"/>
      <c r="P133" s="150"/>
      <c r="Q133" s="150"/>
      <c r="R133" s="150"/>
      <c r="S133" s="150"/>
      <c r="T133" s="150"/>
      <c r="U133" s="150"/>
      <c r="V133" s="150"/>
      <c r="W133" s="150"/>
      <c r="X133" s="150"/>
      <c r="Y133" s="150"/>
      <c r="Z133" s="150"/>
      <c r="AA133" s="150"/>
      <c r="AB133" s="150"/>
      <c r="AC133" s="150"/>
      <c r="AD133" s="150"/>
      <c r="AE133" s="150"/>
      <c r="AF133" s="151"/>
      <c r="AG133" s="149"/>
      <c r="AH133" s="47"/>
      <c r="AI133" s="48"/>
    </row>
    <row r="134" spans="1:37" x14ac:dyDescent="0.25">
      <c r="A134" s="189" t="s">
        <v>240</v>
      </c>
      <c r="B134" s="150"/>
      <c r="C134" s="150"/>
      <c r="D134" s="150"/>
      <c r="E134" s="150"/>
      <c r="F134" s="150"/>
      <c r="G134" s="150"/>
      <c r="H134" s="150"/>
      <c r="I134" s="150"/>
      <c r="J134" s="150"/>
      <c r="K134" s="150"/>
      <c r="L134" s="150"/>
      <c r="M134" s="150"/>
      <c r="N134" s="150"/>
      <c r="O134" s="150"/>
      <c r="P134" s="150"/>
      <c r="Q134" s="150"/>
      <c r="R134" s="150"/>
      <c r="S134" s="150"/>
      <c r="T134" s="150"/>
      <c r="U134" s="150"/>
      <c r="V134" s="150"/>
      <c r="W134" s="150"/>
      <c r="X134" s="150"/>
      <c r="Y134" s="150"/>
      <c r="Z134" s="150"/>
      <c r="AA134" s="150"/>
      <c r="AB134" s="150"/>
      <c r="AC134" s="150"/>
      <c r="AD134" s="150"/>
      <c r="AE134" s="150"/>
      <c r="AF134" s="151"/>
      <c r="AG134" s="149"/>
      <c r="AH134" s="47"/>
      <c r="AI134" s="48"/>
    </row>
    <row r="135" spans="1:37" x14ac:dyDescent="0.25">
      <c r="A135" s="189" t="s">
        <v>241</v>
      </c>
      <c r="B135" s="150"/>
      <c r="C135" s="150"/>
      <c r="D135" s="150"/>
      <c r="E135" s="150"/>
      <c r="F135" s="150"/>
      <c r="G135" s="150"/>
      <c r="H135" s="150"/>
      <c r="I135" s="150"/>
      <c r="J135" s="150"/>
      <c r="K135" s="150"/>
      <c r="L135" s="150"/>
      <c r="M135" s="150"/>
      <c r="N135" s="150"/>
      <c r="O135" s="150"/>
      <c r="P135" s="150"/>
      <c r="Q135" s="150"/>
      <c r="R135" s="150"/>
      <c r="S135" s="150"/>
      <c r="T135" s="150"/>
      <c r="U135" s="150"/>
      <c r="V135" s="150"/>
      <c r="W135" s="150"/>
      <c r="X135" s="150"/>
      <c r="Y135" s="150"/>
      <c r="Z135" s="150"/>
      <c r="AA135" s="150"/>
      <c r="AB135" s="150"/>
      <c r="AC135" s="150"/>
      <c r="AD135" s="150"/>
      <c r="AE135" s="150"/>
      <c r="AF135" s="151"/>
      <c r="AG135" s="149"/>
      <c r="AH135" s="47"/>
      <c r="AI135" s="48"/>
    </row>
    <row r="136" spans="1:37" x14ac:dyDescent="0.25">
      <c r="A136" s="189" t="s">
        <v>407</v>
      </c>
      <c r="B136" s="150"/>
      <c r="C136" s="150"/>
      <c r="D136" s="150"/>
      <c r="E136" s="150"/>
      <c r="F136" s="150"/>
      <c r="G136" s="150"/>
      <c r="H136" s="150"/>
      <c r="I136" s="150"/>
      <c r="J136" s="150"/>
      <c r="K136" s="150"/>
      <c r="L136" s="150"/>
      <c r="M136" s="150"/>
      <c r="N136" s="150"/>
      <c r="O136" s="150"/>
      <c r="P136" s="150"/>
      <c r="Q136" s="150"/>
      <c r="R136" s="150"/>
      <c r="S136" s="150"/>
      <c r="T136" s="150"/>
      <c r="U136" s="150"/>
      <c r="V136" s="150"/>
      <c r="W136" s="150"/>
      <c r="X136" s="150"/>
      <c r="Y136" s="150"/>
      <c r="Z136" s="150"/>
      <c r="AA136" s="150"/>
      <c r="AB136" s="150"/>
      <c r="AC136" s="150"/>
      <c r="AD136" s="150"/>
      <c r="AE136" s="150"/>
      <c r="AF136" s="151"/>
      <c r="AG136" s="149"/>
      <c r="AH136" s="47"/>
      <c r="AI136" s="48"/>
    </row>
    <row r="137" spans="1:37" ht="15.75" thickBot="1" x14ac:dyDescent="0.3">
      <c r="A137" s="189" t="s">
        <v>242</v>
      </c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  <c r="AC137" s="152"/>
      <c r="AD137" s="152"/>
      <c r="AE137" s="152"/>
      <c r="AF137" s="153"/>
      <c r="AG137" s="149"/>
      <c r="AH137" s="47"/>
      <c r="AI137" s="48"/>
    </row>
    <row r="138" spans="1:37" ht="15.75" thickBot="1" x14ac:dyDescent="0.3">
      <c r="A138" s="120" t="s">
        <v>125</v>
      </c>
      <c r="B138" s="121"/>
      <c r="C138" s="121"/>
      <c r="D138" s="121"/>
      <c r="E138" s="121"/>
      <c r="F138" s="170" t="s">
        <v>254</v>
      </c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74"/>
      <c r="AH138" s="47"/>
      <c r="AI138" s="48"/>
      <c r="AK138" s="50"/>
    </row>
    <row r="139" spans="1:37" x14ac:dyDescent="0.25">
      <c r="A139" s="122" t="s">
        <v>126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5">
        <v>9.94</v>
      </c>
      <c r="AH139" s="47"/>
      <c r="AI139" s="48"/>
      <c r="AK139" s="50"/>
    </row>
    <row r="140" spans="1:37" x14ac:dyDescent="0.25">
      <c r="A140" s="103" t="s">
        <v>127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5"/>
      <c r="AH140" s="47"/>
      <c r="AI140" s="48"/>
      <c r="AK140" s="50"/>
    </row>
    <row r="141" spans="1:37" x14ac:dyDescent="0.25">
      <c r="A141" s="103" t="s">
        <v>128</v>
      </c>
      <c r="B141" s="123"/>
      <c r="C141" s="124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5"/>
      <c r="AH141" s="47"/>
      <c r="AI141" s="48"/>
      <c r="AK141" s="50"/>
    </row>
    <row r="142" spans="1:37" x14ac:dyDescent="0.25">
      <c r="A142" s="103" t="s">
        <v>129</v>
      </c>
      <c r="B142" s="123"/>
      <c r="C142" s="124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5"/>
      <c r="AH142" s="47"/>
      <c r="AI142" s="48"/>
      <c r="AK142" s="50"/>
    </row>
    <row r="143" spans="1:37" x14ac:dyDescent="0.25">
      <c r="A143" s="103" t="s">
        <v>130</v>
      </c>
      <c r="B143" s="123"/>
      <c r="C143" s="124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5"/>
      <c r="AH143" s="47"/>
      <c r="AI143" s="48"/>
      <c r="AK143" s="50"/>
    </row>
    <row r="144" spans="1:37" x14ac:dyDescent="0.25">
      <c r="A144" s="103" t="s">
        <v>131</v>
      </c>
      <c r="B144" s="123"/>
      <c r="C144" s="124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5"/>
      <c r="AH144" s="47"/>
      <c r="AI144" s="48"/>
      <c r="AK144" s="50"/>
    </row>
    <row r="145" spans="1:37" x14ac:dyDescent="0.25">
      <c r="A145" s="103" t="s">
        <v>132</v>
      </c>
      <c r="B145" s="123"/>
      <c r="C145" s="124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5"/>
      <c r="AH145" s="47"/>
      <c r="AI145" s="48"/>
      <c r="AK145" s="50"/>
    </row>
    <row r="146" spans="1:37" x14ac:dyDescent="0.25">
      <c r="A146" s="103" t="s">
        <v>133</v>
      </c>
      <c r="B146" s="123"/>
      <c r="C146" s="124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5"/>
      <c r="AH146" s="47"/>
      <c r="AI146" s="48"/>
      <c r="AK146" s="50"/>
    </row>
    <row r="147" spans="1:37" x14ac:dyDescent="0.25">
      <c r="A147" s="103" t="s">
        <v>134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5"/>
      <c r="AH147" s="47"/>
      <c r="AI147" s="48"/>
      <c r="AK147" s="50"/>
    </row>
    <row r="148" spans="1:37" x14ac:dyDescent="0.25">
      <c r="A148" s="103" t="s">
        <v>135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5"/>
      <c r="AH148" s="47"/>
      <c r="AI148" s="48"/>
      <c r="AK148" s="50"/>
    </row>
    <row r="149" spans="1:37" x14ac:dyDescent="0.25">
      <c r="A149" s="103" t="s">
        <v>136</v>
      </c>
      <c r="B149" s="123"/>
      <c r="C149" s="124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5"/>
      <c r="AH149" s="47"/>
      <c r="AI149" s="48"/>
      <c r="AK149" s="50"/>
    </row>
    <row r="150" spans="1:37" x14ac:dyDescent="0.25">
      <c r="A150" s="103" t="s">
        <v>137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5"/>
      <c r="AH150" s="47"/>
      <c r="AI150" s="48"/>
      <c r="AK150" s="50"/>
    </row>
    <row r="151" spans="1:37" x14ac:dyDescent="0.25">
      <c r="A151" s="103" t="s">
        <v>138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5"/>
      <c r="AH151" s="47"/>
      <c r="AI151" s="48"/>
      <c r="AK151" s="50"/>
    </row>
    <row r="152" spans="1:37" x14ac:dyDescent="0.25">
      <c r="A152" s="103" t="s">
        <v>139</v>
      </c>
      <c r="B152" s="123"/>
      <c r="C152" s="124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5"/>
      <c r="AH152" s="47"/>
      <c r="AI152" s="48"/>
      <c r="AK152" s="50"/>
    </row>
    <row r="153" spans="1:37" x14ac:dyDescent="0.25">
      <c r="A153" s="103" t="s">
        <v>140</v>
      </c>
      <c r="B153" s="123"/>
      <c r="C153" s="124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5"/>
      <c r="AH153" s="47"/>
      <c r="AI153" s="48"/>
      <c r="AK153" s="50"/>
    </row>
    <row r="154" spans="1:37" x14ac:dyDescent="0.25">
      <c r="A154" s="103" t="s">
        <v>141</v>
      </c>
      <c r="B154" s="123"/>
      <c r="C154" s="124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5"/>
      <c r="AH154" s="47"/>
      <c r="AI154" s="48"/>
      <c r="AK154" s="50"/>
    </row>
    <row r="155" spans="1:37" x14ac:dyDescent="0.25">
      <c r="A155" s="103" t="s">
        <v>142</v>
      </c>
      <c r="B155" s="126"/>
      <c r="C155" s="127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8">
        <v>9.9</v>
      </c>
      <c r="AH155" s="47"/>
      <c r="AI155" s="48"/>
      <c r="AK155" s="50"/>
    </row>
    <row r="156" spans="1:37" x14ac:dyDescent="0.25">
      <c r="A156" s="116" t="s">
        <v>143</v>
      </c>
      <c r="B156" s="126"/>
      <c r="C156" s="127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9">
        <v>9.6579999999999995</v>
      </c>
      <c r="AH156" s="47"/>
      <c r="AI156" s="48"/>
      <c r="AK156" s="50"/>
    </row>
    <row r="157" spans="1:37" x14ac:dyDescent="0.25">
      <c r="A157" s="116" t="s">
        <v>144</v>
      </c>
      <c r="B157" s="126"/>
      <c r="C157" s="127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9">
        <v>9.6</v>
      </c>
      <c r="AH157" s="47"/>
      <c r="AI157" s="48"/>
      <c r="AK157" s="50"/>
    </row>
    <row r="158" spans="1:37" x14ac:dyDescent="0.25">
      <c r="A158" s="116" t="s">
        <v>145</v>
      </c>
      <c r="B158" s="126"/>
      <c r="C158" s="127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9">
        <v>9.51</v>
      </c>
      <c r="AH158" s="47"/>
      <c r="AI158" s="48"/>
      <c r="AK158" s="50"/>
    </row>
    <row r="159" spans="1:37" x14ac:dyDescent="0.25">
      <c r="A159" s="116" t="s">
        <v>146</v>
      </c>
      <c r="B159" s="126"/>
      <c r="C159" s="127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9">
        <v>9.4</v>
      </c>
      <c r="AH159" s="47"/>
      <c r="AI159" s="48"/>
      <c r="AK159" s="50"/>
    </row>
    <row r="160" spans="1:37" x14ac:dyDescent="0.25">
      <c r="A160" s="116" t="s">
        <v>147</v>
      </c>
      <c r="B160" s="126"/>
      <c r="C160" s="127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9">
        <v>8.8000000000000007</v>
      </c>
      <c r="AH160" s="47"/>
      <c r="AI160" s="48"/>
      <c r="AK160" s="50"/>
    </row>
    <row r="161" spans="1:37" x14ac:dyDescent="0.25">
      <c r="A161" s="116" t="s">
        <v>148</v>
      </c>
      <c r="B161" s="126"/>
      <c r="C161" s="127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9">
        <v>8.5</v>
      </c>
      <c r="AH161" s="47"/>
      <c r="AI161" s="48"/>
      <c r="AK161" s="50"/>
    </row>
    <row r="162" spans="1:37" x14ac:dyDescent="0.25">
      <c r="A162" s="116" t="s">
        <v>149</v>
      </c>
      <c r="B162" s="126"/>
      <c r="C162" s="127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9">
        <v>8.5</v>
      </c>
      <c r="AH162" s="47"/>
      <c r="AI162" s="48"/>
      <c r="AK162" s="50"/>
    </row>
    <row r="163" spans="1:37" x14ac:dyDescent="0.25">
      <c r="A163" s="116" t="s">
        <v>150</v>
      </c>
      <c r="B163" s="126"/>
      <c r="C163" s="127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9">
        <v>8.4</v>
      </c>
      <c r="AH163" s="47"/>
      <c r="AI163" s="48"/>
      <c r="AK163" s="50"/>
    </row>
    <row r="164" spans="1:37" ht="13.5" customHeight="1" x14ac:dyDescent="0.25">
      <c r="A164" s="116" t="s">
        <v>151</v>
      </c>
      <c r="B164" s="126"/>
      <c r="C164" s="127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9">
        <v>8</v>
      </c>
      <c r="AH164" s="47"/>
      <c r="AI164" s="48"/>
      <c r="AK164" s="50"/>
    </row>
    <row r="165" spans="1:37" x14ac:dyDescent="0.25">
      <c r="A165" s="116" t="s">
        <v>152</v>
      </c>
      <c r="B165" s="126"/>
      <c r="C165" s="127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9">
        <v>8</v>
      </c>
      <c r="AH165" s="47"/>
      <c r="AI165" s="48"/>
      <c r="AK165" s="50"/>
    </row>
    <row r="166" spans="1:37" x14ac:dyDescent="0.25">
      <c r="A166" s="116" t="s">
        <v>153</v>
      </c>
      <c r="B166" s="126"/>
      <c r="C166" s="127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9">
        <v>8</v>
      </c>
      <c r="AH166" s="47"/>
      <c r="AI166" s="48"/>
      <c r="AK166" s="50"/>
    </row>
    <row r="167" spans="1:37" x14ac:dyDescent="0.25">
      <c r="A167" s="116" t="s">
        <v>154</v>
      </c>
      <c r="B167" s="126"/>
      <c r="C167" s="127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9">
        <v>7.8</v>
      </c>
      <c r="AH167" s="47"/>
      <c r="AI167" s="48"/>
      <c r="AK167" s="50"/>
    </row>
    <row r="168" spans="1:37" x14ac:dyDescent="0.25">
      <c r="A168" s="116" t="s">
        <v>155</v>
      </c>
      <c r="B168" s="126"/>
      <c r="C168" s="127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9">
        <v>7.6</v>
      </c>
      <c r="AH168" s="47"/>
      <c r="AI168" s="48"/>
      <c r="AK168" s="50"/>
    </row>
    <row r="169" spans="1:37" x14ac:dyDescent="0.25">
      <c r="A169" s="116" t="s">
        <v>156</v>
      </c>
      <c r="B169" s="126"/>
      <c r="C169" s="127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9">
        <v>7.5</v>
      </c>
      <c r="AH169" s="47"/>
      <c r="AI169" s="48"/>
      <c r="AK169" s="50"/>
    </row>
    <row r="170" spans="1:37" x14ac:dyDescent="0.25">
      <c r="A170" s="116" t="s">
        <v>157</v>
      </c>
      <c r="B170" s="126"/>
      <c r="C170" s="127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9">
        <v>7.5</v>
      </c>
      <c r="AH170" s="47"/>
      <c r="AI170" s="48"/>
      <c r="AK170" s="50"/>
    </row>
    <row r="171" spans="1:37" x14ac:dyDescent="0.25">
      <c r="A171" s="116" t="s">
        <v>158</v>
      </c>
      <c r="B171" s="126"/>
      <c r="C171" s="127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9">
        <v>7</v>
      </c>
      <c r="AH171" s="47"/>
      <c r="AI171" s="48"/>
      <c r="AK171" s="50"/>
    </row>
    <row r="172" spans="1:37" x14ac:dyDescent="0.25">
      <c r="A172" s="116" t="s">
        <v>159</v>
      </c>
      <c r="B172" s="126"/>
      <c r="C172" s="127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9">
        <v>7</v>
      </c>
      <c r="AH172" s="47"/>
      <c r="AI172" s="48"/>
      <c r="AK172" s="50"/>
    </row>
    <row r="173" spans="1:37" x14ac:dyDescent="0.25">
      <c r="A173" s="116" t="s">
        <v>160</v>
      </c>
      <c r="B173" s="126"/>
      <c r="C173" s="127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9">
        <v>7</v>
      </c>
      <c r="AH173" s="47"/>
      <c r="AI173" s="48"/>
      <c r="AK173" s="50"/>
    </row>
    <row r="174" spans="1:37" x14ac:dyDescent="0.25">
      <c r="A174" s="116" t="s">
        <v>161</v>
      </c>
      <c r="B174" s="126"/>
      <c r="C174" s="127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9">
        <v>7</v>
      </c>
      <c r="AH174" s="47"/>
      <c r="AI174" s="48"/>
      <c r="AK174" s="50"/>
    </row>
    <row r="175" spans="1:37" x14ac:dyDescent="0.25">
      <c r="A175" s="116" t="s">
        <v>162</v>
      </c>
      <c r="B175" s="126"/>
      <c r="C175" s="127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9">
        <v>6.6</v>
      </c>
      <c r="AH175" s="47"/>
      <c r="AI175" s="48"/>
      <c r="AK175" s="50"/>
    </row>
    <row r="176" spans="1:37" x14ac:dyDescent="0.25">
      <c r="A176" s="116" t="s">
        <v>163</v>
      </c>
      <c r="B176" s="126"/>
      <c r="C176" s="127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9">
        <v>6.6</v>
      </c>
      <c r="AH176" s="47"/>
      <c r="AI176" s="48"/>
      <c r="AK176" s="50"/>
    </row>
    <row r="177" spans="1:37" x14ac:dyDescent="0.25">
      <c r="A177" s="116" t="s">
        <v>164</v>
      </c>
      <c r="B177" s="126"/>
      <c r="C177" s="127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9">
        <v>6.4</v>
      </c>
      <c r="AH177" s="47"/>
      <c r="AI177" s="48"/>
      <c r="AK177" s="50"/>
    </row>
    <row r="178" spans="1:37" x14ac:dyDescent="0.25">
      <c r="A178" s="116" t="s">
        <v>165</v>
      </c>
      <c r="B178" s="126"/>
      <c r="C178" s="127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9">
        <v>6</v>
      </c>
      <c r="AH178" s="47"/>
      <c r="AI178" s="48"/>
      <c r="AK178" s="50"/>
    </row>
    <row r="179" spans="1:37" x14ac:dyDescent="0.25">
      <c r="A179" s="116" t="s">
        <v>166</v>
      </c>
      <c r="B179" s="126"/>
      <c r="C179" s="127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9">
        <v>5.0999999999999996</v>
      </c>
      <c r="AH179" s="47"/>
      <c r="AI179" s="48"/>
      <c r="AK179" s="50"/>
    </row>
    <row r="180" spans="1:37" x14ac:dyDescent="0.25">
      <c r="A180" s="116" t="s">
        <v>167</v>
      </c>
      <c r="B180" s="126"/>
      <c r="C180" s="127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9">
        <v>5</v>
      </c>
      <c r="AH180" s="47"/>
      <c r="AI180" s="48"/>
      <c r="AK180" s="50"/>
    </row>
    <row r="181" spans="1:37" x14ac:dyDescent="0.25">
      <c r="A181" s="103" t="s">
        <v>168</v>
      </c>
      <c r="B181" s="126"/>
      <c r="C181" s="127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8">
        <v>5</v>
      </c>
      <c r="AH181" s="47"/>
      <c r="AI181" s="48"/>
      <c r="AK181" s="50"/>
    </row>
    <row r="182" spans="1:37" x14ac:dyDescent="0.25">
      <c r="A182" s="116" t="s">
        <v>169</v>
      </c>
      <c r="B182" s="126"/>
      <c r="C182" s="127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9">
        <v>5</v>
      </c>
      <c r="AH182" s="47"/>
      <c r="AI182" s="48"/>
      <c r="AK182" s="50"/>
    </row>
    <row r="183" spans="1:37" x14ac:dyDescent="0.25">
      <c r="A183" s="116" t="s">
        <v>170</v>
      </c>
      <c r="B183" s="126"/>
      <c r="C183" s="127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9">
        <v>5</v>
      </c>
      <c r="AH183" s="47"/>
      <c r="AI183" s="48"/>
      <c r="AK183" s="50"/>
    </row>
    <row r="184" spans="1:37" x14ac:dyDescent="0.25">
      <c r="A184" s="116" t="s">
        <v>171</v>
      </c>
      <c r="B184" s="126"/>
      <c r="C184" s="127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9">
        <v>5</v>
      </c>
      <c r="AH184" s="47"/>
      <c r="AI184" s="48"/>
      <c r="AK184" s="50"/>
    </row>
    <row r="185" spans="1:37" x14ac:dyDescent="0.25">
      <c r="A185" s="116" t="s">
        <v>172</v>
      </c>
      <c r="B185" s="126"/>
      <c r="C185" s="127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9">
        <v>5</v>
      </c>
      <c r="AH185" s="47"/>
      <c r="AI185" s="48"/>
      <c r="AK185" s="50"/>
    </row>
    <row r="186" spans="1:37" x14ac:dyDescent="0.25">
      <c r="A186" s="116" t="s">
        <v>173</v>
      </c>
      <c r="B186" s="126"/>
      <c r="C186" s="127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9">
        <v>5</v>
      </c>
      <c r="AH186" s="47"/>
      <c r="AI186" s="48"/>
      <c r="AK186" s="50"/>
    </row>
    <row r="187" spans="1:37" x14ac:dyDescent="0.25">
      <c r="A187" s="116" t="s">
        <v>174</v>
      </c>
      <c r="B187" s="126"/>
      <c r="C187" s="127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9">
        <v>4.9930000000000003</v>
      </c>
      <c r="AH187" s="47"/>
      <c r="AI187" s="48"/>
      <c r="AK187" s="50"/>
    </row>
    <row r="188" spans="1:37" x14ac:dyDescent="0.25">
      <c r="A188" s="116" t="s">
        <v>175</v>
      </c>
      <c r="B188" s="126"/>
      <c r="C188" s="127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9">
        <v>4.9800000000000004</v>
      </c>
      <c r="AH188" s="47"/>
      <c r="AI188" s="48"/>
      <c r="AK188" s="50"/>
    </row>
    <row r="189" spans="1:37" x14ac:dyDescent="0.25">
      <c r="A189" s="116" t="s">
        <v>176</v>
      </c>
      <c r="B189" s="126"/>
      <c r="C189" s="127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9">
        <v>4.95</v>
      </c>
      <c r="AH189" s="47"/>
      <c r="AI189" s="48"/>
      <c r="AK189" s="50"/>
    </row>
    <row r="190" spans="1:37" x14ac:dyDescent="0.25">
      <c r="A190" s="116" t="s">
        <v>177</v>
      </c>
      <c r="B190" s="126"/>
      <c r="C190" s="127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9">
        <v>4.95</v>
      </c>
      <c r="AH190" s="47"/>
      <c r="AI190" s="48"/>
      <c r="AK190" s="50"/>
    </row>
    <row r="191" spans="1:37" x14ac:dyDescent="0.25">
      <c r="A191" s="116" t="s">
        <v>178</v>
      </c>
      <c r="B191" s="126"/>
      <c r="C191" s="127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9">
        <v>4.8</v>
      </c>
      <c r="AH191" s="47"/>
      <c r="AI191" s="48"/>
      <c r="AK191" s="50"/>
    </row>
    <row r="192" spans="1:37" x14ac:dyDescent="0.25">
      <c r="A192" s="116" t="s">
        <v>179</v>
      </c>
      <c r="B192" s="126"/>
      <c r="C192" s="127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9">
        <v>4.8</v>
      </c>
      <c r="AH192" s="47"/>
      <c r="AI192" s="48"/>
      <c r="AK192" s="50"/>
    </row>
    <row r="193" spans="1:37" x14ac:dyDescent="0.25">
      <c r="A193" s="116" t="s">
        <v>180</v>
      </c>
      <c r="B193" s="126"/>
      <c r="C193" s="127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9">
        <v>4.8</v>
      </c>
      <c r="AH193" s="47"/>
      <c r="AI193" s="48"/>
      <c r="AK193" s="50"/>
    </row>
    <row r="194" spans="1:37" x14ac:dyDescent="0.25">
      <c r="A194" s="116" t="s">
        <v>181</v>
      </c>
      <c r="B194" s="126"/>
      <c r="C194" s="127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9">
        <v>4.5</v>
      </c>
      <c r="AH194" s="47"/>
      <c r="AI194" s="48"/>
      <c r="AK194" s="50"/>
    </row>
    <row r="195" spans="1:37" x14ac:dyDescent="0.25">
      <c r="A195" s="116" t="s">
        <v>182</v>
      </c>
      <c r="B195" s="126"/>
      <c r="C195" s="127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9">
        <v>4.5</v>
      </c>
      <c r="AH195" s="47"/>
      <c r="AI195" s="48"/>
      <c r="AK195" s="50"/>
    </row>
    <row r="196" spans="1:37" x14ac:dyDescent="0.25">
      <c r="A196" s="116" t="s">
        <v>183</v>
      </c>
      <c r="B196" s="126"/>
      <c r="C196" s="127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9">
        <v>4.4550000000000001</v>
      </c>
      <c r="AH196" s="47"/>
      <c r="AI196" s="48"/>
      <c r="AK196" s="50"/>
    </row>
    <row r="197" spans="1:37" x14ac:dyDescent="0.25">
      <c r="A197" s="116" t="s">
        <v>184</v>
      </c>
      <c r="B197" s="126"/>
      <c r="C197" s="127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9">
        <v>4.41</v>
      </c>
      <c r="AH197" s="47"/>
      <c r="AI197" s="48"/>
      <c r="AK197" s="50"/>
    </row>
    <row r="198" spans="1:37" x14ac:dyDescent="0.25">
      <c r="A198" s="116" t="s">
        <v>185</v>
      </c>
      <c r="B198" s="126"/>
      <c r="C198" s="127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9">
        <v>4.4000000000000004</v>
      </c>
      <c r="AH198" s="47"/>
      <c r="AI198" s="48"/>
      <c r="AK198" s="50"/>
    </row>
    <row r="199" spans="1:37" x14ac:dyDescent="0.25">
      <c r="A199" s="116" t="s">
        <v>186</v>
      </c>
      <c r="B199" s="126"/>
      <c r="C199" s="127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9">
        <v>4.3600000000000003</v>
      </c>
      <c r="AH199" s="47"/>
      <c r="AI199" s="48"/>
      <c r="AK199" s="50"/>
    </row>
    <row r="200" spans="1:37" x14ac:dyDescent="0.25">
      <c r="A200" s="116" t="s">
        <v>187</v>
      </c>
      <c r="B200" s="126"/>
      <c r="C200" s="127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9">
        <v>4.2</v>
      </c>
      <c r="AH200" s="47"/>
      <c r="AI200" s="48"/>
      <c r="AK200" s="50"/>
    </row>
    <row r="201" spans="1:37" x14ac:dyDescent="0.25">
      <c r="A201" s="116" t="s">
        <v>188</v>
      </c>
      <c r="B201" s="126"/>
      <c r="C201" s="127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9">
        <v>4</v>
      </c>
      <c r="AH201" s="47"/>
      <c r="AI201" s="48"/>
      <c r="AK201" s="50"/>
    </row>
    <row r="202" spans="1:37" x14ac:dyDescent="0.25">
      <c r="A202" s="116" t="s">
        <v>189</v>
      </c>
      <c r="B202" s="126"/>
      <c r="C202" s="127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9">
        <v>4</v>
      </c>
      <c r="AH202" s="47"/>
      <c r="AI202" s="48"/>
      <c r="AK202" s="50"/>
    </row>
    <row r="203" spans="1:37" x14ac:dyDescent="0.25">
      <c r="A203" s="116" t="s">
        <v>190</v>
      </c>
      <c r="B203" s="126"/>
      <c r="C203" s="127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9">
        <v>4</v>
      </c>
      <c r="AH203" s="47"/>
      <c r="AI203" s="48"/>
      <c r="AK203" s="50"/>
    </row>
    <row r="204" spans="1:37" x14ac:dyDescent="0.25">
      <c r="A204" s="116" t="s">
        <v>191</v>
      </c>
      <c r="B204" s="126"/>
      <c r="C204" s="127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9">
        <v>4</v>
      </c>
      <c r="AH204" s="47"/>
      <c r="AI204" s="48"/>
      <c r="AK204" s="50"/>
    </row>
    <row r="205" spans="1:37" x14ac:dyDescent="0.25">
      <c r="A205" s="116" t="s">
        <v>192</v>
      </c>
      <c r="B205" s="126"/>
      <c r="C205" s="127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9">
        <v>4</v>
      </c>
      <c r="AH205" s="47"/>
      <c r="AI205" s="48"/>
      <c r="AK205" s="50"/>
    </row>
    <row r="206" spans="1:37" x14ac:dyDescent="0.25">
      <c r="A206" s="116" t="s">
        <v>193</v>
      </c>
      <c r="B206" s="126"/>
      <c r="C206" s="127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9">
        <v>4</v>
      </c>
      <c r="AH206" s="47"/>
      <c r="AI206" s="48"/>
      <c r="AK206" s="50"/>
    </row>
    <row r="207" spans="1:37" x14ac:dyDescent="0.25">
      <c r="A207" s="116" t="s">
        <v>194</v>
      </c>
      <c r="B207" s="126"/>
      <c r="C207" s="127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9">
        <v>4</v>
      </c>
      <c r="AH207" s="47"/>
      <c r="AI207" s="48"/>
      <c r="AK207" s="50"/>
    </row>
    <row r="208" spans="1:37" x14ac:dyDescent="0.25">
      <c r="A208" s="116" t="s">
        <v>195</v>
      </c>
      <c r="B208" s="126"/>
      <c r="C208" s="127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9">
        <v>4</v>
      </c>
      <c r="AH208" s="47"/>
      <c r="AI208" s="48"/>
      <c r="AK208" s="50"/>
    </row>
    <row r="209" spans="1:37" x14ac:dyDescent="0.25">
      <c r="A209" s="116" t="s">
        <v>196</v>
      </c>
      <c r="B209" s="126"/>
      <c r="C209" s="127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9">
        <v>3.75</v>
      </c>
      <c r="AH209" s="47"/>
      <c r="AI209" s="48"/>
      <c r="AK209" s="50"/>
    </row>
    <row r="210" spans="1:37" x14ac:dyDescent="0.25">
      <c r="A210" s="116" t="s">
        <v>197</v>
      </c>
      <c r="B210" s="126"/>
      <c r="C210" s="127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9">
        <v>3.52</v>
      </c>
      <c r="AH210" s="47"/>
      <c r="AI210" s="48"/>
      <c r="AK210" s="50"/>
    </row>
    <row r="211" spans="1:37" x14ac:dyDescent="0.25">
      <c r="A211" s="116" t="s">
        <v>198</v>
      </c>
      <c r="B211" s="126"/>
      <c r="C211" s="127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9">
        <v>3.33</v>
      </c>
      <c r="AH211" s="47"/>
      <c r="AI211" s="48"/>
      <c r="AK211" s="50"/>
    </row>
    <row r="212" spans="1:37" x14ac:dyDescent="0.25">
      <c r="A212" s="116" t="s">
        <v>199</v>
      </c>
      <c r="B212" s="126"/>
      <c r="C212" s="127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9">
        <v>3.2</v>
      </c>
      <c r="AH212" s="47"/>
      <c r="AI212" s="48"/>
      <c r="AK212" s="50"/>
    </row>
    <row r="213" spans="1:37" x14ac:dyDescent="0.25">
      <c r="A213" s="116" t="s">
        <v>200</v>
      </c>
      <c r="B213" s="126"/>
      <c r="C213" s="127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9">
        <v>3</v>
      </c>
      <c r="AH213" s="47"/>
      <c r="AI213" s="48"/>
      <c r="AK213" s="50"/>
    </row>
    <row r="214" spans="1:37" x14ac:dyDescent="0.25">
      <c r="A214" s="116" t="s">
        <v>201</v>
      </c>
      <c r="B214" s="126"/>
      <c r="C214" s="127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9">
        <v>3</v>
      </c>
      <c r="AH214" s="47"/>
      <c r="AI214" s="48"/>
      <c r="AK214" s="50"/>
    </row>
    <row r="215" spans="1:37" x14ac:dyDescent="0.25">
      <c r="A215" s="116" t="s">
        <v>202</v>
      </c>
      <c r="B215" s="126"/>
      <c r="C215" s="127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9">
        <v>3</v>
      </c>
      <c r="AH215" s="47"/>
      <c r="AI215" s="48"/>
      <c r="AK215" s="50"/>
    </row>
    <row r="216" spans="1:37" x14ac:dyDescent="0.25">
      <c r="A216" s="116" t="s">
        <v>203</v>
      </c>
      <c r="B216" s="126"/>
      <c r="C216" s="127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9">
        <v>3</v>
      </c>
      <c r="AH216" s="47"/>
      <c r="AI216" s="48"/>
      <c r="AK216" s="50"/>
    </row>
    <row r="217" spans="1:37" x14ac:dyDescent="0.25">
      <c r="A217" s="116" t="s">
        <v>204</v>
      </c>
      <c r="B217" s="126"/>
      <c r="C217" s="127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9">
        <v>3</v>
      </c>
      <c r="AH217" s="47"/>
      <c r="AI217" s="48"/>
      <c r="AK217" s="50"/>
    </row>
    <row r="218" spans="1:37" x14ac:dyDescent="0.25">
      <c r="A218" s="116" t="s">
        <v>205</v>
      </c>
      <c r="B218" s="126"/>
      <c r="C218" s="127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9">
        <v>3</v>
      </c>
      <c r="AH218" s="47"/>
      <c r="AI218" s="48"/>
      <c r="AK218" s="50"/>
    </row>
    <row r="219" spans="1:37" x14ac:dyDescent="0.25">
      <c r="A219" s="116" t="s">
        <v>206</v>
      </c>
      <c r="B219" s="126"/>
      <c r="C219" s="127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9">
        <v>3</v>
      </c>
      <c r="AH219" s="47"/>
      <c r="AI219" s="48"/>
      <c r="AK219" s="50"/>
    </row>
    <row r="220" spans="1:37" x14ac:dyDescent="0.25">
      <c r="A220" s="116" t="s">
        <v>207</v>
      </c>
      <c r="B220" s="126"/>
      <c r="C220" s="127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9">
        <v>3</v>
      </c>
      <c r="AH220" s="47"/>
      <c r="AI220" s="48"/>
      <c r="AK220" s="50"/>
    </row>
    <row r="221" spans="1:37" x14ac:dyDescent="0.25">
      <c r="A221" s="116" t="s">
        <v>208</v>
      </c>
      <c r="B221" s="126"/>
      <c r="C221" s="127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9">
        <v>2.83</v>
      </c>
      <c r="AH221" s="47"/>
      <c r="AI221" s="48"/>
      <c r="AK221" s="50"/>
    </row>
    <row r="222" spans="1:37" x14ac:dyDescent="0.25">
      <c r="A222" s="116" t="s">
        <v>209</v>
      </c>
      <c r="B222" s="126"/>
      <c r="C222" s="127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9">
        <v>2.5</v>
      </c>
      <c r="AH222" s="47"/>
      <c r="AI222" s="48"/>
      <c r="AK222" s="50"/>
    </row>
    <row r="223" spans="1:37" x14ac:dyDescent="0.25">
      <c r="A223" s="116" t="s">
        <v>210</v>
      </c>
      <c r="B223" s="126"/>
      <c r="C223" s="127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9">
        <v>2.5</v>
      </c>
      <c r="AH223" s="47"/>
      <c r="AI223" s="48"/>
      <c r="AK223" s="50"/>
    </row>
    <row r="224" spans="1:37" x14ac:dyDescent="0.25">
      <c r="A224" s="116" t="s">
        <v>211</v>
      </c>
      <c r="B224" s="126"/>
      <c r="C224" s="127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9">
        <v>2.4</v>
      </c>
      <c r="AH224" s="47"/>
      <c r="AI224" s="48"/>
      <c r="AK224" s="50"/>
    </row>
    <row r="225" spans="1:37" x14ac:dyDescent="0.25">
      <c r="A225" s="116" t="s">
        <v>212</v>
      </c>
      <c r="B225" s="126"/>
      <c r="C225" s="127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9">
        <v>2.4</v>
      </c>
      <c r="AH225" s="47"/>
      <c r="AI225" s="48"/>
      <c r="AK225" s="50"/>
    </row>
    <row r="226" spans="1:37" x14ac:dyDescent="0.25">
      <c r="A226" s="116" t="s">
        <v>213</v>
      </c>
      <c r="B226" s="126"/>
      <c r="C226" s="127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9">
        <v>2.2000000000000002</v>
      </c>
      <c r="AH226" s="47"/>
      <c r="AI226" s="48"/>
      <c r="AK226" s="50"/>
    </row>
    <row r="227" spans="1:37" x14ac:dyDescent="0.25">
      <c r="A227" s="116" t="s">
        <v>214</v>
      </c>
      <c r="B227" s="126"/>
      <c r="C227" s="127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9">
        <v>2</v>
      </c>
      <c r="AH227" s="47"/>
      <c r="AI227" s="48"/>
      <c r="AK227" s="50"/>
    </row>
    <row r="228" spans="1:37" x14ac:dyDescent="0.25">
      <c r="A228" s="116" t="s">
        <v>215</v>
      </c>
      <c r="B228" s="126"/>
      <c r="C228" s="127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9">
        <v>2</v>
      </c>
      <c r="AH228" s="47"/>
      <c r="AI228" s="48"/>
      <c r="AK228" s="50"/>
    </row>
    <row r="229" spans="1:37" x14ac:dyDescent="0.25">
      <c r="A229" s="116" t="s">
        <v>216</v>
      </c>
      <c r="B229" s="126"/>
      <c r="C229" s="127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9">
        <v>2</v>
      </c>
      <c r="AH229" s="47"/>
      <c r="AI229" s="48"/>
      <c r="AK229" s="50"/>
    </row>
    <row r="230" spans="1:37" x14ac:dyDescent="0.25">
      <c r="A230" s="116" t="s">
        <v>217</v>
      </c>
      <c r="B230" s="126"/>
      <c r="C230" s="127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9">
        <v>1.8</v>
      </c>
      <c r="AH230" s="47"/>
      <c r="AI230" s="48"/>
      <c r="AK230" s="50"/>
    </row>
    <row r="231" spans="1:37" x14ac:dyDescent="0.25">
      <c r="A231" s="116" t="s">
        <v>218</v>
      </c>
      <c r="B231" s="126"/>
      <c r="C231" s="127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9">
        <v>1.8</v>
      </c>
      <c r="AH231" s="47"/>
      <c r="AI231" s="48"/>
      <c r="AK231" s="50"/>
    </row>
    <row r="232" spans="1:37" x14ac:dyDescent="0.25">
      <c r="A232" s="116" t="s">
        <v>219</v>
      </c>
      <c r="B232" s="126"/>
      <c r="C232" s="127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9">
        <v>1.65</v>
      </c>
      <c r="AH232" s="47"/>
      <c r="AI232" s="48"/>
      <c r="AK232" s="50"/>
    </row>
    <row r="233" spans="1:37" x14ac:dyDescent="0.25">
      <c r="A233" s="116" t="s">
        <v>220</v>
      </c>
      <c r="B233" s="126"/>
      <c r="C233" s="127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9">
        <v>1.5</v>
      </c>
      <c r="AH233" s="47"/>
      <c r="AI233" s="48"/>
      <c r="AK233" s="50"/>
    </row>
    <row r="234" spans="1:37" x14ac:dyDescent="0.25">
      <c r="A234" s="116" t="s">
        <v>221</v>
      </c>
      <c r="B234" s="126"/>
      <c r="C234" s="127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9">
        <v>0.998</v>
      </c>
      <c r="AH234" s="47"/>
      <c r="AI234" s="48"/>
      <c r="AK234" s="50"/>
    </row>
    <row r="235" spans="1:37" x14ac:dyDescent="0.25">
      <c r="A235" s="116" t="s">
        <v>222</v>
      </c>
      <c r="B235" s="126"/>
      <c r="C235" s="127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9">
        <v>0.997</v>
      </c>
      <c r="AH235" s="47"/>
      <c r="AI235" s="48"/>
      <c r="AK235" s="50"/>
    </row>
    <row r="236" spans="1:37" x14ac:dyDescent="0.25">
      <c r="A236" s="116" t="s">
        <v>223</v>
      </c>
      <c r="B236" s="126"/>
      <c r="C236" s="127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9">
        <v>0.997</v>
      </c>
      <c r="AH236" s="47"/>
      <c r="AI236" s="48"/>
      <c r="AK236" s="50"/>
    </row>
    <row r="237" spans="1:37" x14ac:dyDescent="0.25">
      <c r="A237" s="116" t="s">
        <v>224</v>
      </c>
      <c r="B237" s="126"/>
      <c r="C237" s="127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9">
        <v>0.996</v>
      </c>
      <c r="AH237" s="47"/>
      <c r="AI237" s="48"/>
      <c r="AK237" s="50"/>
    </row>
    <row r="238" spans="1:37" x14ac:dyDescent="0.25">
      <c r="A238" s="116" t="s">
        <v>225</v>
      </c>
      <c r="B238" s="126"/>
      <c r="C238" s="127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9">
        <v>0.996</v>
      </c>
      <c r="AH238" s="47"/>
      <c r="AI238" s="48"/>
      <c r="AK238" s="50"/>
    </row>
    <row r="239" spans="1:37" x14ac:dyDescent="0.25">
      <c r="A239" s="116" t="s">
        <v>226</v>
      </c>
      <c r="B239" s="126"/>
      <c r="C239" s="127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9">
        <v>0.996</v>
      </c>
      <c r="AH239" s="47"/>
      <c r="AI239" s="48"/>
      <c r="AK239" s="50"/>
    </row>
    <row r="240" spans="1:37" x14ac:dyDescent="0.25">
      <c r="A240" s="116" t="s">
        <v>227</v>
      </c>
      <c r="B240" s="126"/>
      <c r="C240" s="127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9">
        <v>0.995</v>
      </c>
      <c r="AH240" s="47"/>
      <c r="AI240" s="48"/>
      <c r="AK240" s="50"/>
    </row>
    <row r="241" spans="1:37" x14ac:dyDescent="0.25">
      <c r="A241" s="116" t="s">
        <v>228</v>
      </c>
      <c r="B241" s="126"/>
      <c r="C241" s="127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9">
        <v>0.99299999999999999</v>
      </c>
      <c r="AH241" s="47"/>
      <c r="AI241" s="48"/>
      <c r="AK241" s="50"/>
    </row>
    <row r="242" spans="1:37" x14ac:dyDescent="0.25">
      <c r="A242" s="116" t="s">
        <v>229</v>
      </c>
      <c r="B242" s="126"/>
      <c r="C242" s="124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9">
        <v>0.99</v>
      </c>
      <c r="AH242" s="47"/>
      <c r="AI242" s="48"/>
      <c r="AK242" s="50"/>
    </row>
    <row r="243" spans="1:37" ht="15.75" thickBot="1" x14ac:dyDescent="0.3">
      <c r="A243" s="116" t="s">
        <v>230</v>
      </c>
      <c r="B243" s="130"/>
      <c r="C243" s="131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29">
        <v>0.97899999999999998</v>
      </c>
      <c r="AH243" s="47"/>
      <c r="AI243" s="48"/>
      <c r="AK243" s="50"/>
    </row>
    <row r="244" spans="1:37" ht="15.75" thickBot="1" x14ac:dyDescent="0.3">
      <c r="A244" s="132" t="s">
        <v>231</v>
      </c>
      <c r="B244" s="133">
        <f t="shared" ref="B244:AG244" si="32">SUM(B139:B243)</f>
        <v>0</v>
      </c>
      <c r="C244" s="134">
        <f t="shared" si="32"/>
        <v>0</v>
      </c>
      <c r="D244" s="134">
        <f t="shared" si="32"/>
        <v>0</v>
      </c>
      <c r="E244" s="134">
        <f t="shared" si="32"/>
        <v>0</v>
      </c>
      <c r="F244" s="134">
        <f t="shared" si="32"/>
        <v>0</v>
      </c>
      <c r="G244" s="134">
        <f t="shared" si="32"/>
        <v>0</v>
      </c>
      <c r="H244" s="134">
        <f t="shared" si="32"/>
        <v>0</v>
      </c>
      <c r="I244" s="134">
        <f t="shared" si="32"/>
        <v>0</v>
      </c>
      <c r="J244" s="134">
        <f t="shared" si="32"/>
        <v>0</v>
      </c>
      <c r="K244" s="134">
        <f t="shared" si="32"/>
        <v>0</v>
      </c>
      <c r="L244" s="134">
        <f t="shared" si="32"/>
        <v>0</v>
      </c>
      <c r="M244" s="134">
        <f t="shared" si="32"/>
        <v>0</v>
      </c>
      <c r="N244" s="134">
        <f t="shared" si="32"/>
        <v>0</v>
      </c>
      <c r="O244" s="134">
        <f t="shared" si="32"/>
        <v>0</v>
      </c>
      <c r="P244" s="134">
        <f t="shared" si="32"/>
        <v>0</v>
      </c>
      <c r="Q244" s="134">
        <f t="shared" si="32"/>
        <v>0</v>
      </c>
      <c r="R244" s="134">
        <f t="shared" si="32"/>
        <v>0</v>
      </c>
      <c r="S244" s="134">
        <f t="shared" si="32"/>
        <v>0</v>
      </c>
      <c r="T244" s="134">
        <f t="shared" si="32"/>
        <v>0</v>
      </c>
      <c r="U244" s="134">
        <f t="shared" si="32"/>
        <v>0</v>
      </c>
      <c r="V244" s="134">
        <f t="shared" si="32"/>
        <v>0</v>
      </c>
      <c r="W244" s="134">
        <f t="shared" si="32"/>
        <v>0</v>
      </c>
      <c r="X244" s="134">
        <f t="shared" si="32"/>
        <v>0</v>
      </c>
      <c r="Y244" s="134">
        <f t="shared" si="32"/>
        <v>0</v>
      </c>
      <c r="Z244" s="134">
        <f t="shared" si="32"/>
        <v>0</v>
      </c>
      <c r="AA244" s="134">
        <f t="shared" si="32"/>
        <v>0</v>
      </c>
      <c r="AB244" s="134">
        <f t="shared" si="32"/>
        <v>0</v>
      </c>
      <c r="AC244" s="134">
        <f t="shared" si="32"/>
        <v>0</v>
      </c>
      <c r="AD244" s="134">
        <f t="shared" si="32"/>
        <v>0</v>
      </c>
      <c r="AE244" s="134">
        <f t="shared" si="32"/>
        <v>0</v>
      </c>
      <c r="AF244" s="135">
        <f t="shared" si="32"/>
        <v>0</v>
      </c>
      <c r="AG244" s="136">
        <f t="shared" si="32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19"/>
      <c r="AH245" s="47"/>
      <c r="AI245" s="48"/>
      <c r="AK245" s="50"/>
    </row>
    <row r="246" spans="1:37" x14ac:dyDescent="0.25">
      <c r="A246" s="100" t="s">
        <v>232</v>
      </c>
      <c r="B246" s="138">
        <f t="shared" ref="B246:B251" si="33">AF246</f>
        <v>0.3</v>
      </c>
      <c r="C246" s="138">
        <v>0.3</v>
      </c>
      <c r="D246" s="138">
        <f t="shared" ref="D246:S251" si="34">C246</f>
        <v>0.3</v>
      </c>
      <c r="E246" s="138">
        <f t="shared" si="34"/>
        <v>0.3</v>
      </c>
      <c r="F246" s="138">
        <f t="shared" si="34"/>
        <v>0.3</v>
      </c>
      <c r="G246" s="138">
        <f t="shared" si="34"/>
        <v>0.3</v>
      </c>
      <c r="H246" s="138">
        <f t="shared" si="34"/>
        <v>0.3</v>
      </c>
      <c r="I246" s="138">
        <f t="shared" si="34"/>
        <v>0.3</v>
      </c>
      <c r="J246" s="138">
        <f t="shared" si="34"/>
        <v>0.3</v>
      </c>
      <c r="K246" s="138">
        <f t="shared" si="34"/>
        <v>0.3</v>
      </c>
      <c r="L246" s="138">
        <f t="shared" si="34"/>
        <v>0.3</v>
      </c>
      <c r="M246" s="138">
        <f t="shared" si="34"/>
        <v>0.3</v>
      </c>
      <c r="N246" s="138">
        <f t="shared" si="34"/>
        <v>0.3</v>
      </c>
      <c r="O246" s="138">
        <f t="shared" si="34"/>
        <v>0.3</v>
      </c>
      <c r="P246" s="138">
        <f t="shared" si="34"/>
        <v>0.3</v>
      </c>
      <c r="Q246" s="138">
        <f t="shared" si="34"/>
        <v>0.3</v>
      </c>
      <c r="R246" s="138">
        <f t="shared" si="34"/>
        <v>0.3</v>
      </c>
      <c r="S246" s="138">
        <f t="shared" si="34"/>
        <v>0.3</v>
      </c>
      <c r="T246" s="138">
        <f t="shared" ref="T246:AF251" si="35">S246</f>
        <v>0.3</v>
      </c>
      <c r="U246" s="138">
        <f t="shared" si="35"/>
        <v>0.3</v>
      </c>
      <c r="V246" s="138">
        <f t="shared" si="35"/>
        <v>0.3</v>
      </c>
      <c r="W246" s="138">
        <f t="shared" si="35"/>
        <v>0.3</v>
      </c>
      <c r="X246" s="138">
        <f t="shared" si="35"/>
        <v>0.3</v>
      </c>
      <c r="Y246" s="138">
        <f t="shared" si="35"/>
        <v>0.3</v>
      </c>
      <c r="Z246" s="138">
        <f t="shared" si="35"/>
        <v>0.3</v>
      </c>
      <c r="AA246" s="138">
        <f t="shared" si="35"/>
        <v>0.3</v>
      </c>
      <c r="AB246" s="138">
        <f t="shared" si="35"/>
        <v>0.3</v>
      </c>
      <c r="AC246" s="138">
        <f t="shared" si="35"/>
        <v>0.3</v>
      </c>
      <c r="AD246" s="138">
        <f t="shared" si="35"/>
        <v>0.3</v>
      </c>
      <c r="AE246" s="138">
        <f t="shared" si="35"/>
        <v>0.3</v>
      </c>
      <c r="AF246" s="138">
        <f t="shared" si="35"/>
        <v>0.3</v>
      </c>
      <c r="AG246" s="139">
        <v>2.4</v>
      </c>
      <c r="AH246" s="47"/>
      <c r="AI246" s="48"/>
      <c r="AK246" s="50"/>
    </row>
    <row r="247" spans="1:37" x14ac:dyDescent="0.25">
      <c r="A247" s="103" t="s">
        <v>233</v>
      </c>
      <c r="B247" s="126">
        <f t="shared" si="33"/>
        <v>0.4</v>
      </c>
      <c r="C247" s="126">
        <v>0.4</v>
      </c>
      <c r="D247" s="126">
        <f t="shared" si="34"/>
        <v>0.4</v>
      </c>
      <c r="E247" s="126">
        <f t="shared" si="34"/>
        <v>0.4</v>
      </c>
      <c r="F247" s="126">
        <f t="shared" si="34"/>
        <v>0.4</v>
      </c>
      <c r="G247" s="126">
        <f t="shared" si="34"/>
        <v>0.4</v>
      </c>
      <c r="H247" s="126">
        <f t="shared" si="34"/>
        <v>0.4</v>
      </c>
      <c r="I247" s="126">
        <f t="shared" si="34"/>
        <v>0.4</v>
      </c>
      <c r="J247" s="126">
        <f t="shared" si="34"/>
        <v>0.4</v>
      </c>
      <c r="K247" s="126">
        <f t="shared" si="34"/>
        <v>0.4</v>
      </c>
      <c r="L247" s="126">
        <f t="shared" si="34"/>
        <v>0.4</v>
      </c>
      <c r="M247" s="126">
        <f t="shared" si="34"/>
        <v>0.4</v>
      </c>
      <c r="N247" s="126">
        <f t="shared" si="34"/>
        <v>0.4</v>
      </c>
      <c r="O247" s="126">
        <f t="shared" si="34"/>
        <v>0.4</v>
      </c>
      <c r="P247" s="126">
        <f t="shared" si="34"/>
        <v>0.4</v>
      </c>
      <c r="Q247" s="126">
        <f t="shared" si="34"/>
        <v>0.4</v>
      </c>
      <c r="R247" s="126">
        <f t="shared" si="34"/>
        <v>0.4</v>
      </c>
      <c r="S247" s="126">
        <f t="shared" si="34"/>
        <v>0.4</v>
      </c>
      <c r="T247" s="126">
        <f t="shared" si="35"/>
        <v>0.4</v>
      </c>
      <c r="U247" s="126">
        <f t="shared" si="35"/>
        <v>0.4</v>
      </c>
      <c r="V247" s="126">
        <f t="shared" si="35"/>
        <v>0.4</v>
      </c>
      <c r="W247" s="126">
        <f t="shared" si="35"/>
        <v>0.4</v>
      </c>
      <c r="X247" s="126">
        <f t="shared" si="35"/>
        <v>0.4</v>
      </c>
      <c r="Y247" s="126">
        <f t="shared" si="35"/>
        <v>0.4</v>
      </c>
      <c r="Z247" s="126">
        <f t="shared" si="35"/>
        <v>0.4</v>
      </c>
      <c r="AA247" s="126">
        <f t="shared" si="35"/>
        <v>0.4</v>
      </c>
      <c r="AB247" s="126">
        <f t="shared" si="35"/>
        <v>0.4</v>
      </c>
      <c r="AC247" s="126">
        <f t="shared" si="35"/>
        <v>0.4</v>
      </c>
      <c r="AD247" s="126">
        <f t="shared" si="35"/>
        <v>0.4</v>
      </c>
      <c r="AE247" s="126">
        <f t="shared" si="35"/>
        <v>0.4</v>
      </c>
      <c r="AF247" s="126">
        <f t="shared" si="35"/>
        <v>0.4</v>
      </c>
      <c r="AG247" s="140">
        <v>2</v>
      </c>
      <c r="AH247" s="47"/>
      <c r="AI247" s="48"/>
      <c r="AK247" s="50"/>
    </row>
    <row r="248" spans="1:37" x14ac:dyDescent="0.25">
      <c r="A248" s="103" t="s">
        <v>234</v>
      </c>
      <c r="B248" s="126">
        <f t="shared" si="33"/>
        <v>1.5</v>
      </c>
      <c r="C248" s="126">
        <v>1.5</v>
      </c>
      <c r="D248" s="126">
        <f t="shared" si="34"/>
        <v>1.5</v>
      </c>
      <c r="E248" s="126">
        <f t="shared" si="34"/>
        <v>1.5</v>
      </c>
      <c r="F248" s="126">
        <f t="shared" si="34"/>
        <v>1.5</v>
      </c>
      <c r="G248" s="126">
        <f t="shared" si="34"/>
        <v>1.5</v>
      </c>
      <c r="H248" s="126">
        <f t="shared" si="34"/>
        <v>1.5</v>
      </c>
      <c r="I248" s="126">
        <f t="shared" si="34"/>
        <v>1.5</v>
      </c>
      <c r="J248" s="126">
        <f t="shared" si="34"/>
        <v>1.5</v>
      </c>
      <c r="K248" s="126">
        <f t="shared" si="34"/>
        <v>1.5</v>
      </c>
      <c r="L248" s="126">
        <f t="shared" si="34"/>
        <v>1.5</v>
      </c>
      <c r="M248" s="126">
        <f t="shared" si="34"/>
        <v>1.5</v>
      </c>
      <c r="N248" s="126">
        <f t="shared" si="34"/>
        <v>1.5</v>
      </c>
      <c r="O248" s="126">
        <f t="shared" si="34"/>
        <v>1.5</v>
      </c>
      <c r="P248" s="126">
        <f t="shared" si="34"/>
        <v>1.5</v>
      </c>
      <c r="Q248" s="126">
        <f t="shared" si="34"/>
        <v>1.5</v>
      </c>
      <c r="R248" s="126">
        <f t="shared" si="34"/>
        <v>1.5</v>
      </c>
      <c r="S248" s="126">
        <f t="shared" si="34"/>
        <v>1.5</v>
      </c>
      <c r="T248" s="126">
        <f t="shared" si="35"/>
        <v>1.5</v>
      </c>
      <c r="U248" s="126">
        <f t="shared" si="35"/>
        <v>1.5</v>
      </c>
      <c r="V248" s="126">
        <f t="shared" si="35"/>
        <v>1.5</v>
      </c>
      <c r="W248" s="126">
        <f t="shared" si="35"/>
        <v>1.5</v>
      </c>
      <c r="X248" s="126">
        <f t="shared" si="35"/>
        <v>1.5</v>
      </c>
      <c r="Y248" s="126">
        <f t="shared" si="35"/>
        <v>1.5</v>
      </c>
      <c r="Z248" s="126">
        <f t="shared" si="35"/>
        <v>1.5</v>
      </c>
      <c r="AA248" s="126">
        <f t="shared" si="35"/>
        <v>1.5</v>
      </c>
      <c r="AB248" s="126">
        <f t="shared" si="35"/>
        <v>1.5</v>
      </c>
      <c r="AC248" s="126">
        <f t="shared" si="35"/>
        <v>1.5</v>
      </c>
      <c r="AD248" s="126">
        <f t="shared" si="35"/>
        <v>1.5</v>
      </c>
      <c r="AE248" s="126">
        <f t="shared" si="35"/>
        <v>1.5</v>
      </c>
      <c r="AF248" s="126">
        <f t="shared" si="35"/>
        <v>1.5</v>
      </c>
      <c r="AG248" s="140">
        <v>1.5</v>
      </c>
      <c r="AH248" s="47"/>
      <c r="AI248" s="48"/>
      <c r="AK248" s="50"/>
    </row>
    <row r="249" spans="1:37" x14ac:dyDescent="0.25">
      <c r="A249" s="103" t="s">
        <v>235</v>
      </c>
      <c r="B249" s="126">
        <f t="shared" si="33"/>
        <v>0.3</v>
      </c>
      <c r="C249" s="126">
        <v>0.3</v>
      </c>
      <c r="D249" s="126">
        <f t="shared" si="34"/>
        <v>0.3</v>
      </c>
      <c r="E249" s="126">
        <f t="shared" si="34"/>
        <v>0.3</v>
      </c>
      <c r="F249" s="126">
        <f t="shared" si="34"/>
        <v>0.3</v>
      </c>
      <c r="G249" s="126">
        <f t="shared" si="34"/>
        <v>0.3</v>
      </c>
      <c r="H249" s="126">
        <f t="shared" si="34"/>
        <v>0.3</v>
      </c>
      <c r="I249" s="126">
        <f t="shared" si="34"/>
        <v>0.3</v>
      </c>
      <c r="J249" s="126">
        <f t="shared" si="34"/>
        <v>0.3</v>
      </c>
      <c r="K249" s="126">
        <f t="shared" si="34"/>
        <v>0.3</v>
      </c>
      <c r="L249" s="126">
        <f t="shared" si="34"/>
        <v>0.3</v>
      </c>
      <c r="M249" s="126">
        <f t="shared" si="34"/>
        <v>0.3</v>
      </c>
      <c r="N249" s="126">
        <f t="shared" si="34"/>
        <v>0.3</v>
      </c>
      <c r="O249" s="126">
        <f t="shared" si="34"/>
        <v>0.3</v>
      </c>
      <c r="P249" s="126">
        <f t="shared" si="34"/>
        <v>0.3</v>
      </c>
      <c r="Q249" s="126">
        <f t="shared" si="34"/>
        <v>0.3</v>
      </c>
      <c r="R249" s="126">
        <f t="shared" si="34"/>
        <v>0.3</v>
      </c>
      <c r="S249" s="126">
        <f t="shared" si="34"/>
        <v>0.3</v>
      </c>
      <c r="T249" s="126">
        <f t="shared" si="35"/>
        <v>0.3</v>
      </c>
      <c r="U249" s="126">
        <f t="shared" si="35"/>
        <v>0.3</v>
      </c>
      <c r="V249" s="126">
        <f t="shared" si="35"/>
        <v>0.3</v>
      </c>
      <c r="W249" s="126">
        <f t="shared" si="35"/>
        <v>0.3</v>
      </c>
      <c r="X249" s="126">
        <f t="shared" si="35"/>
        <v>0.3</v>
      </c>
      <c r="Y249" s="126">
        <f t="shared" si="35"/>
        <v>0.3</v>
      </c>
      <c r="Z249" s="126">
        <f t="shared" si="35"/>
        <v>0.3</v>
      </c>
      <c r="AA249" s="126">
        <f t="shared" si="35"/>
        <v>0.3</v>
      </c>
      <c r="AB249" s="126">
        <f t="shared" si="35"/>
        <v>0.3</v>
      </c>
      <c r="AC249" s="126">
        <f t="shared" si="35"/>
        <v>0.3</v>
      </c>
      <c r="AD249" s="126">
        <f t="shared" si="35"/>
        <v>0.3</v>
      </c>
      <c r="AE249" s="126">
        <f t="shared" si="35"/>
        <v>0.3</v>
      </c>
      <c r="AF249" s="126">
        <f t="shared" si="35"/>
        <v>0.3</v>
      </c>
      <c r="AG249" s="140">
        <v>1</v>
      </c>
      <c r="AH249" s="47"/>
      <c r="AI249" s="48"/>
      <c r="AK249" s="50"/>
    </row>
    <row r="250" spans="1:37" x14ac:dyDescent="0.25">
      <c r="A250" s="103" t="s">
        <v>236</v>
      </c>
      <c r="B250" s="126">
        <f t="shared" si="33"/>
        <v>0.4</v>
      </c>
      <c r="C250" s="126">
        <v>0.4</v>
      </c>
      <c r="D250" s="126">
        <f t="shared" si="34"/>
        <v>0.4</v>
      </c>
      <c r="E250" s="126">
        <f t="shared" si="34"/>
        <v>0.4</v>
      </c>
      <c r="F250" s="126">
        <f t="shared" si="34"/>
        <v>0.4</v>
      </c>
      <c r="G250" s="126">
        <f t="shared" si="34"/>
        <v>0.4</v>
      </c>
      <c r="H250" s="126">
        <f t="shared" si="34"/>
        <v>0.4</v>
      </c>
      <c r="I250" s="126">
        <f t="shared" si="34"/>
        <v>0.4</v>
      </c>
      <c r="J250" s="126">
        <f t="shared" si="34"/>
        <v>0.4</v>
      </c>
      <c r="K250" s="126">
        <f t="shared" si="34"/>
        <v>0.4</v>
      </c>
      <c r="L250" s="126">
        <f t="shared" si="34"/>
        <v>0.4</v>
      </c>
      <c r="M250" s="126">
        <f t="shared" si="34"/>
        <v>0.4</v>
      </c>
      <c r="N250" s="126">
        <f t="shared" si="34"/>
        <v>0.4</v>
      </c>
      <c r="O250" s="126">
        <f t="shared" si="34"/>
        <v>0.4</v>
      </c>
      <c r="P250" s="126">
        <f t="shared" si="34"/>
        <v>0.4</v>
      </c>
      <c r="Q250" s="126">
        <f t="shared" si="34"/>
        <v>0.4</v>
      </c>
      <c r="R250" s="126">
        <f t="shared" si="34"/>
        <v>0.4</v>
      </c>
      <c r="S250" s="126">
        <f t="shared" si="34"/>
        <v>0.4</v>
      </c>
      <c r="T250" s="126">
        <f t="shared" si="35"/>
        <v>0.4</v>
      </c>
      <c r="U250" s="126">
        <f t="shared" si="35"/>
        <v>0.4</v>
      </c>
      <c r="V250" s="126">
        <f t="shared" si="35"/>
        <v>0.4</v>
      </c>
      <c r="W250" s="126">
        <f t="shared" si="35"/>
        <v>0.4</v>
      </c>
      <c r="X250" s="126">
        <f t="shared" si="35"/>
        <v>0.4</v>
      </c>
      <c r="Y250" s="126">
        <f t="shared" si="35"/>
        <v>0.4</v>
      </c>
      <c r="Z250" s="126">
        <f t="shared" si="35"/>
        <v>0.4</v>
      </c>
      <c r="AA250" s="126">
        <f t="shared" si="35"/>
        <v>0.4</v>
      </c>
      <c r="AB250" s="126">
        <f t="shared" si="35"/>
        <v>0.4</v>
      </c>
      <c r="AC250" s="126">
        <f t="shared" si="35"/>
        <v>0.4</v>
      </c>
      <c r="AD250" s="126">
        <f t="shared" si="35"/>
        <v>0.4</v>
      </c>
      <c r="AE250" s="126">
        <f t="shared" si="35"/>
        <v>0.4</v>
      </c>
      <c r="AF250" s="126">
        <f t="shared" si="35"/>
        <v>0.4</v>
      </c>
      <c r="AG250" s="140">
        <v>1</v>
      </c>
      <c r="AH250" s="47"/>
      <c r="AI250" s="48"/>
      <c r="AK250" s="50"/>
    </row>
    <row r="251" spans="1:37" ht="15.75" thickBot="1" x14ac:dyDescent="0.3">
      <c r="A251" s="116" t="s">
        <v>237</v>
      </c>
      <c r="B251" s="130">
        <f t="shared" si="33"/>
        <v>0.64</v>
      </c>
      <c r="C251" s="130">
        <v>0.64</v>
      </c>
      <c r="D251" s="130">
        <f t="shared" si="34"/>
        <v>0.64</v>
      </c>
      <c r="E251" s="130">
        <f t="shared" si="34"/>
        <v>0.64</v>
      </c>
      <c r="F251" s="130">
        <f t="shared" si="34"/>
        <v>0.64</v>
      </c>
      <c r="G251" s="130">
        <f t="shared" si="34"/>
        <v>0.64</v>
      </c>
      <c r="H251" s="130">
        <f t="shared" si="34"/>
        <v>0.64</v>
      </c>
      <c r="I251" s="130">
        <f t="shared" si="34"/>
        <v>0.64</v>
      </c>
      <c r="J251" s="130">
        <f t="shared" si="34"/>
        <v>0.64</v>
      </c>
      <c r="K251" s="130">
        <f t="shared" si="34"/>
        <v>0.64</v>
      </c>
      <c r="L251" s="130">
        <f t="shared" si="34"/>
        <v>0.64</v>
      </c>
      <c r="M251" s="130">
        <f t="shared" si="34"/>
        <v>0.64</v>
      </c>
      <c r="N251" s="130">
        <f t="shared" si="34"/>
        <v>0.64</v>
      </c>
      <c r="O251" s="130">
        <f t="shared" si="34"/>
        <v>0.64</v>
      </c>
      <c r="P251" s="130">
        <f t="shared" si="34"/>
        <v>0.64</v>
      </c>
      <c r="Q251" s="130">
        <f t="shared" si="34"/>
        <v>0.64</v>
      </c>
      <c r="R251" s="130">
        <f t="shared" si="34"/>
        <v>0.64</v>
      </c>
      <c r="S251" s="130">
        <f t="shared" si="34"/>
        <v>0.64</v>
      </c>
      <c r="T251" s="130">
        <f t="shared" si="35"/>
        <v>0.64</v>
      </c>
      <c r="U251" s="130">
        <f t="shared" si="35"/>
        <v>0.64</v>
      </c>
      <c r="V251" s="130">
        <f t="shared" si="35"/>
        <v>0.64</v>
      </c>
      <c r="W251" s="130">
        <f t="shared" si="35"/>
        <v>0.64</v>
      </c>
      <c r="X251" s="130">
        <f t="shared" si="35"/>
        <v>0.64</v>
      </c>
      <c r="Y251" s="130">
        <f t="shared" si="35"/>
        <v>0.64</v>
      </c>
      <c r="Z251" s="130">
        <f t="shared" si="35"/>
        <v>0.64</v>
      </c>
      <c r="AA251" s="130">
        <f t="shared" si="35"/>
        <v>0.64</v>
      </c>
      <c r="AB251" s="130">
        <f t="shared" si="35"/>
        <v>0.64</v>
      </c>
      <c r="AC251" s="130">
        <f t="shared" si="35"/>
        <v>0.64</v>
      </c>
      <c r="AD251" s="130">
        <f t="shared" si="35"/>
        <v>0.64</v>
      </c>
      <c r="AE251" s="130">
        <f t="shared" si="35"/>
        <v>0.64</v>
      </c>
      <c r="AF251" s="130">
        <f t="shared" si="35"/>
        <v>0.64</v>
      </c>
      <c r="AG251" s="141">
        <v>0.66</v>
      </c>
      <c r="AH251" s="47"/>
      <c r="AI251" s="48"/>
    </row>
    <row r="252" spans="1:37" ht="15.75" thickBot="1" x14ac:dyDescent="0.3">
      <c r="A252" s="142" t="s">
        <v>75</v>
      </c>
      <c r="B252" s="134">
        <f t="shared" ref="B252:AG252" si="36">SUM(B246:B251)</f>
        <v>3.54</v>
      </c>
      <c r="C252" s="134">
        <f t="shared" si="36"/>
        <v>3.54</v>
      </c>
      <c r="D252" s="134">
        <f t="shared" si="36"/>
        <v>3.54</v>
      </c>
      <c r="E252" s="134">
        <f t="shared" si="36"/>
        <v>3.54</v>
      </c>
      <c r="F252" s="134">
        <f t="shared" si="36"/>
        <v>3.54</v>
      </c>
      <c r="G252" s="134">
        <f t="shared" si="36"/>
        <v>3.54</v>
      </c>
      <c r="H252" s="134">
        <f t="shared" si="36"/>
        <v>3.54</v>
      </c>
      <c r="I252" s="134">
        <f t="shared" si="36"/>
        <v>3.54</v>
      </c>
      <c r="J252" s="134">
        <f t="shared" si="36"/>
        <v>3.54</v>
      </c>
      <c r="K252" s="134">
        <f t="shared" si="36"/>
        <v>3.54</v>
      </c>
      <c r="L252" s="134">
        <f t="shared" si="36"/>
        <v>3.54</v>
      </c>
      <c r="M252" s="134">
        <f t="shared" si="36"/>
        <v>3.54</v>
      </c>
      <c r="N252" s="134">
        <f t="shared" si="36"/>
        <v>3.54</v>
      </c>
      <c r="O252" s="134">
        <f t="shared" si="36"/>
        <v>3.54</v>
      </c>
      <c r="P252" s="134">
        <f t="shared" si="36"/>
        <v>3.54</v>
      </c>
      <c r="Q252" s="134">
        <f t="shared" si="36"/>
        <v>3.54</v>
      </c>
      <c r="R252" s="134">
        <f t="shared" si="36"/>
        <v>3.54</v>
      </c>
      <c r="S252" s="134">
        <f t="shared" si="36"/>
        <v>3.54</v>
      </c>
      <c r="T252" s="134">
        <f t="shared" si="36"/>
        <v>3.54</v>
      </c>
      <c r="U252" s="134">
        <f t="shared" si="36"/>
        <v>3.54</v>
      </c>
      <c r="V252" s="134">
        <f t="shared" si="36"/>
        <v>3.54</v>
      </c>
      <c r="W252" s="134">
        <f t="shared" si="36"/>
        <v>3.54</v>
      </c>
      <c r="X252" s="134">
        <f t="shared" si="36"/>
        <v>3.54</v>
      </c>
      <c r="Y252" s="134">
        <f t="shared" si="36"/>
        <v>3.54</v>
      </c>
      <c r="Z252" s="134">
        <f t="shared" si="36"/>
        <v>3.54</v>
      </c>
      <c r="AA252" s="134">
        <f t="shared" si="36"/>
        <v>3.54</v>
      </c>
      <c r="AB252" s="134">
        <f t="shared" si="36"/>
        <v>3.54</v>
      </c>
      <c r="AC252" s="134">
        <f t="shared" si="36"/>
        <v>3.54</v>
      </c>
      <c r="AD252" s="134">
        <f t="shared" si="36"/>
        <v>3.54</v>
      </c>
      <c r="AE252" s="134">
        <f t="shared" si="36"/>
        <v>3.54</v>
      </c>
      <c r="AF252" s="134">
        <f t="shared" si="36"/>
        <v>3.54</v>
      </c>
      <c r="AG252" s="143">
        <f t="shared" si="36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37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54" t="s">
        <v>243</v>
      </c>
      <c r="B256" s="155">
        <f>MAX(G99:N99)</f>
        <v>3.54</v>
      </c>
      <c r="C256" s="156">
        <f>INDEX(G9:N9,1,MATCH(MAX(G99:N99),G99:N99,0))</f>
        <v>0.20833333333333301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50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157" t="str">
        <f ca="1">MID(CELL("filename",C7),FIND("]",CELL("filename",C7))+1,600)</f>
        <v>NSample</v>
      </c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50" x14ac:dyDescent="0.25">
      <c r="A258" s="257" t="s">
        <v>244</v>
      </c>
      <c r="B258" s="257"/>
      <c r="C258" s="43"/>
      <c r="D258" s="157" t="e">
        <f ca="1">"Pie Chart of Daily Peak Demand(Inclusive of Export) of Nepal ("&amp;A4&amp;" "&amp;B4&amp;")"</f>
        <v>#VALUE!</v>
      </c>
      <c r="E258" s="43"/>
      <c r="F258" s="43"/>
      <c r="G258" s="157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157" t="e">
        <f ca="1">"Daily Load Curve(Excluding of Export) of Nepal ("&amp;A4&amp;" "&amp;B4&amp;")"</f>
        <v>#VALUE!</v>
      </c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50" ht="12.75" customHeight="1" thickBot="1" x14ac:dyDescent="0.3">
      <c r="A259" s="158" t="s">
        <v>7</v>
      </c>
      <c r="B259" s="159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50" ht="15.75" thickTop="1" x14ac:dyDescent="0.25">
      <c r="A260" s="158" t="s">
        <v>245</v>
      </c>
      <c r="B260" s="15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160" t="s">
        <v>246</v>
      </c>
      <c r="T260" s="161">
        <v>0</v>
      </c>
      <c r="U260" s="162">
        <v>4.1666666666666664E-2</v>
      </c>
      <c r="V260" s="163">
        <v>8.3333333333333301E-2</v>
      </c>
      <c r="W260" s="163">
        <v>0.125</v>
      </c>
      <c r="X260" s="163">
        <v>0.16666666666666699</v>
      </c>
      <c r="Y260" s="163">
        <v>0.20833333333333301</v>
      </c>
      <c r="Z260" s="163">
        <v>0.22916666666666666</v>
      </c>
      <c r="AA260" s="163">
        <v>0.25</v>
      </c>
      <c r="AB260" s="163">
        <v>0.27083333333333331</v>
      </c>
      <c r="AC260" s="163">
        <v>0.29166666666666669</v>
      </c>
      <c r="AD260" s="163">
        <v>0.3125</v>
      </c>
      <c r="AE260" s="164">
        <v>0.33333333333333331</v>
      </c>
      <c r="AF260" s="164">
        <v>0.375</v>
      </c>
      <c r="AG260" s="164">
        <v>0.41666666666666702</v>
      </c>
      <c r="AH260" s="164">
        <v>0.45833333333333298</v>
      </c>
      <c r="AI260" s="164">
        <v>0.5</v>
      </c>
      <c r="AJ260" s="164">
        <v>0.54166666666666696</v>
      </c>
      <c r="AK260" s="164">
        <v>0.58333333333333304</v>
      </c>
      <c r="AL260" s="164">
        <v>0.625</v>
      </c>
      <c r="AM260" s="164">
        <v>0.66666666666666696</v>
      </c>
      <c r="AN260" s="164">
        <v>0.70833333333333304</v>
      </c>
      <c r="AO260" s="164">
        <v>0.72916666666666663</v>
      </c>
      <c r="AP260" s="164">
        <v>0.75</v>
      </c>
      <c r="AQ260" s="164">
        <v>0.77083333333333337</v>
      </c>
      <c r="AR260" s="164">
        <v>0.79166666666666663</v>
      </c>
      <c r="AS260" s="164">
        <v>0.8125</v>
      </c>
      <c r="AT260" s="163">
        <v>0.83333333333333337</v>
      </c>
      <c r="AU260" s="163">
        <v>0.85416666666666663</v>
      </c>
      <c r="AV260" s="163">
        <v>0.875</v>
      </c>
      <c r="AW260" s="163">
        <v>0.91666666666666696</v>
      </c>
      <c r="AX260" s="163">
        <v>0.95833333333333304</v>
      </c>
    </row>
    <row r="261" spans="1:50" x14ac:dyDescent="0.25">
      <c r="A261" s="158" t="s">
        <v>247</v>
      </c>
      <c r="B261" s="15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 t="s">
        <v>248</v>
      </c>
      <c r="T261" s="165">
        <f t="shared" ref="T261:AX261" si="37">B99</f>
        <v>3.54</v>
      </c>
      <c r="U261" s="165">
        <f t="shared" si="37"/>
        <v>3.54</v>
      </c>
      <c r="V261" s="165">
        <f t="shared" si="37"/>
        <v>3.54</v>
      </c>
      <c r="W261" s="165">
        <f t="shared" si="37"/>
        <v>3.54</v>
      </c>
      <c r="X261" s="165">
        <f t="shared" si="37"/>
        <v>3.54</v>
      </c>
      <c r="Y261" s="165">
        <f t="shared" si="37"/>
        <v>3.54</v>
      </c>
      <c r="Z261" s="165">
        <f t="shared" si="37"/>
        <v>3.54</v>
      </c>
      <c r="AA261" s="165">
        <f t="shared" si="37"/>
        <v>3.54</v>
      </c>
      <c r="AB261" s="165">
        <f t="shared" si="37"/>
        <v>3.54</v>
      </c>
      <c r="AC261" s="165">
        <f t="shared" si="37"/>
        <v>3.54</v>
      </c>
      <c r="AD261" s="165">
        <f t="shared" si="37"/>
        <v>3.54</v>
      </c>
      <c r="AE261" s="165">
        <f t="shared" si="37"/>
        <v>3.54</v>
      </c>
      <c r="AF261" s="165">
        <f t="shared" si="37"/>
        <v>3.54</v>
      </c>
      <c r="AG261" s="165">
        <f t="shared" si="37"/>
        <v>3.54</v>
      </c>
      <c r="AH261" s="165">
        <f t="shared" si="37"/>
        <v>3.54</v>
      </c>
      <c r="AI261" s="165">
        <f t="shared" si="37"/>
        <v>3.54</v>
      </c>
      <c r="AJ261" s="165">
        <f t="shared" si="37"/>
        <v>3.54</v>
      </c>
      <c r="AK261" s="165">
        <f t="shared" si="37"/>
        <v>3.54</v>
      </c>
      <c r="AL261" s="165">
        <f t="shared" si="37"/>
        <v>3.54</v>
      </c>
      <c r="AM261" s="165">
        <f t="shared" si="37"/>
        <v>3.54</v>
      </c>
      <c r="AN261" s="165">
        <f t="shared" si="37"/>
        <v>3.54</v>
      </c>
      <c r="AO261" s="165">
        <f t="shared" si="37"/>
        <v>3.54</v>
      </c>
      <c r="AP261" s="165">
        <f t="shared" si="37"/>
        <v>3.54</v>
      </c>
      <c r="AQ261" s="165">
        <f t="shared" si="37"/>
        <v>4.5</v>
      </c>
      <c r="AR261" s="165">
        <f t="shared" si="37"/>
        <v>5.5</v>
      </c>
      <c r="AS261" s="165">
        <f t="shared" si="37"/>
        <v>3.54</v>
      </c>
      <c r="AT261" s="165">
        <f t="shared" si="37"/>
        <v>3.54</v>
      </c>
      <c r="AU261" s="165">
        <f t="shared" si="37"/>
        <v>3.54</v>
      </c>
      <c r="AV261" s="165">
        <f t="shared" si="37"/>
        <v>3.54</v>
      </c>
      <c r="AW261" s="165">
        <f t="shared" si="37"/>
        <v>3.54</v>
      </c>
      <c r="AX261" s="165">
        <f t="shared" si="37"/>
        <v>3.54</v>
      </c>
    </row>
    <row r="262" spans="1:50" x14ac:dyDescent="0.25">
      <c r="A262" s="158" t="s">
        <v>249</v>
      </c>
      <c r="B262" s="15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50" x14ac:dyDescent="0.25">
      <c r="A263" s="158" t="s">
        <v>250</v>
      </c>
      <c r="B263" s="15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50" x14ac:dyDescent="0.25">
      <c r="A264" s="158" t="s">
        <v>251</v>
      </c>
      <c r="B264" s="15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50" x14ac:dyDescent="0.25">
      <c r="A265" s="158" t="s">
        <v>252</v>
      </c>
      <c r="B265" s="166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50" x14ac:dyDescent="0.25">
      <c r="A266" s="158" t="s">
        <v>253</v>
      </c>
      <c r="B266" s="15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50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50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50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50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50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50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1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1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1:34" x14ac:dyDescent="0.25">
      <c r="A282" s="167" t="s">
        <v>238</v>
      </c>
      <c r="B282" s="168">
        <f t="shared" ref="B282:AE282" si="38">C251</f>
        <v>0.64</v>
      </c>
      <c r="C282" s="168">
        <f t="shared" si="38"/>
        <v>0.64</v>
      </c>
      <c r="D282" s="168">
        <f t="shared" si="38"/>
        <v>0.64</v>
      </c>
      <c r="E282" s="168">
        <f t="shared" si="38"/>
        <v>0.64</v>
      </c>
      <c r="F282" s="168">
        <f t="shared" si="38"/>
        <v>0.64</v>
      </c>
      <c r="G282" s="168">
        <f t="shared" si="38"/>
        <v>0.64</v>
      </c>
      <c r="H282" s="168">
        <f t="shared" si="38"/>
        <v>0.64</v>
      </c>
      <c r="I282" s="168">
        <f t="shared" si="38"/>
        <v>0.64</v>
      </c>
      <c r="J282" s="168">
        <f t="shared" si="38"/>
        <v>0.64</v>
      </c>
      <c r="K282" s="168">
        <f t="shared" si="38"/>
        <v>0.64</v>
      </c>
      <c r="L282" s="168">
        <f t="shared" si="38"/>
        <v>0.64</v>
      </c>
      <c r="M282" s="168">
        <f t="shared" si="38"/>
        <v>0.64</v>
      </c>
      <c r="N282" s="168">
        <f t="shared" si="38"/>
        <v>0.64</v>
      </c>
      <c r="O282" s="168">
        <f t="shared" si="38"/>
        <v>0.64</v>
      </c>
      <c r="P282" s="168">
        <f t="shared" si="38"/>
        <v>0.64</v>
      </c>
      <c r="Q282" s="168">
        <f t="shared" si="38"/>
        <v>0.64</v>
      </c>
      <c r="R282" s="168">
        <f t="shared" si="38"/>
        <v>0.64</v>
      </c>
      <c r="S282" s="168">
        <f t="shared" si="38"/>
        <v>0.64</v>
      </c>
      <c r="T282" s="168">
        <f t="shared" si="38"/>
        <v>0.64</v>
      </c>
      <c r="U282" s="168">
        <f t="shared" si="38"/>
        <v>0.64</v>
      </c>
      <c r="V282" s="168">
        <f t="shared" si="38"/>
        <v>0.64</v>
      </c>
      <c r="W282" s="168">
        <f t="shared" si="38"/>
        <v>0.64</v>
      </c>
      <c r="X282" s="168">
        <f t="shared" si="38"/>
        <v>0.64</v>
      </c>
      <c r="Y282" s="168">
        <f t="shared" si="38"/>
        <v>0.64</v>
      </c>
      <c r="Z282" s="168">
        <f t="shared" si="38"/>
        <v>0.64</v>
      </c>
      <c r="AA282" s="168">
        <f t="shared" si="38"/>
        <v>0.64</v>
      </c>
      <c r="AB282" s="168">
        <f t="shared" si="38"/>
        <v>0.64</v>
      </c>
      <c r="AC282" s="168">
        <f t="shared" si="38"/>
        <v>0.64</v>
      </c>
      <c r="AD282" s="168">
        <f t="shared" si="38"/>
        <v>0.64</v>
      </c>
      <c r="AE282" s="168">
        <f t="shared" si="38"/>
        <v>0.64</v>
      </c>
      <c r="AF282" s="168">
        <f>B251</f>
        <v>0.64</v>
      </c>
      <c r="AG282" s="43"/>
      <c r="AH282" s="43"/>
    </row>
    <row r="283" spans="1:34" x14ac:dyDescent="0.25">
      <c r="A283" s="169" t="e">
        <f>#REF!</f>
        <v>#REF!</v>
      </c>
      <c r="B283" s="169" t="e">
        <f>IF(#REF!&lt;100,"",#REF!-520)</f>
        <v>#REF!</v>
      </c>
      <c r="C283" s="169" t="e">
        <f>IF(#REF!&lt;100,"",#REF!-520)</f>
        <v>#REF!</v>
      </c>
      <c r="D283" s="169" t="e">
        <f>IF(#REF!&lt;100,"",#REF!-520)</f>
        <v>#REF!</v>
      </c>
      <c r="E283" s="169" t="e">
        <f>IF(#REF!&lt;100,"",#REF!-520)</f>
        <v>#REF!</v>
      </c>
      <c r="F283" s="169" t="e">
        <f>IF(#REF!&lt;100,"",#REF!-520)</f>
        <v>#REF!</v>
      </c>
      <c r="G283" s="169" t="e">
        <f>IF(#REF!&lt;100,"",#REF!-520)</f>
        <v>#REF!</v>
      </c>
      <c r="H283" s="169" t="e">
        <f>IF(#REF!&lt;100,"",#REF!-520)</f>
        <v>#REF!</v>
      </c>
      <c r="I283" s="169" t="e">
        <f>IF(#REF!&lt;100,"",#REF!-520)</f>
        <v>#REF!</v>
      </c>
      <c r="J283" s="169" t="e">
        <f>IF(#REF!&lt;100,"",#REF!-520)</f>
        <v>#REF!</v>
      </c>
      <c r="K283" s="169" t="e">
        <f>IF(#REF!&lt;100,"",#REF!-520)</f>
        <v>#REF!</v>
      </c>
      <c r="L283" s="169" t="e">
        <f>IF(#REF!&lt;100,"",#REF!-520)</f>
        <v>#REF!</v>
      </c>
      <c r="M283" s="169" t="e">
        <f>IF(#REF!&lt;100,"",#REF!-520)</f>
        <v>#REF!</v>
      </c>
      <c r="N283" s="169" t="e">
        <f>IF(#REF!&lt;100,"",#REF!-520)</f>
        <v>#REF!</v>
      </c>
      <c r="O283" s="169" t="e">
        <f>IF(#REF!&lt;100,"",#REF!-520)</f>
        <v>#REF!</v>
      </c>
      <c r="P283" s="169" t="e">
        <f>IF(#REF!&lt;100,"",#REF!-520)</f>
        <v>#REF!</v>
      </c>
      <c r="Q283" s="169" t="e">
        <f>IF(#REF!&lt;100,"",#REF!-520)</f>
        <v>#REF!</v>
      </c>
      <c r="R283" s="169" t="e">
        <f>IF(#REF!&lt;100,"",#REF!-520)</f>
        <v>#REF!</v>
      </c>
      <c r="S283" s="169" t="e">
        <f>IF(#REF!&lt;100,"",#REF!-520)</f>
        <v>#REF!</v>
      </c>
      <c r="T283" s="169" t="e">
        <f>IF(#REF!&lt;100,"",#REF!-520)</f>
        <v>#REF!</v>
      </c>
      <c r="U283" s="169" t="e">
        <f>IF(#REF!&lt;100,"",#REF!-520)</f>
        <v>#REF!</v>
      </c>
      <c r="V283" s="169" t="e">
        <f>IF(#REF!&lt;100,"",#REF!-520)</f>
        <v>#REF!</v>
      </c>
      <c r="W283" s="169" t="e">
        <f>IF(#REF!&lt;100,"",#REF!-520)</f>
        <v>#REF!</v>
      </c>
      <c r="X283" s="169" t="e">
        <f>IF(#REF!&lt;100,"",#REF!-520)</f>
        <v>#REF!</v>
      </c>
      <c r="Y283" s="169" t="e">
        <f>IF(#REF!&lt;100,"",#REF!-520)</f>
        <v>#REF!</v>
      </c>
      <c r="Z283" s="169" t="e">
        <f>IF(#REF!&lt;100,"",#REF!-520)</f>
        <v>#REF!</v>
      </c>
      <c r="AA283" s="169" t="e">
        <f>IF(#REF!&lt;100,"",#REF!-520)</f>
        <v>#REF!</v>
      </c>
      <c r="AB283" s="169" t="e">
        <f>IF(#REF!&lt;100,"",#REF!-520)</f>
        <v>#REF!</v>
      </c>
      <c r="AC283" s="169" t="e">
        <f>IF(#REF!&lt;100,"",#REF!-520)</f>
        <v>#REF!</v>
      </c>
      <c r="AD283" s="169" t="e">
        <f>IF(#REF!&lt;100,"",#REF!-520)</f>
        <v>#REF!</v>
      </c>
      <c r="AE283" s="169" t="e">
        <f>IF(#REF!&lt;100,"",#REF!-520)</f>
        <v>#REF!</v>
      </c>
      <c r="AF283" s="169" t="e">
        <f>IF(#REF!&lt;100,"",#REF!-520)</f>
        <v>#REF!</v>
      </c>
      <c r="AG283" s="43"/>
      <c r="AH283" s="43"/>
    </row>
    <row r="284" spans="1:34" x14ac:dyDescent="0.25">
      <c r="A284" s="169" t="e">
        <f>#REF!</f>
        <v>#REF!</v>
      </c>
      <c r="B284" s="169" t="e">
        <f>IF(#REF!&lt;100,"",#REF!-620)</f>
        <v>#REF!</v>
      </c>
      <c r="C284" s="169" t="e">
        <f>IF(#REF!&lt;100,"",#REF!-620)</f>
        <v>#REF!</v>
      </c>
      <c r="D284" s="169" t="e">
        <f>IF(#REF!&lt;100,"",#REF!-620)</f>
        <v>#REF!</v>
      </c>
      <c r="E284" s="169" t="e">
        <f>IF(#REF!&lt;100,"",#REF!-620)</f>
        <v>#REF!</v>
      </c>
      <c r="F284" s="169" t="e">
        <f>IF(#REF!&lt;100,"",#REF!-620)</f>
        <v>#REF!</v>
      </c>
      <c r="G284" s="169" t="e">
        <f>IF(#REF!&lt;100,"",#REF!-620)</f>
        <v>#REF!</v>
      </c>
      <c r="H284" s="169" t="e">
        <f>IF(#REF!&lt;100,"",#REF!-620)</f>
        <v>#REF!</v>
      </c>
      <c r="I284" s="169" t="e">
        <f>IF(#REF!&lt;100,"",#REF!-620)</f>
        <v>#REF!</v>
      </c>
      <c r="J284" s="169" t="e">
        <f>IF(#REF!&lt;100,"",#REF!-620)</f>
        <v>#REF!</v>
      </c>
      <c r="K284" s="169" t="e">
        <f>IF(#REF!&lt;100,"",#REF!-620)</f>
        <v>#REF!</v>
      </c>
      <c r="L284" s="169" t="e">
        <f>IF(#REF!&lt;100,"",#REF!-620)</f>
        <v>#REF!</v>
      </c>
      <c r="M284" s="169" t="e">
        <f>IF(#REF!&lt;100,"",#REF!-620)</f>
        <v>#REF!</v>
      </c>
      <c r="N284" s="169" t="e">
        <f>IF(#REF!&lt;100,"",#REF!-620)</f>
        <v>#REF!</v>
      </c>
      <c r="O284" s="169" t="e">
        <f>IF(#REF!&lt;100,"",#REF!-620)</f>
        <v>#REF!</v>
      </c>
      <c r="P284" s="169" t="e">
        <f>IF(#REF!&lt;100,"",#REF!-620)</f>
        <v>#REF!</v>
      </c>
      <c r="Q284" s="169" t="e">
        <f>IF(#REF!&lt;100,"",#REF!-620)</f>
        <v>#REF!</v>
      </c>
      <c r="R284" s="169" t="e">
        <f>IF(#REF!&lt;100,"",#REF!-620)</f>
        <v>#REF!</v>
      </c>
      <c r="S284" s="169" t="e">
        <f>IF(#REF!&lt;100,"",#REF!-620)</f>
        <v>#REF!</v>
      </c>
      <c r="T284" s="169" t="e">
        <f>IF(#REF!&lt;100,"",#REF!-620)</f>
        <v>#REF!</v>
      </c>
      <c r="U284" s="169" t="e">
        <f>IF(#REF!&lt;100,"",#REF!-620)</f>
        <v>#REF!</v>
      </c>
      <c r="V284" s="169" t="e">
        <f>IF(#REF!&lt;100,"",#REF!-620)</f>
        <v>#REF!</v>
      </c>
      <c r="W284" s="169" t="e">
        <f>IF(#REF!&lt;100,"",#REF!-620)</f>
        <v>#REF!</v>
      </c>
      <c r="X284" s="169" t="e">
        <f>IF(#REF!&lt;100,"",#REF!-620)</f>
        <v>#REF!</v>
      </c>
      <c r="Y284" s="169" t="e">
        <f>IF(#REF!&lt;100,"",#REF!-620)</f>
        <v>#REF!</v>
      </c>
      <c r="Z284" s="169" t="e">
        <f>IF(#REF!&lt;100,"",#REF!-620)</f>
        <v>#REF!</v>
      </c>
      <c r="AA284" s="169" t="e">
        <f>IF(#REF!&lt;100,"",#REF!-620)</f>
        <v>#REF!</v>
      </c>
      <c r="AB284" s="169" t="e">
        <f>IF(#REF!&lt;100,"",#REF!-620)</f>
        <v>#REF!</v>
      </c>
      <c r="AC284" s="169" t="e">
        <f>IF(#REF!&lt;100,"",#REF!-620)</f>
        <v>#REF!</v>
      </c>
      <c r="AD284" s="169" t="e">
        <f>IF(#REF!&lt;100,"",#REF!-620)</f>
        <v>#REF!</v>
      </c>
      <c r="AE284" s="169" t="e">
        <f>IF(#REF!&lt;100,"",#REF!-620)</f>
        <v>#REF!</v>
      </c>
      <c r="AF284" s="169" t="e">
        <f>IF(#REF!&lt;100,"",#REF!-620)</f>
        <v>#REF!</v>
      </c>
      <c r="AG284" s="43"/>
      <c r="AH284" s="43"/>
    </row>
    <row r="285" spans="1:34" x14ac:dyDescent="0.25">
      <c r="A285" s="169" t="e">
        <f>#REF!</f>
        <v>#REF!</v>
      </c>
      <c r="B285" s="169" t="e">
        <f>IF(#REF!&lt;100,"",#REF!-330)</f>
        <v>#REF!</v>
      </c>
      <c r="C285" s="169" t="e">
        <f>IF(#REF!&lt;100,"",#REF!-330)</f>
        <v>#REF!</v>
      </c>
      <c r="D285" s="169" t="e">
        <f>IF(#REF!&lt;100,"",#REF!-330)</f>
        <v>#REF!</v>
      </c>
      <c r="E285" s="169" t="e">
        <f>IF(#REF!&lt;100,"",#REF!-330)</f>
        <v>#REF!</v>
      </c>
      <c r="F285" s="169" t="e">
        <f>IF(#REF!&lt;100,"",#REF!-330)</f>
        <v>#REF!</v>
      </c>
      <c r="G285" s="169" t="e">
        <f>IF(#REF!&lt;100,"",#REF!-330)</f>
        <v>#REF!</v>
      </c>
      <c r="H285" s="169" t="e">
        <f>IF(#REF!&lt;100,"",#REF!-330)</f>
        <v>#REF!</v>
      </c>
      <c r="I285" s="169" t="e">
        <f>IF(#REF!&lt;100,"",#REF!-330)</f>
        <v>#REF!</v>
      </c>
      <c r="J285" s="169" t="e">
        <f>IF(#REF!&lt;100,"",#REF!-330)</f>
        <v>#REF!</v>
      </c>
      <c r="K285" s="169" t="e">
        <f>IF(#REF!&lt;100,"",#REF!-330)</f>
        <v>#REF!</v>
      </c>
      <c r="L285" s="169" t="e">
        <f>IF(#REF!&lt;100,"",#REF!-330)</f>
        <v>#REF!</v>
      </c>
      <c r="M285" s="169" t="e">
        <f>IF(#REF!&lt;100,"",#REF!-330)</f>
        <v>#REF!</v>
      </c>
      <c r="N285" s="169" t="e">
        <f>IF(#REF!&lt;100,"",#REF!-330)</f>
        <v>#REF!</v>
      </c>
      <c r="O285" s="169" t="e">
        <f>IF(#REF!&lt;100,"",#REF!-330)</f>
        <v>#REF!</v>
      </c>
      <c r="P285" s="169" t="e">
        <f>IF(#REF!&lt;100,"",#REF!-330)</f>
        <v>#REF!</v>
      </c>
      <c r="Q285" s="169" t="e">
        <f>IF(#REF!&lt;100,"",#REF!-330)</f>
        <v>#REF!</v>
      </c>
      <c r="R285" s="169" t="e">
        <f>IF(#REF!&lt;100,"",#REF!-330)</f>
        <v>#REF!</v>
      </c>
      <c r="S285" s="169" t="e">
        <f>IF(#REF!&lt;100,"",#REF!-330)</f>
        <v>#REF!</v>
      </c>
      <c r="T285" s="169" t="e">
        <f>IF(#REF!&lt;100,"",#REF!-330)</f>
        <v>#REF!</v>
      </c>
      <c r="U285" s="169" t="e">
        <f>IF(#REF!&lt;100,"",#REF!-330)</f>
        <v>#REF!</v>
      </c>
      <c r="V285" s="169" t="e">
        <f>IF(#REF!&lt;100,"",#REF!-330)</f>
        <v>#REF!</v>
      </c>
      <c r="W285" s="169" t="e">
        <f>IF(#REF!&lt;100,"",#REF!-330)</f>
        <v>#REF!</v>
      </c>
      <c r="X285" s="169" t="e">
        <f>IF(#REF!&lt;100,"",#REF!-330)</f>
        <v>#REF!</v>
      </c>
      <c r="Y285" s="169" t="e">
        <f>IF(#REF!&lt;100,"",#REF!-330)</f>
        <v>#REF!</v>
      </c>
      <c r="Z285" s="169" t="e">
        <f>IF(#REF!&lt;100,"",#REF!-330)</f>
        <v>#REF!</v>
      </c>
      <c r="AA285" s="169" t="e">
        <f>IF(#REF!&lt;100,"",#REF!-330)</f>
        <v>#REF!</v>
      </c>
      <c r="AB285" s="169" t="e">
        <f>IF(#REF!&lt;100,"",#REF!-330)</f>
        <v>#REF!</v>
      </c>
      <c r="AC285" s="169" t="e">
        <f>IF(#REF!&lt;100,"",#REF!-330)</f>
        <v>#REF!</v>
      </c>
      <c r="AD285" s="169" t="e">
        <f>IF(#REF!&lt;100,"",#REF!-330)</f>
        <v>#REF!</v>
      </c>
      <c r="AE285" s="169" t="e">
        <f>IF(#REF!&lt;100,"",#REF!-330)</f>
        <v>#REF!</v>
      </c>
      <c r="AF285" s="169" t="e">
        <f>IF(#REF!&lt;100,"",#REF!-330)</f>
        <v>#REF!</v>
      </c>
      <c r="AG285" s="43"/>
      <c r="AH285" s="43"/>
    </row>
    <row r="286" spans="1:34" x14ac:dyDescent="0.25">
      <c r="A286" s="169" t="e">
        <f>#REF!</f>
        <v>#REF!</v>
      </c>
      <c r="B286" s="169" t="e">
        <f>IF(#REF!&lt;100,"",#REF!-1500)</f>
        <v>#REF!</v>
      </c>
      <c r="C286" s="169" t="e">
        <f>IF(#REF!&lt;100,"",#REF!-1500)</f>
        <v>#REF!</v>
      </c>
      <c r="D286" s="169" t="e">
        <f>IF(#REF!&lt;100,"",#REF!-1500)</f>
        <v>#REF!</v>
      </c>
      <c r="E286" s="169" t="e">
        <f>IF(#REF!&lt;100,"",#REF!-1500)</f>
        <v>#REF!</v>
      </c>
      <c r="F286" s="169" t="e">
        <f>IF(#REF!&lt;100,"",#REF!-1500)</f>
        <v>#REF!</v>
      </c>
      <c r="G286" s="169" t="e">
        <f>IF(#REF!&lt;100,"",#REF!-1500)</f>
        <v>#REF!</v>
      </c>
      <c r="H286" s="169" t="e">
        <f>IF(#REF!&lt;100,"",#REF!-1500)</f>
        <v>#REF!</v>
      </c>
      <c r="I286" s="169" t="e">
        <f>IF(#REF!&lt;100,"",#REF!-1500)</f>
        <v>#REF!</v>
      </c>
      <c r="J286" s="169" t="e">
        <f>IF(#REF!&lt;100,"",#REF!-1500)</f>
        <v>#REF!</v>
      </c>
      <c r="K286" s="169" t="e">
        <f>IF(#REF!&lt;100,"",#REF!-1500)</f>
        <v>#REF!</v>
      </c>
      <c r="L286" s="169" t="e">
        <f>IF(#REF!&lt;100,"",#REF!-1500)</f>
        <v>#REF!</v>
      </c>
      <c r="M286" s="169" t="e">
        <f>IF(#REF!&lt;100,"",#REF!-1500)</f>
        <v>#REF!</v>
      </c>
      <c r="N286" s="169" t="e">
        <f>IF(#REF!&lt;100,"",#REF!-1500)</f>
        <v>#REF!</v>
      </c>
      <c r="O286" s="169" t="e">
        <f>IF(#REF!&lt;100,"",#REF!-1500)</f>
        <v>#REF!</v>
      </c>
      <c r="P286" s="169" t="e">
        <f>IF(#REF!&lt;100,"",#REF!-1500)</f>
        <v>#REF!</v>
      </c>
      <c r="Q286" s="169" t="e">
        <f>IF(#REF!&lt;100,"",#REF!-1500)</f>
        <v>#REF!</v>
      </c>
      <c r="R286" s="169" t="e">
        <f>IF(#REF!&lt;100,"",#REF!-1500)</f>
        <v>#REF!</v>
      </c>
      <c r="S286" s="169" t="e">
        <f>IF(#REF!&lt;100,"",#REF!-1500)</f>
        <v>#REF!</v>
      </c>
      <c r="T286" s="169" t="e">
        <f>IF(#REF!&lt;100,"",#REF!-1500)</f>
        <v>#REF!</v>
      </c>
      <c r="U286" s="169" t="e">
        <f>IF(#REF!&lt;100,"",#REF!-1500)</f>
        <v>#REF!</v>
      </c>
      <c r="V286" s="169" t="e">
        <f>IF(#REF!&lt;100,"",#REF!-1500)</f>
        <v>#REF!</v>
      </c>
      <c r="W286" s="169" t="e">
        <f>IF(#REF!&lt;100,"",#REF!-1500)</f>
        <v>#REF!</v>
      </c>
      <c r="X286" s="169" t="e">
        <f>IF(#REF!&lt;100,"",#REF!-1500)</f>
        <v>#REF!</v>
      </c>
      <c r="Y286" s="169" t="e">
        <f>IF(#REF!&lt;100,"",#REF!-1500)</f>
        <v>#REF!</v>
      </c>
      <c r="Z286" s="169" t="e">
        <f>IF(#REF!&lt;100,"",#REF!-1500)</f>
        <v>#REF!</v>
      </c>
      <c r="AA286" s="169" t="e">
        <f>IF(#REF!&lt;100,"",#REF!-1500)</f>
        <v>#REF!</v>
      </c>
      <c r="AB286" s="169" t="e">
        <f>IF(#REF!&lt;100,"",#REF!-1500)</f>
        <v>#REF!</v>
      </c>
      <c r="AC286" s="169" t="e">
        <f>IF(#REF!&lt;100,"",#REF!-1500)</f>
        <v>#REF!</v>
      </c>
      <c r="AD286" s="169" t="e">
        <f>IF(#REF!&lt;100,"",#REF!-1500)</f>
        <v>#REF!</v>
      </c>
      <c r="AE286" s="169" t="e">
        <f>IF(#REF!&lt;100,"",#REF!-1500)</f>
        <v>#REF!</v>
      </c>
      <c r="AF286" s="169" t="e">
        <f>IF(#REF!&lt;100,"",#REF!-1500)</f>
        <v>#REF!</v>
      </c>
      <c r="AG286" s="43"/>
      <c r="AH286" s="43"/>
    </row>
    <row r="287" spans="1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1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2:34" x14ac:dyDescent="0.25"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2:34" x14ac:dyDescent="0.25"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2:34" x14ac:dyDescent="0.25"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2:34" x14ac:dyDescent="0.25"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2:34" x14ac:dyDescent="0.25"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3125" priority="1">
      <formula>$AH11=0</formula>
    </cfRule>
  </conditionalFormatting>
  <conditionalFormatting sqref="A132:A253">
    <cfRule type="expression" dxfId="3124" priority="6">
      <formula>$AH132=0</formula>
    </cfRule>
  </conditionalFormatting>
  <conditionalFormatting sqref="B8 M8 S8 AB8">
    <cfRule type="expression" dxfId="3123" priority="123">
      <formula>AND(C$9&gt;=14/24,C$9&lt;20/24)</formula>
    </cfRule>
    <cfRule type="expression" dxfId="3122" priority="124">
      <formula>AND(C$9&gt;=8/24,C$9&lt;14/24)</formula>
    </cfRule>
    <cfRule type="expression" dxfId="3121" priority="125">
      <formula>C$9&lt;8/24</formula>
    </cfRule>
  </conditionalFormatting>
  <conditionalFormatting sqref="B63:I74 J64:J74 K69:L71">
    <cfRule type="expression" dxfId="3120" priority="25">
      <formula>B$9&gt;=20/24</formula>
    </cfRule>
    <cfRule type="expression" dxfId="3119" priority="26">
      <formula>AND(B$9&gt;=14/24,B$9&lt;20/24)</formula>
    </cfRule>
    <cfRule type="expression" dxfId="3118" priority="27">
      <formula>AND(B$9&gt;=8/24,B$9&lt;14/24)</formula>
    </cfRule>
    <cfRule type="expression" dxfId="3117" priority="28">
      <formula>B$9&lt;8/24</formula>
    </cfRule>
  </conditionalFormatting>
  <conditionalFormatting sqref="B51:J54">
    <cfRule type="expression" dxfId="3116" priority="15">
      <formula>B51&gt;$AG51</formula>
    </cfRule>
  </conditionalFormatting>
  <conditionalFormatting sqref="B53:J54">
    <cfRule type="expression" dxfId="3115" priority="14">
      <formula>B$9&lt;8/24</formula>
    </cfRule>
  </conditionalFormatting>
  <conditionalFormatting sqref="B55:J55">
    <cfRule type="expression" dxfId="3114" priority="43">
      <formula>B55&gt;$AG55</formula>
    </cfRule>
  </conditionalFormatting>
  <conditionalFormatting sqref="B55:J57">
    <cfRule type="expression" dxfId="3113" priority="42">
      <formula>B$9&lt;8/24</formula>
    </cfRule>
  </conditionalFormatting>
  <conditionalFormatting sqref="B11:Y50 Z11:AF52 K51:Y52">
    <cfRule type="expression" dxfId="3112" priority="33">
      <formula>B11&gt;$AG11</formula>
    </cfRule>
  </conditionalFormatting>
  <conditionalFormatting sqref="B9:AF52">
    <cfRule type="expression" dxfId="3111" priority="34">
      <formula>B$9&gt;=20/24</formula>
    </cfRule>
    <cfRule type="expression" dxfId="3110" priority="35">
      <formula>AND(B$9&gt;=14/24,B$9&lt;20/24)</formula>
    </cfRule>
    <cfRule type="expression" dxfId="3109" priority="36">
      <formula>AND(B$9&gt;=8/24,B$9&lt;14/24)</formula>
    </cfRule>
    <cfRule type="expression" dxfId="3108" priority="37">
      <formula>B$9&lt;8/24</formula>
    </cfRule>
  </conditionalFormatting>
  <conditionalFormatting sqref="B53:AF54">
    <cfRule type="expression" dxfId="3107" priority="11">
      <formula>B$9&gt;=20/24</formula>
    </cfRule>
    <cfRule type="expression" dxfId="3106" priority="12">
      <formula>AND(B$9&gt;=14/24,B$9&lt;20/24)</formula>
    </cfRule>
    <cfRule type="expression" dxfId="3105" priority="13">
      <formula>AND(B$9&gt;=8/24,B$9&lt;14/24)</formula>
    </cfRule>
  </conditionalFormatting>
  <conditionalFormatting sqref="B55:AF57">
    <cfRule type="expression" dxfId="3104" priority="39">
      <formula>B$9&gt;=20/24</formula>
    </cfRule>
    <cfRule type="expression" dxfId="3103" priority="40">
      <formula>AND(B$9&gt;=14/24,B$9&lt;20/24)</formula>
    </cfRule>
    <cfRule type="expression" dxfId="3102" priority="41">
      <formula>AND(B$9&gt;=8/24,B$9&lt;14/24)</formula>
    </cfRule>
  </conditionalFormatting>
  <conditionalFormatting sqref="B56:AF61">
    <cfRule type="expression" dxfId="3101" priority="38">
      <formula>B56&gt;$AG56</formula>
    </cfRule>
  </conditionalFormatting>
  <conditionalFormatting sqref="B59:AF61">
    <cfRule type="expression" dxfId="3100" priority="49">
      <formula>B$9&gt;=20/24</formula>
    </cfRule>
    <cfRule type="expression" dxfId="3099" priority="50">
      <formula>AND(B$9&gt;=14/24,B$9&lt;20/24)</formula>
    </cfRule>
    <cfRule type="expression" dxfId="3098" priority="51">
      <formula>AND(B$9&gt;=8/24,B$9&lt;14/24)</formula>
    </cfRule>
    <cfRule type="expression" dxfId="3097" priority="52">
      <formula>B$9&lt;8/24</formula>
    </cfRule>
  </conditionalFormatting>
  <conditionalFormatting sqref="B63:AF74">
    <cfRule type="expression" dxfId="3096" priority="24">
      <formula>B63&gt;$AG63</formula>
    </cfRule>
  </conditionalFormatting>
  <conditionalFormatting sqref="B77:AF79">
    <cfRule type="expression" dxfId="3095" priority="53">
      <formula>B77&gt;$AG77</formula>
    </cfRule>
    <cfRule type="expression" dxfId="3094" priority="54">
      <formula>B$9&gt;=20/24</formula>
    </cfRule>
    <cfRule type="expression" dxfId="3093" priority="55">
      <formula>AND(B$9&gt;=14/24,B$9&lt;20/24)</formula>
    </cfRule>
    <cfRule type="expression" dxfId="3092" priority="56">
      <formula>AND(B$9&gt;=8/24,B$9&lt;14/24)</formula>
    </cfRule>
    <cfRule type="expression" dxfId="3091" priority="57">
      <formula>B$9&lt;8/24</formula>
    </cfRule>
  </conditionalFormatting>
  <conditionalFormatting sqref="B81:AF99">
    <cfRule type="expression" dxfId="3090" priority="20">
      <formula>B$9&gt;=20/24</formula>
    </cfRule>
    <cfRule type="expression" dxfId="3089" priority="21">
      <formula>AND(B$9&gt;=14/24,B$9&lt;20/24)</formula>
    </cfRule>
    <cfRule type="expression" dxfId="3088" priority="22">
      <formula>AND(B$9&gt;=8/24,B$9&lt;14/24)</formula>
    </cfRule>
    <cfRule type="expression" dxfId="3087" priority="23">
      <formula>B$9&lt;8/24</formula>
    </cfRule>
  </conditionalFormatting>
  <conditionalFormatting sqref="B101:AF117">
    <cfRule type="expression" dxfId="3086" priority="7">
      <formula>B$9&gt;=20/24</formula>
    </cfRule>
    <cfRule type="expression" dxfId="3085" priority="8">
      <formula>AND(B$9&gt;=14/24,B$9&lt;20/24)</formula>
    </cfRule>
    <cfRule type="expression" dxfId="3084" priority="9">
      <formula>AND(B$9&gt;=8/24,B$9&lt;14/24)</formula>
    </cfRule>
    <cfRule type="expression" dxfId="3083" priority="10">
      <formula>B$9&lt;8/24</formula>
    </cfRule>
  </conditionalFormatting>
  <conditionalFormatting sqref="B119:AF137">
    <cfRule type="expression" dxfId="3082" priority="2">
      <formula>B$9&gt;=20/24</formula>
    </cfRule>
    <cfRule type="expression" dxfId="3081" priority="3">
      <formula>AND(B$9&gt;=14/24,B$9&lt;20/24)</formula>
    </cfRule>
    <cfRule type="expression" dxfId="3080" priority="4">
      <formula>AND(B$9&gt;=8/24,B$9&lt;14/24)</formula>
    </cfRule>
    <cfRule type="expression" dxfId="3079" priority="5">
      <formula>B$9&lt;8/24</formula>
    </cfRule>
  </conditionalFormatting>
  <conditionalFormatting sqref="B244:AF244 B246:B252 D246:AF252 U260:AF260">
    <cfRule type="expression" dxfId="3078" priority="116">
      <formula>B$9&gt;=20/24</formula>
    </cfRule>
    <cfRule type="expression" dxfId="3077" priority="117">
      <formula>AND(B$9&gt;=14/24,B$9&lt;20/24)</formula>
    </cfRule>
    <cfRule type="expression" dxfId="3076" priority="118">
      <formula>AND(B$9&gt;=8/24,B$9&lt;14/24)</formula>
    </cfRule>
    <cfRule type="expression" dxfId="3075" priority="119">
      <formula>B$9&lt;8/24</formula>
    </cfRule>
  </conditionalFormatting>
  <conditionalFormatting sqref="B62:AG62">
    <cfRule type="expression" dxfId="3074" priority="58">
      <formula>B62&gt;$AG62</formula>
    </cfRule>
    <cfRule type="expression" dxfId="3073" priority="59">
      <formula>B$9&gt;=20/24</formula>
    </cfRule>
    <cfRule type="expression" dxfId="3072" priority="60">
      <formula>AND(B$9&gt;=14/24,B$9&lt;20/24)</formula>
    </cfRule>
    <cfRule type="expression" dxfId="3071" priority="61">
      <formula>AND(B$9&gt;=8/24,B$9&lt;14/24)</formula>
    </cfRule>
    <cfRule type="expression" dxfId="3070" priority="62">
      <formula>B$9&lt;8/24</formula>
    </cfRule>
  </conditionalFormatting>
  <conditionalFormatting sqref="B75:AG76 B80:AG80">
    <cfRule type="expression" dxfId="3069" priority="44">
      <formula>B75&gt;$AG75</formula>
    </cfRule>
  </conditionalFormatting>
  <conditionalFormatting sqref="B80:AG80">
    <cfRule type="expression" dxfId="3068" priority="45">
      <formula>B$9&gt;=20/24</formula>
    </cfRule>
    <cfRule type="expression" dxfId="3067" priority="46">
      <formula>AND(B$9&gt;=14/24,B$9&lt;20/24)</formula>
    </cfRule>
    <cfRule type="expression" dxfId="3066" priority="47">
      <formula>AND(B$9&gt;=8/24,B$9&lt;14/24)</formula>
    </cfRule>
    <cfRule type="expression" dxfId="3065" priority="48">
      <formula>B$9&lt;8/24</formula>
    </cfRule>
  </conditionalFormatting>
  <conditionalFormatting sqref="F63:L65">
    <cfRule type="expression" dxfId="3064" priority="97">
      <formula>F$9&gt;=20/24</formula>
    </cfRule>
    <cfRule type="expression" dxfId="3063" priority="98">
      <formula>AND(F$9&gt;=14/24,F$9&lt;20/24)</formula>
    </cfRule>
    <cfRule type="expression" dxfId="3062" priority="99">
      <formula>AND(F$9&gt;=8/24,F$9&lt;14/24)</formula>
    </cfRule>
    <cfRule type="expression" dxfId="3061" priority="100">
      <formula>F$9&lt;8/24</formula>
    </cfRule>
  </conditionalFormatting>
  <conditionalFormatting sqref="F68:R68">
    <cfRule type="expression" dxfId="3060" priority="74">
      <formula>F$9&gt;=20/24</formula>
    </cfRule>
    <cfRule type="expression" dxfId="3059" priority="75">
      <formula>AND(F$9&gt;=14/24,F$9&lt;20/24)</formula>
    </cfRule>
    <cfRule type="expression" dxfId="3058" priority="76">
      <formula>AND(F$9&gt;=8/24,F$9&lt;14/24)</formula>
    </cfRule>
    <cfRule type="expression" dxfId="3057" priority="77">
      <formula>F$9&lt;8/24</formula>
    </cfRule>
  </conditionalFormatting>
  <conditionalFormatting sqref="F69:AF74">
    <cfRule type="expression" dxfId="3056" priority="64">
      <formula>F$9&gt;=20/24</formula>
    </cfRule>
    <cfRule type="expression" dxfId="3055" priority="65">
      <formula>AND(F$9&gt;=14/24,F$9&lt;20/24)</formula>
    </cfRule>
    <cfRule type="expression" dxfId="3054" priority="66">
      <formula>AND(F$9&gt;=8/24,F$9&lt;14/24)</formula>
    </cfRule>
    <cfRule type="expression" dxfId="3053" priority="67">
      <formula>F$9&lt;8/24</formula>
    </cfRule>
  </conditionalFormatting>
  <conditionalFormatting sqref="K53:AF55">
    <cfRule type="expression" dxfId="3052" priority="73">
      <formula>K53&gt;$AG53</formula>
    </cfRule>
  </conditionalFormatting>
  <conditionalFormatting sqref="K53:AF57 B56:L56">
    <cfRule type="expression" dxfId="3051" priority="72">
      <formula>B$9&lt;8/24</formula>
    </cfRule>
  </conditionalFormatting>
  <conditionalFormatting sqref="M63:R67">
    <cfRule type="expression" dxfId="3050" priority="101">
      <formula>M$9&gt;=20/24</formula>
    </cfRule>
    <cfRule type="expression" dxfId="3049" priority="102">
      <formula>AND(M$9&gt;=14/24,M$9&lt;20/24)</formula>
    </cfRule>
    <cfRule type="expression" dxfId="3048" priority="103">
      <formula>AND(M$9&gt;=8/24,M$9&lt;14/24)</formula>
    </cfRule>
    <cfRule type="expression" dxfId="3047" priority="104">
      <formula>M$9&lt;8/24</formula>
    </cfRule>
  </conditionalFormatting>
  <conditionalFormatting sqref="O3:P3">
    <cfRule type="iconSet" priority="120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3046" priority="122">
      <formula>C$9&gt;=20/24</formula>
    </cfRule>
  </conditionalFormatting>
  <conditionalFormatting sqref="S8">
    <cfRule type="expression" dxfId="3045" priority="109">
      <formula>U$9&gt;=20/24</formula>
    </cfRule>
    <cfRule type="expression" dxfId="3044" priority="110">
      <formula>AND(U$9&gt;=14/24,U$9&lt;20/24)</formula>
    </cfRule>
    <cfRule type="expression" dxfId="3043" priority="111">
      <formula>AND(U$9&gt;=8/24,U$9&lt;14/24)</formula>
    </cfRule>
    <cfRule type="expression" dxfId="3042" priority="112">
      <formula>U$9&lt;8/24</formula>
    </cfRule>
  </conditionalFormatting>
  <conditionalFormatting sqref="S63:AF68">
    <cfRule type="expression" dxfId="3041" priority="68">
      <formula>S$9&gt;=20/24</formula>
    </cfRule>
    <cfRule type="expression" dxfId="3040" priority="69">
      <formula>AND(S$9&gt;=14/24,S$9&lt;20/24)</formula>
    </cfRule>
    <cfRule type="expression" dxfId="3039" priority="70">
      <formula>AND(S$9&gt;=8/24,S$9&lt;14/24)</formula>
    </cfRule>
    <cfRule type="expression" dxfId="3038" priority="71">
      <formula>S$9&lt;8/24</formula>
    </cfRule>
  </conditionalFormatting>
  <conditionalFormatting sqref="T260">
    <cfRule type="expression" dxfId="3037" priority="134">
      <formula>AX$9&gt;=20/24</formula>
    </cfRule>
    <cfRule type="expression" dxfId="3036" priority="135">
      <formula>AND(AX$9&gt;=14/24,AX$9&lt;20/24)</formula>
    </cfRule>
    <cfRule type="expression" dxfId="3035" priority="136">
      <formula>AND(AX$9&gt;=8/24,AX$9&lt;14/24)</formula>
    </cfRule>
    <cfRule type="expression" dxfId="3034" priority="137">
      <formula>AX$9&lt;8/24</formula>
    </cfRule>
  </conditionalFormatting>
  <conditionalFormatting sqref="V3 AB3">
    <cfRule type="iconSet" priority="121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3033" priority="105">
      <formula>AD$9&gt;=20/24</formula>
    </cfRule>
    <cfRule type="expression" dxfId="3032" priority="106">
      <formula>AND(AD$9&gt;=14/24,AD$9&lt;20/24)</formula>
    </cfRule>
    <cfRule type="expression" dxfId="3031" priority="107">
      <formula>AND(AD$9&gt;=8/24,AD$9&lt;14/24)</formula>
    </cfRule>
    <cfRule type="expression" dxfId="3030" priority="108">
      <formula>AD$9&lt;8/24</formula>
    </cfRule>
  </conditionalFormatting>
  <conditionalFormatting sqref="AG58">
    <cfRule type="expression" dxfId="3029" priority="92">
      <formula>AG58&gt;$AG58</formula>
    </cfRule>
  </conditionalFormatting>
  <conditionalFormatting sqref="AG97">
    <cfRule type="expression" dxfId="3028" priority="93">
      <formula>AG$9&gt;=20/24</formula>
    </cfRule>
    <cfRule type="expression" dxfId="3027" priority="94">
      <formula>AND(AG$9&gt;=14/24,AG$9&lt;20/24)</formula>
    </cfRule>
    <cfRule type="expression" dxfId="3026" priority="95">
      <formula>AND(AG$9&gt;=8/24,AG$9&lt;14/24)</formula>
    </cfRule>
    <cfRule type="expression" dxfId="3025" priority="96">
      <formula>AG$9&lt;8/24</formula>
    </cfRule>
  </conditionalFormatting>
  <conditionalFormatting sqref="AG260">
    <cfRule type="expression" dxfId="3024" priority="126">
      <formula>B$9&gt;=20/24</formula>
    </cfRule>
    <cfRule type="expression" dxfId="3023" priority="127">
      <formula>AND(B$9&gt;=14/24,B$9&lt;20/24)</formula>
    </cfRule>
    <cfRule type="expression" dxfId="3022" priority="128">
      <formula>AND(B$9&gt;=8/24,B$9&lt;14/24)</formula>
    </cfRule>
    <cfRule type="expression" dxfId="3021" priority="129">
      <formula>B$9&lt;8/24</formula>
    </cfRule>
  </conditionalFormatting>
  <conditionalFormatting sqref="AH260:AX260">
    <cfRule type="expression" dxfId="3020" priority="130">
      <formula>AG$9&gt;=20/24</formula>
    </cfRule>
    <cfRule type="expression" dxfId="3019" priority="131">
      <formula>AND(AG$9&gt;=14/24,AG$9&lt;20/24)</formula>
    </cfRule>
    <cfRule type="expression" dxfId="3018" priority="132">
      <formula>AND(AG$9&gt;=8/24,AG$9&lt;14/24)</formula>
    </cfRule>
    <cfRule type="expression" dxfId="3017" priority="133">
      <formula>AG$9&lt;8/24</formula>
    </cfRule>
  </conditionalFormatting>
  <conditionalFormatting sqref="AL4:AL6">
    <cfRule type="iconSet" priority="115">
      <iconSet iconSet="3TrafficLights2" reverse="1">
        <cfvo type="percent" val="0"/>
        <cfvo type="num" val="1"/>
        <cfvo type="num" val="1"/>
      </iconSet>
    </cfRule>
  </conditionalFormatting>
  <conditionalFormatting sqref="AL19:AL20">
    <cfRule type="iconSet" priority="80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90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79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89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91">
      <iconSet iconSet="3TrafficLights2" reverse="1">
        <cfvo type="percent" val="0"/>
        <cfvo type="num" val="1"/>
        <cfvo type="num" val="1"/>
      </iconSet>
    </cfRule>
  </conditionalFormatting>
  <conditionalFormatting sqref="AL48 AL45:AL46 AL21:AL24 AL7:AL18 AL26:AL37 AL39:AL43 AL54:AL55">
    <cfRule type="iconSet" priority="138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14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13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78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3016" priority="139">
      <formula>AJ$9&gt;=20/24</formula>
    </cfRule>
    <cfRule type="expression" dxfId="3015" priority="140">
      <formula>AND(AJ$9&gt;=14/24,AJ$9&lt;20/24)</formula>
    </cfRule>
    <cfRule type="expression" dxfId="3014" priority="141">
      <formula>AND(AJ$9&gt;=8/24,AJ$9&lt;14/24)</formula>
    </cfRule>
    <cfRule type="expression" dxfId="3013" priority="142">
      <formula>AJ$9&lt;8/24</formula>
    </cfRule>
  </conditionalFormatting>
  <conditionalFormatting sqref="AL88:AN88 AL94:AN94">
    <cfRule type="expression" dxfId="3012" priority="85">
      <formula>AL$9&gt;=20/24</formula>
    </cfRule>
    <cfRule type="expression" dxfId="3011" priority="86">
      <formula>AND(AL$9&gt;=14/24,AL$9&lt;20/24)</formula>
    </cfRule>
    <cfRule type="expression" dxfId="3010" priority="87">
      <formula>AND(AL$9&gt;=8/24,AL$9&lt;14/24)</formula>
    </cfRule>
    <cfRule type="expression" dxfId="3009" priority="88">
      <formula>AL$9&lt;8/24</formula>
    </cfRule>
  </conditionalFormatting>
  <conditionalFormatting sqref="AN89:AN92">
    <cfRule type="expression" dxfId="3008" priority="81">
      <formula>AN$9&gt;=20/24</formula>
    </cfRule>
    <cfRule type="expression" dxfId="3007" priority="82">
      <formula>AND(AN$9&gt;=14/24,AN$9&lt;20/24)</formula>
    </cfRule>
    <cfRule type="expression" dxfId="3006" priority="83">
      <formula>AND(AN$9&gt;=8/24,AN$9&lt;14/24)</formula>
    </cfRule>
    <cfRule type="expression" dxfId="3005" priority="84">
      <formula>AN$9&lt;8/24</formula>
    </cfRule>
  </conditionalFormatting>
  <pageMargins left="0.7" right="0.7" top="0.75" bottom="0.75" header="0.3" footer="0.3"/>
  <drawing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98438-2E17-4A43-B584-01F9D0D4A896}">
  <sheetPr codeName="Sheet30"/>
  <dimension ref="M10"/>
  <sheetViews>
    <sheetView workbookViewId="0">
      <selection activeCell="M10" sqref="M10"/>
    </sheetView>
  </sheetViews>
  <sheetFormatPr defaultRowHeight="15" x14ac:dyDescent="0.25"/>
  <sheetData>
    <row r="10" spans="13:13" x14ac:dyDescent="0.25">
      <c r="M10">
        <f>110+70+45+46+12</f>
        <v>283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FB9E4-E021-4DE9-9804-80E24094011A}">
  <sheetPr codeName="Sheet4"/>
  <dimension ref="C10:G13"/>
  <sheetViews>
    <sheetView workbookViewId="0">
      <selection activeCell="G13" sqref="G13"/>
    </sheetView>
  </sheetViews>
  <sheetFormatPr defaultRowHeight="15" x14ac:dyDescent="0.25"/>
  <sheetData>
    <row r="10" spans="3:7" x14ac:dyDescent="0.25">
      <c r="C10">
        <v>4</v>
      </c>
      <c r="D10">
        <v>2494</v>
      </c>
      <c r="E10">
        <v>453</v>
      </c>
      <c r="F10">
        <v>11542</v>
      </c>
    </row>
    <row r="11" spans="3:7" x14ac:dyDescent="0.25">
      <c r="C11">
        <v>6</v>
      </c>
      <c r="D11">
        <v>2423</v>
      </c>
      <c r="E11">
        <v>380</v>
      </c>
      <c r="F11">
        <v>11351</v>
      </c>
    </row>
    <row r="12" spans="3:7" x14ac:dyDescent="0.25">
      <c r="C12">
        <v>11</v>
      </c>
      <c r="D12">
        <f>D10-D11</f>
        <v>71</v>
      </c>
      <c r="E12">
        <f t="shared" ref="E12:F12" si="0">E10-E11</f>
        <v>73</v>
      </c>
      <c r="F12">
        <f t="shared" si="0"/>
        <v>191</v>
      </c>
      <c r="G12">
        <f>F12-D12</f>
        <v>120</v>
      </c>
    </row>
    <row r="13" spans="3:7" x14ac:dyDescent="0.25">
      <c r="C13">
        <f>C12-C11-C10</f>
        <v>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18476-2E86-4E90-A293-C7F328318C88}">
  <sheetPr codeName="Sheet31"/>
  <dimension ref="A1:T142"/>
  <sheetViews>
    <sheetView topLeftCell="A60" workbookViewId="0">
      <selection activeCell="C90" sqref="C90"/>
    </sheetView>
  </sheetViews>
  <sheetFormatPr defaultRowHeight="15" x14ac:dyDescent="0.25"/>
  <cols>
    <col min="1" max="1" width="21.42578125" customWidth="1"/>
    <col min="2" max="2" width="27.140625" customWidth="1"/>
    <col min="3" max="3" width="12.5703125" customWidth="1"/>
    <col min="4" max="4" width="15" customWidth="1"/>
    <col min="5" max="8" width="10.42578125" bestFit="1" customWidth="1"/>
    <col min="9" max="9" width="17.5703125" customWidth="1"/>
    <col min="10" max="11" width="10.42578125" bestFit="1" customWidth="1"/>
    <col min="12" max="12" width="15.140625" customWidth="1"/>
    <col min="13" max="13" width="10.42578125" bestFit="1" customWidth="1"/>
    <col min="14" max="14" width="15.140625" customWidth="1"/>
    <col min="15" max="15" width="17.140625" customWidth="1"/>
    <col min="16" max="16" width="11.42578125" bestFit="1" customWidth="1"/>
    <col min="18" max="18" width="18.140625" customWidth="1"/>
  </cols>
  <sheetData>
    <row r="1" spans="1:18" x14ac:dyDescent="0.25">
      <c r="A1" t="s">
        <v>270</v>
      </c>
      <c r="B1">
        <v>60171</v>
      </c>
    </row>
    <row r="2" spans="1:18" x14ac:dyDescent="0.25">
      <c r="A2" t="s">
        <v>271</v>
      </c>
      <c r="B2">
        <v>60176</v>
      </c>
      <c r="C2">
        <v>19.3</v>
      </c>
    </row>
    <row r="3" spans="1:18" x14ac:dyDescent="0.25">
      <c r="A3" t="s">
        <v>272</v>
      </c>
      <c r="B3">
        <v>60175</v>
      </c>
      <c r="C3">
        <v>12</v>
      </c>
    </row>
    <row r="4" spans="1:18" x14ac:dyDescent="0.25">
      <c r="A4" t="s">
        <v>273</v>
      </c>
      <c r="B4">
        <v>60174</v>
      </c>
      <c r="C4">
        <v>5.7</v>
      </c>
    </row>
    <row r="5" spans="1:18" x14ac:dyDescent="0.25">
      <c r="A5" t="s">
        <v>274</v>
      </c>
      <c r="B5">
        <v>60173</v>
      </c>
      <c r="C5">
        <v>26</v>
      </c>
      <c r="P5">
        <v>16</v>
      </c>
    </row>
    <row r="6" spans="1:18" x14ac:dyDescent="0.25">
      <c r="A6" t="s">
        <v>275</v>
      </c>
      <c r="C6">
        <v>5</v>
      </c>
      <c r="O6" t="s">
        <v>276</v>
      </c>
      <c r="P6">
        <v>8</v>
      </c>
      <c r="Q6" t="s">
        <v>277</v>
      </c>
    </row>
    <row r="7" spans="1:18" x14ac:dyDescent="0.25">
      <c r="C7">
        <f>SUM(C2:C6)+15</f>
        <v>83</v>
      </c>
      <c r="O7" t="s">
        <v>278</v>
      </c>
      <c r="P7" t="s">
        <v>279</v>
      </c>
      <c r="Q7">
        <v>125</v>
      </c>
    </row>
    <row r="8" spans="1:18" x14ac:dyDescent="0.25">
      <c r="H8" t="s">
        <v>280</v>
      </c>
      <c r="I8">
        <v>638400</v>
      </c>
      <c r="O8" t="s">
        <v>281</v>
      </c>
    </row>
    <row r="11" spans="1:18" x14ac:dyDescent="0.25">
      <c r="O11" t="s">
        <v>282</v>
      </c>
      <c r="P11" t="s">
        <v>283</v>
      </c>
      <c r="Q11" t="s">
        <v>284</v>
      </c>
    </row>
    <row r="12" spans="1:18" x14ac:dyDescent="0.25">
      <c r="P12" t="s">
        <v>285</v>
      </c>
      <c r="Q12" t="s">
        <v>286</v>
      </c>
    </row>
    <row r="13" spans="1:18" x14ac:dyDescent="0.25">
      <c r="A13" s="175" t="s">
        <v>63</v>
      </c>
      <c r="B13" s="175"/>
      <c r="K13">
        <v>82.834999999999994</v>
      </c>
      <c r="P13" t="s">
        <v>287</v>
      </c>
    </row>
    <row r="14" spans="1:18" x14ac:dyDescent="0.25">
      <c r="A14" s="175" t="s">
        <v>64</v>
      </c>
      <c r="B14" s="175">
        <v>70</v>
      </c>
    </row>
    <row r="15" spans="1:18" x14ac:dyDescent="0.25">
      <c r="A15" s="175" t="s">
        <v>65</v>
      </c>
      <c r="B15" s="175">
        <v>69</v>
      </c>
      <c r="O15" t="s">
        <v>288</v>
      </c>
      <c r="P15" t="s">
        <v>289</v>
      </c>
    </row>
    <row r="16" spans="1:18" x14ac:dyDescent="0.25">
      <c r="A16" s="175" t="s">
        <v>66</v>
      </c>
      <c r="B16" s="175">
        <v>60</v>
      </c>
      <c r="N16">
        <f>76*4</f>
        <v>304</v>
      </c>
      <c r="P16" t="s">
        <v>290</v>
      </c>
      <c r="Q16" t="s">
        <v>291</v>
      </c>
      <c r="R16" t="s">
        <v>292</v>
      </c>
    </row>
    <row r="17" spans="1:20" x14ac:dyDescent="0.25">
      <c r="A17" s="175" t="s">
        <v>67</v>
      </c>
      <c r="B17" s="175">
        <v>30</v>
      </c>
    </row>
    <row r="18" spans="1:20" x14ac:dyDescent="0.25">
      <c r="A18" s="175" t="s">
        <v>69</v>
      </c>
      <c r="B18" s="175">
        <v>14.8</v>
      </c>
      <c r="O18" t="s">
        <v>293</v>
      </c>
      <c r="P18" t="s">
        <v>294</v>
      </c>
      <c r="Q18" t="s">
        <v>295</v>
      </c>
      <c r="R18" t="s">
        <v>296</v>
      </c>
    </row>
    <row r="19" spans="1:20" x14ac:dyDescent="0.25">
      <c r="A19" s="175" t="s">
        <v>70</v>
      </c>
      <c r="B19" s="175"/>
      <c r="P19" t="s">
        <v>297</v>
      </c>
    </row>
    <row r="20" spans="1:20" x14ac:dyDescent="0.25">
      <c r="A20" s="175" t="s">
        <v>71</v>
      </c>
      <c r="B20" s="175">
        <v>13</v>
      </c>
      <c r="P20" t="s">
        <v>298</v>
      </c>
      <c r="Q20" t="s">
        <v>299</v>
      </c>
    </row>
    <row r="21" spans="1:20" x14ac:dyDescent="0.25">
      <c r="A21" s="175" t="s">
        <v>72</v>
      </c>
      <c r="B21" s="175">
        <v>14</v>
      </c>
      <c r="P21" t="s">
        <v>300</v>
      </c>
      <c r="Q21" t="s">
        <v>301</v>
      </c>
    </row>
    <row r="22" spans="1:20" x14ac:dyDescent="0.25">
      <c r="A22" s="175" t="s">
        <v>73</v>
      </c>
      <c r="B22" s="175"/>
    </row>
    <row r="23" spans="1:20" x14ac:dyDescent="0.25">
      <c r="A23" s="175" t="s">
        <v>74</v>
      </c>
      <c r="B23" s="175"/>
    </row>
    <row r="27" spans="1:20" x14ac:dyDescent="0.25">
      <c r="A27" s="175"/>
      <c r="B27" s="175"/>
      <c r="C27" s="176">
        <v>0.9</v>
      </c>
      <c r="D27" s="176">
        <v>0.8</v>
      </c>
      <c r="E27" s="176">
        <v>0.75</v>
      </c>
      <c r="F27" s="176">
        <v>0.75</v>
      </c>
      <c r="G27" s="176">
        <v>0.2</v>
      </c>
    </row>
    <row r="28" spans="1:20" x14ac:dyDescent="0.25">
      <c r="A28" s="175" t="s">
        <v>302</v>
      </c>
      <c r="B28" s="175">
        <v>30</v>
      </c>
      <c r="C28">
        <f>B28*$C$27</f>
        <v>27</v>
      </c>
      <c r="D28">
        <f>B28*$D$27</f>
        <v>24</v>
      </c>
      <c r="E28">
        <f>B28*$E$27</f>
        <v>22.5</v>
      </c>
      <c r="F28">
        <f>$F$27*B28</f>
        <v>22.5</v>
      </c>
      <c r="G28">
        <f>B28*$G$27</f>
        <v>6</v>
      </c>
      <c r="H28">
        <v>22.5</v>
      </c>
      <c r="L28" t="s">
        <v>303</v>
      </c>
      <c r="M28">
        <v>40</v>
      </c>
      <c r="O28" t="s">
        <v>304</v>
      </c>
      <c r="P28">
        <v>60174</v>
      </c>
      <c r="Q28">
        <v>56</v>
      </c>
      <c r="S28" t="s">
        <v>305</v>
      </c>
      <c r="T28">
        <v>60086</v>
      </c>
    </row>
    <row r="29" spans="1:20" x14ac:dyDescent="0.25">
      <c r="A29" s="175" t="s">
        <v>306</v>
      </c>
      <c r="B29" s="175">
        <v>13</v>
      </c>
      <c r="C29">
        <v>13</v>
      </c>
      <c r="D29">
        <v>13</v>
      </c>
      <c r="E29">
        <v>13</v>
      </c>
      <c r="F29">
        <v>13</v>
      </c>
      <c r="G29">
        <v>8</v>
      </c>
      <c r="H29">
        <v>0</v>
      </c>
      <c r="L29" t="s">
        <v>307</v>
      </c>
      <c r="M29">
        <v>5</v>
      </c>
      <c r="O29" t="s">
        <v>308</v>
      </c>
      <c r="P29">
        <v>60173</v>
      </c>
    </row>
    <row r="30" spans="1:20" x14ac:dyDescent="0.25">
      <c r="A30" s="175" t="s">
        <v>309</v>
      </c>
      <c r="B30" s="175">
        <v>25</v>
      </c>
      <c r="C30">
        <f>B30*$C$27</f>
        <v>22.5</v>
      </c>
      <c r="D30">
        <f>B30*$D$27</f>
        <v>20</v>
      </c>
      <c r="E30">
        <f>B30*$E$27</f>
        <v>18.75</v>
      </c>
      <c r="F30">
        <f>$F$27*B30</f>
        <v>18.75</v>
      </c>
      <c r="G30">
        <f>B30*$G$27</f>
        <v>5</v>
      </c>
      <c r="H30">
        <v>14.35</v>
      </c>
      <c r="L30" t="s">
        <v>310</v>
      </c>
      <c r="M30">
        <v>14</v>
      </c>
    </row>
    <row r="31" spans="1:20" x14ac:dyDescent="0.25">
      <c r="A31" s="175" t="s">
        <v>311</v>
      </c>
      <c r="B31" s="175">
        <v>27</v>
      </c>
      <c r="C31">
        <f>B31*$C$27</f>
        <v>24.3</v>
      </c>
      <c r="D31">
        <f>B31*$D$27</f>
        <v>21.6</v>
      </c>
      <c r="E31">
        <f>B31*$E$27</f>
        <v>20.25</v>
      </c>
      <c r="F31">
        <f>$F$27*B31</f>
        <v>20.25</v>
      </c>
      <c r="G31">
        <f>B31*$G$27</f>
        <v>5.4</v>
      </c>
      <c r="H31">
        <v>13.2</v>
      </c>
      <c r="L31" t="s">
        <v>312</v>
      </c>
      <c r="M31">
        <v>10</v>
      </c>
    </row>
    <row r="32" spans="1:20" x14ac:dyDescent="0.25">
      <c r="A32" s="175" t="s">
        <v>313</v>
      </c>
      <c r="B32" s="175">
        <v>12</v>
      </c>
      <c r="C32">
        <f>B32*$C$27</f>
        <v>10.8</v>
      </c>
      <c r="D32">
        <f>B32*$D$27</f>
        <v>9.6000000000000014</v>
      </c>
      <c r="E32">
        <f>B32*$E$27</f>
        <v>9</v>
      </c>
      <c r="F32">
        <f>$F$27*B32</f>
        <v>9</v>
      </c>
      <c r="G32">
        <f>B32*$G$27</f>
        <v>2.4000000000000004</v>
      </c>
      <c r="H32">
        <v>6.5</v>
      </c>
      <c r="L32" t="s">
        <v>314</v>
      </c>
      <c r="M32">
        <v>20</v>
      </c>
    </row>
    <row r="33" spans="1:17" x14ac:dyDescent="0.25">
      <c r="A33" s="175" t="s">
        <v>315</v>
      </c>
      <c r="B33" s="175">
        <v>8.6</v>
      </c>
      <c r="C33">
        <f>B33*$C$27</f>
        <v>7.74</v>
      </c>
      <c r="D33">
        <f>B33*$D$27</f>
        <v>6.88</v>
      </c>
      <c r="E33">
        <f>B33*$E$27</f>
        <v>6.4499999999999993</v>
      </c>
      <c r="F33">
        <f>$F$27*B33</f>
        <v>6.4499999999999993</v>
      </c>
      <c r="G33">
        <f>B33*$G$27</f>
        <v>1.72</v>
      </c>
      <c r="H33">
        <v>7.5</v>
      </c>
      <c r="I33">
        <v>8</v>
      </c>
      <c r="M33">
        <f>SUM(M28:M32)</f>
        <v>89</v>
      </c>
    </row>
    <row r="34" spans="1:17" x14ac:dyDescent="0.25">
      <c r="A34" s="175" t="s">
        <v>316</v>
      </c>
      <c r="B34" s="177">
        <f>SUM(B28:B33)</f>
        <v>115.6</v>
      </c>
      <c r="C34">
        <f>SUM(C28:C33)</f>
        <v>105.33999999999999</v>
      </c>
      <c r="D34">
        <f t="shared" ref="D34:E34" si="0">SUM(D29:D33)</f>
        <v>71.08</v>
      </c>
      <c r="E34">
        <f t="shared" si="0"/>
        <v>67.45</v>
      </c>
      <c r="F34">
        <f>SUM(F29:F33)</f>
        <v>67.45</v>
      </c>
      <c r="G34">
        <f>SUM(G29:G33)</f>
        <v>22.519999999999996</v>
      </c>
      <c r="H34">
        <f>SUM(H28:H33)</f>
        <v>64.05</v>
      </c>
    </row>
    <row r="35" spans="1:17" x14ac:dyDescent="0.25">
      <c r="H35">
        <f>5.4+20.7</f>
        <v>26.1</v>
      </c>
    </row>
    <row r="36" spans="1:17" ht="30" x14ac:dyDescent="0.25">
      <c r="G36" s="178" t="s">
        <v>317</v>
      </c>
      <c r="H36" s="179">
        <f>H34-H35</f>
        <v>37.949999999999996</v>
      </c>
    </row>
    <row r="37" spans="1:17" x14ac:dyDescent="0.25">
      <c r="A37" s="175" t="s">
        <v>318</v>
      </c>
      <c r="B37" s="175"/>
      <c r="G37" t="s">
        <v>239</v>
      </c>
      <c r="H37">
        <v>40</v>
      </c>
    </row>
    <row r="38" spans="1:17" x14ac:dyDescent="0.25">
      <c r="A38" s="175"/>
      <c r="B38" s="175"/>
      <c r="G38" t="s">
        <v>240</v>
      </c>
      <c r="H38">
        <v>15</v>
      </c>
    </row>
    <row r="39" spans="1:17" x14ac:dyDescent="0.25">
      <c r="A39" s="175" t="s">
        <v>319</v>
      </c>
      <c r="B39" s="175">
        <v>11</v>
      </c>
      <c r="G39" t="s">
        <v>241</v>
      </c>
      <c r="H39">
        <v>35</v>
      </c>
    </row>
    <row r="40" spans="1:17" x14ac:dyDescent="0.25">
      <c r="A40" s="175" t="s">
        <v>320</v>
      </c>
      <c r="B40" s="175"/>
      <c r="G40" t="s">
        <v>321</v>
      </c>
      <c r="M40">
        <f>4*76</f>
        <v>304</v>
      </c>
    </row>
    <row r="41" spans="1:17" x14ac:dyDescent="0.25">
      <c r="A41" s="175" t="s">
        <v>322</v>
      </c>
      <c r="B41" s="175">
        <v>9.5</v>
      </c>
      <c r="C41">
        <v>5.5</v>
      </c>
      <c r="G41" t="s">
        <v>323</v>
      </c>
      <c r="K41" s="282" t="s">
        <v>324</v>
      </c>
      <c r="L41" t="s">
        <v>325</v>
      </c>
      <c r="M41">
        <v>1361</v>
      </c>
      <c r="N41" t="s">
        <v>326</v>
      </c>
      <c r="O41">
        <v>350</v>
      </c>
      <c r="P41" t="s">
        <v>327</v>
      </c>
      <c r="Q41">
        <v>456</v>
      </c>
    </row>
    <row r="42" spans="1:17" x14ac:dyDescent="0.25">
      <c r="A42" s="175" t="s">
        <v>328</v>
      </c>
      <c r="B42" s="175">
        <v>2.5</v>
      </c>
      <c r="G42" t="s">
        <v>329</v>
      </c>
      <c r="K42" s="282"/>
      <c r="L42" t="s">
        <v>330</v>
      </c>
      <c r="M42">
        <v>991</v>
      </c>
      <c r="N42" t="s">
        <v>331</v>
      </c>
      <c r="O42">
        <v>300</v>
      </c>
      <c r="P42" t="s">
        <v>332</v>
      </c>
      <c r="Q42">
        <v>65</v>
      </c>
    </row>
    <row r="43" spans="1:17" x14ac:dyDescent="0.25">
      <c r="A43" s="175" t="s">
        <v>333</v>
      </c>
      <c r="B43" s="175">
        <v>7.5</v>
      </c>
      <c r="C43">
        <v>4</v>
      </c>
      <c r="G43" t="s">
        <v>334</v>
      </c>
      <c r="L43" t="s">
        <v>335</v>
      </c>
      <c r="M43">
        <f>M41-M42</f>
        <v>370</v>
      </c>
      <c r="N43" t="s">
        <v>336</v>
      </c>
      <c r="O43">
        <v>50</v>
      </c>
      <c r="P43" t="s">
        <v>337</v>
      </c>
      <c r="Q43">
        <f>Q41-Q42</f>
        <v>391</v>
      </c>
    </row>
    <row r="44" spans="1:17" x14ac:dyDescent="0.25">
      <c r="A44" s="175"/>
      <c r="B44" s="177"/>
      <c r="G44" t="s">
        <v>338</v>
      </c>
    </row>
    <row r="46" spans="1:17" x14ac:dyDescent="0.25">
      <c r="A46" s="175" t="s">
        <v>339</v>
      </c>
      <c r="B46" s="175">
        <v>60084</v>
      </c>
      <c r="L46" t="s">
        <v>337</v>
      </c>
    </row>
    <row r="47" spans="1:17" x14ac:dyDescent="0.25">
      <c r="A47" s="175" t="s">
        <v>340</v>
      </c>
      <c r="B47" s="175">
        <v>17551</v>
      </c>
      <c r="L47" t="s">
        <v>341</v>
      </c>
    </row>
    <row r="48" spans="1:17" x14ac:dyDescent="0.25">
      <c r="A48" s="175" t="s">
        <v>342</v>
      </c>
      <c r="B48" s="180">
        <v>10.5</v>
      </c>
      <c r="L48" t="s">
        <v>343</v>
      </c>
    </row>
    <row r="49" spans="1:9" x14ac:dyDescent="0.25">
      <c r="A49" s="175" t="s">
        <v>344</v>
      </c>
      <c r="B49" s="180">
        <v>9.5</v>
      </c>
      <c r="C49">
        <v>9.5</v>
      </c>
    </row>
    <row r="50" spans="1:9" x14ac:dyDescent="0.25">
      <c r="A50" s="175"/>
      <c r="B50" s="180"/>
    </row>
    <row r="51" spans="1:9" x14ac:dyDescent="0.25">
      <c r="A51" s="175" t="s">
        <v>345</v>
      </c>
      <c r="B51" s="175">
        <v>2</v>
      </c>
    </row>
    <row r="52" spans="1:9" x14ac:dyDescent="0.25">
      <c r="A52" s="175"/>
      <c r="B52" s="181"/>
    </row>
    <row r="54" spans="1:9" x14ac:dyDescent="0.25">
      <c r="A54" s="175" t="s">
        <v>346</v>
      </c>
      <c r="B54" s="175">
        <v>60092</v>
      </c>
    </row>
    <row r="55" spans="1:9" x14ac:dyDescent="0.25">
      <c r="A55" s="175" t="s">
        <v>347</v>
      </c>
      <c r="B55" s="175"/>
    </row>
    <row r="56" spans="1:9" x14ac:dyDescent="0.25">
      <c r="A56" s="182" t="s">
        <v>348</v>
      </c>
      <c r="B56" s="175"/>
    </row>
    <row r="57" spans="1:9" x14ac:dyDescent="0.25">
      <c r="A57" s="175" t="s">
        <v>349</v>
      </c>
      <c r="B57" s="175">
        <v>60091</v>
      </c>
    </row>
    <row r="58" spans="1:9" x14ac:dyDescent="0.25">
      <c r="A58" s="175" t="s">
        <v>350</v>
      </c>
      <c r="B58" s="175">
        <v>60086</v>
      </c>
    </row>
    <row r="59" spans="1:9" x14ac:dyDescent="0.25">
      <c r="A59" s="175" t="s">
        <v>351</v>
      </c>
      <c r="B59" s="175"/>
    </row>
    <row r="60" spans="1:9" x14ac:dyDescent="0.25">
      <c r="A60" s="175" t="s">
        <v>352</v>
      </c>
      <c r="B60" s="175"/>
    </row>
    <row r="61" spans="1:9" x14ac:dyDescent="0.25">
      <c r="A61" s="175" t="s">
        <v>353</v>
      </c>
      <c r="B61" s="175">
        <v>17</v>
      </c>
    </row>
    <row r="62" spans="1:9" x14ac:dyDescent="0.25">
      <c r="A62" s="175" t="s">
        <v>354</v>
      </c>
      <c r="B62" s="175">
        <v>4</v>
      </c>
      <c r="I62">
        <v>121</v>
      </c>
    </row>
    <row r="63" spans="1:9" x14ac:dyDescent="0.25">
      <c r="A63" s="175" t="s">
        <v>355</v>
      </c>
      <c r="B63" s="175">
        <v>2.4</v>
      </c>
      <c r="I63">
        <v>10.5</v>
      </c>
    </row>
    <row r="64" spans="1:9" x14ac:dyDescent="0.25">
      <c r="A64" s="175"/>
      <c r="B64" s="171" t="s">
        <v>356</v>
      </c>
      <c r="I64">
        <v>84</v>
      </c>
    </row>
    <row r="65" spans="1:9" x14ac:dyDescent="0.25">
      <c r="A65" s="175"/>
      <c r="B65" s="171"/>
      <c r="I65">
        <v>14</v>
      </c>
    </row>
    <row r="66" spans="1:9" x14ac:dyDescent="0.25">
      <c r="A66" s="175" t="s">
        <v>357</v>
      </c>
      <c r="B66" s="171">
        <v>60093</v>
      </c>
      <c r="I66">
        <v>12</v>
      </c>
    </row>
    <row r="67" spans="1:9" x14ac:dyDescent="0.25">
      <c r="A67" s="175" t="s">
        <v>358</v>
      </c>
      <c r="B67" s="171">
        <v>60087</v>
      </c>
      <c r="H67" t="s">
        <v>359</v>
      </c>
      <c r="I67">
        <v>3.1</v>
      </c>
    </row>
    <row r="68" spans="1:9" x14ac:dyDescent="0.25">
      <c r="B68" s="183"/>
    </row>
    <row r="69" spans="1:9" x14ac:dyDescent="0.25">
      <c r="A69" t="s">
        <v>609</v>
      </c>
      <c r="B69" s="183" t="s">
        <v>618</v>
      </c>
    </row>
    <row r="70" spans="1:9" x14ac:dyDescent="0.25">
      <c r="B70" s="183"/>
    </row>
    <row r="71" spans="1:9" x14ac:dyDescent="0.25">
      <c r="B71" s="183"/>
    </row>
    <row r="72" spans="1:9" x14ac:dyDescent="0.25">
      <c r="B72" s="183"/>
    </row>
    <row r="73" spans="1:9" x14ac:dyDescent="0.25">
      <c r="B73" s="183"/>
    </row>
    <row r="74" spans="1:9" x14ac:dyDescent="0.25">
      <c r="B74" s="183"/>
    </row>
    <row r="75" spans="1:9" x14ac:dyDescent="0.25">
      <c r="B75" s="183"/>
    </row>
    <row r="76" spans="1:9" x14ac:dyDescent="0.25">
      <c r="B76" s="183"/>
      <c r="I76">
        <f>SUM(I62:I66)-I67</f>
        <v>238.4</v>
      </c>
    </row>
    <row r="77" spans="1:9" ht="15.75" thickBot="1" x14ac:dyDescent="0.3">
      <c r="A77" t="s">
        <v>293</v>
      </c>
      <c r="B77" s="183" t="s">
        <v>360</v>
      </c>
    </row>
    <row r="78" spans="1:9" x14ac:dyDescent="0.25">
      <c r="A78" t="s">
        <v>288</v>
      </c>
      <c r="B78" t="s">
        <v>361</v>
      </c>
      <c r="C78" t="s">
        <v>362</v>
      </c>
      <c r="I78" s="100" t="s">
        <v>119</v>
      </c>
    </row>
    <row r="79" spans="1:9" x14ac:dyDescent="0.25">
      <c r="A79" t="s">
        <v>282</v>
      </c>
      <c r="B79" t="s">
        <v>363</v>
      </c>
      <c r="C79" t="s">
        <v>364</v>
      </c>
      <c r="D79" t="s">
        <v>365</v>
      </c>
      <c r="E79" t="s">
        <v>366</v>
      </c>
      <c r="I79" s="103" t="s">
        <v>120</v>
      </c>
    </row>
    <row r="80" spans="1:9" x14ac:dyDescent="0.25">
      <c r="I80" s="103" t="s">
        <v>121</v>
      </c>
    </row>
    <row r="81" spans="1:12" x14ac:dyDescent="0.25">
      <c r="A81" t="s">
        <v>367</v>
      </c>
      <c r="B81" t="s">
        <v>385</v>
      </c>
      <c r="C81" t="s">
        <v>386</v>
      </c>
      <c r="D81" t="s">
        <v>387</v>
      </c>
      <c r="I81" s="103" t="s">
        <v>122</v>
      </c>
    </row>
    <row r="82" spans="1:12" x14ac:dyDescent="0.25">
      <c r="B82" t="s">
        <v>629</v>
      </c>
      <c r="I82" s="116" t="s">
        <v>123</v>
      </c>
    </row>
    <row r="83" spans="1:12" x14ac:dyDescent="0.25">
      <c r="A83" t="s">
        <v>415</v>
      </c>
    </row>
    <row r="85" spans="1:12" x14ac:dyDescent="0.25">
      <c r="A85" t="s">
        <v>626</v>
      </c>
      <c r="B85" t="s">
        <v>461</v>
      </c>
    </row>
    <row r="86" spans="1:12" x14ac:dyDescent="0.25">
      <c r="B86" t="s">
        <v>628</v>
      </c>
    </row>
    <row r="87" spans="1:12" x14ac:dyDescent="0.25">
      <c r="A87" t="s">
        <v>627</v>
      </c>
      <c r="B87" t="s">
        <v>413</v>
      </c>
      <c r="C87" t="s">
        <v>414</v>
      </c>
    </row>
    <row r="92" spans="1:12" x14ac:dyDescent="0.25">
      <c r="B92" t="s">
        <v>368</v>
      </c>
    </row>
    <row r="93" spans="1:12" x14ac:dyDescent="0.25">
      <c r="A93" s="184">
        <v>0.7368055555555556</v>
      </c>
    </row>
    <row r="96" spans="1:12" x14ac:dyDescent="0.25">
      <c r="L96">
        <v>22</v>
      </c>
    </row>
    <row r="97" spans="1:12" x14ac:dyDescent="0.25">
      <c r="A97" t="s">
        <v>369</v>
      </c>
      <c r="B97" t="s">
        <v>370</v>
      </c>
      <c r="C97">
        <v>29</v>
      </c>
      <c r="D97">
        <v>10</v>
      </c>
      <c r="L97">
        <v>5</v>
      </c>
    </row>
    <row r="98" spans="1:12" x14ac:dyDescent="0.25">
      <c r="B98" t="s">
        <v>371</v>
      </c>
      <c r="C98">
        <v>25.8</v>
      </c>
      <c r="D98">
        <v>8.5</v>
      </c>
      <c r="L98">
        <v>10</v>
      </c>
    </row>
    <row r="99" spans="1:12" x14ac:dyDescent="0.25">
      <c r="B99" t="s">
        <v>372</v>
      </c>
      <c r="C99">
        <v>12.6</v>
      </c>
      <c r="D99">
        <v>4.4000000000000004</v>
      </c>
      <c r="L99">
        <v>8</v>
      </c>
    </row>
    <row r="100" spans="1:12" x14ac:dyDescent="0.25">
      <c r="B100" t="s">
        <v>373</v>
      </c>
      <c r="C100">
        <v>6.2</v>
      </c>
      <c r="D100">
        <v>3.5</v>
      </c>
      <c r="L100">
        <v>10</v>
      </c>
    </row>
    <row r="101" spans="1:12" x14ac:dyDescent="0.25">
      <c r="B101" t="s">
        <v>374</v>
      </c>
      <c r="C101">
        <v>7.6</v>
      </c>
      <c r="D101">
        <v>2.5</v>
      </c>
      <c r="L101">
        <v>20</v>
      </c>
    </row>
    <row r="102" spans="1:12" x14ac:dyDescent="0.25">
      <c r="B102" t="s">
        <v>375</v>
      </c>
      <c r="C102">
        <v>4</v>
      </c>
      <c r="D102">
        <v>1</v>
      </c>
      <c r="L102">
        <v>15</v>
      </c>
    </row>
    <row r="103" spans="1:12" x14ac:dyDescent="0.25">
      <c r="B103" t="s">
        <v>376</v>
      </c>
      <c r="C103">
        <v>8</v>
      </c>
      <c r="D103">
        <v>0</v>
      </c>
      <c r="L103">
        <f>SUM(L96:L102)</f>
        <v>90</v>
      </c>
    </row>
    <row r="104" spans="1:12" x14ac:dyDescent="0.25">
      <c r="B104" t="s">
        <v>377</v>
      </c>
      <c r="C104">
        <v>9.5</v>
      </c>
      <c r="D104">
        <v>5.75</v>
      </c>
    </row>
    <row r="105" spans="1:12" x14ac:dyDescent="0.25">
      <c r="C105">
        <f>SUM(C97:C104)</f>
        <v>102.69999999999999</v>
      </c>
    </row>
    <row r="106" spans="1:12" x14ac:dyDescent="0.25">
      <c r="A106" t="s">
        <v>382</v>
      </c>
      <c r="B106" t="s">
        <v>382</v>
      </c>
      <c r="C106" t="s">
        <v>384</v>
      </c>
      <c r="D106" t="s">
        <v>408</v>
      </c>
    </row>
    <row r="107" spans="1:12" x14ac:dyDescent="0.25">
      <c r="B107" t="s">
        <v>383</v>
      </c>
      <c r="C107" t="s">
        <v>384</v>
      </c>
    </row>
    <row r="109" spans="1:12" x14ac:dyDescent="0.25">
      <c r="A109" t="s">
        <v>409</v>
      </c>
      <c r="B109" t="s">
        <v>410</v>
      </c>
    </row>
    <row r="110" spans="1:12" x14ac:dyDescent="0.25">
      <c r="B110" t="s">
        <v>411</v>
      </c>
    </row>
    <row r="111" spans="1:12" x14ac:dyDescent="0.25">
      <c r="B111" t="s">
        <v>412</v>
      </c>
    </row>
    <row r="113" spans="1:11" x14ac:dyDescent="0.25">
      <c r="A113" t="s">
        <v>416</v>
      </c>
      <c r="B113" t="s">
        <v>417</v>
      </c>
    </row>
    <row r="123" spans="1:11" x14ac:dyDescent="0.25">
      <c r="A123" t="s">
        <v>433</v>
      </c>
      <c r="B123">
        <v>40.9</v>
      </c>
      <c r="C123">
        <v>40.700000000000003</v>
      </c>
      <c r="D123">
        <v>50.9</v>
      </c>
      <c r="E123">
        <f>D123-C123</f>
        <v>10.199999999999996</v>
      </c>
    </row>
    <row r="124" spans="1:11" x14ac:dyDescent="0.25">
      <c r="A124" t="s">
        <v>367</v>
      </c>
      <c r="B124">
        <v>8.3000000000000007</v>
      </c>
      <c r="C124">
        <v>8.3000000000000007</v>
      </c>
      <c r="E124">
        <f t="shared" ref="E124:E134" si="1">D124-C124</f>
        <v>-8.3000000000000007</v>
      </c>
    </row>
    <row r="125" spans="1:11" x14ac:dyDescent="0.25">
      <c r="A125" t="s">
        <v>293</v>
      </c>
      <c r="B125">
        <v>12.2</v>
      </c>
      <c r="C125">
        <v>11.2</v>
      </c>
      <c r="D125">
        <v>18.5</v>
      </c>
      <c r="E125">
        <f t="shared" si="1"/>
        <v>7.3000000000000007</v>
      </c>
    </row>
    <row r="126" spans="1:11" x14ac:dyDescent="0.25">
      <c r="A126" t="s">
        <v>288</v>
      </c>
      <c r="B126">
        <v>50.3</v>
      </c>
      <c r="C126">
        <v>49.9</v>
      </c>
      <c r="D126">
        <v>54.2</v>
      </c>
      <c r="E126">
        <f t="shared" si="1"/>
        <v>4.3000000000000043</v>
      </c>
    </row>
    <row r="127" spans="1:11" x14ac:dyDescent="0.25">
      <c r="A127" t="s">
        <v>434</v>
      </c>
      <c r="B127">
        <v>41.2</v>
      </c>
      <c r="C127">
        <v>38.299999999999997</v>
      </c>
      <c r="D127">
        <v>52.6</v>
      </c>
      <c r="E127">
        <f t="shared" si="1"/>
        <v>14.300000000000004</v>
      </c>
      <c r="K127">
        <v>36.700000000000003</v>
      </c>
    </row>
    <row r="128" spans="1:11" x14ac:dyDescent="0.25">
      <c r="A128" t="s">
        <v>617</v>
      </c>
      <c r="B128">
        <v>9.6</v>
      </c>
      <c r="C128">
        <v>9.3000000000000007</v>
      </c>
      <c r="D128">
        <v>11.1</v>
      </c>
      <c r="E128">
        <f t="shared" si="1"/>
        <v>1.7999999999999989</v>
      </c>
    </row>
    <row r="129" spans="1:11" x14ac:dyDescent="0.25">
      <c r="A129" t="s">
        <v>436</v>
      </c>
      <c r="B129">
        <v>3</v>
      </c>
      <c r="C129">
        <v>1.3</v>
      </c>
      <c r="D129">
        <v>27.7</v>
      </c>
      <c r="E129">
        <f t="shared" si="1"/>
        <v>26.4</v>
      </c>
      <c r="K129">
        <v>30.2</v>
      </c>
    </row>
    <row r="130" spans="1:11" x14ac:dyDescent="0.25">
      <c r="A130" t="s">
        <v>435</v>
      </c>
      <c r="B130">
        <v>20.2</v>
      </c>
      <c r="C130">
        <v>16.899999999999999</v>
      </c>
      <c r="D130">
        <v>16.899999999999999</v>
      </c>
      <c r="E130">
        <f t="shared" si="1"/>
        <v>0</v>
      </c>
      <c r="K130">
        <v>31.9</v>
      </c>
    </row>
    <row r="131" spans="1:11" x14ac:dyDescent="0.25">
      <c r="A131" t="s">
        <v>437</v>
      </c>
      <c r="B131">
        <v>8.4</v>
      </c>
      <c r="C131">
        <v>0</v>
      </c>
      <c r="D131">
        <v>25.9</v>
      </c>
      <c r="E131">
        <f t="shared" si="1"/>
        <v>25.9</v>
      </c>
      <c r="K131">
        <v>19.2</v>
      </c>
    </row>
    <row r="132" spans="1:11" x14ac:dyDescent="0.25">
      <c r="A132" t="s">
        <v>616</v>
      </c>
      <c r="B132">
        <v>21.9</v>
      </c>
      <c r="C132">
        <v>0</v>
      </c>
      <c r="D132">
        <v>22.5</v>
      </c>
      <c r="E132">
        <f t="shared" si="1"/>
        <v>22.5</v>
      </c>
      <c r="K132">
        <v>4.2</v>
      </c>
    </row>
    <row r="133" spans="1:11" x14ac:dyDescent="0.25">
      <c r="A133" t="s">
        <v>492</v>
      </c>
      <c r="B133">
        <v>31.6</v>
      </c>
      <c r="C133">
        <v>31.5</v>
      </c>
      <c r="D133">
        <v>31.5</v>
      </c>
      <c r="E133">
        <f t="shared" si="1"/>
        <v>0</v>
      </c>
      <c r="K133">
        <v>2.7</v>
      </c>
    </row>
    <row r="134" spans="1:11" x14ac:dyDescent="0.25">
      <c r="A134" t="s">
        <v>511</v>
      </c>
      <c r="B134">
        <v>106.3</v>
      </c>
      <c r="C134">
        <v>62</v>
      </c>
      <c r="D134">
        <v>132</v>
      </c>
      <c r="E134">
        <f t="shared" si="1"/>
        <v>70</v>
      </c>
      <c r="K134">
        <v>3.7</v>
      </c>
    </row>
    <row r="135" spans="1:11" x14ac:dyDescent="0.25">
      <c r="E135">
        <f>SUM(E123:E134)</f>
        <v>174.4</v>
      </c>
      <c r="K135">
        <f>SUM(K127:K134)</f>
        <v>128.60000000000002</v>
      </c>
    </row>
    <row r="141" spans="1:11" x14ac:dyDescent="0.25">
      <c r="A141" t="s">
        <v>621</v>
      </c>
    </row>
    <row r="142" spans="1:11" x14ac:dyDescent="0.25">
      <c r="A142" t="s">
        <v>622</v>
      </c>
      <c r="B142" t="s">
        <v>623</v>
      </c>
      <c r="C142" t="s">
        <v>287</v>
      </c>
      <c r="D142" t="s">
        <v>624</v>
      </c>
    </row>
  </sheetData>
  <mergeCells count="1">
    <mergeCell ref="K41:K42"/>
  </mergeCells>
  <conditionalFormatting sqref="I78:I82">
    <cfRule type="expression" dxfId="3004" priority="1">
      <formula>$AH78=0</formula>
    </cfRule>
  </conditionalFormatting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7AD5D-7B28-465D-8DB2-99809CADE253}">
  <sheetPr codeName="Sheet23">
    <pageSetUpPr fitToPage="1"/>
  </sheetPr>
  <dimension ref="A2:J146"/>
  <sheetViews>
    <sheetView topLeftCell="A133" zoomScale="85" zoomScaleNormal="85" workbookViewId="0">
      <selection activeCell="C19" sqref="C19"/>
    </sheetView>
  </sheetViews>
  <sheetFormatPr defaultRowHeight="15" x14ac:dyDescent="0.25"/>
  <cols>
    <col min="1" max="1" width="8.85546875" customWidth="1"/>
    <col min="2" max="2" width="29.42578125" customWidth="1"/>
    <col min="3" max="3" width="17.85546875" bestFit="1" customWidth="1"/>
    <col min="4" max="4" width="20.28515625" customWidth="1"/>
    <col min="5" max="5" width="20.140625" customWidth="1"/>
    <col min="6" max="6" width="23.42578125" customWidth="1"/>
    <col min="7" max="7" width="12.7109375" bestFit="1" customWidth="1"/>
    <col min="8" max="8" width="12.140625" hidden="1" customWidth="1"/>
    <col min="9" max="9" width="10.42578125" hidden="1" customWidth="1"/>
    <col min="12" max="12" width="15" bestFit="1" customWidth="1"/>
  </cols>
  <sheetData>
    <row r="2" spans="1:9" ht="18.75" customHeight="1" x14ac:dyDescent="0.25">
      <c r="A2" s="283" t="s">
        <v>440</v>
      </c>
      <c r="B2" s="283"/>
      <c r="C2" s="283"/>
      <c r="D2" s="283"/>
      <c r="E2" s="283"/>
      <c r="F2" s="215"/>
    </row>
    <row r="3" spans="1:9" ht="18.75" x14ac:dyDescent="0.25">
      <c r="A3" s="214"/>
      <c r="B3" s="216"/>
      <c r="C3" s="214"/>
      <c r="D3" s="214"/>
      <c r="E3" s="214"/>
    </row>
    <row r="4" spans="1:9" x14ac:dyDescent="0.25">
      <c r="B4" s="217"/>
      <c r="C4" s="218"/>
      <c r="D4" s="218"/>
      <c r="E4" s="219"/>
    </row>
    <row r="5" spans="1:9" ht="15.75" x14ac:dyDescent="0.25">
      <c r="A5" s="220" t="s">
        <v>441</v>
      </c>
      <c r="B5" s="220" t="s">
        <v>442</v>
      </c>
      <c r="C5" s="221"/>
      <c r="D5" s="221"/>
      <c r="E5" s="222"/>
    </row>
    <row r="6" spans="1:9" x14ac:dyDescent="0.25">
      <c r="A6" s="223" t="s">
        <v>443</v>
      </c>
      <c r="B6" s="171" t="s">
        <v>444</v>
      </c>
      <c r="C6" s="223" t="s">
        <v>445</v>
      </c>
      <c r="D6" s="223" t="s">
        <v>446</v>
      </c>
      <c r="E6" s="223" t="s">
        <v>447</v>
      </c>
      <c r="H6" s="224" t="s">
        <v>448</v>
      </c>
    </row>
    <row r="7" spans="1:9" x14ac:dyDescent="0.25">
      <c r="A7" s="171">
        <v>1</v>
      </c>
      <c r="B7" s="175" t="s">
        <v>449</v>
      </c>
      <c r="C7" s="171">
        <v>66</v>
      </c>
      <c r="D7" s="284" t="s">
        <v>450</v>
      </c>
      <c r="E7" s="225">
        <v>6.8</v>
      </c>
      <c r="H7" t="s">
        <v>451</v>
      </c>
      <c r="I7" t="e">
        <f>SUM(E12+E17)+#REF!</f>
        <v>#REF!</v>
      </c>
    </row>
    <row r="8" spans="1:9" x14ac:dyDescent="0.25">
      <c r="A8" s="171">
        <v>2</v>
      </c>
      <c r="B8" s="175" t="s">
        <v>452</v>
      </c>
      <c r="C8" s="171">
        <v>66</v>
      </c>
      <c r="D8" s="285"/>
      <c r="E8" s="225">
        <v>7.7349999999999994</v>
      </c>
      <c r="H8" t="s">
        <v>453</v>
      </c>
      <c r="I8">
        <f>E25+E16+E15+E14+E13+E11+E10+E9+E8+E7</f>
        <v>114.3335</v>
      </c>
    </row>
    <row r="9" spans="1:9" x14ac:dyDescent="0.25">
      <c r="A9" s="171">
        <v>3</v>
      </c>
      <c r="B9" s="175" t="s">
        <v>454</v>
      </c>
      <c r="C9" s="171">
        <v>66</v>
      </c>
      <c r="D9" s="286"/>
      <c r="E9" s="225">
        <v>34</v>
      </c>
      <c r="H9" t="s">
        <v>455</v>
      </c>
      <c r="I9">
        <f>E26</f>
        <v>0.34</v>
      </c>
    </row>
    <row r="10" spans="1:9" x14ac:dyDescent="0.25">
      <c r="A10" s="171">
        <v>4</v>
      </c>
      <c r="B10" s="175" t="s">
        <v>456</v>
      </c>
      <c r="C10" s="171">
        <v>66</v>
      </c>
      <c r="D10" s="287" t="s">
        <v>457</v>
      </c>
      <c r="E10" s="226">
        <v>14.025</v>
      </c>
      <c r="H10" t="s">
        <v>458</v>
      </c>
      <c r="I10">
        <f>E18+E24</f>
        <v>7.5990000000000002</v>
      </c>
    </row>
    <row r="11" spans="1:9" x14ac:dyDescent="0.25">
      <c r="A11" s="171">
        <v>5</v>
      </c>
      <c r="B11" s="175" t="s">
        <v>459</v>
      </c>
      <c r="C11" s="171">
        <v>66</v>
      </c>
      <c r="D11" s="288"/>
      <c r="E11" s="225">
        <v>2.5499999999999998</v>
      </c>
      <c r="I11" s="179" t="e">
        <f>I7+I8+I9+I10</f>
        <v>#REF!</v>
      </c>
    </row>
    <row r="12" spans="1:9" x14ac:dyDescent="0.25">
      <c r="A12" s="171">
        <v>6</v>
      </c>
      <c r="B12" s="175" t="s">
        <v>460</v>
      </c>
      <c r="C12" s="171">
        <v>66</v>
      </c>
      <c r="D12" s="288"/>
      <c r="E12" s="225">
        <v>1.02</v>
      </c>
    </row>
    <row r="13" spans="1:9" x14ac:dyDescent="0.25">
      <c r="A13" s="171">
        <v>7</v>
      </c>
      <c r="B13" s="175" t="s">
        <v>461</v>
      </c>
      <c r="C13" s="171">
        <v>66</v>
      </c>
      <c r="D13" s="288"/>
      <c r="E13" s="225">
        <v>27.2</v>
      </c>
    </row>
    <row r="14" spans="1:9" x14ac:dyDescent="0.25">
      <c r="A14" s="171">
        <v>8</v>
      </c>
      <c r="B14" s="175" t="s">
        <v>462</v>
      </c>
      <c r="C14" s="171">
        <v>66</v>
      </c>
      <c r="D14" s="288"/>
      <c r="E14" s="225">
        <v>11.049999999999999</v>
      </c>
      <c r="I14">
        <f>I8*0.7</f>
        <v>80.033450000000002</v>
      </c>
    </row>
    <row r="15" spans="1:9" x14ac:dyDescent="0.25">
      <c r="A15" s="171">
        <v>9</v>
      </c>
      <c r="B15" s="175" t="s">
        <v>463</v>
      </c>
      <c r="C15" s="171">
        <v>66</v>
      </c>
      <c r="D15" s="288"/>
      <c r="E15" s="225">
        <v>2.5499999999999998</v>
      </c>
    </row>
    <row r="16" spans="1:9" x14ac:dyDescent="0.25">
      <c r="A16" s="171">
        <v>10</v>
      </c>
      <c r="B16" s="175" t="s">
        <v>464</v>
      </c>
      <c r="C16" s="171">
        <v>66</v>
      </c>
      <c r="D16" s="288"/>
      <c r="E16" s="225">
        <v>5.5249999999999995</v>
      </c>
      <c r="H16">
        <f>20+50+50+15+20+5+8+25</f>
        <v>193</v>
      </c>
    </row>
    <row r="17" spans="1:8" x14ac:dyDescent="0.25">
      <c r="A17" s="171">
        <v>11</v>
      </c>
      <c r="B17" s="175" t="s">
        <v>465</v>
      </c>
      <c r="C17" s="171">
        <v>66</v>
      </c>
      <c r="D17" s="288"/>
      <c r="E17" s="225">
        <v>21.25</v>
      </c>
      <c r="H17">
        <f>55+12</f>
        <v>67</v>
      </c>
    </row>
    <row r="18" spans="1:8" x14ac:dyDescent="0.25">
      <c r="A18" s="171">
        <v>12</v>
      </c>
      <c r="B18" s="175" t="s">
        <v>466</v>
      </c>
      <c r="C18" s="171">
        <v>66</v>
      </c>
      <c r="D18" s="289"/>
      <c r="E18" s="225">
        <v>3.3149999999999999</v>
      </c>
    </row>
    <row r="19" spans="1:8" x14ac:dyDescent="0.25">
      <c r="A19" s="171">
        <v>13</v>
      </c>
      <c r="B19" s="175" t="s">
        <v>467</v>
      </c>
      <c r="C19" s="171">
        <v>66</v>
      </c>
      <c r="D19" s="290" t="s">
        <v>457</v>
      </c>
      <c r="E19" s="225">
        <v>22.524999999999999</v>
      </c>
    </row>
    <row r="20" spans="1:8" x14ac:dyDescent="0.25">
      <c r="A20" s="171">
        <v>14</v>
      </c>
      <c r="B20" s="175" t="s">
        <v>468</v>
      </c>
      <c r="C20" s="171">
        <v>66</v>
      </c>
      <c r="D20" s="291"/>
      <c r="E20" s="226">
        <v>1.7</v>
      </c>
    </row>
    <row r="21" spans="1:8" x14ac:dyDescent="0.25">
      <c r="A21" s="171">
        <v>15</v>
      </c>
      <c r="B21" s="175" t="s">
        <v>469</v>
      </c>
      <c r="C21" s="171">
        <v>33</v>
      </c>
      <c r="D21" s="290" t="s">
        <v>470</v>
      </c>
      <c r="E21" s="226">
        <v>12.75</v>
      </c>
    </row>
    <row r="22" spans="1:8" x14ac:dyDescent="0.25">
      <c r="A22" s="171">
        <v>16</v>
      </c>
      <c r="B22" s="175" t="s">
        <v>471</v>
      </c>
      <c r="C22" s="171">
        <v>33</v>
      </c>
      <c r="D22" s="291"/>
      <c r="E22" s="225">
        <v>12.75</v>
      </c>
    </row>
    <row r="23" spans="1:8" x14ac:dyDescent="0.25">
      <c r="A23" s="171">
        <v>17</v>
      </c>
      <c r="B23" s="175" t="s">
        <v>472</v>
      </c>
      <c r="C23" s="171">
        <v>11</v>
      </c>
      <c r="D23" s="171" t="s">
        <v>450</v>
      </c>
      <c r="E23" s="225">
        <v>1.53</v>
      </c>
    </row>
    <row r="24" spans="1:8" x14ac:dyDescent="0.25">
      <c r="A24" s="171">
        <v>18</v>
      </c>
      <c r="B24" s="175" t="s">
        <v>473</v>
      </c>
      <c r="C24" s="171">
        <v>11</v>
      </c>
      <c r="D24" s="171" t="s">
        <v>470</v>
      </c>
      <c r="E24" s="225">
        <v>4.2839999999999998</v>
      </c>
    </row>
    <row r="25" spans="1:8" x14ac:dyDescent="0.25">
      <c r="A25" s="171">
        <v>19</v>
      </c>
      <c r="B25" s="175" t="s">
        <v>474</v>
      </c>
      <c r="C25" s="171">
        <v>11</v>
      </c>
      <c r="D25" s="171" t="s">
        <v>470</v>
      </c>
      <c r="E25" s="225">
        <v>2.8984999999999999</v>
      </c>
    </row>
    <row r="26" spans="1:8" x14ac:dyDescent="0.25">
      <c r="A26" s="171">
        <v>20</v>
      </c>
      <c r="B26" s="175" t="s">
        <v>475</v>
      </c>
      <c r="C26" s="171">
        <v>11</v>
      </c>
      <c r="D26" s="227" t="s">
        <v>476</v>
      </c>
      <c r="E26" s="225">
        <v>0.34</v>
      </c>
    </row>
    <row r="27" spans="1:8" x14ac:dyDescent="0.25">
      <c r="A27" s="171">
        <v>21</v>
      </c>
      <c r="B27" s="175" t="s">
        <v>477</v>
      </c>
      <c r="C27" s="171">
        <v>11</v>
      </c>
      <c r="D27" s="228" t="s">
        <v>478</v>
      </c>
      <c r="E27" s="225">
        <v>2.6520000000000001</v>
      </c>
    </row>
    <row r="28" spans="1:8" x14ac:dyDescent="0.25">
      <c r="A28" s="171">
        <v>22</v>
      </c>
      <c r="B28" s="175" t="s">
        <v>479</v>
      </c>
      <c r="C28" s="171">
        <v>11</v>
      </c>
      <c r="D28" s="228" t="s">
        <v>478</v>
      </c>
      <c r="E28" s="225">
        <v>3.7654999999999998</v>
      </c>
    </row>
    <row r="29" spans="1:8" x14ac:dyDescent="0.25">
      <c r="A29" s="171">
        <v>23</v>
      </c>
      <c r="B29" s="175" t="s">
        <v>480</v>
      </c>
      <c r="C29" s="171">
        <v>11</v>
      </c>
      <c r="D29" s="228" t="s">
        <v>481</v>
      </c>
      <c r="E29" s="225">
        <v>4.8875000000000002</v>
      </c>
    </row>
    <row r="30" spans="1:8" x14ac:dyDescent="0.25">
      <c r="A30" s="171">
        <v>24</v>
      </c>
      <c r="B30" s="175" t="s">
        <v>482</v>
      </c>
      <c r="C30" s="171">
        <v>11</v>
      </c>
      <c r="D30" s="171" t="s">
        <v>483</v>
      </c>
      <c r="E30" s="225">
        <v>2.9750000000000001</v>
      </c>
    </row>
    <row r="31" spans="1:8" x14ac:dyDescent="0.25">
      <c r="A31" s="171">
        <v>25</v>
      </c>
      <c r="B31" s="175" t="s">
        <v>484</v>
      </c>
      <c r="C31" s="171">
        <v>11</v>
      </c>
      <c r="D31" s="171" t="s">
        <v>485</v>
      </c>
      <c r="E31" s="225">
        <v>0.11305</v>
      </c>
    </row>
    <row r="32" spans="1:8" x14ac:dyDescent="0.25">
      <c r="A32" s="171">
        <v>26</v>
      </c>
      <c r="B32" s="175" t="s">
        <v>486</v>
      </c>
      <c r="C32" s="171">
        <v>11</v>
      </c>
      <c r="D32" s="171" t="s">
        <v>485</v>
      </c>
      <c r="E32" s="225">
        <v>0.27200000000000002</v>
      </c>
    </row>
    <row r="33" spans="1:6" x14ac:dyDescent="0.25">
      <c r="A33" s="171">
        <v>27</v>
      </c>
      <c r="B33" s="175" t="s">
        <v>487</v>
      </c>
      <c r="C33" s="171">
        <v>11</v>
      </c>
      <c r="D33" s="171" t="s">
        <v>457</v>
      </c>
      <c r="E33" s="225">
        <v>2.669</v>
      </c>
    </row>
    <row r="34" spans="1:6" x14ac:dyDescent="0.25">
      <c r="A34" s="171">
        <v>28</v>
      </c>
      <c r="B34" s="175" t="s">
        <v>488</v>
      </c>
      <c r="C34" s="171">
        <v>11</v>
      </c>
      <c r="D34" s="171" t="s">
        <v>457</v>
      </c>
      <c r="E34" s="225">
        <v>5.3549999999999995</v>
      </c>
    </row>
    <row r="35" spans="1:6" x14ac:dyDescent="0.25">
      <c r="A35" s="171">
        <v>29</v>
      </c>
      <c r="B35" s="175" t="s">
        <v>489</v>
      </c>
      <c r="C35" s="171">
        <v>11</v>
      </c>
      <c r="D35" s="171" t="s">
        <v>457</v>
      </c>
      <c r="E35" s="225">
        <v>5.3719999999999999</v>
      </c>
    </row>
    <row r="36" spans="1:6" x14ac:dyDescent="0.25">
      <c r="A36" s="171">
        <v>30</v>
      </c>
      <c r="B36" s="175" t="s">
        <v>490</v>
      </c>
      <c r="C36" s="171">
        <v>11</v>
      </c>
      <c r="D36" s="171" t="s">
        <v>457</v>
      </c>
      <c r="E36" s="225">
        <v>4.93</v>
      </c>
    </row>
    <row r="37" spans="1:6" x14ac:dyDescent="0.25">
      <c r="A37" s="171">
        <v>31</v>
      </c>
      <c r="B37" s="175" t="s">
        <v>491</v>
      </c>
      <c r="C37" s="171">
        <v>11</v>
      </c>
      <c r="D37" s="171" t="s">
        <v>457</v>
      </c>
      <c r="E37" s="225">
        <v>3.9015</v>
      </c>
    </row>
    <row r="38" spans="1:6" x14ac:dyDescent="0.25">
      <c r="A38" s="171">
        <v>32</v>
      </c>
      <c r="B38" s="175" t="s">
        <v>492</v>
      </c>
      <c r="C38" s="171">
        <v>11</v>
      </c>
      <c r="D38" s="171" t="s">
        <v>457</v>
      </c>
      <c r="E38" s="225">
        <v>4.3689999999999998</v>
      </c>
    </row>
    <row r="39" spans="1:6" x14ac:dyDescent="0.25">
      <c r="A39" s="171">
        <v>33</v>
      </c>
      <c r="B39" s="175" t="s">
        <v>493</v>
      </c>
      <c r="C39" s="171">
        <v>11</v>
      </c>
      <c r="D39" s="171" t="s">
        <v>457</v>
      </c>
      <c r="E39" s="225">
        <v>4.4965000000000002</v>
      </c>
    </row>
    <row r="40" spans="1:6" ht="21" customHeight="1" x14ac:dyDescent="0.25">
      <c r="A40" s="171">
        <v>34</v>
      </c>
      <c r="B40" s="175" t="s">
        <v>494</v>
      </c>
      <c r="C40" s="171">
        <v>11</v>
      </c>
      <c r="D40" s="229" t="s">
        <v>495</v>
      </c>
      <c r="E40" s="225">
        <v>4.9044999999999996</v>
      </c>
    </row>
    <row r="41" spans="1:6" ht="18" customHeight="1" x14ac:dyDescent="0.25">
      <c r="A41" s="171">
        <v>35</v>
      </c>
      <c r="B41" s="175" t="s">
        <v>496</v>
      </c>
      <c r="C41" s="171">
        <v>11</v>
      </c>
      <c r="D41" s="229" t="s">
        <v>495</v>
      </c>
      <c r="E41" s="225">
        <v>3.4764999999999997</v>
      </c>
    </row>
    <row r="42" spans="1:6" x14ac:dyDescent="0.25">
      <c r="A42" s="171">
        <v>36</v>
      </c>
      <c r="B42" s="175" t="s">
        <v>497</v>
      </c>
      <c r="C42" s="171">
        <v>11</v>
      </c>
      <c r="D42" s="228" t="s">
        <v>498</v>
      </c>
      <c r="E42" s="225">
        <v>1.0965</v>
      </c>
    </row>
    <row r="43" spans="1:6" x14ac:dyDescent="0.25">
      <c r="A43" s="171">
        <v>37</v>
      </c>
      <c r="B43" s="175" t="s">
        <v>499</v>
      </c>
      <c r="C43" s="171">
        <v>11</v>
      </c>
      <c r="D43" s="228" t="s">
        <v>498</v>
      </c>
      <c r="E43" s="225">
        <v>1.7934999999999999</v>
      </c>
    </row>
    <row r="44" spans="1:6" x14ac:dyDescent="0.25">
      <c r="A44" s="171">
        <v>38</v>
      </c>
      <c r="B44" s="175" t="s">
        <v>500</v>
      </c>
      <c r="C44" s="171">
        <v>11</v>
      </c>
      <c r="D44" s="229" t="s">
        <v>501</v>
      </c>
      <c r="E44" s="225">
        <v>4.2244999999999999</v>
      </c>
    </row>
    <row r="45" spans="1:6" x14ac:dyDescent="0.25">
      <c r="A45" s="171">
        <v>39</v>
      </c>
      <c r="B45" s="175" t="s">
        <v>502</v>
      </c>
      <c r="C45" s="171">
        <v>11</v>
      </c>
      <c r="D45" s="229" t="s">
        <v>501</v>
      </c>
      <c r="E45" s="225">
        <v>5.1764999999999999</v>
      </c>
    </row>
    <row r="46" spans="1:6" ht="39" x14ac:dyDescent="0.25">
      <c r="A46" s="171">
        <v>40</v>
      </c>
      <c r="B46" s="175" t="s">
        <v>503</v>
      </c>
      <c r="C46" s="171">
        <v>11</v>
      </c>
      <c r="D46" s="229" t="s">
        <v>504</v>
      </c>
      <c r="E46" s="225">
        <v>2.8815</v>
      </c>
    </row>
    <row r="47" spans="1:6" x14ac:dyDescent="0.25">
      <c r="A47" s="179"/>
      <c r="B47" s="293" t="s">
        <v>505</v>
      </c>
      <c r="C47" s="294"/>
      <c r="D47" s="295"/>
      <c r="E47" s="230">
        <f>SUM(E7:E46)</f>
        <v>265.10904999999991</v>
      </c>
      <c r="F47" s="179"/>
    </row>
    <row r="50" spans="1:5" ht="15.75" x14ac:dyDescent="0.25">
      <c r="A50" s="220" t="s">
        <v>506</v>
      </c>
      <c r="B50" s="220" t="s">
        <v>507</v>
      </c>
      <c r="C50" s="221"/>
      <c r="D50" s="221"/>
      <c r="E50" s="222"/>
    </row>
    <row r="51" spans="1:5" x14ac:dyDescent="0.25">
      <c r="A51" s="223" t="s">
        <v>443</v>
      </c>
      <c r="B51" s="223" t="s">
        <v>508</v>
      </c>
      <c r="C51" s="223" t="s">
        <v>445</v>
      </c>
      <c r="D51" s="223" t="s">
        <v>509</v>
      </c>
      <c r="E51" s="223" t="s">
        <v>447</v>
      </c>
    </row>
    <row r="52" spans="1:5" x14ac:dyDescent="0.25">
      <c r="A52" s="171">
        <v>1</v>
      </c>
      <c r="B52" s="175" t="s">
        <v>510</v>
      </c>
      <c r="C52" s="171">
        <v>11</v>
      </c>
      <c r="D52" s="171" t="s">
        <v>511</v>
      </c>
      <c r="E52" s="225">
        <v>2.8</v>
      </c>
    </row>
    <row r="53" spans="1:5" x14ac:dyDescent="0.25">
      <c r="A53" s="171">
        <v>2</v>
      </c>
      <c r="B53" s="175" t="s">
        <v>512</v>
      </c>
      <c r="C53" s="171">
        <v>11</v>
      </c>
      <c r="D53" s="171" t="s">
        <v>511</v>
      </c>
      <c r="E53" s="225">
        <v>4.9000000000000004</v>
      </c>
    </row>
    <row r="54" spans="1:5" x14ac:dyDescent="0.25">
      <c r="A54" s="171">
        <v>3</v>
      </c>
      <c r="B54" s="175" t="s">
        <v>513</v>
      </c>
      <c r="C54" s="171">
        <v>11</v>
      </c>
      <c r="D54" s="171" t="s">
        <v>511</v>
      </c>
      <c r="E54" s="225">
        <v>5.4</v>
      </c>
    </row>
    <row r="55" spans="1:5" x14ac:dyDescent="0.25">
      <c r="A55" s="171">
        <v>4</v>
      </c>
      <c r="B55" s="175" t="s">
        <v>514</v>
      </c>
      <c r="C55" s="171">
        <v>11</v>
      </c>
      <c r="D55" s="171" t="s">
        <v>511</v>
      </c>
      <c r="E55" s="171">
        <v>5</v>
      </c>
    </row>
    <row r="56" spans="1:5" x14ac:dyDescent="0.25">
      <c r="A56" s="171">
        <v>5</v>
      </c>
      <c r="B56" s="175" t="s">
        <v>515</v>
      </c>
      <c r="C56" s="171">
        <v>33</v>
      </c>
      <c r="D56" s="171" t="s">
        <v>511</v>
      </c>
      <c r="E56" s="225">
        <v>16.5</v>
      </c>
    </row>
    <row r="57" spans="1:5" x14ac:dyDescent="0.25">
      <c r="A57" s="171">
        <v>6</v>
      </c>
      <c r="B57" s="175" t="s">
        <v>516</v>
      </c>
      <c r="C57" s="171">
        <v>33</v>
      </c>
      <c r="D57" s="171" t="s">
        <v>511</v>
      </c>
      <c r="E57" s="225">
        <v>16.899999999999999</v>
      </c>
    </row>
    <row r="58" spans="1:5" x14ac:dyDescent="0.25">
      <c r="A58" s="171">
        <v>7</v>
      </c>
      <c r="B58" s="175" t="s">
        <v>517</v>
      </c>
      <c r="C58" s="171">
        <v>33</v>
      </c>
      <c r="D58" s="231" t="s">
        <v>511</v>
      </c>
      <c r="E58" s="232">
        <v>13.05</v>
      </c>
    </row>
    <row r="59" spans="1:5" x14ac:dyDescent="0.25">
      <c r="A59" s="171">
        <v>8</v>
      </c>
      <c r="B59" s="233" t="s">
        <v>518</v>
      </c>
      <c r="C59" s="234">
        <v>33</v>
      </c>
      <c r="D59" s="234" t="s">
        <v>511</v>
      </c>
      <c r="E59" s="226">
        <v>4.7</v>
      </c>
    </row>
    <row r="60" spans="1:5" x14ac:dyDescent="0.25">
      <c r="A60" s="171">
        <v>9</v>
      </c>
      <c r="B60" s="175" t="s">
        <v>519</v>
      </c>
      <c r="C60" s="171">
        <v>33</v>
      </c>
      <c r="D60" s="171" t="s">
        <v>511</v>
      </c>
      <c r="E60" s="225">
        <v>21.15</v>
      </c>
    </row>
    <row r="61" spans="1:5" x14ac:dyDescent="0.25">
      <c r="A61" s="171">
        <v>10</v>
      </c>
      <c r="B61" s="233" t="s">
        <v>520</v>
      </c>
      <c r="C61" s="171">
        <v>33</v>
      </c>
      <c r="D61" s="171" t="s">
        <v>511</v>
      </c>
      <c r="E61" s="225">
        <v>13.5</v>
      </c>
    </row>
    <row r="62" spans="1:5" x14ac:dyDescent="0.25">
      <c r="A62" s="171">
        <v>11</v>
      </c>
      <c r="B62" s="233" t="s">
        <v>521</v>
      </c>
      <c r="C62" s="234">
        <v>33</v>
      </c>
      <c r="D62" s="234" t="s">
        <v>522</v>
      </c>
      <c r="E62" s="226">
        <v>11.5</v>
      </c>
    </row>
    <row r="63" spans="1:5" x14ac:dyDescent="0.25">
      <c r="A63" s="171">
        <v>12</v>
      </c>
      <c r="B63" s="233" t="s">
        <v>523</v>
      </c>
      <c r="C63" s="234">
        <v>11</v>
      </c>
      <c r="D63" s="234" t="s">
        <v>522</v>
      </c>
      <c r="E63" s="226">
        <v>4.5</v>
      </c>
    </row>
    <row r="64" spans="1:5" x14ac:dyDescent="0.25">
      <c r="A64" s="171">
        <v>13</v>
      </c>
      <c r="B64" s="233" t="s">
        <v>524</v>
      </c>
      <c r="C64" s="234">
        <v>11</v>
      </c>
      <c r="D64" s="234" t="s">
        <v>525</v>
      </c>
      <c r="E64" s="234">
        <v>3</v>
      </c>
    </row>
    <row r="65" spans="1:5" x14ac:dyDescent="0.25">
      <c r="A65" s="171">
        <v>14</v>
      </c>
      <c r="B65" s="175" t="s">
        <v>526</v>
      </c>
      <c r="C65" s="171">
        <v>33</v>
      </c>
      <c r="D65" s="171" t="s">
        <v>527</v>
      </c>
      <c r="E65" s="171">
        <v>9.5500000000000007</v>
      </c>
    </row>
    <row r="66" spans="1:5" x14ac:dyDescent="0.25">
      <c r="A66" s="171">
        <v>15</v>
      </c>
      <c r="B66" s="175" t="s">
        <v>528</v>
      </c>
      <c r="C66" s="171">
        <v>11</v>
      </c>
      <c r="D66" s="171" t="s">
        <v>529</v>
      </c>
      <c r="E66" s="171">
        <v>3.5</v>
      </c>
    </row>
    <row r="67" spans="1:5" x14ac:dyDescent="0.25">
      <c r="A67" s="171">
        <v>16</v>
      </c>
      <c r="B67" s="175" t="s">
        <v>530</v>
      </c>
      <c r="C67" s="171">
        <v>11</v>
      </c>
      <c r="D67" s="171" t="s">
        <v>529</v>
      </c>
      <c r="E67" s="171">
        <v>3.6</v>
      </c>
    </row>
    <row r="68" spans="1:5" x14ac:dyDescent="0.25">
      <c r="A68" s="171">
        <v>17</v>
      </c>
      <c r="B68" s="175" t="s">
        <v>531</v>
      </c>
      <c r="C68" s="171">
        <v>11</v>
      </c>
      <c r="D68" s="171" t="s">
        <v>532</v>
      </c>
      <c r="E68" s="225">
        <v>4.0999999999999996</v>
      </c>
    </row>
    <row r="69" spans="1:5" x14ac:dyDescent="0.25">
      <c r="A69" s="171">
        <v>18</v>
      </c>
      <c r="B69" s="175" t="s">
        <v>533</v>
      </c>
      <c r="C69" s="171">
        <v>11</v>
      </c>
      <c r="D69" s="171" t="s">
        <v>532</v>
      </c>
      <c r="E69" s="225">
        <v>2.6</v>
      </c>
    </row>
    <row r="70" spans="1:5" x14ac:dyDescent="0.25">
      <c r="A70" s="171">
        <v>19</v>
      </c>
      <c r="B70" s="175" t="s">
        <v>534</v>
      </c>
      <c r="C70" s="171">
        <v>33</v>
      </c>
      <c r="D70" s="171" t="s">
        <v>535</v>
      </c>
      <c r="E70" s="225">
        <v>0.9</v>
      </c>
    </row>
    <row r="71" spans="1:5" x14ac:dyDescent="0.25">
      <c r="A71" s="171">
        <v>20</v>
      </c>
      <c r="B71" s="175" t="s">
        <v>536</v>
      </c>
      <c r="C71" s="171">
        <v>11</v>
      </c>
      <c r="D71" s="171" t="s">
        <v>535</v>
      </c>
      <c r="E71" s="225">
        <v>2.1666666666666665</v>
      </c>
    </row>
    <row r="72" spans="1:5" x14ac:dyDescent="0.25">
      <c r="A72" s="179"/>
      <c r="B72" s="293" t="s">
        <v>505</v>
      </c>
      <c r="C72" s="294"/>
      <c r="D72" s="295"/>
      <c r="E72" s="235">
        <f>SUM(E52:E71)</f>
        <v>149.31666666666666</v>
      </c>
    </row>
    <row r="75" spans="1:5" ht="15.75" x14ac:dyDescent="0.25">
      <c r="A75" s="220" t="s">
        <v>537</v>
      </c>
      <c r="B75" s="220" t="s">
        <v>538</v>
      </c>
      <c r="C75" s="221"/>
      <c r="D75" s="221"/>
      <c r="E75" s="222"/>
    </row>
    <row r="76" spans="1:5" x14ac:dyDescent="0.25">
      <c r="A76" s="223" t="s">
        <v>443</v>
      </c>
      <c r="B76" s="171" t="s">
        <v>508</v>
      </c>
      <c r="C76" s="223" t="s">
        <v>445</v>
      </c>
      <c r="D76" s="223" t="s">
        <v>446</v>
      </c>
      <c r="E76" s="223" t="s">
        <v>447</v>
      </c>
    </row>
    <row r="77" spans="1:5" x14ac:dyDescent="0.25">
      <c r="A77" s="171">
        <v>1</v>
      </c>
      <c r="B77" s="175" t="s">
        <v>539</v>
      </c>
      <c r="C77" s="171">
        <v>11</v>
      </c>
      <c r="D77" s="171" t="s">
        <v>540</v>
      </c>
      <c r="E77" s="171">
        <v>3</v>
      </c>
    </row>
    <row r="78" spans="1:5" x14ac:dyDescent="0.25">
      <c r="A78" s="171">
        <v>2</v>
      </c>
      <c r="B78" s="175" t="s">
        <v>541</v>
      </c>
      <c r="C78" s="171">
        <v>11</v>
      </c>
      <c r="D78" s="171" t="s">
        <v>542</v>
      </c>
      <c r="E78" s="171">
        <v>7.7</v>
      </c>
    </row>
    <row r="79" spans="1:5" x14ac:dyDescent="0.25">
      <c r="A79" s="171">
        <v>3</v>
      </c>
      <c r="B79" s="175" t="s">
        <v>543</v>
      </c>
      <c r="C79" s="171">
        <v>11</v>
      </c>
      <c r="D79" s="171" t="s">
        <v>544</v>
      </c>
      <c r="E79" s="171">
        <v>1.1000000000000001</v>
      </c>
    </row>
    <row r="80" spans="1:5" x14ac:dyDescent="0.25">
      <c r="A80" s="171">
        <v>4</v>
      </c>
      <c r="B80" s="175" t="s">
        <v>545</v>
      </c>
      <c r="C80" s="171">
        <v>132</v>
      </c>
      <c r="D80" s="171" t="s">
        <v>546</v>
      </c>
      <c r="E80" s="171">
        <v>6</v>
      </c>
    </row>
    <row r="81" spans="1:10" x14ac:dyDescent="0.25">
      <c r="A81" s="171">
        <v>5</v>
      </c>
      <c r="B81" s="175" t="s">
        <v>547</v>
      </c>
      <c r="C81" s="171">
        <v>33</v>
      </c>
      <c r="D81" s="171" t="s">
        <v>548</v>
      </c>
      <c r="E81" s="171">
        <v>1.5</v>
      </c>
    </row>
    <row r="82" spans="1:10" x14ac:dyDescent="0.25">
      <c r="B82" s="293" t="s">
        <v>505</v>
      </c>
      <c r="C82" s="294"/>
      <c r="D82" s="295"/>
      <c r="E82" s="223">
        <f>SUM(E77:E81)</f>
        <v>19.299999999999997</v>
      </c>
    </row>
    <row r="83" spans="1:10" x14ac:dyDescent="0.25">
      <c r="B83" s="236"/>
      <c r="C83" s="236"/>
      <c r="D83" s="236"/>
      <c r="E83" s="237"/>
    </row>
    <row r="85" spans="1:10" ht="15.75" x14ac:dyDescent="0.25">
      <c r="A85" s="220" t="s">
        <v>549</v>
      </c>
      <c r="B85" s="220" t="s">
        <v>550</v>
      </c>
      <c r="C85" s="221"/>
      <c r="D85" s="221"/>
      <c r="E85" s="222"/>
    </row>
    <row r="86" spans="1:10" x14ac:dyDescent="0.25">
      <c r="A86" s="223" t="s">
        <v>443</v>
      </c>
      <c r="B86" s="171" t="s">
        <v>508</v>
      </c>
      <c r="C86" s="223" t="s">
        <v>445</v>
      </c>
      <c r="D86" s="223" t="s">
        <v>446</v>
      </c>
      <c r="E86" s="223" t="s">
        <v>447</v>
      </c>
    </row>
    <row r="87" spans="1:10" x14ac:dyDescent="0.25">
      <c r="A87" s="171">
        <v>1</v>
      </c>
      <c r="B87" s="175" t="s">
        <v>551</v>
      </c>
      <c r="C87" s="171">
        <v>11</v>
      </c>
      <c r="D87" s="171" t="s">
        <v>552</v>
      </c>
      <c r="E87" s="171">
        <v>2</v>
      </c>
    </row>
    <row r="88" spans="1:10" x14ac:dyDescent="0.25">
      <c r="A88" s="183"/>
      <c r="B88" s="177" t="s">
        <v>251</v>
      </c>
      <c r="C88" s="223"/>
      <c r="D88" s="223"/>
      <c r="E88" s="223">
        <f>E87</f>
        <v>2</v>
      </c>
    </row>
    <row r="89" spans="1:10" x14ac:dyDescent="0.25">
      <c r="A89" s="183"/>
      <c r="B89" s="236"/>
      <c r="C89" s="237"/>
      <c r="D89" s="237"/>
      <c r="E89" s="237"/>
    </row>
    <row r="91" spans="1:10" ht="15.75" x14ac:dyDescent="0.25">
      <c r="A91" s="220" t="s">
        <v>553</v>
      </c>
      <c r="B91" s="220" t="s">
        <v>554</v>
      </c>
      <c r="C91" s="221"/>
      <c r="D91" s="221"/>
      <c r="E91" s="222"/>
    </row>
    <row r="92" spans="1:10" x14ac:dyDescent="0.25">
      <c r="A92" s="223" t="s">
        <v>443</v>
      </c>
      <c r="B92" s="171" t="s">
        <v>508</v>
      </c>
      <c r="C92" s="238" t="s">
        <v>445</v>
      </c>
      <c r="D92" s="223" t="s">
        <v>555</v>
      </c>
      <c r="E92" s="223" t="s">
        <v>447</v>
      </c>
      <c r="I92" s="224"/>
    </row>
    <row r="93" spans="1:10" ht="15" customHeight="1" x14ac:dyDescent="0.25">
      <c r="A93" s="171">
        <v>1</v>
      </c>
      <c r="B93" s="175" t="s">
        <v>556</v>
      </c>
      <c r="C93" s="296" t="s">
        <v>557</v>
      </c>
      <c r="D93" s="296" t="s">
        <v>558</v>
      </c>
      <c r="E93" s="239">
        <v>12.76</v>
      </c>
      <c r="J93" s="240"/>
    </row>
    <row r="94" spans="1:10" x14ac:dyDescent="0.25">
      <c r="A94" s="171">
        <v>2</v>
      </c>
      <c r="B94" s="175" t="s">
        <v>559</v>
      </c>
      <c r="C94" s="296"/>
      <c r="D94" s="297"/>
      <c r="E94" s="241">
        <v>3.0520247999999999</v>
      </c>
      <c r="J94" s="240"/>
    </row>
    <row r="95" spans="1:10" x14ac:dyDescent="0.25">
      <c r="A95" s="171">
        <v>3</v>
      </c>
      <c r="B95" s="175" t="s">
        <v>560</v>
      </c>
      <c r="C95" s="292" t="s">
        <v>557</v>
      </c>
      <c r="D95" s="292" t="s">
        <v>561</v>
      </c>
      <c r="E95" s="243">
        <v>2.4924855491329478</v>
      </c>
      <c r="J95" s="240"/>
    </row>
    <row r="96" spans="1:10" x14ac:dyDescent="0.25">
      <c r="A96" s="171">
        <v>4</v>
      </c>
      <c r="B96" s="175" t="s">
        <v>562</v>
      </c>
      <c r="C96" s="292"/>
      <c r="D96" s="292"/>
      <c r="E96" s="243">
        <v>0.19329479768786126</v>
      </c>
      <c r="J96" s="240"/>
    </row>
    <row r="97" spans="1:10" x14ac:dyDescent="0.25">
      <c r="A97" s="171">
        <v>5</v>
      </c>
      <c r="B97" s="175" t="s">
        <v>563</v>
      </c>
      <c r="C97" s="292" t="s">
        <v>557</v>
      </c>
      <c r="D97" s="292" t="s">
        <v>564</v>
      </c>
      <c r="E97" s="243">
        <v>17.600000000000001</v>
      </c>
      <c r="J97" s="240"/>
    </row>
    <row r="98" spans="1:10" x14ac:dyDescent="0.25">
      <c r="A98" s="171">
        <v>6</v>
      </c>
      <c r="B98" s="175" t="s">
        <v>565</v>
      </c>
      <c r="C98" s="292"/>
      <c r="D98" s="292"/>
      <c r="E98" s="243">
        <v>5.8344844800000004</v>
      </c>
      <c r="J98" s="244"/>
    </row>
    <row r="99" spans="1:10" x14ac:dyDescent="0.25">
      <c r="A99" s="171">
        <v>7</v>
      </c>
      <c r="B99" s="175" t="s">
        <v>566</v>
      </c>
      <c r="C99" s="292" t="s">
        <v>557</v>
      </c>
      <c r="D99" s="292" t="s">
        <v>288</v>
      </c>
      <c r="E99" s="298">
        <v>9.1560480000000002</v>
      </c>
    </row>
    <row r="100" spans="1:10" x14ac:dyDescent="0.25">
      <c r="A100" s="171">
        <v>8</v>
      </c>
      <c r="B100" s="175" t="s">
        <v>567</v>
      </c>
      <c r="C100" s="292"/>
      <c r="D100" s="292"/>
      <c r="E100" s="299"/>
    </row>
    <row r="101" spans="1:10" x14ac:dyDescent="0.25">
      <c r="A101" s="171">
        <v>9</v>
      </c>
      <c r="B101" s="175" t="s">
        <v>568</v>
      </c>
      <c r="C101" s="292"/>
      <c r="D101" s="292"/>
      <c r="E101" s="243">
        <v>1.2208092485549134</v>
      </c>
    </row>
    <row r="102" spans="1:10" x14ac:dyDescent="0.25">
      <c r="A102" s="171">
        <v>10</v>
      </c>
      <c r="B102" s="175" t="s">
        <v>569</v>
      </c>
      <c r="C102" s="292"/>
      <c r="D102" s="292"/>
      <c r="E102" s="243">
        <v>8.1387283236994215</v>
      </c>
    </row>
    <row r="103" spans="1:10" x14ac:dyDescent="0.25">
      <c r="A103" s="171">
        <v>11</v>
      </c>
      <c r="B103" s="175" t="s">
        <v>570</v>
      </c>
      <c r="C103" s="292"/>
      <c r="D103" s="292"/>
      <c r="E103" s="243">
        <v>8.6473988439306364</v>
      </c>
    </row>
    <row r="104" spans="1:10" x14ac:dyDescent="0.25">
      <c r="A104" s="171">
        <v>12</v>
      </c>
      <c r="B104" s="175" t="s">
        <v>571</v>
      </c>
      <c r="C104" s="292" t="s">
        <v>557</v>
      </c>
      <c r="D104" s="292" t="s">
        <v>293</v>
      </c>
      <c r="E104" s="243">
        <v>21.109826589595375</v>
      </c>
    </row>
    <row r="105" spans="1:10" x14ac:dyDescent="0.25">
      <c r="A105" s="171">
        <v>13</v>
      </c>
      <c r="B105" s="175" t="s">
        <v>572</v>
      </c>
      <c r="C105" s="292"/>
      <c r="D105" s="292"/>
      <c r="E105" s="243">
        <v>13.098265895953757</v>
      </c>
    </row>
    <row r="106" spans="1:10" x14ac:dyDescent="0.25">
      <c r="A106" s="171">
        <v>14</v>
      </c>
      <c r="B106" s="175" t="s">
        <v>573</v>
      </c>
      <c r="C106" s="292"/>
      <c r="D106" s="292"/>
      <c r="E106" s="243">
        <v>9.9852023121387283</v>
      </c>
    </row>
    <row r="107" spans="1:10" x14ac:dyDescent="0.25">
      <c r="A107" s="171">
        <v>15</v>
      </c>
      <c r="B107" s="175" t="s">
        <v>574</v>
      </c>
      <c r="C107" s="292"/>
      <c r="D107" s="292"/>
      <c r="E107" s="243">
        <v>13.327167630057804</v>
      </c>
    </row>
    <row r="108" spans="1:10" x14ac:dyDescent="0.25">
      <c r="A108" s="171">
        <v>16</v>
      </c>
      <c r="B108" s="175" t="s">
        <v>575</v>
      </c>
      <c r="C108" s="242">
        <v>132</v>
      </c>
      <c r="D108" s="292" t="s">
        <v>576</v>
      </c>
      <c r="E108" s="243">
        <v>13.2</v>
      </c>
    </row>
    <row r="109" spans="1:10" x14ac:dyDescent="0.25">
      <c r="A109" s="171">
        <v>17</v>
      </c>
      <c r="B109" s="175" t="s">
        <v>577</v>
      </c>
      <c r="C109" s="292" t="s">
        <v>578</v>
      </c>
      <c r="D109" s="292"/>
      <c r="E109" s="243">
        <v>3.2706666666666666</v>
      </c>
    </row>
    <row r="110" spans="1:10" x14ac:dyDescent="0.25">
      <c r="A110" s="171">
        <v>18</v>
      </c>
      <c r="B110" s="175" t="s">
        <v>579</v>
      </c>
      <c r="C110" s="292"/>
      <c r="D110" s="292"/>
      <c r="E110" s="243">
        <v>1.4666666666666668</v>
      </c>
    </row>
    <row r="111" spans="1:10" x14ac:dyDescent="0.25">
      <c r="A111" s="171">
        <v>19</v>
      </c>
      <c r="B111" s="175" t="s">
        <v>580</v>
      </c>
      <c r="C111" s="292" t="s">
        <v>557</v>
      </c>
      <c r="D111" s="292" t="s">
        <v>581</v>
      </c>
      <c r="E111" s="243">
        <v>7.04</v>
      </c>
    </row>
    <row r="112" spans="1:10" x14ac:dyDescent="0.25">
      <c r="A112" s="171">
        <v>20</v>
      </c>
      <c r="B112" s="175" t="s">
        <v>582</v>
      </c>
      <c r="C112" s="292"/>
      <c r="D112" s="292"/>
      <c r="E112" s="243">
        <v>4.4000000000000004</v>
      </c>
    </row>
    <row r="113" spans="1:5" x14ac:dyDescent="0.25">
      <c r="A113" s="171">
        <v>21</v>
      </c>
      <c r="B113" s="175" t="s">
        <v>583</v>
      </c>
      <c r="C113" s="292" t="s">
        <v>557</v>
      </c>
      <c r="D113" s="292" t="s">
        <v>584</v>
      </c>
      <c r="E113" s="243">
        <v>12.971098265895954</v>
      </c>
    </row>
    <row r="114" spans="1:5" x14ac:dyDescent="0.25">
      <c r="A114" s="171">
        <v>22</v>
      </c>
      <c r="B114" s="175" t="s">
        <v>585</v>
      </c>
      <c r="C114" s="292"/>
      <c r="D114" s="292"/>
      <c r="E114" s="243">
        <v>7.3248554913294797</v>
      </c>
    </row>
    <row r="115" spans="1:5" x14ac:dyDescent="0.25">
      <c r="A115" s="171">
        <v>23</v>
      </c>
      <c r="B115" s="175" t="s">
        <v>586</v>
      </c>
      <c r="C115" s="292"/>
      <c r="D115" s="292"/>
      <c r="E115" s="243">
        <v>18.312138728323699</v>
      </c>
    </row>
    <row r="116" spans="1:5" x14ac:dyDescent="0.25">
      <c r="A116" s="171">
        <v>24</v>
      </c>
      <c r="B116" s="175" t="s">
        <v>587</v>
      </c>
      <c r="C116" s="292"/>
      <c r="D116" s="292"/>
      <c r="E116" s="243">
        <v>6.3583815028901727</v>
      </c>
    </row>
    <row r="117" spans="1:5" x14ac:dyDescent="0.25">
      <c r="A117" s="171">
        <v>25</v>
      </c>
      <c r="B117" s="175" t="s">
        <v>569</v>
      </c>
      <c r="C117" s="292"/>
      <c r="D117" s="292"/>
      <c r="E117" s="243">
        <v>15.463583815028901</v>
      </c>
    </row>
    <row r="118" spans="1:5" x14ac:dyDescent="0.25">
      <c r="A118" s="171">
        <v>26</v>
      </c>
      <c r="B118" s="175" t="s">
        <v>588</v>
      </c>
      <c r="C118" s="292"/>
      <c r="D118" s="292"/>
      <c r="E118" s="243">
        <v>10.27514450867052</v>
      </c>
    </row>
    <row r="119" spans="1:5" x14ac:dyDescent="0.25">
      <c r="A119" s="175"/>
      <c r="B119" s="293" t="s">
        <v>505</v>
      </c>
      <c r="C119" s="294"/>
      <c r="D119" s="295"/>
      <c r="E119" s="245">
        <f>SUM(E93:E118)</f>
        <v>226.69827211622351</v>
      </c>
    </row>
    <row r="122" spans="1:5" ht="15.75" x14ac:dyDescent="0.25">
      <c r="A122" s="220" t="s">
        <v>589</v>
      </c>
      <c r="B122" s="220" t="s">
        <v>590</v>
      </c>
      <c r="C122" s="221"/>
      <c r="D122" s="221"/>
      <c r="E122" s="221"/>
    </row>
    <row r="123" spans="1:5" x14ac:dyDescent="0.25">
      <c r="A123" s="246" t="s">
        <v>443</v>
      </c>
      <c r="B123" s="246" t="s">
        <v>508</v>
      </c>
      <c r="C123" s="246" t="s">
        <v>591</v>
      </c>
      <c r="D123" s="246" t="s">
        <v>446</v>
      </c>
      <c r="E123" s="223" t="s">
        <v>447</v>
      </c>
    </row>
    <row r="124" spans="1:5" ht="15" customHeight="1" x14ac:dyDescent="0.25">
      <c r="A124" s="234">
        <v>1</v>
      </c>
      <c r="B124" s="233" t="s">
        <v>592</v>
      </c>
      <c r="C124" s="234">
        <v>33</v>
      </c>
      <c r="D124" s="234" t="s">
        <v>593</v>
      </c>
      <c r="E124" s="234">
        <v>4.7</v>
      </c>
    </row>
    <row r="125" spans="1:5" ht="15" customHeight="1" x14ac:dyDescent="0.25">
      <c r="A125" s="234">
        <v>2</v>
      </c>
      <c r="B125" s="233" t="s">
        <v>594</v>
      </c>
      <c r="C125" s="234">
        <v>33</v>
      </c>
      <c r="D125" s="234" t="s">
        <v>593</v>
      </c>
      <c r="E125" s="234">
        <v>2</v>
      </c>
    </row>
    <row r="126" spans="1:5" ht="15" customHeight="1" x14ac:dyDescent="0.25">
      <c r="A126" s="234">
        <v>3</v>
      </c>
      <c r="B126" s="233" t="s">
        <v>595</v>
      </c>
      <c r="C126" s="234">
        <v>33</v>
      </c>
      <c r="D126" s="234" t="s">
        <v>593</v>
      </c>
      <c r="E126" s="234">
        <v>0.34</v>
      </c>
    </row>
    <row r="127" spans="1:5" ht="15" customHeight="1" x14ac:dyDescent="0.25">
      <c r="A127" s="234">
        <v>4</v>
      </c>
      <c r="B127" s="233" t="s">
        <v>596</v>
      </c>
      <c r="C127" s="234">
        <v>11</v>
      </c>
      <c r="D127" s="234" t="s">
        <v>593</v>
      </c>
      <c r="E127" s="234">
        <v>2.04</v>
      </c>
    </row>
    <row r="128" spans="1:5" ht="15" customHeight="1" x14ac:dyDescent="0.25">
      <c r="A128" s="234">
        <v>5</v>
      </c>
      <c r="B128" s="233" t="s">
        <v>597</v>
      </c>
      <c r="C128" s="234">
        <v>132</v>
      </c>
      <c r="D128" s="234" t="s">
        <v>598</v>
      </c>
      <c r="E128" s="234">
        <v>11.7</v>
      </c>
    </row>
    <row r="129" spans="1:5" ht="15" customHeight="1" x14ac:dyDescent="0.25">
      <c r="A129" s="234">
        <v>6</v>
      </c>
      <c r="B129" s="233" t="s">
        <v>599</v>
      </c>
      <c r="C129" s="234">
        <v>33</v>
      </c>
      <c r="D129" s="234" t="s">
        <v>598</v>
      </c>
      <c r="E129" s="234">
        <v>9</v>
      </c>
    </row>
    <row r="130" spans="1:5" ht="15" customHeight="1" x14ac:dyDescent="0.25">
      <c r="A130" s="234">
        <v>7</v>
      </c>
      <c r="B130" s="233" t="s">
        <v>600</v>
      </c>
      <c r="C130" s="234">
        <v>11</v>
      </c>
      <c r="D130" s="234" t="s">
        <v>601</v>
      </c>
      <c r="E130" s="234">
        <v>5.5</v>
      </c>
    </row>
    <row r="131" spans="1:5" ht="15" customHeight="1" x14ac:dyDescent="0.25">
      <c r="A131" s="234">
        <v>8</v>
      </c>
      <c r="B131" s="233" t="s">
        <v>602</v>
      </c>
      <c r="C131" s="234">
        <v>33</v>
      </c>
      <c r="D131" s="234" t="s">
        <v>603</v>
      </c>
      <c r="E131" s="234">
        <v>1.3</v>
      </c>
    </row>
    <row r="132" spans="1:5" ht="15" customHeight="1" x14ac:dyDescent="0.25">
      <c r="A132" s="234">
        <v>9</v>
      </c>
      <c r="B132" s="233" t="s">
        <v>604</v>
      </c>
      <c r="C132" s="234">
        <v>33</v>
      </c>
      <c r="D132" s="234" t="s">
        <v>605</v>
      </c>
      <c r="E132" s="234">
        <v>1</v>
      </c>
    </row>
    <row r="133" spans="1:5" x14ac:dyDescent="0.25">
      <c r="A133" s="247"/>
      <c r="B133" s="293" t="s">
        <v>505</v>
      </c>
      <c r="C133" s="294"/>
      <c r="D133" s="295"/>
      <c r="E133" s="246">
        <f>SUM(E124:E132)</f>
        <v>37.58</v>
      </c>
    </row>
    <row r="136" spans="1:5" ht="15.75" x14ac:dyDescent="0.25">
      <c r="A136" s="220" t="s">
        <v>606</v>
      </c>
      <c r="B136" s="220" t="s">
        <v>607</v>
      </c>
      <c r="C136" s="221"/>
      <c r="D136" s="221"/>
      <c r="E136" s="222"/>
    </row>
    <row r="137" spans="1:5" x14ac:dyDescent="0.25">
      <c r="A137" s="223" t="s">
        <v>443</v>
      </c>
      <c r="B137" s="171" t="s">
        <v>508</v>
      </c>
      <c r="C137" s="223" t="s">
        <v>445</v>
      </c>
      <c r="D137" s="223" t="s">
        <v>446</v>
      </c>
      <c r="E137" s="223" t="s">
        <v>447</v>
      </c>
    </row>
    <row r="138" spans="1:5" x14ac:dyDescent="0.25">
      <c r="A138" s="171">
        <v>1</v>
      </c>
      <c r="B138" s="175" t="s">
        <v>608</v>
      </c>
      <c r="C138" s="171">
        <v>11</v>
      </c>
      <c r="D138" s="171" t="s">
        <v>609</v>
      </c>
      <c r="E138" s="171">
        <v>4</v>
      </c>
    </row>
    <row r="139" spans="1:5" x14ac:dyDescent="0.25">
      <c r="A139" s="171">
        <v>2</v>
      </c>
      <c r="B139" s="175" t="s">
        <v>610</v>
      </c>
      <c r="C139" s="171">
        <v>33</v>
      </c>
      <c r="D139" s="171" t="s">
        <v>609</v>
      </c>
      <c r="E139" s="171">
        <v>30</v>
      </c>
    </row>
    <row r="140" spans="1:5" x14ac:dyDescent="0.25">
      <c r="B140" s="293" t="s">
        <v>505</v>
      </c>
      <c r="C140" s="294"/>
      <c r="D140" s="295"/>
      <c r="E140" s="223">
        <f>SUM(E138:E139)</f>
        <v>34</v>
      </c>
    </row>
    <row r="142" spans="1:5" x14ac:dyDescent="0.25">
      <c r="B142" s="300" t="s">
        <v>611</v>
      </c>
      <c r="C142" s="300"/>
      <c r="D142" s="300"/>
      <c r="E142" s="223" t="s">
        <v>447</v>
      </c>
    </row>
    <row r="143" spans="1:5" x14ac:dyDescent="0.25">
      <c r="B143" s="300"/>
      <c r="C143" s="300"/>
      <c r="D143" s="300"/>
      <c r="E143" s="245">
        <f>E133+E119+E88+E82+E72+E47+E140</f>
        <v>734.00398878289002</v>
      </c>
    </row>
    <row r="144" spans="1:5" x14ac:dyDescent="0.25">
      <c r="A144" s="179" t="s">
        <v>612</v>
      </c>
      <c r="B144" s="215" t="s">
        <v>613</v>
      </c>
    </row>
    <row r="145" spans="2:5" x14ac:dyDescent="0.25">
      <c r="B145" s="300" t="s">
        <v>614</v>
      </c>
      <c r="C145" s="300"/>
      <c r="D145" s="300"/>
      <c r="E145" s="223" t="s">
        <v>447</v>
      </c>
    </row>
    <row r="146" spans="2:5" x14ac:dyDescent="0.25">
      <c r="B146" s="300"/>
      <c r="C146" s="300"/>
      <c r="D146" s="300"/>
      <c r="E146" s="245">
        <f>E143*0.75</f>
        <v>550.50299158716757</v>
      </c>
    </row>
  </sheetData>
  <mergeCells count="30">
    <mergeCell ref="B142:D143"/>
    <mergeCell ref="B145:D146"/>
    <mergeCell ref="C113:C118"/>
    <mergeCell ref="D113:D118"/>
    <mergeCell ref="B119:D119"/>
    <mergeCell ref="B133:D133"/>
    <mergeCell ref="B140:D140"/>
    <mergeCell ref="E99:E100"/>
    <mergeCell ref="D108:D110"/>
    <mergeCell ref="C109:C110"/>
    <mergeCell ref="C111:C112"/>
    <mergeCell ref="D111:D112"/>
    <mergeCell ref="C104:C107"/>
    <mergeCell ref="D104:D107"/>
    <mergeCell ref="C97:C98"/>
    <mergeCell ref="D97:D98"/>
    <mergeCell ref="C99:C103"/>
    <mergeCell ref="D99:D103"/>
    <mergeCell ref="B47:D47"/>
    <mergeCell ref="B72:D72"/>
    <mergeCell ref="B82:D82"/>
    <mergeCell ref="C93:C94"/>
    <mergeCell ref="D93:D94"/>
    <mergeCell ref="C95:C96"/>
    <mergeCell ref="D95:D96"/>
    <mergeCell ref="A2:E2"/>
    <mergeCell ref="D7:D9"/>
    <mergeCell ref="D10:D18"/>
    <mergeCell ref="D19:D20"/>
    <mergeCell ref="D21:D22"/>
  </mergeCells>
  <printOptions horizontalCentered="1"/>
  <pageMargins left="0.2" right="0" top="0.25" bottom="0" header="0.3" footer="0.3"/>
  <pageSetup paperSize="9" fitToHeight="0" orientation="portrait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3F0AD-0D78-4018-AFBC-3599839C59F8}">
  <sheetPr codeName="Sheet32"/>
  <dimension ref="A1:C22"/>
  <sheetViews>
    <sheetView workbookViewId="0">
      <selection activeCell="J10" sqref="J10"/>
    </sheetView>
  </sheetViews>
  <sheetFormatPr defaultRowHeight="15" x14ac:dyDescent="0.25"/>
  <cols>
    <col min="1" max="1" width="26.42578125" customWidth="1"/>
    <col min="2" max="2" width="9.7109375" style="185" bestFit="1" customWidth="1"/>
    <col min="3" max="3" width="14.140625" customWidth="1"/>
  </cols>
  <sheetData>
    <row r="1" spans="1:3" ht="18.75" x14ac:dyDescent="0.3">
      <c r="A1" s="186"/>
      <c r="B1" s="187" t="s">
        <v>380</v>
      </c>
      <c r="C1" s="186" t="s">
        <v>381</v>
      </c>
    </row>
    <row r="2" spans="1:3" ht="18.75" x14ac:dyDescent="0.25">
      <c r="A2" s="188" t="s">
        <v>406</v>
      </c>
      <c r="B2" s="188">
        <v>0</v>
      </c>
      <c r="C2" s="188">
        <v>10.42</v>
      </c>
    </row>
    <row r="3" spans="1:3" ht="18.75" x14ac:dyDescent="0.25">
      <c r="A3" s="188" t="s">
        <v>388</v>
      </c>
      <c r="B3" s="188">
        <v>0</v>
      </c>
      <c r="C3" s="188">
        <v>12.97</v>
      </c>
    </row>
    <row r="4" spans="1:3" ht="18.75" x14ac:dyDescent="0.25">
      <c r="A4" s="188" t="s">
        <v>389</v>
      </c>
      <c r="B4" s="188">
        <v>0</v>
      </c>
      <c r="C4" s="188">
        <v>12.9</v>
      </c>
    </row>
    <row r="5" spans="1:3" ht="18.75" x14ac:dyDescent="0.25">
      <c r="A5" s="188" t="s">
        <v>390</v>
      </c>
      <c r="B5" s="188">
        <v>13.96</v>
      </c>
      <c r="C5" s="188">
        <v>15.78</v>
      </c>
    </row>
    <row r="6" spans="1:3" ht="18.75" x14ac:dyDescent="0.25">
      <c r="A6" s="188" t="s">
        <v>391</v>
      </c>
      <c r="B6" s="188">
        <v>25.36</v>
      </c>
      <c r="C6" s="188">
        <v>20.8</v>
      </c>
    </row>
    <row r="7" spans="1:3" ht="18.75" x14ac:dyDescent="0.25">
      <c r="A7" s="188" t="s">
        <v>392</v>
      </c>
      <c r="B7" s="188">
        <v>55.66</v>
      </c>
      <c r="C7" s="188">
        <v>21.88</v>
      </c>
    </row>
    <row r="8" spans="1:3" ht="18.75" x14ac:dyDescent="0.25">
      <c r="A8" s="188" t="s">
        <v>393</v>
      </c>
      <c r="B8" s="188">
        <v>143.91999999999999</v>
      </c>
      <c r="C8" s="188">
        <v>41.3</v>
      </c>
    </row>
    <row r="9" spans="1:3" ht="18.75" x14ac:dyDescent="0.25">
      <c r="A9" s="188" t="s">
        <v>394</v>
      </c>
      <c r="B9" s="188">
        <v>164.71</v>
      </c>
      <c r="C9" s="188">
        <v>45.88</v>
      </c>
    </row>
    <row r="10" spans="1:3" ht="18.75" x14ac:dyDescent="0.25">
      <c r="A10" s="188" t="s">
        <v>395</v>
      </c>
      <c r="B10" s="188">
        <v>150.03</v>
      </c>
      <c r="C10" s="188">
        <v>42.65</v>
      </c>
    </row>
    <row r="11" spans="1:3" ht="18.75" x14ac:dyDescent="0.25">
      <c r="A11" s="188" t="s">
        <v>396</v>
      </c>
      <c r="B11" s="188">
        <v>192.8</v>
      </c>
      <c r="C11" s="188">
        <v>52.06</v>
      </c>
    </row>
    <row r="12" spans="1:3" ht="18.75" x14ac:dyDescent="0.25">
      <c r="A12" s="188" t="s">
        <v>397</v>
      </c>
      <c r="B12" s="188">
        <v>289.2</v>
      </c>
      <c r="C12" s="188">
        <v>52.06</v>
      </c>
    </row>
    <row r="13" spans="1:3" ht="18.75" x14ac:dyDescent="0.25">
      <c r="A13" s="188" t="s">
        <v>398</v>
      </c>
      <c r="B13" s="188">
        <v>289.2</v>
      </c>
      <c r="C13" s="188">
        <v>52.06</v>
      </c>
    </row>
    <row r="14" spans="1:3" ht="18.75" x14ac:dyDescent="0.25">
      <c r="A14" s="188" t="s">
        <v>399</v>
      </c>
      <c r="B14" s="188">
        <v>289.2</v>
      </c>
      <c r="C14" s="188">
        <v>52.06</v>
      </c>
    </row>
    <row r="15" spans="1:3" ht="18.75" x14ac:dyDescent="0.25">
      <c r="A15" s="188" t="s">
        <v>400</v>
      </c>
      <c r="B15" s="188">
        <v>289.2</v>
      </c>
      <c r="C15" s="188">
        <v>52.06</v>
      </c>
    </row>
    <row r="16" spans="1:3" ht="18.75" x14ac:dyDescent="0.25">
      <c r="A16" s="188" t="s">
        <v>401</v>
      </c>
      <c r="B16" s="188">
        <v>337.4</v>
      </c>
      <c r="C16" s="188">
        <v>52.06</v>
      </c>
    </row>
    <row r="17" spans="1:3" ht="18.75" x14ac:dyDescent="0.25">
      <c r="A17" s="188" t="s">
        <v>402</v>
      </c>
      <c r="B17" s="188">
        <v>337.4</v>
      </c>
      <c r="C17" s="188">
        <v>52.06</v>
      </c>
    </row>
    <row r="18" spans="1:3" ht="18.75" x14ac:dyDescent="0.25">
      <c r="A18" s="188" t="s">
        <v>403</v>
      </c>
      <c r="B18" s="188">
        <v>366.32</v>
      </c>
      <c r="C18" s="188">
        <v>57.84</v>
      </c>
    </row>
    <row r="19" spans="1:3" ht="18.75" x14ac:dyDescent="0.25">
      <c r="A19" s="188" t="s">
        <v>404</v>
      </c>
      <c r="B19" s="188">
        <v>366.32</v>
      </c>
      <c r="C19" s="188">
        <v>57.84</v>
      </c>
    </row>
    <row r="20" spans="1:3" ht="18.75" x14ac:dyDescent="0.25">
      <c r="A20" s="188" t="s">
        <v>405</v>
      </c>
      <c r="B20" s="188">
        <v>366.32</v>
      </c>
      <c r="C20" s="188">
        <v>57.84</v>
      </c>
    </row>
    <row r="21" spans="1:3" ht="18.75" x14ac:dyDescent="0.25">
      <c r="A21" s="188" t="s">
        <v>378</v>
      </c>
      <c r="B21" s="188">
        <v>366.32</v>
      </c>
      <c r="C21" s="188">
        <v>57.84</v>
      </c>
    </row>
    <row r="22" spans="1:3" ht="18.75" x14ac:dyDescent="0.25">
      <c r="A22" s="188" t="s">
        <v>379</v>
      </c>
      <c r="B22" s="188">
        <v>366.32</v>
      </c>
      <c r="C22" s="188">
        <v>57.84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1</vt:i4>
      </vt:variant>
    </vt:vector>
  </HeadingPairs>
  <TitlesOfParts>
    <vt:vector size="37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NSample</vt:lpstr>
      <vt:lpstr>Sheet4</vt:lpstr>
      <vt:lpstr>Sheet1</vt:lpstr>
      <vt:lpstr>Praveen</vt:lpstr>
      <vt:lpstr>Total Industrial Load 2080</vt:lpstr>
      <vt:lpstr>Sheet2</vt:lpstr>
      <vt:lpstr>'Total Industrial Load 2080'!Print_Area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 Room LDC  System Operation Department</dc:creator>
  <cp:lastModifiedBy>Control Room LDC  System Operation Department</cp:lastModifiedBy>
  <cp:lastPrinted>2024-01-05T03:35:44Z</cp:lastPrinted>
  <dcterms:created xsi:type="dcterms:W3CDTF">2023-12-16T21:08:49Z</dcterms:created>
  <dcterms:modified xsi:type="dcterms:W3CDTF">2024-03-03T10:10:09Z</dcterms:modified>
</cp:coreProperties>
</file>